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375" yWindow="255" windowWidth="20730" windowHeight="11700" tabRatio="768"/>
  </bookViews>
  <sheets>
    <sheet name="人物卡" sheetId="1" r:id="rId1"/>
    <sheet name="分支技能" sheetId="2" r:id="rId2"/>
    <sheet name="职业及经历包" sheetId="3" r:id="rId3"/>
    <sheet name="属性和掷骰" sheetId="4" r:id="rId4"/>
    <sheet name="武器列表" sheetId="5" r:id="rId5"/>
    <sheet name="疯狂表" sheetId="6" r:id="rId6"/>
    <sheet name="信誉参照表" sheetId="7" r:id="rId7"/>
    <sheet name="附表" sheetId="8" state="hidden" r:id="rId8"/>
    <sheet name="疯狂附表" sheetId="9" state="hidden" r:id="rId9"/>
    <sheet name="更新说明" sheetId="10" r:id="rId10"/>
    <sheet name="职业" sheetId="11" state="hidden" r:id="rId11"/>
    <sheet name="输出" sheetId="12" state="hidden" r:id="rId12"/>
  </sheets>
  <definedNames>
    <definedName name="_xlnm._FilterDatabase" localSheetId="2" hidden="1">职业及经历包!$A$1:$H$117</definedName>
    <definedName name="APP">人物卡!$M$5</definedName>
    <definedName name="BP">附表!$G$46</definedName>
    <definedName name="Build">人物卡!$V$53</definedName>
    <definedName name="CON">人物卡!$J$5</definedName>
    <definedName name="CR">人物卡!$J$25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职业及经历包!$A$1:$H$117</definedName>
    <definedName name="文学" localSheetId="1">分支技能!$B$9</definedName>
    <definedName name="文学">分支技能!$B$9</definedName>
  </definedNames>
  <calcPr calcId="124519"/>
</workbook>
</file>

<file path=xl/calcChain.xml><?xml version="1.0" encoding="utf-8"?>
<calcChain xmlns="http://schemas.openxmlformats.org/spreadsheetml/2006/main">
  <c r="K69" i="12"/>
  <c r="M69" s="1"/>
  <c r="K68"/>
  <c r="M68" s="1"/>
  <c r="K67"/>
  <c r="M67" s="1"/>
  <c r="K66"/>
  <c r="M66" s="1"/>
  <c r="J66"/>
  <c r="K65"/>
  <c r="M65" s="1"/>
  <c r="J65"/>
  <c r="K64"/>
  <c r="M64" s="1"/>
  <c r="J64"/>
  <c r="K63"/>
  <c r="M63" s="1"/>
  <c r="J63"/>
  <c r="K62"/>
  <c r="M62" s="1"/>
  <c r="J62"/>
  <c r="K61"/>
  <c r="M61" s="1"/>
  <c r="J61"/>
  <c r="K60"/>
  <c r="M60" s="1"/>
  <c r="J60"/>
  <c r="K59"/>
  <c r="M59" s="1"/>
  <c r="J59"/>
  <c r="K58"/>
  <c r="M58" s="1"/>
  <c r="J58"/>
  <c r="K57"/>
  <c r="M57" s="1"/>
  <c r="J57"/>
  <c r="K56"/>
  <c r="M56" s="1"/>
  <c r="J56"/>
  <c r="A56"/>
  <c r="K55"/>
  <c r="M55" s="1"/>
  <c r="J55"/>
  <c r="K54"/>
  <c r="M54" s="1"/>
  <c r="J54"/>
  <c r="D54"/>
  <c r="C54"/>
  <c r="B54"/>
  <c r="A54"/>
  <c r="K53"/>
  <c r="M53" s="1"/>
  <c r="J53"/>
  <c r="D53"/>
  <c r="C53"/>
  <c r="B53"/>
  <c r="A53"/>
  <c r="K52"/>
  <c r="M52" s="1"/>
  <c r="J52"/>
  <c r="A52"/>
  <c r="K51"/>
  <c r="M51" s="1"/>
  <c r="J51"/>
  <c r="K50"/>
  <c r="M50" s="1"/>
  <c r="J50"/>
  <c r="A50"/>
  <c r="K49"/>
  <c r="M49" s="1"/>
  <c r="J49"/>
  <c r="D49"/>
  <c r="C49"/>
  <c r="B49"/>
  <c r="A49"/>
  <c r="K48"/>
  <c r="M48" s="1"/>
  <c r="J48"/>
  <c r="K47"/>
  <c r="M47" s="1"/>
  <c r="J47"/>
  <c r="A47"/>
  <c r="K46"/>
  <c r="M46" s="1"/>
  <c r="J46"/>
  <c r="A46"/>
  <c r="K45"/>
  <c r="M45" s="1"/>
  <c r="J45"/>
  <c r="A45"/>
  <c r="K44"/>
  <c r="M44" s="1"/>
  <c r="J44"/>
  <c r="A44"/>
  <c r="K43"/>
  <c r="M43" s="1"/>
  <c r="J43"/>
  <c r="A43"/>
  <c r="M42"/>
  <c r="L42"/>
  <c r="K42"/>
  <c r="J42"/>
  <c r="A42"/>
  <c r="K41"/>
  <c r="M41" s="1"/>
  <c r="J41"/>
  <c r="A41"/>
  <c r="K40"/>
  <c r="M40" s="1"/>
  <c r="J40"/>
  <c r="A40"/>
  <c r="K39"/>
  <c r="M39" s="1"/>
  <c r="J39"/>
  <c r="A39"/>
  <c r="K38"/>
  <c r="M38" s="1"/>
  <c r="J38"/>
  <c r="A38"/>
  <c r="K37"/>
  <c r="M37" s="1"/>
  <c r="J37"/>
  <c r="M36"/>
  <c r="K36"/>
  <c r="J36"/>
  <c r="M35"/>
  <c r="K35"/>
  <c r="J35"/>
  <c r="K34"/>
  <c r="M34" s="1"/>
  <c r="J34"/>
  <c r="K33"/>
  <c r="M33" s="1"/>
  <c r="J33"/>
  <c r="M32"/>
  <c r="K32"/>
  <c r="J32"/>
  <c r="M31"/>
  <c r="K31"/>
  <c r="J31"/>
  <c r="K30"/>
  <c r="M30" s="1"/>
  <c r="J30"/>
  <c r="M29"/>
  <c r="K29"/>
  <c r="J29"/>
  <c r="M28"/>
  <c r="K28"/>
  <c r="J28"/>
  <c r="K27"/>
  <c r="M27" s="1"/>
  <c r="J27"/>
  <c r="K26"/>
  <c r="M26" s="1"/>
  <c r="J26"/>
  <c r="M25"/>
  <c r="K25"/>
  <c r="J25"/>
  <c r="M24"/>
  <c r="K24"/>
  <c r="J24"/>
  <c r="M23"/>
  <c r="K23"/>
  <c r="J23"/>
  <c r="K22"/>
  <c r="M22" s="1"/>
  <c r="J22"/>
  <c r="M21"/>
  <c r="K21"/>
  <c r="J21"/>
  <c r="K20"/>
  <c r="M20" s="1"/>
  <c r="J20"/>
  <c r="K19"/>
  <c r="M19" s="1"/>
  <c r="J19"/>
  <c r="K18"/>
  <c r="M18" s="1"/>
  <c r="J18"/>
  <c r="M17"/>
  <c r="K17"/>
  <c r="J17"/>
  <c r="M16"/>
  <c r="K16"/>
  <c r="J16"/>
  <c r="K15"/>
  <c r="M15" s="1"/>
  <c r="J15"/>
  <c r="C15"/>
  <c r="K14"/>
  <c r="M14" s="1"/>
  <c r="J14"/>
  <c r="C14"/>
  <c r="B14"/>
  <c r="A14" s="1"/>
  <c r="K13"/>
  <c r="M13" s="1"/>
  <c r="J13"/>
  <c r="K12"/>
  <c r="M12" s="1"/>
  <c r="J12"/>
  <c r="M11"/>
  <c r="L11"/>
  <c r="K11"/>
  <c r="J11"/>
  <c r="M10"/>
  <c r="K10"/>
  <c r="J10"/>
  <c r="B10"/>
  <c r="A10" s="1"/>
  <c r="K9"/>
  <c r="M9" s="1"/>
  <c r="J9"/>
  <c r="B9"/>
  <c r="A9" s="1"/>
  <c r="M8"/>
  <c r="K8"/>
  <c r="J8"/>
  <c r="B8"/>
  <c r="A8" s="1"/>
  <c r="K7"/>
  <c r="M7" s="1"/>
  <c r="J7"/>
  <c r="B7"/>
  <c r="A7" s="1"/>
  <c r="K6"/>
  <c r="M6" s="1"/>
  <c r="J6"/>
  <c r="B6"/>
  <c r="A6" s="1"/>
  <c r="K5"/>
  <c r="M5" s="1"/>
  <c r="J5"/>
  <c r="B5"/>
  <c r="A5" s="1"/>
  <c r="M4"/>
  <c r="K4"/>
  <c r="J4"/>
  <c r="B4"/>
  <c r="A4" s="1"/>
  <c r="K3"/>
  <c r="J3"/>
  <c r="B3"/>
  <c r="A3" s="1"/>
  <c r="K2"/>
  <c r="J2"/>
  <c r="B2"/>
  <c r="B1"/>
  <c r="V11" i="11"/>
  <c r="V10"/>
  <c r="AI9" i="1" s="1"/>
  <c r="AJ9" s="1"/>
  <c r="AA9" i="11"/>
  <c r="Z9"/>
  <c r="Y9"/>
  <c r="V9"/>
  <c r="V8"/>
  <c r="AI7" i="1" s="1"/>
  <c r="AJ7" s="1"/>
  <c r="Z7" i="11"/>
  <c r="Y7"/>
  <c r="V7"/>
  <c r="AI6" i="1" s="1"/>
  <c r="AJ6" s="1"/>
  <c r="V6" i="11"/>
  <c r="AI5" i="1" s="1"/>
  <c r="AJ5" s="1"/>
  <c r="Z5" i="11"/>
  <c r="Y5"/>
  <c r="V5"/>
  <c r="V4"/>
  <c r="C47" i="1" s="1"/>
  <c r="Z3" i="11"/>
  <c r="Y3"/>
  <c r="V3"/>
  <c r="I1"/>
  <c r="H1"/>
  <c r="G1"/>
  <c r="F1"/>
  <c r="E1"/>
  <c r="D1"/>
  <c r="C1"/>
  <c r="B1"/>
  <c r="K51" i="8"/>
  <c r="J51"/>
  <c r="I51"/>
  <c r="H51"/>
  <c r="G51"/>
  <c r="F51"/>
  <c r="E51"/>
  <c r="D51"/>
  <c r="C51"/>
  <c r="L50"/>
  <c r="K50"/>
  <c r="J50"/>
  <c r="I50"/>
  <c r="H50"/>
  <c r="G50"/>
  <c r="F50"/>
  <c r="E50"/>
  <c r="D50"/>
  <c r="C50"/>
  <c r="J49"/>
  <c r="I49"/>
  <c r="H49"/>
  <c r="G49"/>
  <c r="F49"/>
  <c r="E49"/>
  <c r="D49"/>
  <c r="C49"/>
  <c r="F48"/>
  <c r="E48"/>
  <c r="D48"/>
  <c r="C48"/>
  <c r="S48" s="1"/>
  <c r="Q47"/>
  <c r="P47"/>
  <c r="O47"/>
  <c r="N47"/>
  <c r="M47"/>
  <c r="L47"/>
  <c r="K47"/>
  <c r="J47"/>
  <c r="I47"/>
  <c r="H47"/>
  <c r="G47"/>
  <c r="F47"/>
  <c r="E47"/>
  <c r="D47"/>
  <c r="C47"/>
  <c r="H46"/>
  <c r="G46"/>
  <c r="F46"/>
  <c r="E46"/>
  <c r="D46"/>
  <c r="C46"/>
  <c r="B42"/>
  <c r="B41"/>
  <c r="B40"/>
  <c r="B39"/>
  <c r="B38"/>
  <c r="B37"/>
  <c r="B36"/>
  <c r="B35"/>
  <c r="F12"/>
  <c r="F11"/>
  <c r="F18" s="1"/>
  <c r="F10"/>
  <c r="F13" s="1"/>
  <c r="F2"/>
  <c r="E2"/>
  <c r="V11" i="7"/>
  <c r="U11"/>
  <c r="T11"/>
  <c r="V10"/>
  <c r="U10"/>
  <c r="T10"/>
  <c r="V9"/>
  <c r="U9"/>
  <c r="T9"/>
  <c r="V8"/>
  <c r="U8"/>
  <c r="T8"/>
  <c r="V7"/>
  <c r="U7"/>
  <c r="T7"/>
  <c r="V6"/>
  <c r="U6"/>
  <c r="T6"/>
  <c r="G19" i="6"/>
  <c r="D19"/>
  <c r="A29" i="4"/>
  <c r="A28"/>
  <c r="A27"/>
  <c r="A26"/>
  <c r="A25"/>
  <c r="A24"/>
  <c r="A22"/>
  <c r="A21"/>
  <c r="A20"/>
  <c r="A19"/>
  <c r="A18"/>
  <c r="A17"/>
  <c r="A16"/>
  <c r="A15"/>
  <c r="T14"/>
  <c r="Q14"/>
  <c r="N14"/>
  <c r="K14"/>
  <c r="H14"/>
  <c r="E14"/>
  <c r="B14"/>
  <c r="A14"/>
  <c r="A13"/>
  <c r="A12"/>
  <c r="A11"/>
  <c r="A10"/>
  <c r="A9"/>
  <c r="A8"/>
  <c r="A7"/>
  <c r="A6"/>
  <c r="A5"/>
  <c r="A4"/>
  <c r="A3"/>
  <c r="A2"/>
  <c r="F117" i="3"/>
  <c r="F116"/>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F75"/>
  <c r="F74"/>
  <c r="F73"/>
  <c r="F72"/>
  <c r="F71"/>
  <c r="F70"/>
  <c r="F69"/>
  <c r="F68"/>
  <c r="F67"/>
  <c r="G49" i="1" s="1"/>
  <c r="F66" i="3"/>
  <c r="F65"/>
  <c r="F64"/>
  <c r="F63"/>
  <c r="F62"/>
  <c r="F61"/>
  <c r="F60"/>
  <c r="F59"/>
  <c r="F58"/>
  <c r="F57"/>
  <c r="F56"/>
  <c r="F55"/>
  <c r="F54"/>
  <c r="F53"/>
  <c r="F52"/>
  <c r="F51"/>
  <c r="F50"/>
  <c r="F49"/>
  <c r="F48"/>
  <c r="F47"/>
  <c r="F46"/>
  <c r="F45"/>
  <c r="F44"/>
  <c r="F43"/>
  <c r="F42"/>
  <c r="F41"/>
  <c r="F40"/>
  <c r="F39"/>
  <c r="F38"/>
  <c r="F37"/>
  <c r="F36"/>
  <c r="F35"/>
  <c r="F34"/>
  <c r="F33"/>
  <c r="F32"/>
  <c r="F31"/>
  <c r="F30"/>
  <c r="F29"/>
  <c r="F28"/>
  <c r="F27"/>
  <c r="F26"/>
  <c r="F25"/>
  <c r="F24"/>
  <c r="F23"/>
  <c r="F22"/>
  <c r="F21"/>
  <c r="F20"/>
  <c r="F19"/>
  <c r="F18"/>
  <c r="F17"/>
  <c r="F16"/>
  <c r="F15"/>
  <c r="F14"/>
  <c r="F13"/>
  <c r="F12"/>
  <c r="F11"/>
  <c r="F10"/>
  <c r="F9"/>
  <c r="F8"/>
  <c r="F7"/>
  <c r="F6"/>
  <c r="F5"/>
  <c r="F4"/>
  <c r="G3"/>
  <c r="F3"/>
  <c r="B3"/>
  <c r="H57" i="1"/>
  <c r="G57"/>
  <c r="H56"/>
  <c r="G56"/>
  <c r="R55"/>
  <c r="D52" i="12" s="1"/>
  <c r="P55" i="1"/>
  <c r="N55"/>
  <c r="M55"/>
  <c r="C52" i="12" s="1"/>
  <c r="K55" i="1"/>
  <c r="I55"/>
  <c r="B52" i="12" s="1"/>
  <c r="R54" i="1"/>
  <c r="D51" i="12" s="1"/>
  <c r="P54" i="1"/>
  <c r="N54"/>
  <c r="M54"/>
  <c r="C51" i="12" s="1"/>
  <c r="K54" i="1"/>
  <c r="I54"/>
  <c r="B51" i="12" s="1"/>
  <c r="B54" i="1"/>
  <c r="A51" i="12" s="1"/>
  <c r="V53" i="1"/>
  <c r="R53"/>
  <c r="D50" i="12" s="1"/>
  <c r="P53" i="1"/>
  <c r="N53"/>
  <c r="M53"/>
  <c r="C50" i="12" s="1"/>
  <c r="K53" i="1"/>
  <c r="I53"/>
  <c r="B50" i="12" s="1"/>
  <c r="E53" i="1"/>
  <c r="V51"/>
  <c r="B49"/>
  <c r="V48"/>
  <c r="U48"/>
  <c r="W48" s="1"/>
  <c r="L48"/>
  <c r="J48"/>
  <c r="L35" i="12" s="1"/>
  <c r="W47" i="1"/>
  <c r="U47"/>
  <c r="L68" i="12" s="1"/>
  <c r="K47" i="1"/>
  <c r="J47"/>
  <c r="O4" i="2" s="1"/>
  <c r="V46" i="1"/>
  <c r="U46"/>
  <c r="L67" i="12" s="1"/>
  <c r="O46" i="1"/>
  <c r="O47" s="1"/>
  <c r="J46"/>
  <c r="K46" s="1"/>
  <c r="F46"/>
  <c r="W45"/>
  <c r="V45"/>
  <c r="U45"/>
  <c r="L66" i="12" s="1"/>
  <c r="L45" i="1"/>
  <c r="K45"/>
  <c r="J45"/>
  <c r="L32" i="12" s="1"/>
  <c r="W44" i="1"/>
  <c r="V44"/>
  <c r="U44"/>
  <c r="L65" i="12" s="1"/>
  <c r="L44" i="1"/>
  <c r="K44"/>
  <c r="J44"/>
  <c r="L31" i="12" s="1"/>
  <c r="W43" i="1"/>
  <c r="V43"/>
  <c r="U43"/>
  <c r="L64" i="12" s="1"/>
  <c r="L43" i="1"/>
  <c r="J43"/>
  <c r="L30" i="12" s="1"/>
  <c r="W42" i="1"/>
  <c r="V42"/>
  <c r="U42"/>
  <c r="L63" i="12" s="1"/>
  <c r="L42" i="1"/>
  <c r="K42"/>
  <c r="J42"/>
  <c r="L29" i="12" s="1"/>
  <c r="W41" i="1"/>
  <c r="V41"/>
  <c r="U41"/>
  <c r="L62" i="12" s="1"/>
  <c r="L41" i="1"/>
  <c r="K41"/>
  <c r="J41"/>
  <c r="L28" i="12" s="1"/>
  <c r="W40" i="1"/>
  <c r="V40"/>
  <c r="U40"/>
  <c r="L61" i="12" s="1"/>
  <c r="K40" i="1"/>
  <c r="J40"/>
  <c r="L27" i="12" s="1"/>
  <c r="W39" i="1"/>
  <c r="V39"/>
  <c r="U39"/>
  <c r="L60" i="12" s="1"/>
  <c r="L39" i="1"/>
  <c r="K39"/>
  <c r="J39"/>
  <c r="L26" i="12" s="1"/>
  <c r="W38" i="1"/>
  <c r="V38"/>
  <c r="U38"/>
  <c r="L59" i="12" s="1"/>
  <c r="F38" i="1"/>
  <c r="J38" s="1"/>
  <c r="W37"/>
  <c r="U37"/>
  <c r="L58" i="12" s="1"/>
  <c r="J37" i="1"/>
  <c r="L24" i="12" s="1"/>
  <c r="F37" i="1"/>
  <c r="V36"/>
  <c r="U36"/>
  <c r="L57" i="12" s="1"/>
  <c r="K36" i="1"/>
  <c r="J36"/>
  <c r="L23" i="12" s="1"/>
  <c r="V35" i="1"/>
  <c r="U35"/>
  <c r="L56" i="12" s="1"/>
  <c r="N35" i="1"/>
  <c r="F35"/>
  <c r="J35" s="1"/>
  <c r="U34"/>
  <c r="L55" i="12" s="1"/>
  <c r="J34" i="1"/>
  <c r="K34" s="1"/>
  <c r="F34"/>
  <c r="W33"/>
  <c r="V33"/>
  <c r="U33"/>
  <c r="L54" i="12" s="1"/>
  <c r="J33" i="1"/>
  <c r="F52" s="1"/>
  <c r="W32"/>
  <c r="V32"/>
  <c r="U32"/>
  <c r="L53" i="12" s="1"/>
  <c r="L32" i="1"/>
  <c r="J32"/>
  <c r="L19" i="12" s="1"/>
  <c r="W31" i="1"/>
  <c r="U31"/>
  <c r="L52" i="12" s="1"/>
  <c r="L31" i="1"/>
  <c r="J31"/>
  <c r="L18" i="12" s="1"/>
  <c r="W30" i="1"/>
  <c r="U30"/>
  <c r="L51" i="12" s="1"/>
  <c r="L30" i="1"/>
  <c r="J30"/>
  <c r="O5" i="2" s="1"/>
  <c r="V29" i="1"/>
  <c r="U29"/>
  <c r="L50" i="12" s="1"/>
  <c r="K29" i="1"/>
  <c r="J29"/>
  <c r="L16" i="12" s="1"/>
  <c r="U28" i="1"/>
  <c r="L49" i="12" s="1"/>
  <c r="F28" i="1"/>
  <c r="J28" s="1"/>
  <c r="W27"/>
  <c r="V27"/>
  <c r="U27"/>
  <c r="L48" i="12" s="1"/>
  <c r="L27" i="1"/>
  <c r="K27"/>
  <c r="J27"/>
  <c r="L14" i="12" s="1"/>
  <c r="W26" i="1"/>
  <c r="U26"/>
  <c r="L47" i="12" s="1"/>
  <c r="L26" i="1"/>
  <c r="J26"/>
  <c r="L13" i="12" s="1"/>
  <c r="W25" i="1"/>
  <c r="U25"/>
  <c r="V25" s="1"/>
  <c r="J25"/>
  <c r="H10" i="7" s="1"/>
  <c r="Y24" i="1"/>
  <c r="W24"/>
  <c r="U24"/>
  <c r="L45" i="12" s="1"/>
  <c r="L24" i="1"/>
  <c r="J24"/>
  <c r="K24" s="1"/>
  <c r="W23"/>
  <c r="U23"/>
  <c r="L44" i="12" s="1"/>
  <c r="L23" i="1"/>
  <c r="J23"/>
  <c r="L10" i="12" s="1"/>
  <c r="U22" i="1"/>
  <c r="L43" i="12" s="1"/>
  <c r="L22" i="1"/>
  <c r="J22"/>
  <c r="L9" i="12" s="1"/>
  <c r="W21" i="1"/>
  <c r="U21"/>
  <c r="V21" s="1"/>
  <c r="L21"/>
  <c r="J21"/>
  <c r="L8" i="12" s="1"/>
  <c r="AA20" i="1"/>
  <c r="Y20"/>
  <c r="U20"/>
  <c r="V20" s="1"/>
  <c r="J20"/>
  <c r="L7" i="12" s="1"/>
  <c r="U19" i="1"/>
  <c r="V19" s="1"/>
  <c r="J19"/>
  <c r="K19" s="1"/>
  <c r="U18"/>
  <c r="L39" i="12" s="1"/>
  <c r="J18" i="1"/>
  <c r="L5" i="12" s="1"/>
  <c r="AA17" i="1"/>
  <c r="Y17"/>
  <c r="U17"/>
  <c r="V17" s="1"/>
  <c r="L17"/>
  <c r="J17"/>
  <c r="L4" i="12" s="1"/>
  <c r="U16" i="1"/>
  <c r="L37" i="12" s="1"/>
  <c r="L16" i="1"/>
  <c r="J16"/>
  <c r="L3" i="12" s="1"/>
  <c r="AA15" i="1"/>
  <c r="Y15"/>
  <c r="U15"/>
  <c r="V15" s="1"/>
  <c r="J15"/>
  <c r="K15" s="1"/>
  <c r="AD14"/>
  <c r="AA14"/>
  <c r="AE14" s="1"/>
  <c r="Y14"/>
  <c r="AE13"/>
  <c r="AD13"/>
  <c r="AA13"/>
  <c r="Y13"/>
  <c r="AA12"/>
  <c r="Y12"/>
  <c r="B12"/>
  <c r="AE11"/>
  <c r="AA11"/>
  <c r="Y11"/>
  <c r="AI10"/>
  <c r="AJ10" s="1"/>
  <c r="Y10"/>
  <c r="R10"/>
  <c r="Q10"/>
  <c r="B15" i="12" s="1"/>
  <c r="H10" i="1"/>
  <c r="B13" i="12" s="1"/>
  <c r="A13" s="1"/>
  <c r="E10" i="1"/>
  <c r="C12" i="12" s="1"/>
  <c r="V9" i="1"/>
  <c r="S9"/>
  <c r="P9"/>
  <c r="M9"/>
  <c r="AI8"/>
  <c r="AJ8" s="1"/>
  <c r="N8"/>
  <c r="K8"/>
  <c r="N7"/>
  <c r="K7"/>
  <c r="AO6"/>
  <c r="Q6"/>
  <c r="N6"/>
  <c r="K6"/>
  <c r="AO5"/>
  <c r="Q5"/>
  <c r="N5"/>
  <c r="K5"/>
  <c r="AO4"/>
  <c r="AI4"/>
  <c r="AJ4" s="1"/>
  <c r="Q4"/>
  <c r="N4"/>
  <c r="K4"/>
  <c r="AO3"/>
  <c r="Q3"/>
  <c r="N3"/>
  <c r="K3"/>
  <c r="AO2"/>
  <c r="I2"/>
  <c r="D10" l="1"/>
  <c r="B12" i="12" s="1"/>
  <c r="W22" i="1"/>
  <c r="K33"/>
  <c r="F53"/>
  <c r="H53" s="1"/>
  <c r="L33"/>
  <c r="L40"/>
  <c r="W16"/>
  <c r="K43"/>
  <c r="R51" i="8"/>
  <c r="V28" i="1"/>
  <c r="R49" i="8"/>
  <c r="W17" i="1"/>
  <c r="L38" i="12"/>
  <c r="S46" i="8"/>
  <c r="L25" i="1"/>
  <c r="A36" i="12" a="1"/>
  <c r="A36" s="1"/>
  <c r="K32" i="1"/>
  <c r="C36"/>
  <c r="C29"/>
  <c r="N36"/>
  <c r="AI3"/>
  <c r="AJ3" s="1"/>
  <c r="N28"/>
  <c r="N29"/>
  <c r="C37"/>
  <c r="C48"/>
  <c r="R46" i="8"/>
  <c r="B46" s="1"/>
  <c r="M2" i="12"/>
  <c r="L37" i="1"/>
  <c r="F17" i="8"/>
  <c r="F19" s="1"/>
  <c r="F24" s="1"/>
  <c r="R47"/>
  <c r="S50"/>
  <c r="B35" i="12" a="1"/>
  <c r="B35" s="1"/>
  <c r="F15" i="8"/>
  <c r="S49"/>
  <c r="R50"/>
  <c r="B50" s="1"/>
  <c r="S51"/>
  <c r="AA29" i="1"/>
  <c r="H7" i="7"/>
  <c r="I8"/>
  <c r="N9"/>
  <c r="O10"/>
  <c r="J7" i="4"/>
  <c r="L8" s="1"/>
  <c r="D7"/>
  <c r="F7" s="1"/>
  <c r="P5"/>
  <c r="R5" s="1"/>
  <c r="J5"/>
  <c r="L6" s="1"/>
  <c r="D5"/>
  <c r="F6" s="1"/>
  <c r="P3"/>
  <c r="R3" s="1"/>
  <c r="U3"/>
  <c r="AM7" s="1"/>
  <c r="D3"/>
  <c r="F4" s="1"/>
  <c r="J3"/>
  <c r="L4" s="1"/>
  <c r="U7"/>
  <c r="K35" i="1"/>
  <c r="L22" i="12"/>
  <c r="L35" i="1"/>
  <c r="L38"/>
  <c r="L25" i="12"/>
  <c r="K38" i="1"/>
  <c r="O48"/>
  <c r="J69" i="12" s="1"/>
  <c r="J68"/>
  <c r="G52" i="1"/>
  <c r="H52"/>
  <c r="K28"/>
  <c r="W55" s="1"/>
  <c r="V55"/>
  <c r="L15" i="12"/>
  <c r="L28" i="1"/>
  <c r="W56" s="1"/>
  <c r="B22" i="12" a="1"/>
  <c r="B22" s="1"/>
  <c r="B28" a="1"/>
  <c r="B28" s="1"/>
  <c r="B30" a="1"/>
  <c r="B30" s="1"/>
  <c r="B33" a="1"/>
  <c r="B33" s="1"/>
  <c r="B36" a="1"/>
  <c r="B36" s="1"/>
  <c r="L46"/>
  <c r="B25" s="1" a="1"/>
  <c r="B25" s="1"/>
  <c r="J67"/>
  <c r="D9" i="1"/>
  <c r="B9" s="1"/>
  <c r="I10"/>
  <c r="C13" i="12" s="1"/>
  <c r="C15" i="1"/>
  <c r="N15"/>
  <c r="K16"/>
  <c r="V16"/>
  <c r="K17"/>
  <c r="C18"/>
  <c r="N18"/>
  <c r="C19"/>
  <c r="N19"/>
  <c r="C20"/>
  <c r="N20"/>
  <c r="K21"/>
  <c r="K22"/>
  <c r="V22"/>
  <c r="K23"/>
  <c r="V23"/>
  <c r="V24"/>
  <c r="K25"/>
  <c r="K26"/>
  <c r="V26"/>
  <c r="C28"/>
  <c r="W28"/>
  <c r="L29"/>
  <c r="W29"/>
  <c r="K30"/>
  <c r="V30"/>
  <c r="K31"/>
  <c r="V31"/>
  <c r="N34"/>
  <c r="C35"/>
  <c r="W35"/>
  <c r="L36"/>
  <c r="W36"/>
  <c r="K37"/>
  <c r="V37"/>
  <c r="W46"/>
  <c r="L47"/>
  <c r="V47"/>
  <c r="K48"/>
  <c r="O6" i="2"/>
  <c r="O7" i="7"/>
  <c r="H8"/>
  <c r="I9"/>
  <c r="N10"/>
  <c r="F16" i="8"/>
  <c r="L2" i="12"/>
  <c r="L6"/>
  <c r="L17"/>
  <c r="L20"/>
  <c r="L21"/>
  <c r="L33"/>
  <c r="L34"/>
  <c r="L36"/>
  <c r="L41"/>
  <c r="E54" i="1"/>
  <c r="R48" i="8"/>
  <c r="B48" s="1"/>
  <c r="B24" i="12" a="1"/>
  <c r="B24" s="1"/>
  <c r="B27" a="1"/>
  <c r="B27" s="1"/>
  <c r="B29" a="1"/>
  <c r="B29" s="1"/>
  <c r="B32" a="1"/>
  <c r="B32" s="1"/>
  <c r="B34" a="1"/>
  <c r="B34" s="1"/>
  <c r="AI2" i="1"/>
  <c r="AJ2" s="1"/>
  <c r="L15"/>
  <c r="W15"/>
  <c r="L18"/>
  <c r="W18"/>
  <c r="L19"/>
  <c r="W19"/>
  <c r="L20"/>
  <c r="W20"/>
  <c r="Y26"/>
  <c r="X26" s="1"/>
  <c r="C27"/>
  <c r="N27"/>
  <c r="AA27"/>
  <c r="N32"/>
  <c r="C33"/>
  <c r="N33"/>
  <c r="C34"/>
  <c r="L34"/>
  <c r="W34"/>
  <c r="N38"/>
  <c r="C39"/>
  <c r="N39"/>
  <c r="C40"/>
  <c r="N40"/>
  <c r="N41"/>
  <c r="C42"/>
  <c r="N42"/>
  <c r="C43"/>
  <c r="N43"/>
  <c r="C44"/>
  <c r="N44"/>
  <c r="N45" s="1"/>
  <c r="N46" s="1"/>
  <c r="N47" s="1"/>
  <c r="N48" s="1"/>
  <c r="C45"/>
  <c r="C46"/>
  <c r="L46"/>
  <c r="N7" i="7"/>
  <c r="O8"/>
  <c r="H9"/>
  <c r="I10"/>
  <c r="S47" i="8"/>
  <c r="M3" i="12"/>
  <c r="L12"/>
  <c r="B18" s="1" a="1"/>
  <c r="B18" s="1"/>
  <c r="A17" a="1"/>
  <c r="A17" s="1"/>
  <c r="A18" a="1"/>
  <c r="A18" s="1"/>
  <c r="A19" a="1"/>
  <c r="A19" s="1"/>
  <c r="A20" a="1"/>
  <c r="A20" s="1"/>
  <c r="A21" a="1"/>
  <c r="A21" s="1"/>
  <c r="A22" a="1"/>
  <c r="A22" s="1"/>
  <c r="A23" a="1"/>
  <c r="A23" s="1"/>
  <c r="A24" a="1"/>
  <c r="A24" s="1"/>
  <c r="A25" a="1"/>
  <c r="A25" s="1"/>
  <c r="A26" a="1"/>
  <c r="A26" s="1"/>
  <c r="A27" a="1"/>
  <c r="A27" s="1"/>
  <c r="A28" a="1"/>
  <c r="A28" s="1"/>
  <c r="A29" a="1"/>
  <c r="A29" s="1"/>
  <c r="A30" a="1"/>
  <c r="A30" s="1"/>
  <c r="A31" a="1"/>
  <c r="A31" s="1"/>
  <c r="A32" a="1"/>
  <c r="A32" s="1"/>
  <c r="A33" a="1"/>
  <c r="A33" s="1"/>
  <c r="A34" a="1"/>
  <c r="A34" s="1"/>
  <c r="A35" a="1"/>
  <c r="A35" s="1"/>
  <c r="L40"/>
  <c r="L69"/>
  <c r="B17" a="1"/>
  <c r="B17" s="1"/>
  <c r="B20" a="1"/>
  <c r="B20" s="1"/>
  <c r="B23" a="1"/>
  <c r="B23" s="1"/>
  <c r="B26" a="1"/>
  <c r="B26" s="1"/>
  <c r="B31" a="1"/>
  <c r="B31" s="1"/>
  <c r="K9" i="1"/>
  <c r="C16"/>
  <c r="N16"/>
  <c r="C17"/>
  <c r="N17"/>
  <c r="K18"/>
  <c r="V18"/>
  <c r="K20"/>
  <c r="C21"/>
  <c r="N21"/>
  <c r="N22"/>
  <c r="C23"/>
  <c r="N23"/>
  <c r="C24"/>
  <c r="N24"/>
  <c r="C26"/>
  <c r="N26"/>
  <c r="C30"/>
  <c r="N30"/>
  <c r="C31"/>
  <c r="N31"/>
  <c r="AA31"/>
  <c r="V34"/>
  <c r="N37"/>
  <c r="C38"/>
  <c r="I7" i="7"/>
  <c r="N8"/>
  <c r="O9"/>
  <c r="F14" i="8"/>
  <c r="F22" s="1"/>
  <c r="B51" l="1"/>
  <c r="B21" i="12" a="1"/>
  <c r="B21" s="1"/>
  <c r="F21" i="8"/>
  <c r="G53" i="1"/>
  <c r="B19" i="12" a="1"/>
  <c r="B19" s="1"/>
  <c r="B49" i="8"/>
  <c r="S52"/>
  <c r="F8" i="4"/>
  <c r="L3"/>
  <c r="AG5"/>
  <c r="AA7"/>
  <c r="R6"/>
  <c r="L7"/>
  <c r="AG7"/>
  <c r="F5"/>
  <c r="AM5"/>
  <c r="R4"/>
  <c r="L5"/>
  <c r="AM3"/>
  <c r="AA5"/>
  <c r="N7"/>
  <c r="F3"/>
  <c r="AG3"/>
  <c r="AA3"/>
  <c r="N25" i="1"/>
  <c r="C22"/>
  <c r="C41"/>
  <c r="C32"/>
  <c r="E9"/>
  <c r="AE26"/>
  <c r="AA26"/>
  <c r="AC26"/>
  <c r="F20" i="8"/>
  <c r="F25" s="1"/>
  <c r="B47"/>
  <c r="R52"/>
  <c r="F54" i="1"/>
  <c r="E55"/>
  <c r="F55" s="1"/>
  <c r="F23" i="8"/>
  <c r="AL6" i="1" a="1"/>
  <c r="AL6" s="1"/>
  <c r="Z7" s="1"/>
  <c r="AL2" a="1"/>
  <c r="AL2" s="1"/>
  <c r="Z3" s="1"/>
  <c r="AL3" a="1"/>
  <c r="AL3" s="1"/>
  <c r="Z4" s="1"/>
  <c r="AL4" a="1"/>
  <c r="AL4" s="1"/>
  <c r="Z5" s="1"/>
  <c r="AL5" a="1"/>
  <c r="AL5" s="1"/>
  <c r="Z6" s="1"/>
  <c r="F26" i="8"/>
  <c r="F14" i="12" l="1"/>
  <c r="F1" s="1"/>
  <c r="Y2" i="1"/>
  <c r="AN2"/>
  <c r="AF3" s="1"/>
  <c r="Y3"/>
  <c r="G54"/>
  <c r="H54"/>
  <c r="H55"/>
  <c r="G55"/>
  <c r="Y5"/>
  <c r="AN4"/>
  <c r="AF5" s="1"/>
  <c r="AE5"/>
  <c r="F27" i="8"/>
  <c r="AN3" i="1"/>
  <c r="AF4" s="1"/>
  <c r="Y4"/>
  <c r="AN5"/>
  <c r="AF6" s="1"/>
  <c r="Y6"/>
  <c r="AN6"/>
  <c r="AF7" s="1"/>
  <c r="Y7"/>
  <c r="Y72" l="1"/>
  <c r="X80"/>
  <c r="AE4"/>
  <c r="AE7"/>
  <c r="AE6"/>
  <c r="AE3"/>
  <c r="F28" i="8"/>
  <c r="P7" i="1" s="1"/>
  <c r="B11" i="12" s="1"/>
  <c r="Q8" i="1"/>
</calcChain>
</file>

<file path=xl/comments1.xml><?xml version="1.0" encoding="utf-8"?>
<comments xmlns="http://schemas.openxmlformats.org/spreadsheetml/2006/main">
  <authors>
    <author>Starfire</author>
  </authors>
  <commentList>
    <comment ref="E34" authorId="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B59" authorId="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List>
</comments>
</file>

<file path=xl/comments2.xml><?xml version="1.0" encoding="utf-8"?>
<comments xmlns="http://schemas.openxmlformats.org/spreadsheetml/2006/main">
  <authors>
    <author>starfire</author>
    <author>Starfire</author>
  </authors>
  <commentList>
    <comment ref="C3" authorId="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text>
        <r>
          <rPr>
            <b/>
            <sz val="9"/>
            <color indexed="81"/>
            <rFont val="宋体"/>
            <family val="3"/>
            <charset val="134"/>
          </rPr>
          <t>特别提醒:</t>
        </r>
        <r>
          <rPr>
            <sz val="9"/>
            <color indexed="81"/>
            <rFont val="宋体"/>
            <family val="3"/>
            <charset val="134"/>
          </rPr>
          <t xml:space="preserve">
是输入第二职业属性的数值！</t>
        </r>
      </text>
    </comment>
    <comment ref="B127" authorId="1">
      <text>
        <r>
          <rPr>
            <b/>
            <sz val="9"/>
            <color indexed="81"/>
            <rFont val="宋体"/>
            <family val="3"/>
            <charset val="134"/>
          </rPr>
          <t>提醒:</t>
        </r>
        <r>
          <rPr>
            <sz val="9"/>
            <color indexed="81"/>
            <rFont val="宋体"/>
            <family val="3"/>
            <charset val="134"/>
          </rPr>
          <t xml:space="preserve">
请在此行填写经历包内容。</t>
        </r>
      </text>
    </comment>
    <comment ref="C127" authorId="1">
      <text>
        <r>
          <rPr>
            <b/>
            <sz val="9"/>
            <color indexed="81"/>
            <rFont val="宋体"/>
            <family val="3"/>
            <charset val="134"/>
          </rPr>
          <t xml:space="preserve">提醒：
</t>
        </r>
        <r>
          <rPr>
            <sz val="9"/>
            <color indexed="81"/>
            <rFont val="宋体"/>
            <family val="3"/>
            <charset val="134"/>
          </rPr>
          <t>请在此行填写理智减少内容</t>
        </r>
      </text>
    </comment>
  </commentList>
</comments>
</file>

<file path=xl/comments3.xml><?xml version="1.0" encoding="utf-8"?>
<comments xmlns="http://schemas.openxmlformats.org/spreadsheetml/2006/main">
  <authors>
    <author>starfire</author>
  </authors>
  <commentList>
    <comment ref="C46" authorId="0">
      <text>
        <r>
          <rPr>
            <b/>
            <sz val="9"/>
            <color indexed="81"/>
            <rFont val="宋体"/>
            <family val="3"/>
            <charset val="134"/>
          </rPr>
          <t>starfire:</t>
        </r>
        <r>
          <rPr>
            <sz val="9"/>
            <color indexed="81"/>
            <rFont val="宋体"/>
            <family val="3"/>
            <charset val="134"/>
          </rPr>
          <t xml:space="preserve">
格斗</t>
        </r>
      </text>
    </comment>
    <comment ref="D46" authorId="0">
      <text>
        <r>
          <rPr>
            <b/>
            <sz val="9"/>
            <color indexed="81"/>
            <rFont val="宋体"/>
            <family val="3"/>
            <charset val="134"/>
          </rPr>
          <t>starfire:</t>
        </r>
        <r>
          <rPr>
            <sz val="9"/>
            <color indexed="81"/>
            <rFont val="宋体"/>
            <family val="3"/>
            <charset val="134"/>
          </rPr>
          <t xml:space="preserve">
闪避</t>
        </r>
      </text>
    </comment>
    <comment ref="E46" authorId="0">
      <text>
        <r>
          <rPr>
            <b/>
            <sz val="9"/>
            <color indexed="81"/>
            <rFont val="宋体"/>
            <family val="3"/>
            <charset val="134"/>
          </rPr>
          <t>starfire:</t>
        </r>
        <r>
          <rPr>
            <sz val="9"/>
            <color indexed="81"/>
            <rFont val="宋体"/>
            <family val="3"/>
            <charset val="134"/>
          </rPr>
          <t xml:space="preserve">
射击</t>
        </r>
      </text>
    </comment>
    <comment ref="F46" authorId="0">
      <text>
        <r>
          <rPr>
            <b/>
            <sz val="9"/>
            <color indexed="81"/>
            <rFont val="宋体"/>
            <family val="3"/>
            <charset val="134"/>
          </rPr>
          <t>starfire:</t>
        </r>
        <r>
          <rPr>
            <sz val="9"/>
            <color indexed="81"/>
            <rFont val="宋体"/>
            <family val="3"/>
            <charset val="134"/>
          </rPr>
          <t xml:space="preserve">
投掷</t>
        </r>
      </text>
    </comment>
    <comment ref="G46" authorId="0">
      <text>
        <r>
          <rPr>
            <b/>
            <sz val="9"/>
            <color indexed="81"/>
            <rFont val="宋体"/>
            <family val="3"/>
            <charset val="134"/>
          </rPr>
          <t>starfire:</t>
        </r>
        <r>
          <rPr>
            <sz val="9"/>
            <color indexed="81"/>
            <rFont val="宋体"/>
            <family val="3"/>
            <charset val="134"/>
          </rPr>
          <t xml:space="preserve">
爆破</t>
        </r>
      </text>
    </comment>
    <comment ref="H46" authorId="0">
      <text>
        <r>
          <rPr>
            <b/>
            <sz val="9"/>
            <color indexed="81"/>
            <rFont val="宋体"/>
            <family val="3"/>
            <charset val="134"/>
          </rPr>
          <t>starfire:</t>
        </r>
        <r>
          <rPr>
            <sz val="9"/>
            <color indexed="81"/>
            <rFont val="宋体"/>
            <family val="3"/>
            <charset val="134"/>
          </rPr>
          <t xml:space="preserve">
炮术</t>
        </r>
      </text>
    </comment>
    <comment ref="C47" authorId="0">
      <text>
        <r>
          <rPr>
            <b/>
            <sz val="9"/>
            <color indexed="81"/>
            <rFont val="宋体"/>
            <family val="3"/>
            <charset val="134"/>
          </rPr>
          <t>starfire:</t>
        </r>
        <r>
          <rPr>
            <sz val="9"/>
            <color indexed="81"/>
            <rFont val="宋体"/>
            <family val="3"/>
            <charset val="134"/>
          </rPr>
          <t xml:space="preserve">
技艺</t>
        </r>
      </text>
    </comment>
    <comment ref="D47" authorId="0">
      <text>
        <r>
          <rPr>
            <b/>
            <sz val="9"/>
            <color indexed="81"/>
            <rFont val="宋体"/>
            <family val="3"/>
            <charset val="134"/>
          </rPr>
          <t>starfire:</t>
        </r>
        <r>
          <rPr>
            <sz val="9"/>
            <color indexed="81"/>
            <rFont val="宋体"/>
            <family val="3"/>
            <charset val="134"/>
          </rPr>
          <t xml:space="preserve">
汽车驾驶</t>
        </r>
      </text>
    </comment>
    <comment ref="E47" authorId="0">
      <text>
        <r>
          <rPr>
            <b/>
            <sz val="9"/>
            <color indexed="81"/>
            <rFont val="宋体"/>
            <family val="3"/>
            <charset val="134"/>
          </rPr>
          <t>starfire:</t>
        </r>
        <r>
          <rPr>
            <sz val="9"/>
            <color indexed="81"/>
            <rFont val="宋体"/>
            <family val="3"/>
            <charset val="134"/>
          </rPr>
          <t xml:space="preserve">
乔装</t>
        </r>
      </text>
    </comment>
    <comment ref="F47" authorId="0">
      <text>
        <r>
          <rPr>
            <b/>
            <sz val="9"/>
            <color indexed="81"/>
            <rFont val="宋体"/>
            <family val="3"/>
            <charset val="134"/>
          </rPr>
          <t>starfire:</t>
        </r>
        <r>
          <rPr>
            <sz val="9"/>
            <color indexed="81"/>
            <rFont val="宋体"/>
            <family val="3"/>
            <charset val="134"/>
          </rPr>
          <t xml:space="preserve">
电气维修</t>
        </r>
      </text>
    </comment>
    <comment ref="G47" authorId="0">
      <text>
        <r>
          <rPr>
            <b/>
            <sz val="9"/>
            <color indexed="81"/>
            <rFont val="宋体"/>
            <family val="3"/>
            <charset val="134"/>
          </rPr>
          <t>starfire:</t>
        </r>
        <r>
          <rPr>
            <sz val="9"/>
            <color indexed="81"/>
            <rFont val="宋体"/>
            <family val="3"/>
            <charset val="134"/>
          </rPr>
          <t xml:space="preserve">
锁匠</t>
        </r>
      </text>
    </comment>
    <comment ref="H47" authorId="0">
      <text>
        <r>
          <rPr>
            <b/>
            <sz val="9"/>
            <color indexed="81"/>
            <rFont val="宋体"/>
            <family val="3"/>
            <charset val="134"/>
          </rPr>
          <t>starfire:</t>
        </r>
        <r>
          <rPr>
            <sz val="9"/>
            <color indexed="81"/>
            <rFont val="宋体"/>
            <family val="3"/>
            <charset val="134"/>
          </rPr>
          <t xml:space="preserve">
机械维修</t>
        </r>
      </text>
    </comment>
    <comment ref="I47" authorId="0">
      <text>
        <r>
          <rPr>
            <b/>
            <sz val="9"/>
            <color indexed="81"/>
            <rFont val="宋体"/>
            <family val="3"/>
            <charset val="134"/>
          </rPr>
          <t>starfire:</t>
        </r>
        <r>
          <rPr>
            <sz val="9"/>
            <color indexed="81"/>
            <rFont val="宋体"/>
            <family val="3"/>
            <charset val="134"/>
          </rPr>
          <t xml:space="preserve">
操作重型机械</t>
        </r>
      </text>
    </comment>
    <comment ref="J47" authorId="0">
      <text>
        <r>
          <rPr>
            <b/>
            <sz val="9"/>
            <color indexed="81"/>
            <rFont val="宋体"/>
            <family val="3"/>
            <charset val="134"/>
          </rPr>
          <t>starfire:</t>
        </r>
        <r>
          <rPr>
            <sz val="9"/>
            <color indexed="81"/>
            <rFont val="宋体"/>
            <family val="3"/>
            <charset val="134"/>
          </rPr>
          <t xml:space="preserve">
驾驶</t>
        </r>
      </text>
    </comment>
    <comment ref="K47" authorId="0">
      <text>
        <r>
          <rPr>
            <b/>
            <sz val="9"/>
            <color indexed="81"/>
            <rFont val="宋体"/>
            <family val="3"/>
            <charset val="134"/>
          </rPr>
          <t>starfire:</t>
        </r>
        <r>
          <rPr>
            <sz val="9"/>
            <color indexed="81"/>
            <rFont val="宋体"/>
            <family val="3"/>
            <charset val="134"/>
          </rPr>
          <t xml:space="preserve">
骑乘</t>
        </r>
      </text>
    </comment>
    <comment ref="L47" authorId="0">
      <text>
        <r>
          <rPr>
            <b/>
            <sz val="9"/>
            <color indexed="81"/>
            <rFont val="宋体"/>
            <family val="3"/>
            <charset val="134"/>
          </rPr>
          <t>starfire:</t>
        </r>
        <r>
          <rPr>
            <sz val="9"/>
            <color indexed="81"/>
            <rFont val="宋体"/>
            <family val="3"/>
            <charset val="134"/>
          </rPr>
          <t xml:space="preserve">
妙手</t>
        </r>
      </text>
    </comment>
    <comment ref="M47" authorId="0">
      <text>
        <r>
          <rPr>
            <b/>
            <sz val="9"/>
            <color indexed="81"/>
            <rFont val="宋体"/>
            <family val="3"/>
            <charset val="134"/>
          </rPr>
          <t>starfire:</t>
        </r>
        <r>
          <rPr>
            <sz val="9"/>
            <color indexed="81"/>
            <rFont val="宋体"/>
            <family val="3"/>
            <charset val="134"/>
          </rPr>
          <t xml:space="preserve">
驯兽</t>
        </r>
      </text>
    </comment>
    <comment ref="N47" authorId="0">
      <text>
        <r>
          <rPr>
            <b/>
            <sz val="9"/>
            <color indexed="81"/>
            <rFont val="宋体"/>
            <family val="3"/>
            <charset val="134"/>
          </rPr>
          <t>starfire:</t>
        </r>
        <r>
          <rPr>
            <sz val="9"/>
            <color indexed="81"/>
            <rFont val="宋体"/>
            <family val="3"/>
            <charset val="134"/>
          </rPr>
          <t xml:space="preserve">
自设</t>
        </r>
      </text>
    </comment>
    <comment ref="O47" authorId="0">
      <text>
        <r>
          <rPr>
            <b/>
            <sz val="9"/>
            <color indexed="81"/>
            <rFont val="宋体"/>
            <family val="3"/>
            <charset val="134"/>
          </rPr>
          <t>starfire:</t>
        </r>
        <r>
          <rPr>
            <sz val="9"/>
            <color indexed="81"/>
            <rFont val="宋体"/>
            <family val="3"/>
            <charset val="134"/>
          </rPr>
          <t xml:space="preserve">
游泳</t>
        </r>
      </text>
    </comment>
    <comment ref="P47" authorId="0">
      <text>
        <r>
          <rPr>
            <b/>
            <sz val="9"/>
            <color indexed="81"/>
            <rFont val="宋体"/>
            <family val="3"/>
            <charset val="134"/>
          </rPr>
          <t>starfire:</t>
        </r>
        <r>
          <rPr>
            <sz val="9"/>
            <color indexed="81"/>
            <rFont val="宋体"/>
            <family val="3"/>
            <charset val="134"/>
          </rPr>
          <t xml:space="preserve">
潜水</t>
        </r>
      </text>
    </comment>
    <comment ref="Q47" authorId="0">
      <text>
        <r>
          <rPr>
            <b/>
            <sz val="9"/>
            <color indexed="81"/>
            <rFont val="宋体"/>
            <family val="3"/>
            <charset val="134"/>
          </rPr>
          <t>starfire:</t>
        </r>
        <r>
          <rPr>
            <sz val="9"/>
            <color indexed="81"/>
            <rFont val="宋体"/>
            <family val="3"/>
            <charset val="134"/>
          </rPr>
          <t xml:space="preserve">
读唇</t>
        </r>
      </text>
    </comment>
    <comment ref="C48" authorId="0">
      <text>
        <r>
          <rPr>
            <b/>
            <sz val="9"/>
            <color indexed="81"/>
            <rFont val="宋体"/>
            <family val="3"/>
            <charset val="134"/>
          </rPr>
          <t>starfire:</t>
        </r>
        <r>
          <rPr>
            <sz val="9"/>
            <color indexed="81"/>
            <rFont val="宋体"/>
            <family val="3"/>
            <charset val="134"/>
          </rPr>
          <t xml:space="preserve">
急救</t>
        </r>
      </text>
    </comment>
    <comment ref="D48" authorId="0">
      <text>
        <r>
          <rPr>
            <b/>
            <sz val="9"/>
            <color indexed="81"/>
            <rFont val="宋体"/>
            <family val="3"/>
            <charset val="134"/>
          </rPr>
          <t>starfire:</t>
        </r>
        <r>
          <rPr>
            <sz val="9"/>
            <color indexed="81"/>
            <rFont val="宋体"/>
            <family val="3"/>
            <charset val="134"/>
          </rPr>
          <t xml:space="preserve">
医学</t>
        </r>
      </text>
    </comment>
    <comment ref="E48" authorId="0">
      <text>
        <r>
          <rPr>
            <b/>
            <sz val="9"/>
            <color indexed="81"/>
            <rFont val="宋体"/>
            <family val="3"/>
            <charset val="134"/>
          </rPr>
          <t>starfire:</t>
        </r>
        <r>
          <rPr>
            <sz val="9"/>
            <color indexed="81"/>
            <rFont val="宋体"/>
            <family val="3"/>
            <charset val="134"/>
          </rPr>
          <t xml:space="preserve">
精神分析</t>
        </r>
      </text>
    </comment>
    <comment ref="F48" authorId="0">
      <text>
        <r>
          <rPr>
            <b/>
            <sz val="9"/>
            <color indexed="81"/>
            <rFont val="宋体"/>
            <family val="3"/>
            <charset val="134"/>
          </rPr>
          <t>starfire:</t>
        </r>
        <r>
          <rPr>
            <sz val="9"/>
            <color indexed="81"/>
            <rFont val="宋体"/>
            <family val="3"/>
            <charset val="134"/>
          </rPr>
          <t xml:space="preserve">
催眠</t>
        </r>
      </text>
    </comment>
    <comment ref="C49" authorId="0">
      <text>
        <r>
          <rPr>
            <b/>
            <sz val="9"/>
            <color indexed="81"/>
            <rFont val="宋体"/>
            <family val="3"/>
            <charset val="134"/>
          </rPr>
          <t>starfire:</t>
        </r>
        <r>
          <rPr>
            <sz val="9"/>
            <color indexed="81"/>
            <rFont val="宋体"/>
            <family val="3"/>
            <charset val="134"/>
          </rPr>
          <t xml:space="preserve">
会计</t>
        </r>
      </text>
    </comment>
    <comment ref="D49" authorId="0">
      <text>
        <r>
          <rPr>
            <b/>
            <sz val="9"/>
            <color indexed="81"/>
            <rFont val="宋体"/>
            <family val="3"/>
            <charset val="134"/>
          </rPr>
          <t>starfire:</t>
        </r>
        <r>
          <rPr>
            <sz val="9"/>
            <color indexed="81"/>
            <rFont val="宋体"/>
            <family val="3"/>
            <charset val="134"/>
          </rPr>
          <t xml:space="preserve">
心理学</t>
        </r>
      </text>
    </comment>
    <comment ref="E49" authorId="0">
      <text>
        <r>
          <rPr>
            <b/>
            <sz val="9"/>
            <color indexed="81"/>
            <rFont val="宋体"/>
            <family val="3"/>
            <charset val="134"/>
          </rPr>
          <t>starfire:</t>
        </r>
        <r>
          <rPr>
            <sz val="9"/>
            <color indexed="81"/>
            <rFont val="宋体"/>
            <family val="3"/>
            <charset val="134"/>
          </rPr>
          <t xml:space="preserve">
魅惑</t>
        </r>
      </text>
    </comment>
    <comment ref="F49" authorId="0">
      <text>
        <r>
          <rPr>
            <b/>
            <sz val="9"/>
            <color indexed="81"/>
            <rFont val="宋体"/>
            <family val="3"/>
            <charset val="134"/>
          </rPr>
          <t>starfire:</t>
        </r>
        <r>
          <rPr>
            <sz val="9"/>
            <color indexed="81"/>
            <rFont val="宋体"/>
            <family val="3"/>
            <charset val="134"/>
          </rPr>
          <t xml:space="preserve">
话术</t>
        </r>
      </text>
    </comment>
    <comment ref="G49" authorId="0">
      <text>
        <r>
          <rPr>
            <b/>
            <sz val="9"/>
            <color indexed="81"/>
            <rFont val="宋体"/>
            <family val="3"/>
            <charset val="134"/>
          </rPr>
          <t>starfire:</t>
        </r>
        <r>
          <rPr>
            <sz val="9"/>
            <color indexed="81"/>
            <rFont val="宋体"/>
            <family val="3"/>
            <charset val="134"/>
          </rPr>
          <t xml:space="preserve">
恐吓</t>
        </r>
      </text>
    </comment>
    <comment ref="H49" authorId="0">
      <text>
        <r>
          <rPr>
            <b/>
            <sz val="9"/>
            <color indexed="81"/>
            <rFont val="宋体"/>
            <family val="3"/>
            <charset val="134"/>
          </rPr>
          <t>starfire:</t>
        </r>
        <r>
          <rPr>
            <sz val="9"/>
            <color indexed="81"/>
            <rFont val="宋体"/>
            <family val="3"/>
            <charset val="134"/>
          </rPr>
          <t xml:space="preserve">
外语</t>
        </r>
      </text>
    </comment>
    <comment ref="I49" authorId="0">
      <text>
        <r>
          <rPr>
            <b/>
            <sz val="9"/>
            <color indexed="81"/>
            <rFont val="宋体"/>
            <family val="3"/>
            <charset val="134"/>
          </rPr>
          <t>starfire:</t>
        </r>
        <r>
          <rPr>
            <sz val="9"/>
            <color indexed="81"/>
            <rFont val="宋体"/>
            <family val="3"/>
            <charset val="134"/>
          </rPr>
          <t xml:space="preserve">
母语</t>
        </r>
      </text>
    </comment>
    <comment ref="J49" authorId="0">
      <text>
        <r>
          <rPr>
            <b/>
            <sz val="9"/>
            <color indexed="81"/>
            <rFont val="宋体"/>
            <family val="3"/>
            <charset val="134"/>
          </rPr>
          <t>starfire:</t>
        </r>
        <r>
          <rPr>
            <sz val="9"/>
            <color indexed="81"/>
            <rFont val="宋体"/>
            <family val="3"/>
            <charset val="134"/>
          </rPr>
          <t xml:space="preserve">
说服</t>
        </r>
      </text>
    </comment>
    <comment ref="C50" authorId="0">
      <text>
        <r>
          <rPr>
            <b/>
            <sz val="9"/>
            <color indexed="81"/>
            <rFont val="宋体"/>
            <family val="3"/>
            <charset val="134"/>
          </rPr>
          <t>starfire:</t>
        </r>
        <r>
          <rPr>
            <sz val="9"/>
            <color indexed="81"/>
            <rFont val="宋体"/>
            <family val="3"/>
            <charset val="134"/>
          </rPr>
          <t xml:space="preserve">
考古学</t>
        </r>
      </text>
    </comment>
    <comment ref="D50" authorId="0">
      <text>
        <r>
          <rPr>
            <b/>
            <sz val="9"/>
            <color indexed="81"/>
            <rFont val="宋体"/>
            <family val="3"/>
            <charset val="134"/>
          </rPr>
          <t>starfire:</t>
        </r>
        <r>
          <rPr>
            <sz val="9"/>
            <color indexed="81"/>
            <rFont val="宋体"/>
            <family val="3"/>
            <charset val="134"/>
          </rPr>
          <t xml:space="preserve">
计算机使用</t>
        </r>
      </text>
    </comment>
    <comment ref="E50" authorId="0">
      <text>
        <r>
          <rPr>
            <b/>
            <sz val="9"/>
            <color indexed="81"/>
            <rFont val="宋体"/>
            <family val="3"/>
            <charset val="134"/>
          </rPr>
          <t>starfire:</t>
        </r>
        <r>
          <rPr>
            <sz val="9"/>
            <color indexed="81"/>
            <rFont val="宋体"/>
            <family val="3"/>
            <charset val="134"/>
          </rPr>
          <t xml:space="preserve">
电子学</t>
        </r>
      </text>
    </comment>
    <comment ref="F50" authorId="0">
      <text>
        <r>
          <rPr>
            <b/>
            <sz val="9"/>
            <color indexed="81"/>
            <rFont val="宋体"/>
            <family val="3"/>
            <charset val="134"/>
          </rPr>
          <t>starfire:</t>
        </r>
        <r>
          <rPr>
            <sz val="9"/>
            <color indexed="81"/>
            <rFont val="宋体"/>
            <family val="3"/>
            <charset val="134"/>
          </rPr>
          <t xml:space="preserve">
自然学
</t>
        </r>
      </text>
    </comment>
    <comment ref="G50" authorId="0">
      <text>
        <r>
          <rPr>
            <b/>
            <sz val="9"/>
            <color indexed="81"/>
            <rFont val="宋体"/>
            <family val="3"/>
            <charset val="134"/>
          </rPr>
          <t>starfire:</t>
        </r>
        <r>
          <rPr>
            <sz val="9"/>
            <color indexed="81"/>
            <rFont val="宋体"/>
            <family val="3"/>
            <charset val="134"/>
          </rPr>
          <t xml:space="preserve">
神秘学</t>
        </r>
      </text>
    </comment>
    <comment ref="H50" authorId="0">
      <text>
        <r>
          <rPr>
            <b/>
            <sz val="9"/>
            <color indexed="81"/>
            <rFont val="宋体"/>
            <family val="3"/>
            <charset val="134"/>
          </rPr>
          <t>starfire:</t>
        </r>
        <r>
          <rPr>
            <sz val="9"/>
            <color indexed="81"/>
            <rFont val="宋体"/>
            <family val="3"/>
            <charset val="134"/>
          </rPr>
          <t xml:space="preserve">
科学</t>
        </r>
      </text>
    </comment>
    <comment ref="I50" authorId="0">
      <text>
        <r>
          <rPr>
            <b/>
            <sz val="9"/>
            <color indexed="81"/>
            <rFont val="宋体"/>
            <family val="3"/>
            <charset val="134"/>
          </rPr>
          <t>starfire:</t>
        </r>
        <r>
          <rPr>
            <sz val="9"/>
            <color indexed="81"/>
            <rFont val="宋体"/>
            <family val="3"/>
            <charset val="134"/>
          </rPr>
          <t xml:space="preserve">
历史</t>
        </r>
      </text>
    </comment>
    <comment ref="J50" authorId="0">
      <text>
        <r>
          <rPr>
            <b/>
            <sz val="9"/>
            <color indexed="81"/>
            <rFont val="宋体"/>
            <family val="3"/>
            <charset val="134"/>
          </rPr>
          <t>starfire:</t>
        </r>
        <r>
          <rPr>
            <sz val="9"/>
            <color indexed="81"/>
            <rFont val="宋体"/>
            <family val="3"/>
            <charset val="134"/>
          </rPr>
          <t xml:space="preserve">
法律</t>
        </r>
      </text>
    </comment>
    <comment ref="K50" authorId="0">
      <text>
        <r>
          <rPr>
            <b/>
            <sz val="9"/>
            <color indexed="81"/>
            <rFont val="宋体"/>
            <family val="3"/>
            <charset val="134"/>
          </rPr>
          <t>starfire:</t>
        </r>
        <r>
          <rPr>
            <sz val="9"/>
            <color indexed="81"/>
            <rFont val="宋体"/>
            <family val="3"/>
            <charset val="134"/>
          </rPr>
          <t xml:space="preserve">
估价</t>
        </r>
      </text>
    </comment>
    <comment ref="L50" authorId="0">
      <text>
        <r>
          <rPr>
            <b/>
            <sz val="9"/>
            <color indexed="81"/>
            <rFont val="宋体"/>
            <family val="3"/>
            <charset val="134"/>
          </rPr>
          <t>starfire:</t>
        </r>
        <r>
          <rPr>
            <sz val="9"/>
            <color indexed="81"/>
            <rFont val="宋体"/>
            <family val="3"/>
            <charset val="134"/>
          </rPr>
          <t xml:space="preserve">
人类学</t>
        </r>
      </text>
    </comment>
    <comment ref="C51" authorId="0">
      <text>
        <r>
          <rPr>
            <b/>
            <sz val="9"/>
            <color indexed="81"/>
            <rFont val="宋体"/>
            <family val="3"/>
            <charset val="134"/>
          </rPr>
          <t>starfire:</t>
        </r>
        <r>
          <rPr>
            <sz val="9"/>
            <color indexed="81"/>
            <rFont val="宋体"/>
            <family val="3"/>
            <charset val="134"/>
          </rPr>
          <t xml:space="preserve">
图书馆使用</t>
        </r>
      </text>
    </comment>
    <comment ref="D51" authorId="0">
      <text>
        <r>
          <rPr>
            <b/>
            <sz val="9"/>
            <color indexed="81"/>
            <rFont val="宋体"/>
            <family val="3"/>
            <charset val="134"/>
          </rPr>
          <t>starfire:</t>
        </r>
        <r>
          <rPr>
            <sz val="9"/>
            <color indexed="81"/>
            <rFont val="宋体"/>
            <family val="3"/>
            <charset val="134"/>
          </rPr>
          <t xml:space="preserve">
聆听</t>
        </r>
      </text>
    </comment>
    <comment ref="E51" authorId="0">
      <text>
        <r>
          <rPr>
            <b/>
            <sz val="9"/>
            <color indexed="81"/>
            <rFont val="宋体"/>
            <family val="3"/>
            <charset val="134"/>
          </rPr>
          <t>starfire:</t>
        </r>
        <r>
          <rPr>
            <sz val="9"/>
            <color indexed="81"/>
            <rFont val="宋体"/>
            <family val="3"/>
            <charset val="134"/>
          </rPr>
          <t xml:space="preserve">
导航</t>
        </r>
      </text>
    </comment>
    <comment ref="F51" authorId="0">
      <text>
        <r>
          <rPr>
            <b/>
            <sz val="9"/>
            <color indexed="81"/>
            <rFont val="宋体"/>
            <family val="3"/>
            <charset val="134"/>
          </rPr>
          <t>starfire:</t>
        </r>
        <r>
          <rPr>
            <sz val="9"/>
            <color indexed="81"/>
            <rFont val="宋体"/>
            <family val="3"/>
            <charset val="134"/>
          </rPr>
          <t xml:space="preserve">
侦查</t>
        </r>
      </text>
    </comment>
    <comment ref="G51" authorId="0">
      <text>
        <r>
          <rPr>
            <b/>
            <sz val="9"/>
            <color indexed="81"/>
            <rFont val="宋体"/>
            <family val="3"/>
            <charset val="134"/>
          </rPr>
          <t>starfire:</t>
        </r>
        <r>
          <rPr>
            <sz val="9"/>
            <color indexed="81"/>
            <rFont val="宋体"/>
            <family val="3"/>
            <charset val="134"/>
          </rPr>
          <t xml:space="preserve">
潜行</t>
        </r>
      </text>
    </comment>
    <comment ref="H51" authorId="0">
      <text>
        <r>
          <rPr>
            <b/>
            <sz val="9"/>
            <color indexed="81"/>
            <rFont val="宋体"/>
            <family val="3"/>
            <charset val="134"/>
          </rPr>
          <t>starfire:</t>
        </r>
        <r>
          <rPr>
            <sz val="9"/>
            <color indexed="81"/>
            <rFont val="宋体"/>
            <family val="3"/>
            <charset val="134"/>
          </rPr>
          <t xml:space="preserve">
生存</t>
        </r>
      </text>
    </comment>
    <comment ref="I51" authorId="0">
      <text>
        <r>
          <rPr>
            <b/>
            <sz val="9"/>
            <color indexed="81"/>
            <rFont val="宋体"/>
            <family val="3"/>
            <charset val="134"/>
          </rPr>
          <t>starfire:</t>
        </r>
        <r>
          <rPr>
            <sz val="9"/>
            <color indexed="81"/>
            <rFont val="宋体"/>
            <family val="3"/>
            <charset val="134"/>
          </rPr>
          <t xml:space="preserve">
追踪</t>
        </r>
      </text>
    </comment>
    <comment ref="J51" authorId="0">
      <text>
        <r>
          <rPr>
            <b/>
            <sz val="9"/>
            <color indexed="81"/>
            <rFont val="宋体"/>
            <family val="3"/>
            <charset val="134"/>
          </rPr>
          <t>starfire:</t>
        </r>
        <r>
          <rPr>
            <sz val="9"/>
            <color indexed="81"/>
            <rFont val="宋体"/>
            <family val="3"/>
            <charset val="134"/>
          </rPr>
          <t xml:space="preserve">
跳跃</t>
        </r>
      </text>
    </comment>
    <comment ref="K51" authorId="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<sst xmlns="http://schemas.openxmlformats.org/spreadsheetml/2006/main" count="3696" uniqueCount="1680">
  <si>
    <t>姓名</t>
  </si>
  <si>
    <t>职业</t>
  </si>
  <si>
    <t>年龄</t>
  </si>
  <si>
    <t>初始</t>
  </si>
  <si>
    <t>兴趣</t>
  </si>
  <si>
    <t>成功率</t>
  </si>
  <si>
    <t>法律</t>
  </si>
  <si>
    <t>科学</t>
  </si>
  <si>
    <t>成长</t>
  </si>
  <si>
    <t>故障值</t>
  </si>
  <si>
    <t>格斗</t>
  </si>
  <si>
    <t>表演</t>
  </si>
  <si>
    <t>摄影</t>
  </si>
  <si>
    <t>地质学</t>
  </si>
  <si>
    <t>动物学</t>
  </si>
  <si>
    <t>密码学</t>
  </si>
  <si>
    <t>工程学</t>
  </si>
  <si>
    <t>本职技能</t>
  </si>
  <si>
    <t>序号</t>
  </si>
  <si>
    <t>技能</t>
  </si>
  <si>
    <t>基础值</t>
  </si>
  <si>
    <t>矛</t>
  </si>
  <si>
    <t>剑</t>
  </si>
  <si>
    <t>技能点</t>
  </si>
  <si>
    <t>——</t>
  </si>
  <si>
    <t>随身物品</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</si>
  <si>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</si>
  <si>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</si>
  <si>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</si>
  <si>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</si>
  <si>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</si>
  <si>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</si>
  <si>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</si>
  <si>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</si>
  <si>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</si>
  <si>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</si>
  <si>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</si>
  <si>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</si>
  <si>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</si>
  <si>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</si>
  <si>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</si>
  <si>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无重伤下每天自然回复1点体力</t>
  </si>
  <si>
    <t>重伤时每周做1次恢复检定</t>
  </si>
  <si>
    <t>生物学</t>
  </si>
  <si>
    <t>天文学</t>
  </si>
  <si>
    <t>冲锋枪</t>
  </si>
  <si>
    <t>火焰喷射器</t>
  </si>
  <si>
    <t>手枪</t>
  </si>
  <si>
    <t>重武器</t>
  </si>
  <si>
    <t>化学</t>
  </si>
  <si>
    <t>数学</t>
  </si>
  <si>
    <t>物理学</t>
  </si>
  <si>
    <t>植物学</t>
  </si>
  <si>
    <t>气象学</t>
  </si>
  <si>
    <t>射击</t>
  </si>
  <si>
    <t>斗殴</t>
  </si>
  <si>
    <t>链枷</t>
  </si>
  <si>
    <t>说服</t>
  </si>
  <si>
    <t>会计师</t>
  </si>
  <si>
    <t>30-70</t>
  </si>
  <si>
    <t>9-20</t>
  </si>
  <si>
    <t>职业属性</t>
  </si>
  <si>
    <t>杂技演员</t>
  </si>
  <si>
    <t>鞭子</t>
  </si>
  <si>
    <t>电锯</t>
  </si>
  <si>
    <t>机关枪</t>
  </si>
  <si>
    <t>斧</t>
  </si>
  <si>
    <t>属性</t>
  </si>
  <si>
    <t>住地</t>
  </si>
  <si>
    <t>故乡</t>
  </si>
  <si>
    <t>技能和属性检定
成功等级</t>
  </si>
  <si>
    <t>[医学]回复1D3点体力</t>
  </si>
  <si>
    <t>人类学</t>
  </si>
  <si>
    <t>考古学</t>
  </si>
  <si>
    <t>攀爬</t>
  </si>
  <si>
    <t>克苏鲁神话</t>
  </si>
  <si>
    <t>乔装</t>
  </si>
  <si>
    <t>闪避</t>
  </si>
  <si>
    <t>汽车驾驶</t>
  </si>
  <si>
    <t>电气维修</t>
  </si>
  <si>
    <t>话术</t>
  </si>
  <si>
    <t>恐吓</t>
  </si>
  <si>
    <t>跳跃</t>
  </si>
  <si>
    <t>聆听</t>
  </si>
  <si>
    <t>锁匠</t>
  </si>
  <si>
    <t>机械维修</t>
  </si>
  <si>
    <t>神秘学</t>
  </si>
  <si>
    <t>操作重型机械</t>
  </si>
  <si>
    <t>精神分析</t>
  </si>
  <si>
    <t>心理学</t>
  </si>
  <si>
    <t>追踪</t>
  </si>
  <si>
    <t>妙手</t>
  </si>
  <si>
    <t>潜行</t>
  </si>
  <si>
    <t>游泳</t>
  </si>
  <si>
    <t>投掷</t>
  </si>
  <si>
    <t>调查员信息</t>
  </si>
  <si>
    <t>射程</t>
  </si>
  <si>
    <t>健康</t>
  </si>
  <si>
    <t>步枪/霰弹枪</t>
  </si>
  <si>
    <t>神志清醒</t>
  </si>
  <si>
    <t>选择职业序号为0，则清除职业模板提示和点数计算器，供强迫症患者使用。</t>
  </si>
  <si>
    <t>STR+SIZ</t>
  </si>
  <si>
    <t>DB</t>
  </si>
  <si>
    <t>意志
POW</t>
  </si>
  <si>
    <t>力量
STR</t>
  </si>
  <si>
    <t>敏捷
DEX</t>
  </si>
  <si>
    <t>体质
CON</t>
  </si>
  <si>
    <t>教育
EDU</t>
  </si>
  <si>
    <t>体型
SIZ</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</si>
  <si>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</si>
  <si>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</si>
  <si>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</si>
  <si>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</si>
  <si>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</si>
  <si>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</si>
  <si>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</si>
  <si>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</si>
  <si>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</si>
  <si>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</si>
  <si>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</si>
  <si>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</si>
  <si>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</si>
  <si>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</si>
  <si>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</si>
  <si>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</si>
  <si>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</si>
  <si>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</si>
  <si>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</si>
  <si>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</si>
  <si>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</si>
  <si>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</si>
  <si>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</si>
  <si>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</si>
  <si>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</si>
  <si>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</si>
  <si>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</si>
  <si>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</si>
  <si>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</si>
  <si>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</si>
  <si>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</si>
  <si>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</si>
  <si>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</si>
  <si>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</si>
  <si>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</si>
  <si>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</si>
  <si>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</si>
  <si>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</si>
  <si>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</si>
  <si>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</si>
  <si>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</si>
  <si>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三者相等</t>
  </si>
  <si>
    <t>二者皆&gt;体</t>
  </si>
  <si>
    <t>一者＞体</t>
  </si>
  <si>
    <t>判断MOV</t>
  </si>
  <si>
    <t>信用评级</t>
  </si>
  <si>
    <t>图书馆使用</t>
  </si>
  <si>
    <t>SIZ</t>
  </si>
  <si>
    <t>STR&gt;SIZ?</t>
  </si>
  <si>
    <t>DEX&gt;SIZ?</t>
  </si>
  <si>
    <t>STR=SIZ?</t>
  </si>
  <si>
    <t>DEX=SIZ?</t>
  </si>
  <si>
    <t>STR&lt;SIZ?</t>
  </si>
  <si>
    <t>DEX&lt;SIZ?</t>
  </si>
  <si>
    <t>二者皆&lt;体</t>
  </si>
  <si>
    <t>MOV=7？</t>
  </si>
  <si>
    <t>MOV=9？</t>
  </si>
  <si>
    <t>MOV=8？</t>
  </si>
  <si>
    <t>☐</t>
  </si>
  <si>
    <t>厨艺</t>
  </si>
  <si>
    <t>外貌
APP</t>
  </si>
  <si>
    <t>智力
INT</t>
  </si>
  <si>
    <t>药学</t>
  </si>
  <si>
    <t>书法</t>
  </si>
  <si>
    <t>制陶</t>
  </si>
  <si>
    <t>技能</t>
  </si>
  <si>
    <t>基础值</t>
  </si>
  <si>
    <t>技能</t>
  </si>
  <si>
    <t>基础值</t>
  </si>
  <si>
    <t>司法科学</t>
  </si>
  <si>
    <t>催眠</t>
  </si>
  <si>
    <t>爆破</t>
  </si>
  <si>
    <t>您的角色可能</t>
  </si>
  <si>
    <t>默认幸运</t>
  </si>
  <si>
    <t>幸运#2</t>
  </si>
  <si>
    <t>武器</t>
  </si>
  <si>
    <t>装弹量</t>
  </si>
  <si>
    <t>穿刺</t>
  </si>
  <si>
    <t>伤害</t>
  </si>
  <si>
    <t>成功率</t>
  </si>
  <si>
    <t>弓术</t>
  </si>
  <si>
    <t>魅惑</t>
  </si>
  <si>
    <t>历史</t>
  </si>
  <si>
    <t>估价</t>
  </si>
  <si>
    <t>医学</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</si>
  <si>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</si>
  <si>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</si>
  <si>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生活水平</t>
  </si>
  <si>
    <t>现金</t>
  </si>
  <si>
    <t>其他资产</t>
  </si>
  <si>
    <t>消费水平</t>
  </si>
  <si>
    <t>身无分文</t>
  </si>
  <si>
    <t xml:space="preserve">贫穷 </t>
  </si>
  <si>
    <t>$10-90
CR x 10</t>
  </si>
  <si>
    <t>标准</t>
  </si>
  <si>
    <t>$20-98
CR × 2</t>
  </si>
  <si>
    <t>$500-2450
CR × 50</t>
  </si>
  <si>
    <t>50-89</t>
  </si>
  <si>
    <t>小康</t>
  </si>
  <si>
    <t xml:space="preserve">0 或更低  </t>
  </si>
  <si>
    <t>没有</t>
  </si>
  <si>
    <t>$250-445
CR × 5</t>
  </si>
  <si>
    <t>$25000-44500
CR × 500</t>
  </si>
  <si>
    <t>富裕</t>
  </si>
  <si>
    <t>90-98</t>
  </si>
  <si>
    <t>$5M+</t>
  </si>
  <si>
    <t>富豪</t>
  </si>
  <si>
    <t>$20-180
CR x 20</t>
  </si>
  <si>
    <t>$200-1800
CR x 200</t>
  </si>
  <si>
    <t>$400-1960
CR × 40</t>
  </si>
  <si>
    <t>$10000-49000
CR × 1000</t>
  </si>
  <si>
    <t>$5000-8900
CR × 100</t>
  </si>
  <si>
    <t>$500000-890000
CR × 10000</t>
  </si>
  <si>
    <t>1M</t>
  </si>
  <si>
    <t>$100M+</t>
  </si>
  <si>
    <t>武器名称</t>
  </si>
  <si>
    <t>无</t>
  </si>
  <si>
    <t>肉搏</t>
  </si>
  <si>
    <t>类型</t>
  </si>
  <si>
    <t>乐理</t>
  </si>
  <si>
    <t>自然学</t>
  </si>
  <si>
    <t>导航</t>
  </si>
  <si>
    <t>侦查</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</si>
  <si>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</si>
  <si>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调查员经历</t>
  </si>
  <si>
    <t>急救</t>
  </si>
  <si>
    <t>体力
Hit  Points</t>
  </si>
  <si>
    <t>理智
Sanity</t>
  </si>
  <si>
    <t>MOV=8？</t>
  </si>
  <si>
    <t>恐惧症状表</t>
  </si>
  <si>
    <t>狂躁症状表</t>
  </si>
  <si>
    <t>恐惧症是对某些事物的持久性恐惧。守秘人可以投 D100 随机选择，也可以直接选择一个恰当的症状。守秘人应将狂躁症的症状添加到调查员的背景故事栏中。</t>
  </si>
  <si>
    <t>注释：①催眠恐惧症（Hypnophobia）、恐牙症（牙医恐惧症 \ Odontophobia）、魔法恐惧症（权杖恐惧症\ Rhabdophobia）和怪物恐惧症（畸形恐惧症 Teratophobia）四条疑原文理解有误，目前按原文翻出。</t>
  </si>
  <si>
    <t>该症状表由  Achronidas 翻译。</t>
  </si>
  <si>
    <t>狂躁症会带来对某一事物的狂热迷恋与强迫倾向。守秘人可以投 D100 随机选择，也可以直接选择一个恰当的症状。守秘人应将狂躁症的症状添加到调查员的背景故事栏中。</t>
  </si>
  <si>
    <t>0</t>
  </si>
  <si>
    <t>会计</t>
  </si>
  <si>
    <t>恐惧症状表</t>
  </si>
  <si>
    <t>序号</t>
  </si>
  <si>
    <t>症状表现</t>
  </si>
  <si>
    <t>具体症状</t>
  </si>
  <si>
    <t>狂躁症状表</t>
  </si>
  <si>
    <t>版本号前两位代表年，第三位代表月</t>
  </si>
  <si>
    <t>暴力倾向 ：调查员陷入了六亲不认的暴力行为中，对周围的敌人与友方进行着无差别的攻击，持续 1D10 轮。</t>
  </si>
  <si>
    <t>偏执 ：调查员陷入了严重的偏执妄想之中，持续１Ｄ１０轮。有人在暗中窥视着他们，同伴中有人背叛了他们，没有人可以信任，万事皆虚。</t>
  </si>
  <si>
    <t>昏厥 ：调查员当场昏倒，并需要 1D10 轮才能苏醒。</t>
  </si>
  <si>
    <t>恐惧：调查员通过一次 D100 或者由守秘人选择，来从恐惧症状表中选择一个恐惧源，就算这一恐惧的事物是并不存在的，调查员的症状会持续1D10 轮。</t>
  </si>
  <si>
    <t>躁狂 ：调查员通过一次 D100 或者由守秘人选择，来从躁狂症状表中选择一个躁狂的诱因，这个症状将会持续 1D10 轮。</t>
  </si>
  <si>
    <t>洗澡恐惧症（Ablutophobia）：对于洗涤或洗澡的恐惧。</t>
  </si>
  <si>
    <t>恐高症（Acrophobia）：对于身处高处的恐惧。</t>
  </si>
  <si>
    <t>飞行恐惧症（Aerophobia）：对飞行的恐惧。</t>
  </si>
  <si>
    <t>广场恐惧症（Agoraphobia）：对于开放的（拥挤）公共场所的恐惧。</t>
  </si>
  <si>
    <t>恐鸡症（Alektorophobia）：对鸡的恐惧。</t>
  </si>
  <si>
    <t>大蒜恐惧症（Alliumphobia）：对大蒜的恐惧。</t>
  </si>
  <si>
    <t>乘车恐惧症（Amaxophobia）：对于乘坐地面载具的恐惧。</t>
  </si>
  <si>
    <t>恐风症（Ancraophobia）：对风的恐惧。</t>
  </si>
  <si>
    <t>男性恐惧症（Androphobia）：对于成年男性的恐惧。</t>
  </si>
  <si>
    <t>恐英症（Anglophobia）：对英格兰或英格兰文化的恐惧。</t>
  </si>
  <si>
    <t>恐花症（Anthophobia）：对花的恐惧。</t>
  </si>
  <si>
    <t>截肢者恐惧症（Apotemnophobia）：对截肢者的恐惧。</t>
  </si>
  <si>
    <t>蜘蛛恐惧症（Arachnophobia）：对蜘蛛的恐惧。</t>
  </si>
  <si>
    <t>闪电恐惧症（Astraphobia）：对闪电的恐惧。</t>
  </si>
  <si>
    <t>动物恐惧症（Zoophobia）：对动物的恐惧。</t>
  </si>
  <si>
    <t>异域恐惧症（Xenophobia）：对陌生人或外国人的恐惧。</t>
  </si>
  <si>
    <t>外语恐惧症（Xenoglossophobia）：对外语的恐惧。</t>
  </si>
  <si>
    <t>黄色恐惧症（Xanthophobia）：对黄色或“黄”字的恐惧。</t>
  </si>
  <si>
    <t>女巫恐惧症（Wiccaphobia）：对女巫与巫术的恐惧。</t>
  </si>
  <si>
    <t>衣物恐惧症（Vestiphobia）：对衣物的恐惧。</t>
  </si>
  <si>
    <t>十三恐惧症（Triskadekaphobia）：对数字 13 的恐惧症。</t>
  </si>
  <si>
    <t>手术恐惧症（Tomophobia）：对外科手术的恐惧。</t>
  </si>
  <si>
    <t>深海恐惧症（Thalassophobia）：对海洋的恐惧。</t>
  </si>
  <si>
    <t>怪物恐惧症①（Teratophobia）：对怪物的恐惧。</t>
  </si>
  <si>
    <t>电话恐惧症（Telephonophobia）：对电话的恐惧。</t>
  </si>
  <si>
    <t>公牛恐惧症（Taurophobia）：对公牛的恐惧。</t>
  </si>
  <si>
    <t>活埋恐惧症（Taphephobia）：对于被活埋或墓地的恐惧。</t>
  </si>
  <si>
    <t>对称恐惧症（Symmetrophobia）：对对称的恐惧。</t>
  </si>
  <si>
    <t>狭室恐惧症（Stenophobia）：对狭小物件或地点的恐惧。</t>
  </si>
  <si>
    <t>恐星症（Siderophobia）：对星星的恐惧。</t>
  </si>
  <si>
    <t>火车恐惧症（Siderodromophobia）：对于乘坐火车出行的恐惧。</t>
  </si>
  <si>
    <t>恐月症（Selenophobia）：对月亮的恐惧。</t>
  </si>
  <si>
    <t>黑暗恐惧症（Scotophobia）：对黑暗或夜晚的恐惧。</t>
  </si>
  <si>
    <t>魔法恐惧症（Rhabdophobia）：对魔法的恐惧。</t>
  </si>
  <si>
    <t>恐火症（Pyrophobia）：对火的恐惧。</t>
  </si>
  <si>
    <t>酒精恐惧症（Potophobia）：对酒或酒精的恐惧。</t>
  </si>
  <si>
    <t>河流恐惧症（Potamophobia）：对河流的恐惧。</t>
  </si>
  <si>
    <t>胡须恐惧症（Pogonophobia）：对胡须的恐惧。</t>
  </si>
  <si>
    <t>日光恐惧症（Phenogophobia）：对日光的恐惧。</t>
  </si>
  <si>
    <t>幽灵恐惧症（Phasmophobia）：对鬼魂的恐惧。</t>
  </si>
  <si>
    <t>药物恐惧症（Pharmacophobia）：对药物的恐惧。</t>
  </si>
  <si>
    <t>吞咽恐惧症（Phagophobia）：对于吞咽或被吞咽的恐惧。</t>
  </si>
  <si>
    <t>人偶恐惧症（Pediophobia）：对人偶的恐惧。</t>
  </si>
  <si>
    <t>寄生虫恐惧症（Parasitophobia）：对寄生虫的恐惧。</t>
  </si>
  <si>
    <t>恐鸟症（Ornithophobia）：对鸟的恐惧。</t>
  </si>
  <si>
    <t>恐蛇症（Ophidiophobia）：对蛇的恐惧。</t>
  </si>
  <si>
    <t>称呼恐惧症（Onomatophobia）：对于特定词语的恐惧。</t>
  </si>
  <si>
    <t>恐梦症（Oneirophobia）：对梦境的恐惧。</t>
  </si>
  <si>
    <t>恐牙症（Odontophobia）：对牙齿的恐惧。</t>
  </si>
  <si>
    <t>尸体恐惧症（Necrophobia）：对尸体的恐惧。</t>
  </si>
  <si>
    <t>数字8恐惧症（Octophobia）：对数字 8 的恐惧。</t>
  </si>
  <si>
    <t>黏液恐惧症（Myxophobia）：对黏液（史莱姆）的恐惧。</t>
  </si>
  <si>
    <t>不洁恐惧症（Mysophobia）：对污垢或污染的恐惧。</t>
  </si>
  <si>
    <t>孤独恐惧症（Monophobia）：对于一人独处的恐惧。</t>
  </si>
  <si>
    <t>流星恐惧症（Meteorophobia）：对流星或陨石的恐惧。</t>
  </si>
  <si>
    <t>捆绑恐惧症（Merinthophobia）：对于被捆绑或紧缚的恐惧。</t>
  </si>
  <si>
    <t>巨物恐惧症（Megalophobia）：对于庞大物件的恐惧。</t>
  </si>
  <si>
    <t>机械恐惧症（Mechanophobia）：对机器或机械的恐惧。</t>
  </si>
  <si>
    <t>恐湖症（Limnophobia）：对湖泊的恐惧。</t>
  </si>
  <si>
    <t>噪音恐惧症（Ligyrophobia）：对刺耳噪音的恐惧。</t>
  </si>
  <si>
    <t>蔬菜恐惧症（Lachanophobia）：对蔬菜的恐惧。</t>
  </si>
  <si>
    <t>雷鸣恐惧症（Keraunophobia）：对雷声的恐惧。</t>
  </si>
  <si>
    <t>蟑螂恐惧症（Katsaridaphobia）：对蟑螂的恐惧。</t>
  </si>
  <si>
    <t>鱼类恐惧症（Ichthyophobia）：对鱼的恐惧。</t>
  </si>
  <si>
    <t>白袍恐惧症（Iatrophobia）：对医生的恐惧。</t>
  </si>
  <si>
    <t>催眠恐惧症①（Hypnophobia）：对于睡眠或被催眠的恐惧。</t>
  </si>
  <si>
    <t>恐水症（Hydrophobia）：对水的恐惧。</t>
  </si>
  <si>
    <t>火器恐惧症（Hoplophobia）：对火器的恐惧。</t>
  </si>
  <si>
    <t>迷雾恐惧症（Homichlophobia）：对雾的恐惧。</t>
  </si>
  <si>
    <t>爬虫恐惧症（Herpetophobia）：对爬行动物的恐惧。</t>
  </si>
  <si>
    <t>触摸恐惧症（Haphophobia）：对于被触摸的恐惧。</t>
  </si>
  <si>
    <t>宗教罪行恐惧症（Hamartophobia）：对宗教罪行的恐惧。</t>
  </si>
  <si>
    <t>恐血症（Haemaphobia）：对血的恐惧。</t>
  </si>
  <si>
    <t>恐女症（Gynophobia）：对女性的恐惧。</t>
  </si>
  <si>
    <t>恐老症（Gerontophobia）：对于老年人或变老的恐惧。</t>
  </si>
  <si>
    <t>过桥恐惧症（Gephyrophobia）：对于过桥的恐惧。</t>
  </si>
  <si>
    <t>恐猫症（Felinophobia）：对猫的恐惧。</t>
  </si>
  <si>
    <t>昆虫恐惧症（Entomophobia）：对昆虫的恐惧。</t>
  </si>
  <si>
    <t>针尖恐惧症（Enetophobia）：对针或大头针的恐惧。</t>
  </si>
  <si>
    <t>镜子恐惧症（Eisoptrophobia）：对镜子的恐惧。</t>
  </si>
  <si>
    <t>教堂恐惧症（Ecclesiophobia）：对教堂的恐惧。</t>
  </si>
  <si>
    <t>过马路恐惧症（Dromophobia）：对于过马路的恐惧。</t>
  </si>
  <si>
    <t>皮毛恐惧症（Doraphobia）：对动物皮毛的恐惧。</t>
  </si>
  <si>
    <t>丢弃恐惧症（Disposophobia）：对于丢弃物件的恐惧（贮藏癖）。</t>
  </si>
  <si>
    <t>牙科恐惧症①（Dentophobia）：对牙医的恐惧。</t>
  </si>
  <si>
    <t>人群恐惧症（Demophobia）：对人群的恐惧。</t>
  </si>
  <si>
    <t>恶魔恐惧症（Demonophobia）：对邪灵或恶魔的恐惧。</t>
  </si>
  <si>
    <t>恐犬症（Cynophobia）：对狗的恐惧。</t>
  </si>
  <si>
    <t>小丑恐惧症（Coulrophobia）：对小丑的恐惧。</t>
  </si>
  <si>
    <t>幽闭恐惧症（Claustrophobia）：对于处在封闭的空间中的恐惧。</t>
  </si>
  <si>
    <t>恐钟表症（Chronomentrophobia）：对于钟表的恐惧。</t>
  </si>
  <si>
    <t>寒冷恐惧症（Cheimaphobia）：对寒冷的恐惧。</t>
  </si>
  <si>
    <t>美女恐惧症（Caligynephobia）：对美貌女性的恐惧。</t>
  </si>
  <si>
    <t>植物恐惧症（Botanophobia）：对植物的恐惧。</t>
  </si>
  <si>
    <t>书籍恐惧症（Bibliophobia）：对书籍的恐惧。</t>
  </si>
  <si>
    <t>跌落恐惧症（Basophobia）：对于跌倒或摔落的恐惧。</t>
  </si>
  <si>
    <t>导弹/子弹恐惧症（Ballistophobia）：对导弹或子弹的恐惧。</t>
  </si>
  <si>
    <t>细菌恐惧症（Bacteriophobia）：对细菌的恐惧。</t>
  </si>
  <si>
    <t>长笛恐惧症（Aulophobia）：对长笛的恐惧。</t>
  </si>
  <si>
    <t>废墟恐惧症（Atephobia）：对遗迹或残址的恐惧。</t>
  </si>
  <si>
    <t>沐浴癖（Ablutomania）：执着于清洗自己。</t>
  </si>
  <si>
    <t>犹豫癖（Aboulomania）：病态地犹豫不定。</t>
  </si>
  <si>
    <t>喜暗狂（Achluomania）：对黑暗的过度热爱。</t>
  </si>
  <si>
    <t>喜高狂（Acromaniaheights）：狂热迷恋高处。</t>
  </si>
  <si>
    <t>亲切癖（Agathomania）：病态地对他人友好。</t>
  </si>
  <si>
    <t>喜旷症（Agromania）：强烈地倾向于待在开阔空间中。</t>
  </si>
  <si>
    <t>喜尖狂（Aichmomania）：痴迷于尖锐或锋利的物体。</t>
  </si>
  <si>
    <t>恋猫狂（Ailuromania）：近乎病态地对猫友善。</t>
  </si>
  <si>
    <t>疼痛癖（Algomania）：痴迷于疼痛。</t>
  </si>
  <si>
    <t>喜蒜狂（Alliomania）：痴迷于大蒜。</t>
  </si>
  <si>
    <t>乘车癖（Amaxomania）：痴迷于乘坐车辆。</t>
  </si>
  <si>
    <t>欣快癖（Amenomania）：不正常地感到喜悦。</t>
  </si>
  <si>
    <t>喜花狂（Anthomania）：痴迷于花朵。</t>
  </si>
  <si>
    <t>计算癖（Arithmomania）：狂热地痴迷于数字。</t>
  </si>
  <si>
    <t>消费癖（Asoticamania）：鲁莽冲动地消费。</t>
  </si>
  <si>
    <t>隐居癖*（Automania）：过度地热爱独自隐居。（原文如此，存疑，Automania 实际上是恋车癖）</t>
  </si>
  <si>
    <t>芭蕾癖（Balletmania）：痴迷于芭蕾舞。</t>
  </si>
  <si>
    <t>窃书癖（Biliokleptomania）：无法克制偷窃书籍的冲动。</t>
  </si>
  <si>
    <t>恋书狂（Bibliomania）：痴迷于书籍和/或阅读</t>
  </si>
  <si>
    <t>磨牙癖（Bruxomania）：无法克制磨牙的冲动。</t>
  </si>
  <si>
    <t>灵臆症（Cacodemomania）：病态地坚信自己已被一个邪恶的灵体占据。</t>
  </si>
  <si>
    <t>美貌狂（Callomania）：痴迷于自身的美貌。</t>
  </si>
  <si>
    <t>地图狂（Cartacoethes）：在何时何处都无法控制查阅地图的冲动。</t>
  </si>
  <si>
    <t>跳跃狂（Catapedamania）：痴迷于从高处跳下。</t>
  </si>
  <si>
    <t>喜冷症（Cheimatomania）：对寒冷或寒冷的物体的反常喜爱。</t>
  </si>
  <si>
    <t>舞蹈狂（Choreomania）：无法控制地起舞或发颤。</t>
  </si>
  <si>
    <t>恋床癖（Clinomania）：过度地热爱待在床上。</t>
  </si>
  <si>
    <t>恋墓狂（Coimetormania）：痴迷于墓地。</t>
  </si>
  <si>
    <t>色彩狂（Coloromania）：痴迷于某种颜色。</t>
  </si>
  <si>
    <t>小丑狂（Coulromania）：痴迷于小丑。</t>
  </si>
  <si>
    <t>恐惧狂（Countermania）：执着于经历恐怖的场面。</t>
  </si>
  <si>
    <t>杀戮癖（Dacnomania）：痴迷于杀戮。</t>
  </si>
  <si>
    <t>魔臆症（Demonomania）：病态地坚信自己已被恶魔附身。</t>
  </si>
  <si>
    <t>抓挠癖（Dermatillomania）：执着于抓挠自己的皮肤。</t>
  </si>
  <si>
    <t>正义狂（Dikemania）：痴迷于目睹正义被伸张。</t>
  </si>
  <si>
    <t>嗜酒狂（Dipsomania）：反常地渴求酒精。</t>
  </si>
  <si>
    <t>毛皮狂（Doramania）：痴迷于拥有毛皮。（存疑）</t>
  </si>
  <si>
    <t>喜兽癖（Zoomania）：对待动物的态度近乎疯狂地友好。</t>
  </si>
  <si>
    <t>嗜外狂（Xenomania）：痴迷于异国的事物。</t>
  </si>
  <si>
    <t>臆盲症（Typhlomania）：病理性的失明。</t>
  </si>
  <si>
    <t>拔毛癖（Trichotillomania）：执着于拔下自己的头发。</t>
  </si>
  <si>
    <t>手术狂（Tomomania）：对进行手术的不正常爱好。</t>
  </si>
  <si>
    <t>抓挠癖（Titillomaniac）：抓挠自己的强迫倾向。</t>
  </si>
  <si>
    <t>臆神狂（Theomania）：坚信自己是一位神灵。</t>
  </si>
  <si>
    <t>臆咒狂（Thanatomania）：坚信自己已被某种死亡魔法所诅咒。</t>
  </si>
  <si>
    <t>科技狂（Technomania）：痴迷于新的科技。</t>
  </si>
  <si>
    <t>臆智症（Sophomania）：臆想自己拥有难以置信的智慧。</t>
  </si>
  <si>
    <t>列车狂（Siderodromomania）：认为火车或类似的依靠轨道交通的旅行方式充满魅力。</t>
  </si>
  <si>
    <t>涂鸦癖（Scribbleomania）：沉迷于涂鸦。</t>
  </si>
  <si>
    <t>挖鼻癖（Rhinotillexomania）：执着于挖鼻子。</t>
  </si>
  <si>
    <t>提问狂（Questiong-Asking Mania）：执着于提问。</t>
  </si>
  <si>
    <t>纵火狂（Pyromania）：执着于纵火。</t>
  </si>
  <si>
    <t>欺骗狂（Pseudomania）：无法抑制的执着于撒谎。</t>
  </si>
  <si>
    <t>求财癖（Plutomania）：对财富的强迫性的渴望。</t>
  </si>
  <si>
    <t>背德癖（Planomania）：病态地渴求违背社会道德（原文如此，存疑，Planomania 实际上是漂泊症）</t>
  </si>
  <si>
    <t>渴光癖（Photomania）：对光的病态渴求。</t>
  </si>
  <si>
    <t>谋杀癖（Phonomania）：病态的谋杀倾向。</t>
  </si>
  <si>
    <t>幽灵狂（Phasmomania）：痴迷于幽灵。</t>
  </si>
  <si>
    <t>面具狂（Personamania）：执着于佩戴面具。</t>
  </si>
  <si>
    <t>抱怨癖（Paramania）：一种在抱怨时产生的近乎病态的愉悦感。</t>
  </si>
  <si>
    <t>恋食癖（Opsomania）：对某种食物的病态热爱。</t>
  </si>
  <si>
    <t>剔指癖（Onychotillomania）：执着于剔指甲。</t>
  </si>
  <si>
    <t>称名癖（Onomatomania）：无法抑制地不断重复某个词语的冲动。</t>
  </si>
  <si>
    <t>恋名狂（Onomamania）：痴迷于名字（人物的、地点的、事物的）</t>
  </si>
  <si>
    <t>记录癖（Notomania）：执着于记录一切事物（例如摄影）</t>
  </si>
  <si>
    <t>臆想症（Nosomania）：妄想自己正在被某种臆想出的疾病折磨。</t>
  </si>
  <si>
    <t>夸大癖（Mythomania）：以一种近乎病态的程度说谎或夸大事物。</t>
  </si>
  <si>
    <t>偏执狂（Monomania）：近乎病态地痴迷与专注某个特定的想法或创意。</t>
  </si>
  <si>
    <t>憎恨癖（Misomania）：憎恨一切事物，痴迷于憎恨某个事物或团体。</t>
  </si>
  <si>
    <t>作诗癖（Metromania）：无法抑制地想要不停作诗。</t>
  </si>
  <si>
    <t>旋律狂（Melomania）：痴迷于音乐或一段特定的旋律。</t>
  </si>
  <si>
    <t>巨石狂（Megalithomania）：当站在石环中或立起的巨石旁时，就会近乎病态地写出各种奇怪的创意。</t>
  </si>
  <si>
    <t>抑郁症（Lypemania）：近乎病态的重度抑郁倾向。</t>
  </si>
  <si>
    <t>彩票狂（Lotterymania）：极端地执着于购买彩票。</t>
  </si>
  <si>
    <t>喜线癖（Linonomania）：痴迷于线绳。</t>
  </si>
  <si>
    <t>噪音癖（Ligyromania）：无法自制地执着于制造响亮或刺耳的噪音。</t>
  </si>
  <si>
    <t>偷窃癖（Kleptomania）：反常地执着于偷窃。</t>
  </si>
  <si>
    <t>射击狂（Klazomania）：反常地执着于射击。</t>
  </si>
  <si>
    <t>信息狂（Infomania）：痴迷于积累各种信息与资讯。</t>
  </si>
  <si>
    <t>偶像狂（Idolomania）：痴迷于甚至愿献身于某个偶像。</t>
  </si>
  <si>
    <t>图标狂（Iconomania）：痴迷于图标与肖像</t>
  </si>
  <si>
    <t>喜鱼癖（Ichthyomania）：痴迷于鱼类。</t>
  </si>
  <si>
    <t>饮水狂（Hydromania）：反常地渴求水分。</t>
  </si>
  <si>
    <t>枪械狂（Hoplomania）：痴迷于火器。</t>
  </si>
  <si>
    <t>蠕虫狂（Helminthomania）：过度地喜爱蠕虫。</t>
  </si>
  <si>
    <t>妄想狂（Habromania）：近乎病态地充满愉快的妄想（而不顾现实状况如何）。</t>
  </si>
  <si>
    <t>裸体狂（Gymnomania）：执着于裸露身体。</t>
  </si>
  <si>
    <t>写作癖（Graphomania）：痴迷于将每一件事写下来。</t>
  </si>
  <si>
    <t>巫术狂（Goetomania）：痴迷于女巫与巫术。</t>
  </si>
  <si>
    <t>狂笑癖（Geliomania）：无法自制地，强迫性的大笑。</t>
  </si>
  <si>
    <t>求婚狂（Gamomania）：痴迷于进行奇特的求婚。</t>
  </si>
  <si>
    <t>乙醚上瘾（Etheromania）：渴求乙醚。</t>
  </si>
  <si>
    <t>静止癖（Eremiomania）：执着于保持安静。</t>
  </si>
  <si>
    <t>学识狂（Epistemomania）：痴迷于获取学识。</t>
  </si>
  <si>
    <t>臆罪症（Enosimania）：病态地坚信自己带有罪孽。</t>
  </si>
  <si>
    <t>职业狂（Empleomania）：对于工作的无尽病态渴求。</t>
  </si>
  <si>
    <t>自恋狂（Egomania）：近乎病态地以自我为中心或自我崇拜。</t>
  </si>
  <si>
    <t>漫游癖（Ecdemiomania）：执着于四处漫游。</t>
  </si>
  <si>
    <t>漂泊症（Drapetomania）：执着于逃离。</t>
  </si>
  <si>
    <t>赠物癖（Doromania）：痴迷于赠送礼物。</t>
  </si>
  <si>
    <t>玩家</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</si>
  <si>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</si>
  <si>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</si>
  <si>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</si>
  <si>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</si>
  <si>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</si>
  <si>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</si>
  <si>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</si>
  <si>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</si>
  <si>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</si>
  <si>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想复制文字请先粘贴到txt内</t>
  </si>
  <si>
    <t>疯狂发作—即时症状</t>
  </si>
  <si>
    <t>疯狂发作—总结症状</t>
  </si>
  <si>
    <t>失忆：回过神来，调查员们发现自己身处一个陌生的地方，并忘记了自己是谁。记忆会随时间恢复。</t>
  </si>
  <si>
    <t>被窃：调查员在 1D10 小时后恢复清醒，发觉自己被盗，身体毫发无损。如果调查员携带着宝贵之物（见调查员背景），做幸运检定来决定其是否被盗。所有有价值的东西无需检定自动消失。</t>
  </si>
  <si>
    <t>遍体鳞伤：调查员在 1D10 小时后恢复清醒，发现自己身上满是拳痕和瘀伤。生命值减少到疯狂前的一半，但这不会造成重伤。调查员没有被窃。这种伤害如何持续到现在由守秘人决定。</t>
  </si>
  <si>
    <t>暴力倾向：调查员陷入强烈的暴力与破坏欲之中。调查员回过神来可能会理解自己做了什么也可能毫无印象。调查员对谁或何物施以暴力，他们是杀人还是仅仅造成了伤害，由守秘人决定。</t>
  </si>
  <si>
    <t>极端信念：查看调查员背景中的思想信念，调查员会采取极端和疯狂的表现手段展示他们的思想信念之一。比如一个信教者会在地铁上高声布道。</t>
  </si>
  <si>
    <t>重要之人：考虑调查员背景中的重要之人，及其重要的原因。在 1D10 小时或更久的时间中，调查员将不顾一切地接近那个人，并为他们之间的关系做出行动。</t>
  </si>
  <si>
    <t>被收容：调查员在精神病院病房或警察局牢房中回过神来，他们可能会慢慢回想起导致自己被关在这里的事情。</t>
  </si>
  <si>
    <t>逃避行为：调查员恢复清醒时发现自己在很远的地方，也许迷失在荒郊野岭，或是在驶向远方的列车或长途汽车上。</t>
  </si>
  <si>
    <t>恐惧：调查员患上一个新的恐惧症状。在表Ⅸ：恐惧症状表上骰 1 个 D100 来决定症状，或由守秘人选择一个。调查员在 1D10 小时后回过神来，并开始为避开恐惧源而采取任何措施。</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</si>
  <si>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</si>
  <si>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标记</t>
  </si>
  <si>
    <t>1.6.1EX</t>
  </si>
  <si>
    <t>1.6.4EX（1.7.8）</t>
  </si>
  <si>
    <t>会计</t>
  </si>
  <si>
    <t>法律</t>
  </si>
  <si>
    <t>侦查</t>
  </si>
  <si>
    <t>格斗</t>
  </si>
  <si>
    <t>历史</t>
  </si>
  <si>
    <t>心理学</t>
  </si>
  <si>
    <t>医学</t>
  </si>
  <si>
    <t>估价</t>
  </si>
  <si>
    <t>射程</t>
  </si>
  <si>
    <t>次数</t>
  </si>
  <si>
    <t>故障值</t>
  </si>
  <si>
    <t>常见时代</t>
  </si>
  <si>
    <t>价格20s/现代($)</t>
  </si>
  <si>
    <t>投掷</t>
  </si>
  <si>
    <t>急救</t>
  </si>
  <si>
    <t>潜水</t>
  </si>
  <si>
    <t>魅惑</t>
  </si>
  <si>
    <t>法律</t>
  </si>
  <si>
    <t>聆听</t>
  </si>
  <si>
    <t>说服</t>
  </si>
  <si>
    <t>侦查</t>
  </si>
  <si>
    <t>闪避</t>
  </si>
  <si>
    <t>跳跃</t>
  </si>
  <si>
    <t>投掷</t>
  </si>
  <si>
    <t>游泳</t>
  </si>
  <si>
    <t>乔装</t>
  </si>
  <si>
    <t>历史</t>
  </si>
  <si>
    <t>心理学</t>
  </si>
  <si>
    <t>汽车驾驶</t>
  </si>
  <si>
    <t>潜行</t>
  </si>
  <si>
    <t>追踪</t>
  </si>
  <si>
    <t>医学</t>
  </si>
  <si>
    <t>精神分析</t>
  </si>
  <si>
    <t>估价</t>
  </si>
  <si>
    <t>导航</t>
  </si>
  <si>
    <t>机械维修</t>
  </si>
  <si>
    <t>母语</t>
  </si>
  <si>
    <t>急救</t>
  </si>
  <si>
    <t>骑乘</t>
  </si>
  <si>
    <t>恐吓</t>
  </si>
  <si>
    <t>电气维修</t>
  </si>
  <si>
    <t>锁匠</t>
  </si>
  <si>
    <t>操作重型机械</t>
  </si>
  <si>
    <t>攀爬</t>
  </si>
  <si>
    <t>聆听</t>
  </si>
  <si>
    <t>锁匠</t>
  </si>
  <si>
    <t>妙手</t>
  </si>
  <si>
    <t>潜行</t>
  </si>
  <si>
    <t>侦查</t>
  </si>
  <si>
    <t>心理学</t>
  </si>
  <si>
    <t>估价</t>
  </si>
  <si>
    <t>汽车驾驶</t>
  </si>
  <si>
    <t>历史</t>
  </si>
  <si>
    <t>导航</t>
  </si>
  <si>
    <t>跳跃</t>
  </si>
  <si>
    <t>神秘学</t>
  </si>
  <si>
    <t>机械维修</t>
  </si>
  <si>
    <t>骑乘</t>
  </si>
  <si>
    <t>急救</t>
  </si>
  <si>
    <t>游泳</t>
  </si>
  <si>
    <t>电气维修</t>
  </si>
  <si>
    <t>话术</t>
  </si>
  <si>
    <t>母语</t>
  </si>
  <si>
    <t>恐吓</t>
  </si>
  <si>
    <t>说服</t>
  </si>
  <si>
    <t>操作重型机械</t>
  </si>
  <si>
    <t>乔装</t>
  </si>
  <si>
    <t>追踪</t>
  </si>
  <si>
    <t>法律</t>
  </si>
  <si>
    <t>闪避</t>
  </si>
  <si>
    <t>医学</t>
  </si>
  <si>
    <t>攀爬</t>
  </si>
  <si>
    <t>精神分析</t>
  </si>
  <si>
    <t>语言</t>
  </si>
  <si>
    <t>会计</t>
  </si>
  <si>
    <t>任意特长</t>
  </si>
  <si>
    <t>任意特长</t>
  </si>
  <si>
    <t>任意特长</t>
  </si>
  <si>
    <t>社交技能</t>
  </si>
  <si>
    <t>社交技能</t>
  </si>
  <si>
    <t>任意特长</t>
  </si>
  <si>
    <t>任意特长</t>
  </si>
  <si>
    <t>社交技能</t>
  </si>
  <si>
    <t>任意特长</t>
  </si>
  <si>
    <t>侦查</t>
  </si>
  <si>
    <t>历史</t>
  </si>
  <si>
    <t>任意特长</t>
  </si>
  <si>
    <t>社交技能</t>
  </si>
  <si>
    <t>任意特长</t>
  </si>
  <si>
    <t>电气维修</t>
  </si>
  <si>
    <t>会计</t>
  </si>
  <si>
    <t>电气维修</t>
  </si>
  <si>
    <t>锁匠</t>
  </si>
  <si>
    <t>汽车驾驶</t>
  </si>
  <si>
    <t>任意特长</t>
  </si>
  <si>
    <t>社交技能</t>
  </si>
  <si>
    <t>耕作</t>
  </si>
  <si>
    <t>汽车驾驶</t>
  </si>
  <si>
    <t>妙手</t>
  </si>
  <si>
    <t>社交技能</t>
  </si>
  <si>
    <t>心理学</t>
  </si>
  <si>
    <t>侦查</t>
  </si>
  <si>
    <t>聆听</t>
  </si>
  <si>
    <t>攀爬</t>
  </si>
  <si>
    <t>汽车驾驶</t>
  </si>
  <si>
    <t>骑乘</t>
  </si>
  <si>
    <t>调整值</t>
  </si>
  <si>
    <t>幸运
Luck</t>
  </si>
  <si>
    <t>魔法
Magic Points</t>
  </si>
  <si>
    <t>使用技能</t>
  </si>
  <si>
    <t>伤害</t>
  </si>
  <si>
    <t>穿刺</t>
  </si>
  <si>
    <t>装弹量</t>
  </si>
  <si>
    <t>次数</t>
  </si>
  <si>
    <t>会计，法律，图书馆，聆听，说服，侦查，任意其他两项个人或时代特长。</t>
  </si>
  <si>
    <t>攀爬，闪避，跳跃，投掷，侦查，游泳，任意两项其他个人或时代特长。</t>
  </si>
  <si>
    <t>无</t>
  </si>
  <si>
    <t>图书馆使用</t>
  </si>
  <si>
    <t>弓箭</t>
  </si>
  <si>
    <t>1D6+半DB</t>
  </si>
  <si>
    <t>30码</t>
  </si>
  <si>
    <t>1</t>
  </si>
  <si>
    <t>1</t>
  </si>
  <si>
    <t>97</t>
  </si>
  <si>
    <t>1920s,现代</t>
  </si>
  <si>
    <t>7/75</t>
  </si>
  <si>
    <t>黄铜指虎</t>
  </si>
  <si>
    <t>1D3+1+DB</t>
  </si>
  <si>
    <t>接触</t>
  </si>
  <si>
    <t>1/10</t>
  </si>
  <si>
    <t>长鞭</t>
  </si>
  <si>
    <t>鞭子</t>
  </si>
  <si>
    <t>1D3+半DB</t>
  </si>
  <si>
    <t>10步</t>
  </si>
  <si>
    <t>1920s</t>
  </si>
  <si>
    <t>5/50</t>
  </si>
  <si>
    <t>燃烧的火把</t>
  </si>
  <si>
    <t>1D6+燃烧</t>
  </si>
  <si>
    <t>0.05/0.5</t>
  </si>
  <si>
    <t>电锯</t>
  </si>
  <si>
    <t>2D8</t>
  </si>
  <si>
    <t>√</t>
  </si>
  <si>
    <t>95</t>
  </si>
  <si>
    <t>现代</t>
  </si>
  <si>
    <t>包皮铁棍(甩棍、护身短棒)</t>
  </si>
  <si>
    <t>1D8+DB</t>
  </si>
  <si>
    <t>2/15</t>
  </si>
  <si>
    <t>大型棍状物(棒球棍、板球棒、拨火棍等)</t>
  </si>
  <si>
    <t>3/35</t>
  </si>
  <si>
    <t>小型棍状物(警棍等)</t>
  </si>
  <si>
    <t>1D6+DB</t>
  </si>
  <si>
    <t>接触</t>
  </si>
  <si>
    <t>1</t>
  </si>
  <si>
    <t>1920s,现代</t>
  </si>
  <si>
    <t>3/35</t>
  </si>
  <si>
    <t>弩</t>
  </si>
  <si>
    <t>弓术</t>
  </si>
  <si>
    <t>1D8+2</t>
  </si>
  <si>
    <t>50码</t>
  </si>
  <si>
    <t>1/2</t>
  </si>
  <si>
    <t>96</t>
  </si>
  <si>
    <t>10/100</t>
  </si>
  <si>
    <t>绞具</t>
  </si>
  <si>
    <t>0.5/3</t>
  </si>
  <si>
    <t>斧头/镰刀</t>
  </si>
  <si>
    <t>斧</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</si>
  <si>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</si>
  <si>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</si>
  <si>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</si>
  <si>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</si>
  <si>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</si>
  <si>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</si>
  <si>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</si>
  <si>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</si>
  <si>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</si>
  <si>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</si>
  <si>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</si>
  <si>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</si>
  <si>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</si>
  <si>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</si>
  <si>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</si>
  <si>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双节棍</t>
  </si>
  <si>
    <t>链枷</t>
  </si>
  <si>
    <t>投石</t>
  </si>
  <si>
    <t>投掷</t>
  </si>
  <si>
    <t>1D4+半DB</t>
  </si>
  <si>
    <t>STR/5步</t>
  </si>
  <si>
    <t>手里剑</t>
  </si>
  <si>
    <t>20码</t>
  </si>
  <si>
    <t>2</t>
  </si>
  <si>
    <t>一次性</t>
  </si>
  <si>
    <t>100</t>
  </si>
  <si>
    <t>矛、骑士长枪</t>
  </si>
  <si>
    <t>矛</t>
  </si>
  <si>
    <t>1D8+1</t>
  </si>
  <si>
    <t>25/150</t>
  </si>
  <si>
    <t>掷矛</t>
  </si>
  <si>
    <t>1D8+半DB</t>
  </si>
  <si>
    <t>STR/5码</t>
  </si>
  <si>
    <t>罕见</t>
  </si>
  <si>
    <t>1/25</t>
  </si>
  <si>
    <t>大型剑(马刀)</t>
  </si>
  <si>
    <t>剑</t>
  </si>
  <si>
    <t>1D8+1+DB</t>
  </si>
  <si>
    <t>30/75</t>
  </si>
  <si>
    <t>中型剑(佩剑等)</t>
  </si>
  <si>
    <t>15/100</t>
  </si>
  <si>
    <t>轻剑(击剑、剑杖等)</t>
  </si>
  <si>
    <t>25/100</t>
  </si>
  <si>
    <t>电棍</t>
  </si>
  <si>
    <t>1D3+眩晕</t>
  </si>
  <si>
    <t>不定</t>
  </si>
  <si>
    <t>电击枪(远程)</t>
  </si>
  <si>
    <t>15步</t>
  </si>
  <si>
    <t>3</t>
  </si>
  <si>
    <t>利刃回旋镖</t>
  </si>
  <si>
    <t>2/4</t>
  </si>
  <si>
    <t>伐木斧</t>
  </si>
  <si>
    <t>1D8+2+DB</t>
  </si>
  <si>
    <t>5/10</t>
  </si>
  <si>
    <t>遂发枪</t>
  </si>
  <si>
    <t>1D6+1</t>
  </si>
  <si>
    <t>10</t>
  </si>
  <si>
    <t>1/4</t>
  </si>
  <si>
    <t>30/300</t>
  </si>
  <si>
    <t>1D6</t>
  </si>
  <si>
    <t>1(3)</t>
  </si>
  <si>
    <t>6</t>
  </si>
  <si>
    <t>25/190</t>
  </si>
  <si>
    <t>12/55</t>
  </si>
  <si>
    <t>1D8</t>
  </si>
  <si>
    <t>15</t>
  </si>
  <si>
    <t>15/200</t>
  </si>
  <si>
    <t>8</t>
  </si>
  <si>
    <t>99</t>
  </si>
  <si>
    <t>20/350</t>
  </si>
  <si>
    <t>1D8+1D4</t>
  </si>
  <si>
    <t>1/425</t>
  </si>
  <si>
    <t>1D10</t>
  </si>
  <si>
    <t>25/200</t>
  </si>
  <si>
    <t>30/375</t>
  </si>
  <si>
    <t>贝雷塔M9</t>
  </si>
  <si>
    <t>98</t>
  </si>
  <si>
    <t>17</t>
  </si>
  <si>
    <t>鲁格P08</t>
  </si>
  <si>
    <t>75/600</t>
  </si>
  <si>
    <t>1920s,罕见</t>
  </si>
  <si>
    <t>1D10+1D4+2</t>
  </si>
  <si>
    <t>1/475</t>
  </si>
  <si>
    <t>1D10+2</t>
  </si>
  <si>
    <t>7</t>
  </si>
  <si>
    <t>40/375</t>
  </si>
  <si>
    <t>沙漠之鹰</t>
  </si>
  <si>
    <t>1D10+1D6+3</t>
  </si>
  <si>
    <t>15</t>
  </si>
  <si>
    <t>√</t>
  </si>
  <si>
    <t>1(3)</t>
  </si>
  <si>
    <t>7</t>
  </si>
  <si>
    <t>94</t>
  </si>
  <si>
    <t>现代</t>
  </si>
  <si>
    <t>.58 斯普林菲尔德步枪</t>
  </si>
  <si>
    <t>步枪/霰弹枪</t>
  </si>
  <si>
    <t>1D10+4</t>
  </si>
  <si>
    <t>60</t>
  </si>
  <si>
    <t>1/4</t>
  </si>
  <si>
    <t>95</t>
  </si>
  <si>
    <t>罕见</t>
  </si>
  <si>
    <t>25/350</t>
  </si>
  <si>
    <t>.22 杠杆式枪机步枪</t>
  </si>
  <si>
    <t>1D6+1</t>
  </si>
  <si>
    <t>30</t>
  </si>
  <si>
    <t>6</t>
  </si>
  <si>
    <t>99</t>
  </si>
  <si>
    <t>13/70</t>
  </si>
  <si>
    <t>.30 卡宾枪</t>
  </si>
  <si>
    <t>2D6</t>
  </si>
  <si>
    <t>50</t>
  </si>
  <si>
    <t>19/150</t>
  </si>
  <si>
    <t>.45 马提尼·亨利步枪</t>
  </si>
  <si>
    <t>步枪/霰弹枪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</si>
  <si>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</si>
  <si>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</si>
  <si>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</si>
  <si>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</si>
  <si>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</si>
  <si>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</si>
  <si>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</si>
  <si>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</si>
  <si>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</si>
  <si>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</si>
  <si>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</si>
  <si>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</si>
  <si>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</si>
  <si>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</si>
  <si>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</si>
  <si>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</si>
  <si>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</si>
  <si>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</si>
  <si>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</si>
  <si>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</si>
  <si>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</si>
  <si>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75/175</t>
  </si>
  <si>
    <t>275</t>
  </si>
  <si>
    <t>.444 (11.28mm) 马林步枪</t>
  </si>
  <si>
    <t>2D8+4</t>
  </si>
  <si>
    <t>猎象枪(双管)</t>
  </si>
  <si>
    <t>3D6+4</t>
  </si>
  <si>
    <t>1 or 2</t>
  </si>
  <si>
    <t>400/1800</t>
  </si>
  <si>
    <t>20号霰弹枪(双管)</t>
  </si>
  <si>
    <t>2D6/1D6/1D3</t>
  </si>
  <si>
    <t>10/20/50</t>
  </si>
  <si>
    <t>35/稀有</t>
  </si>
  <si>
    <t>16号霰弹枪(双管)</t>
  </si>
  <si>
    <t>2D6+2/1D6+1/1D4</t>
  </si>
  <si>
    <t>40/稀有</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</si>
  <si>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</si>
  <si>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</si>
  <si>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</si>
  <si>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</si>
  <si>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</si>
  <si>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</si>
  <si>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</si>
  <si>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</si>
  <si>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</si>
  <si>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</si>
  <si>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</si>
  <si>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</si>
  <si>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</si>
  <si>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12号SPAS (折叠式枪托)</t>
  </si>
  <si>
    <t>1(2)or全自动</t>
  </si>
  <si>
    <t>30</t>
  </si>
  <si>
    <t>2D6</t>
  </si>
  <si>
    <t>巴雷特M82</t>
  </si>
  <si>
    <t>2D10+1D8+6</t>
  </si>
  <si>
    <t>250</t>
  </si>
  <si>
    <t>11</t>
  </si>
  <si>
    <t>FN FAL Light Automatic</t>
  </si>
  <si>
    <t>1(2)or3</t>
  </si>
  <si>
    <t>Galil Assault Rifle</t>
  </si>
  <si>
    <t>M16A2</t>
  </si>
  <si>
    <t>M4</t>
  </si>
  <si>
    <t xml:space="preserve">Steyr AUG </t>
  </si>
  <si>
    <t>巴雷特M70/90</t>
  </si>
  <si>
    <t>1(or全自动</t>
  </si>
  <si>
    <t>贝格曼MP181/ MP2811</t>
  </si>
  <si>
    <t>冲锋枪</t>
  </si>
  <si>
    <t>20/30/32</t>
  </si>
  <si>
    <t>1000/20000</t>
  </si>
  <si>
    <t>15/30</t>
  </si>
  <si>
    <t>1(3)or全自动</t>
  </si>
  <si>
    <t>32</t>
  </si>
  <si>
    <t>蝎式冲锋枪</t>
  </si>
  <si>
    <t>汤普森冲锋枪</t>
  </si>
  <si>
    <t>1or全自动</t>
  </si>
  <si>
    <t>20/30/50</t>
  </si>
  <si>
    <t>200/1600</t>
  </si>
  <si>
    <t>乌兹微型冲锋枪</t>
  </si>
  <si>
    <t>M1882加特林机枪</t>
  </si>
  <si>
    <t>机关枪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</si>
  <si>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</si>
  <si>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</si>
  <si>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</si>
  <si>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</si>
  <si>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</si>
  <si>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</si>
  <si>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</si>
  <si>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</si>
  <si>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</si>
  <si>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</si>
  <si>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</si>
  <si>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</si>
  <si>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</si>
  <si>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</si>
  <si>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</si>
  <si>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</si>
  <si>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</si>
  <si>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</si>
  <si>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</si>
  <si>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</si>
  <si>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</si>
  <si>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</si>
  <si>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</si>
  <si>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</si>
  <si>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重武器</t>
  </si>
  <si>
    <t>3D10/2码</t>
  </si>
  <si>
    <t>土制炸药</t>
  </si>
  <si>
    <t>4D10/3码</t>
  </si>
  <si>
    <t>2/5</t>
  </si>
  <si>
    <t>雷管</t>
  </si>
  <si>
    <t>2D10/1码</t>
  </si>
  <si>
    <t>20/box</t>
  </si>
  <si>
    <t>管状炸弹</t>
  </si>
  <si>
    <t>爆破</t>
  </si>
  <si>
    <t>1D10/3码</t>
  </si>
  <si>
    <t>布置</t>
  </si>
  <si>
    <t>一次使用</t>
  </si>
  <si>
    <t>塑胶炸弹(C4) 100克</t>
  </si>
  <si>
    <t>6D10/3码</t>
  </si>
  <si>
    <t>手榴弹*</t>
  </si>
  <si>
    <t>81mm迫击炮</t>
  </si>
  <si>
    <t>炮术</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</si>
  <si>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</si>
  <si>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</si>
  <si>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</si>
  <si>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</si>
  <si>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</si>
  <si>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</si>
  <si>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</si>
  <si>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</si>
  <si>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</si>
  <si>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</si>
  <si>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</si>
  <si>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</si>
  <si>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</si>
  <si>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</si>
  <si>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</si>
  <si>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</si>
  <si>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</si>
  <si>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火焰喷射器</t>
  </si>
  <si>
    <t>25码</t>
  </si>
  <si>
    <t>至少10</t>
  </si>
  <si>
    <t>93</t>
  </si>
  <si>
    <t>轻型反坦克武器*</t>
  </si>
  <si>
    <t>8d10/1码</t>
  </si>
  <si>
    <t>150码</t>
  </si>
  <si>
    <t>机械维修</t>
  </si>
  <si>
    <t>导航</t>
  </si>
  <si>
    <t>社交技能</t>
  </si>
  <si>
    <t>机械维修</t>
  </si>
  <si>
    <t>电子学 Ω</t>
  </si>
  <si>
    <t>妙手</t>
  </si>
  <si>
    <t>图书馆使用</t>
  </si>
  <si>
    <t>社交技能</t>
  </si>
  <si>
    <t>图书馆使用</t>
  </si>
  <si>
    <t>攀爬</t>
  </si>
  <si>
    <t>游泳</t>
  </si>
  <si>
    <t>技艺①</t>
  </si>
  <si>
    <t>技艺①</t>
  </si>
  <si>
    <t>技艺②</t>
  </si>
  <si>
    <t>技艺③</t>
  </si>
  <si>
    <t>技艺①</t>
  </si>
  <si>
    <t>科学①</t>
  </si>
  <si>
    <t>科学②</t>
  </si>
  <si>
    <t>格斗①</t>
  </si>
  <si>
    <t>格斗②</t>
  </si>
  <si>
    <t>射击①</t>
  </si>
  <si>
    <t>射击②</t>
  </si>
  <si>
    <t>外语①</t>
  </si>
  <si>
    <t>外语①</t>
  </si>
  <si>
    <t>外语②</t>
  </si>
  <si>
    <t>外语③</t>
  </si>
  <si>
    <t>技艺①</t>
  </si>
  <si>
    <t>科学①</t>
  </si>
  <si>
    <t>自然学</t>
  </si>
  <si>
    <t>自然学</t>
  </si>
  <si>
    <t>科学③</t>
  </si>
  <si>
    <t>无</t>
  </si>
  <si>
    <t>科学①</t>
  </si>
  <si>
    <t>计算机使用 Ω</t>
  </si>
  <si>
    <t>计算机使用 Ω</t>
  </si>
  <si>
    <t>二选一函数</t>
  </si>
  <si>
    <t>二选一①函数</t>
  </si>
  <si>
    <t>骑乘</t>
  </si>
  <si>
    <t>自然学</t>
  </si>
  <si>
    <t>神秘学</t>
  </si>
  <si>
    <t>射击①</t>
  </si>
  <si>
    <t>生存：</t>
  </si>
  <si>
    <t>生存：</t>
  </si>
  <si>
    <t>外语①</t>
  </si>
  <si>
    <t>电子学 Ω</t>
  </si>
  <si>
    <t>技艺①</t>
  </si>
  <si>
    <t>生存：</t>
  </si>
  <si>
    <t>科学②</t>
  </si>
  <si>
    <t>科学①</t>
  </si>
  <si>
    <t>驾驶：</t>
  </si>
  <si>
    <t>科学①</t>
  </si>
  <si>
    <t>技艺①</t>
  </si>
  <si>
    <t>生存：</t>
  </si>
  <si>
    <t>技艺②</t>
  </si>
  <si>
    <t>技艺①</t>
  </si>
  <si>
    <t>技艺①</t>
  </si>
  <si>
    <t>乔装</t>
  </si>
  <si>
    <t>二选一②函数</t>
  </si>
  <si>
    <t>格斗①</t>
  </si>
  <si>
    <t>射击①</t>
  </si>
  <si>
    <t>驾驶：</t>
  </si>
  <si>
    <t>技艺②</t>
  </si>
  <si>
    <t>图书馆使用</t>
  </si>
  <si>
    <t>图书馆使用</t>
  </si>
  <si>
    <t>射击①</t>
  </si>
  <si>
    <t>外语①</t>
  </si>
  <si>
    <t>科学①</t>
  </si>
  <si>
    <t>科学②</t>
  </si>
  <si>
    <t>驾驶：</t>
  </si>
  <si>
    <t>技艺①</t>
  </si>
  <si>
    <t>攀爬</t>
  </si>
  <si>
    <t>游泳</t>
  </si>
  <si>
    <t>技艺①</t>
  </si>
  <si>
    <t>外语①</t>
  </si>
  <si>
    <t>射击②</t>
  </si>
  <si>
    <t>射击①</t>
  </si>
  <si>
    <t>科学②</t>
  </si>
  <si>
    <t>科学③</t>
  </si>
  <si>
    <t>格斗①</t>
  </si>
  <si>
    <t>科学①</t>
  </si>
  <si>
    <t>科学①</t>
  </si>
  <si>
    <t>生存：</t>
  </si>
  <si>
    <t>技艺①</t>
  </si>
  <si>
    <t>外语①</t>
  </si>
  <si>
    <t>驾驶：</t>
  </si>
  <si>
    <t>驾驶：</t>
  </si>
  <si>
    <t>电气维修</t>
  </si>
  <si>
    <t>机械维修</t>
  </si>
  <si>
    <t>格斗①</t>
  </si>
  <si>
    <t>母语</t>
  </si>
  <si>
    <t>外语①</t>
  </si>
  <si>
    <t>投掷</t>
  </si>
  <si>
    <t>生存：</t>
  </si>
  <si>
    <t>社交技能</t>
  </si>
  <si>
    <t>科学②</t>
  </si>
  <si>
    <t>驯兽</t>
  </si>
  <si>
    <t>三选X函数</t>
  </si>
  <si>
    <t>本职</t>
  </si>
  <si>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</si>
  <si>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</si>
  <si>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</si>
  <si>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</si>
  <si>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</si>
  <si>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</si>
  <si>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</si>
  <si>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</si>
  <si>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</si>
  <si>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</si>
  <si>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</si>
  <si>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</si>
  <si>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</si>
  <si>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</si>
  <si>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</si>
  <si>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</si>
  <si>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</si>
  <si>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</si>
  <si>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</si>
  <si>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</si>
  <si>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</si>
  <si>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</si>
  <si>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</si>
  <si>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</si>
  <si>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本职技能</t>
  </si>
  <si>
    <t>列</t>
  </si>
  <si>
    <t>备注</t>
  </si>
  <si>
    <t>1D3+DB</t>
  </si>
  <si>
    <t>——</t>
  </si>
  <si>
    <t>X</t>
  </si>
  <si>
    <t>X</t>
  </si>
  <si>
    <t>——</t>
  </si>
  <si>
    <t>——</t>
  </si>
  <si>
    <t>弓术</t>
  </si>
  <si>
    <t>技能</t>
  </si>
  <si>
    <t>武器类型</t>
  </si>
  <si>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</si>
  <si>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</si>
  <si>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</si>
  <si>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</si>
  <si>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</si>
  <si>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</si>
  <si>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</si>
  <si>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</si>
  <si>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</si>
  <si>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</si>
  <si>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</si>
  <si>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</si>
  <si>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</si>
  <si>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斗殴</t>
  </si>
  <si>
    <t>射击：</t>
  </si>
  <si>
    <t>大失败</t>
  </si>
  <si>
    <t>个人描述</t>
  </si>
  <si>
    <t>重要之人</t>
  </si>
  <si>
    <t>意义非凡之地</t>
  </si>
  <si>
    <t>宝贵之物</t>
  </si>
  <si>
    <t>背景故事</t>
  </si>
  <si>
    <t>调查员伙伴</t>
  </si>
  <si>
    <t>读唇</t>
  </si>
  <si>
    <t>HP=0且受到[重伤]。需要用[急救]摆脱濒死状态，并用[医学]进行后续治疗。</t>
  </si>
  <si>
    <t>社交技能部分的本职技能标记不会变颜色</t>
  </si>
  <si>
    <t>1.6.2EX</t>
  </si>
  <si>
    <t>1.6.3EX</t>
  </si>
  <si>
    <t>1.6.4EX修复（1.7.8-1）</t>
  </si>
  <si>
    <t>假性残疾 ：调查员陷入了心理性的失明，失聪以及躯体缺失感中，持续 1D10 轮。</t>
  </si>
  <si>
    <t>人际依赖 ：守秘人适当参考调查员的背景中重要之人的条目，调查员因为一些原因而降他人误认为了他重要的人并且努力的会与那个人保持那种关系，持续 1D10 轮</t>
  </si>
  <si>
    <t>逃避行为 ：调查员会用任何的手段试图逃离现在所处的位置，即使这意味着开走唯一一辆交通工具并将其它人抛诸脑后，调查员会试图逃离 1D10轮。</t>
  </si>
  <si>
    <t>竭嘶底里 ：调查员表现出大笑，哭泣，嘶吼，害怕等的极端情绪表现，持续 1D10 轮。</t>
  </si>
  <si>
    <t>失忆 ：调查员会发现自己只记得最后身处的安全地点，却没有任何来到这里的记忆。例如，调查员一一刻还在家中吃着早饭，下一刻就已经直面着不知名的怪物。这将会持续 1D10 轮。</t>
  </si>
  <si>
    <t>标记</t>
  </si>
  <si>
    <t>教育×4</t>
  </si>
  <si>
    <t>会计，图书馆，外语，母语，任意四项其他个人特长或专业书籍主题。</t>
  </si>
  <si>
    <t>会计，射击，导航，急救，两项社交技能（魅惑、话术、恐吓、说服），心理学，任意一项其他个人或时代特长。</t>
  </si>
  <si>
    <t>30-60</t>
  </si>
  <si>
    <t>攀爬，急救，跳跃，聆听，导航，外语，生存（阿尔卑斯或类似），追踪。</t>
  </si>
  <si>
    <t>10-30</t>
  </si>
  <si>
    <t>9-30</t>
  </si>
  <si>
    <t>教育×2＋意志或敏捷×2</t>
  </si>
  <si>
    <t>技艺（乐器），一项社交技能（魅惑、话术、恐吓、说服），聆听，心理学，四项其他技能。</t>
  </si>
  <si>
    <t>9-65</t>
  </si>
  <si>
    <t>5-20</t>
  </si>
  <si>
    <t>人类学，技艺（摄影），历史，图书馆，神秘学，外语，心理学，任意一项其他个人或时代特长。</t>
  </si>
  <si>
    <t>35-75</t>
  </si>
  <si>
    <t>技艺（摄影），一项社交技能（魅惑、话术、恐吓、说服），心理学，科学（化学），潜行，侦查，任意两项其他个人或时代特长。</t>
  </si>
  <si>
    <t>20-70</t>
  </si>
  <si>
    <t>教育×2＋敏捷×2</t>
  </si>
  <si>
    <t>20-50</t>
  </si>
  <si>
    <t>教育×2＋敏捷或力量×2</t>
  </si>
  <si>
    <t>攀爬、急救、历史、机械维修、导航、科学（地质），侦查，任意一项其他个人或时代特长。</t>
  </si>
  <si>
    <t>10-40</t>
  </si>
  <si>
    <t>历史，图书馆，一项社交技能（魅惑、话术、恐吓、说服），外语，侦查，任意三项其他学术领域。</t>
  </si>
  <si>
    <t>急救，机械维修，自然，导航，一项社交技能（魅惑、话术、恐吓、说服），驾驶（船），侦查，游泳。</t>
  </si>
  <si>
    <t>9-40</t>
  </si>
  <si>
    <t>9-50</t>
  </si>
  <si>
    <t>任意三项科学专业领域，计算机或图书馆，外语，母语，一项社交技能（魅惑、话术、恐吓、说服），侦查。</t>
  </si>
  <si>
    <t>20-40</t>
  </si>
  <si>
    <t>会计，两项社交技能（魅惑、话术、恐吓、说服），电气维修，聆听，机械维修，心理学，侦查。</t>
  </si>
  <si>
    <t>20-60</t>
  </si>
  <si>
    <t>技艺（表演）或乔装，射击，聆听，外语，一项社交技能（魅惑、话术、恐吓、说服），心理学，妙手，潜行。</t>
  </si>
  <si>
    <t>5-10</t>
  </si>
  <si>
    <t>10-50</t>
  </si>
  <si>
    <t>0-15</t>
  </si>
  <si>
    <t>会计，汽车驾驶，一项社交技能（魅惑、话术、恐吓、说服），历史，神秘学，心理学，科学（生物学，化学）。</t>
  </si>
  <si>
    <t>5-50</t>
  </si>
  <si>
    <t>9-20</t>
  </si>
  <si>
    <t>教育×2＋外貌或敏捷×2</t>
  </si>
  <si>
    <t>会计，技艺（任一），闪避，聆听，两项社交技能（魅惑、话术、恐吓、说服），心理学，任意一项其他个人或时代特长。</t>
  </si>
  <si>
    <t>0-30</t>
  </si>
  <si>
    <t>汽车驾驶</t>
  </si>
  <si>
    <t>电气维修</t>
  </si>
  <si>
    <t>格斗①</t>
  </si>
  <si>
    <t>急救</t>
  </si>
  <si>
    <t>机械维修</t>
  </si>
  <si>
    <t>操作重型机械</t>
  </si>
  <si>
    <t>投掷</t>
  </si>
  <si>
    <t>任意特长</t>
  </si>
  <si>
    <t>无</t>
  </si>
  <si>
    <t>9-40</t>
  </si>
  <si>
    <t>教育×2＋外貌×2</t>
  </si>
  <si>
    <t>技艺（表演），乔装，格斗，历史，两项社交技能（魅惑、话术、恐吓、说服），心理学，任意一项其他个人或时代特长。</t>
  </si>
  <si>
    <t>20-90</t>
  </si>
  <si>
    <t>教育×2＋外貌×2</t>
  </si>
  <si>
    <t>技艺（表演），乔装，汽车驾驶，两项社交技能（魅惑、话术、恐吓、说服），心理学，任意两项其他个人或时代特长（如骑乘或格斗）。</t>
  </si>
  <si>
    <t>20-45</t>
  </si>
  <si>
    <t>教育×2＋力量或敏捷×2</t>
  </si>
  <si>
    <t>一项社交技能（魅惑、话术、恐吓、说服），格斗（斗殴），射击，法律，图书馆，心理学，潜行，追踪。</t>
  </si>
  <si>
    <t>10-60</t>
  </si>
  <si>
    <t>法律，聆听，医学，外语，精神分析，心理学，科学（生物学，化学）。</t>
  </si>
  <si>
    <t>10-40</t>
  </si>
  <si>
    <t>教育×2＋外貌或意志×2</t>
  </si>
  <si>
    <t>跳跃，聆听，自然，心理学，科学（动物学），潜行，追踪，任意一项其他个人或时代特长。</t>
  </si>
  <si>
    <t>30-70</t>
  </si>
  <si>
    <t>估价，技艺（任一），历史，图书馆，外语，一项社交技能（魅惑、话术、恐吓、说服），侦查，任意一项其他个人或时代特长。</t>
  </si>
  <si>
    <t>30-50</t>
  </si>
  <si>
    <t>教育×4</t>
  </si>
  <si>
    <t>会计，估价，汽车驾驶，两项社交技能（魅惑、话术、恐吓、说服），历史，图书馆，导航。</t>
  </si>
  <si>
    <t>估价，考古，历史，外语，图书馆，侦查，机械维修，导航或科学（任一：如化学、物理、地理等）。</t>
  </si>
  <si>
    <t>30-70</t>
  </si>
  <si>
    <t>会计，技艺（技术制图），法律，母语，计算机或图书馆，说服，心理学，科学（数学）。</t>
  </si>
  <si>
    <t>9-50</t>
  </si>
  <si>
    <t>教育×2＋敏捷或意志×2</t>
  </si>
  <si>
    <t>技艺（任一），历史或自然，一项社交技能（魅惑、话术、恐吓、说服），外语，心理学，侦查，任意两项其他个人或时代特长。</t>
  </si>
  <si>
    <t>8-20</t>
  </si>
  <si>
    <t>闪避，格斗（斗殴），急救，两项社交技能（魅惑、话术、恐吓、说服），聆听，心理学，潜行。</t>
  </si>
  <si>
    <t>9-70</t>
  </si>
  <si>
    <t>攀爬，跳跃，格斗（斗殴），骑乘，一项社交技能（魅惑、话术、恐吓、说服），游泳，投掷，任意一项其他个人或时代特长。</t>
  </si>
  <si>
    <t>技艺（文学），历史，图书馆，自然或神秘学，外语，母语，心理学，任意一项其他个人或时代特长。</t>
  </si>
  <si>
    <t>8-25</t>
  </si>
  <si>
    <t>会计，两项社交技能（魅惑、话术、恐吓、说服），格斗（斗殴），聆听，心理学，侦查，任意一项其他个人或时代特长。</t>
  </si>
  <si>
    <t>射击，聆听或侦查，自然，导航，外语或生存（任一），科学（生物学或植物学），潜行，追踪。</t>
  </si>
  <si>
    <t>会计，估价，汽车驾驶，历史，图书馆，母语，外语，一项社交技能（魅惑、话术、恐吓、说服）。</t>
  </si>
  <si>
    <t>汽车驾驶，电子学或电气维修，格斗或射击，一项社交技能（魅惑、话术、恐吓、说服），法律，心理学，追踪，潜行。</t>
  </si>
  <si>
    <t>9-60</t>
  </si>
  <si>
    <t>教育×2＋力量×2</t>
  </si>
  <si>
    <t>闪避，格斗（斗殴），恐吓，跳跃，心理学，侦查，任意两项其他个人或时代特长。</t>
  </si>
  <si>
    <t>会计或估价，技艺（任一：如烹饪、裁缝、理发），急救，聆听，外语，心理学，侦查，任意一项其他个人或时代特长。</t>
  </si>
  <si>
    <t>会计，历史，图书馆，聆听，外语，一项社交技能（魅惑、话术、恐吓、说服），心理学，任意一项其他技能。</t>
  </si>
  <si>
    <t>10-70</t>
  </si>
  <si>
    <t>计算机，电气维修，电子学、图书馆，科学（数学），侦查，任意两项其他个人或时代特长。</t>
  </si>
  <si>
    <t>计算机，电气维修，电子学，图书馆，侦查，一项社交技能（魅惑、话术、恐吓、说服），任意两项其他技能。</t>
  </si>
  <si>
    <t>闪避，格斗或射击，急救或自然，跳跃，骑乘，生存（任一），投掷，追踪。</t>
  </si>
  <si>
    <t>会计，技艺（任二），机械维修，自然，侦查，任意两项其他个人或时代特长。</t>
  </si>
  <si>
    <t>乔装，电气维修，格斗，射击，锁匠，机械维修，潜行，心理学。</t>
  </si>
  <si>
    <t>5-75</t>
  </si>
  <si>
    <t>汽车驾驶，电气维修或机械维修，格斗，射击，恐吓，锁匠，操作重型机械，任意一项其他个人或时代特长。</t>
  </si>
  <si>
    <t>5-30</t>
  </si>
  <si>
    <t>汽车驾驶，格斗，射击，两项社交技能（魅惑、话术、恐吓、说服），心理学，潜行，侦查。</t>
  </si>
  <si>
    <t>5-40</t>
  </si>
  <si>
    <t>估价，攀爬，电气维修或机械维修，聆听，锁匠，妙手，潜行，侦查。</t>
  </si>
  <si>
    <t>10-65</t>
  </si>
  <si>
    <t>估价，技艺（表演），法律或外语，聆听，两项社交技能（魅惑、话术、恐吓、说服），心理学，妙手。</t>
  </si>
  <si>
    <t>5-65</t>
  </si>
  <si>
    <t>技艺（表演）或乔装，估价，一项社交技能（魅惑、话术、恐吓、说服），格斗或射击，锁匠或机械维修，潜行，心理学，侦查。</t>
  </si>
  <si>
    <t>10-80</t>
  </si>
  <si>
    <t>技艺（任意），两项社交技能（魅惑、话术、恐吓、说服），格斗（斗殴）或射击（手枪），汽车驾驶，聆听，潜行，任意一项其他个人或时代特长。</t>
  </si>
  <si>
    <t>会计，估价，技艺（伪造），历史，一项社交技能（魅惑、话术、恐吓、说服），图书馆，侦查，任意一项其他技能。</t>
  </si>
  <si>
    <t>会计，估价，技艺（伪造），历史，图书馆，侦查，妙手，任意一项其他个人或时代特长（如计算机）。</t>
  </si>
  <si>
    <t>射击，聆听，导航，一项社交技能（魅惑、话术、恐吓、说服），汽车驾驶或驾驶（飞行器或船），心理学，妙手，侦查。</t>
  </si>
  <si>
    <t>3-10</t>
  </si>
  <si>
    <t>攀爬，一项社交技能（魅惑、话术、恐吓、说服），格斗，射击，跳跃，妙手，潜行，投掷。</t>
  </si>
  <si>
    <t>会计，两项社交技能（魅惑、话术、恐吓、说服），神秘学，心理学，侦查，任意其他两项其他个人特长。</t>
  </si>
  <si>
    <t>两项社交技能（魅惑、话术、恐吓、说服），汽车驾驶，格斗（斗殴）或射击，历史，神秘学，心理学，潜行。※经KP允许 可用催眠替换其中一项。</t>
  </si>
  <si>
    <t>会计，技艺（摄影），技艺（任一），计算机或图书馆，机械维修，心理学，侦查，任意一项其他个人特长。</t>
  </si>
  <si>
    <t>50-99</t>
  </si>
  <si>
    <t>技艺（任一），射击，外语，骑乘，一项社交技能（魅惑、话术、恐吓、说服），任意三项其他个人或时代特长。</t>
  </si>
  <si>
    <t>潜水，急救，机械维修，驾驶（船），科学（生物），侦查，游泳，任意一项其他个人或时代特长。</t>
  </si>
  <si>
    <t>30-80</t>
  </si>
  <si>
    <t>急救、医学、外语（拉丁文）、心理学、科学（生物学，制药），任两种其他学术或个人特长。</t>
  </si>
  <si>
    <t>0-5</t>
  </si>
  <si>
    <t>教育×2＋外貌或敏捷或力量×2</t>
  </si>
  <si>
    <t>攀爬，跳跃，聆听，导航，一项社交技能（魅惑、话术、恐吓、说服），潜行，任意两项其他个人或时代特长。</t>
  </si>
  <si>
    <t>汽车驾驶，两项社交技能（魅惑、话术、恐吓、说服），聆听，机械维修，导航，侦查，任意一项其他个人或时代特长。</t>
  </si>
  <si>
    <t>会计，汽车驾驶，聆听，一项社交技能（魅惑、话术、恐吓、说服），机械维修，导航，心理学，任意一项其他个人或时代特长。</t>
  </si>
  <si>
    <t>会计，汽车驾驶，电气维修，话术，机械维修，导航，侦查，任意一项其他个人或时代特长。</t>
  </si>
  <si>
    <t>会计，历史，母语，两项社交技能（魅惑、话术、恐吓、说服），心理学，侦查，任意一项其他个人或时代特长。</t>
  </si>
  <si>
    <t>50-90</t>
  </si>
  <si>
    <t>魅惑，历史，恐吓，话术，聆听，母语，说服，心理学。</t>
  </si>
  <si>
    <t>技艺（技术制图），电气维修，图书馆，机械维修，操作重型机械，科学（工程学，物理），任意一项其他个人或时代特长。</t>
  </si>
  <si>
    <t>技艺（表演类，如表演、演唱、喜剧等），乔装，两项社交技能（魅惑、话术、恐吓、说服），聆听，心理学，任意两项其他个人或时代特长。</t>
  </si>
  <si>
    <t>55-80</t>
  </si>
  <si>
    <t>教育×2＋外貌或敏捷或力量×2</t>
  </si>
  <si>
    <t>攀爬或游泳，射击，历史，跳跃，自然，导航，外语，生存。</t>
  </si>
  <si>
    <t>9-30</t>
  </si>
  <si>
    <t>教育×2＋敏捷或力量×2</t>
  </si>
  <si>
    <t>技艺（耕作），汽车驾驶（或运货马车），一项社交技能（魅惑、话术、恐吓、说服），机械维修，自然，操作重型机械，追踪，任意一项其他个人或时代特长</t>
  </si>
  <si>
    <t>20-40</t>
  </si>
  <si>
    <t>教育×4</t>
  </si>
  <si>
    <t>汽车驾驶，格斗（斗殴），射击，法律，说服，潜行，侦查，任意一项其他个人或时代特长。</t>
  </si>
  <si>
    <t>攀爬，闪避，汽车驾驶，急救，跳跃，机械维修，操作重型机械，投掷。</t>
  </si>
  <si>
    <t>10-40</t>
  </si>
  <si>
    <t>历史，外语，母语，聆听，两项社交技能（魅惑、话术、恐吓、说服），心理学，任意一项其他个人或时代特长。</t>
  </si>
  <si>
    <t>40-60</t>
  </si>
  <si>
    <t>8-50</t>
  </si>
  <si>
    <t>会计，技艺（表演），两项社交技能（魅惑、话术、恐吓、说服），聆听，心理学，妙手，侦查。</t>
  </si>
  <si>
    <t>60-95</t>
  </si>
  <si>
    <t>格斗，射击，法律，聆听，两项社交技能（魅惑、话术、恐吓、说服），心理学，侦查。</t>
  </si>
  <si>
    <t>汽车驾驶，格斗，射击，两项社交技能（魅惑、话术、恐吓、说服），心理学，任意两项其他个人或时代特长。</t>
  </si>
  <si>
    <t>40-90</t>
  </si>
  <si>
    <t>技艺（任一），两项社交技能（魅惑、话术、恐吓、说服），射击（步枪/霰弹枪），历史，外语（任一），导航，骑乘。</t>
  </si>
  <si>
    <t>技艺（任一），攀爬，跳跃，聆听，锁匠或妙手，导航，潜行，任意一项其他个人或时代特长。</t>
  </si>
  <si>
    <t>6-15</t>
  </si>
  <si>
    <t>电气维修，一项社交技能（魅惑、话术、恐吓、说服），格斗（斗殴），急救，聆听，机械维修，心理学，潜行。</t>
  </si>
  <si>
    <t>技艺（艺术或摄影），一项社交技能（魅惑、话术、恐吓、说服），历史，图书馆，母语，心理学，任意两项其他个人或时代特长。</t>
  </si>
  <si>
    <t>技艺（表演），历史，聆听，母语，一项社交技能（魅惑、话术、恐吓、说服），心理学，潜行，侦查。</t>
  </si>
  <si>
    <t>50-80</t>
  </si>
  <si>
    <t>历史，恐吓，法律，图书馆，聆听，母语，说服，心理学。</t>
  </si>
  <si>
    <t>计算机或图书馆，电气维修，外语，科学（化学和任意两项），侦查，任意一项其他个人特长。</t>
  </si>
  <si>
    <t>汽车驾驶，电气维修，格斗，急救，机械维修，操作重型机械，投掷，任意一项其他个人或时代特长。</t>
  </si>
  <si>
    <t>攀爬，闪避，格斗（链锯），急救，跳跃，机械维修，自然或科学（生物学或植物学），投掷。</t>
  </si>
  <si>
    <t>攀爬，科学（地质），跳跃，机械维修，操作重型机械，潜行，侦查，任意一项其他个人或时代特长。</t>
  </si>
  <si>
    <t>会计，法律，图书馆，两项社交技能（魅惑、话术、恐吓、说服），心理学，两项其他技能。</t>
  </si>
  <si>
    <t>9-35</t>
  </si>
  <si>
    <t>技艺（木工、焊接、管道工等），攀爬，汽车驾驶，电气维修，机械维修，操作重型机械，任意两项其他个人或时代或技术特长。</t>
  </si>
  <si>
    <t>技艺（任一），急救，机械维修，医学，自然，一项社交技能（魅惑、话术、恐吓、说服），任意两项其他个人或时代特长。</t>
  </si>
  <si>
    <t>会计，估价，考古，历史，图书馆，神秘学，外语，侦查。</t>
  </si>
  <si>
    <t>急救，聆听，医学，一项社交技能（魅惑、话术、恐吓、说服），心理学，科学（生物学，化学），侦查。</t>
  </si>
  <si>
    <t>射击，急救，聆听，自然，导航，侦查，生存（任一），追踪。</t>
  </si>
  <si>
    <t>会计，急救，外语（拉丁文），图书馆，一项社交技能（魅惑、话术、恐吓、说服），心理学，科学（制药，化学）。</t>
  </si>
  <si>
    <t>技艺（摄影），攀爬，一项社交技能（魅惑、话术、恐吓、说服），外语，心理学，科学（化学），任意两项其他个人或时代特长。</t>
  </si>
  <si>
    <t>电气维修，机械维修，导航，操作重型机械，驾驶（飞行器），科学（天文），任意两项其他个人或时代特长。</t>
  </si>
  <si>
    <t>会计，电气维修，聆听，机械维修，导航，驾驶（飞行器），侦查，任意一项其他个人或时代特长。</t>
  </si>
  <si>
    <t>技艺（表演）或乔装，射击，法律，聆听，一项社交技能（魅惑、话术、恐吓、说服），心理学，侦查，一项其他技能。</t>
  </si>
  <si>
    <t>格斗（斗殴），射击，急救，一项社交技能（魅惑、话术、恐吓、说服），法律，心理学，侦查和下面的一种个人特长：汽车驾驶或骑乘。</t>
  </si>
  <si>
    <t>技艺（摄影），乔装，法律，图书馆，一项社交技能（魅惑、话术、恐吓、说服），心理学，侦查，一项其他个人或时代特长（如计算机、锁匠、格斗、射击）。</t>
  </si>
  <si>
    <t>图书馆，外语，母语，心理学，任意四项其他学术、时代或个人特长。</t>
  </si>
  <si>
    <t>0-10</t>
  </si>
  <si>
    <t>技艺（任一），两项社交技能（魅惑、话术、恐吓、说服），闪避，心理学，妙手，潜行，任意一项其他个人或时代特长。</t>
  </si>
  <si>
    <t>外语，聆听，医学，说服，精神分析，心理学，科学（生物学，化学）。</t>
  </si>
  <si>
    <t>会计，图书馆，聆听，说服，精神分析，心理学，任意两项其他学术、个人或时代特长。</t>
  </si>
  <si>
    <t>电工或机械维修，格斗，射击，急救，导航，驾驶（船），生存（海上），游泳。</t>
  </si>
  <si>
    <t>会计，两项社交技能（魅惑、话术、恐吓、说服），汽车驾驶，聆听，心理学，潜行或妙手，一项其他技能。</t>
  </si>
  <si>
    <t>会计，技艺（打字或速记），两项社交技能（魅惑、话术、恐吓、说服），母语，图书馆或计算机，心理学，任意一项其他个人或时代特长。</t>
  </si>
  <si>
    <t>攀爬或游泳，闪避，格斗，射击，潜行，生存，下面任选两项：急救、机械维修、外语。</t>
  </si>
  <si>
    <t>语言（母语或外语），图书馆，聆听，三个学习的专业，任意两项其他个人或时代特长。</t>
  </si>
  <si>
    <t>攀爬，格斗或投掷，聆听，自然，神秘学，侦查，游泳，生存（任一）。</t>
  </si>
  <si>
    <t>会计，两项社交技能（魅惑、话术、恐吓、说服），格斗（斗殴），法律，聆听，操作重型机械，心理学。</t>
  </si>
  <si>
    <t>会计，语言，法律，图书馆或计算机，聆听，一项社交技能（魅惑、话术、恐吓、说服），任意两项其他个人或时代特长。</t>
  </si>
  <si>
    <t>20-80</t>
  </si>
  <si>
    <t>会计，外语，法律，两项社交技能（魅惑、话术、恐吓、说服），心理学，任意两项其他个人或时代特长。</t>
  </si>
  <si>
    <t>0-30</t>
  </si>
  <si>
    <t>教育×2＋外貌或意志×2</t>
  </si>
  <si>
    <t>历史，两项社交技能（魅惑、话术、恐吓、说服），心理学，潜行，任意三项其他个人或时代特长。</t>
  </si>
  <si>
    <t>9-40</t>
  </si>
  <si>
    <t>驯兽，会计，闪避，急救，自然，医学，科学（制药，动物学）。</t>
  </si>
  <si>
    <t>人类学，历史，图书馆，一项社交技能（魅惑、话术、恐吓、说服），神秘学，外语，科学（天文），任意一项其他个人或时代特长 ※经KP允许 可以包含克苏鲁神话</t>
  </si>
  <si>
    <t>自定义职业本职技能</t>
  </si>
  <si>
    <t>无</t>
  </si>
  <si>
    <t>武器列表</t>
  </si>
  <si>
    <t>其他武器技能</t>
  </si>
  <si>
    <t>绞具</t>
  </si>
  <si>
    <t>基于1.6.1原版开始更新
添加信誉参照表，信用评级去除兴趣点加点</t>
  </si>
  <si>
    <t>演员-戏剧演员</t>
  </si>
  <si>
    <t>演员-电影演员</t>
  </si>
  <si>
    <t>事务所侦探、保安</t>
  </si>
  <si>
    <t>精神病医生（古典）</t>
  </si>
  <si>
    <t>动物训练师</t>
  </si>
  <si>
    <t>文物学家（原作向）</t>
  </si>
  <si>
    <t>古董商</t>
  </si>
  <si>
    <t>考古学家（原作向）</t>
  </si>
  <si>
    <t>建筑师</t>
  </si>
  <si>
    <t>艺术家</t>
  </si>
  <si>
    <t>精神病院看护</t>
  </si>
  <si>
    <t>运动员</t>
  </si>
  <si>
    <t>作家（原作向）</t>
  </si>
  <si>
    <t>酒保</t>
  </si>
  <si>
    <t>猎人</t>
  </si>
  <si>
    <t>书商</t>
  </si>
  <si>
    <t>赏金猎人</t>
  </si>
  <si>
    <t>拳击手、摔跤手</t>
  </si>
  <si>
    <t>管家、男仆、女仆</t>
  </si>
  <si>
    <t>神职人员</t>
  </si>
  <si>
    <t>程序员、电子工程师（现代）</t>
  </si>
  <si>
    <t>黑客/骇客（现代）</t>
  </si>
  <si>
    <t>牛仔</t>
  </si>
  <si>
    <t>工匠</t>
  </si>
  <si>
    <t>罪犯-刺客</t>
  </si>
  <si>
    <t>罪犯-银行劫匪</t>
  </si>
  <si>
    <t>罪犯-打手、暴徒</t>
  </si>
  <si>
    <t>罪犯-窃贼</t>
  </si>
  <si>
    <t>罪犯-欺诈师</t>
  </si>
  <si>
    <t>罪犯-独行罪犯</t>
  </si>
  <si>
    <t>罪犯-女飞贼（古典）</t>
  </si>
  <si>
    <t>罪犯-赃物贩子</t>
  </si>
  <si>
    <t>罪犯-赝造者</t>
  </si>
  <si>
    <t>罪犯-走私者</t>
  </si>
  <si>
    <t>罪犯-混混</t>
  </si>
  <si>
    <t>教团首领</t>
  </si>
  <si>
    <t>除魅师（现代）</t>
  </si>
  <si>
    <t>设计师</t>
  </si>
  <si>
    <t>业余艺术爱好者（原作向）</t>
  </si>
  <si>
    <t>潜水员</t>
  </si>
  <si>
    <t>医生（原作向）</t>
  </si>
  <si>
    <t>流浪者</t>
  </si>
  <si>
    <t>司机-私人司机</t>
  </si>
  <si>
    <t>司机-司机</t>
  </si>
  <si>
    <t>司机-出租车司机</t>
  </si>
  <si>
    <t>编辑</t>
  </si>
  <si>
    <t>政府官员</t>
  </si>
  <si>
    <t>工程师</t>
  </si>
  <si>
    <t>艺人</t>
  </si>
  <si>
    <t>探险家（古典）</t>
  </si>
  <si>
    <t>农民</t>
  </si>
  <si>
    <t>联邦探员</t>
  </si>
  <si>
    <t>消防员</t>
  </si>
  <si>
    <t>驻外记者</t>
  </si>
  <si>
    <t>法医</t>
  </si>
  <si>
    <t>赌徒</t>
  </si>
  <si>
    <t>黑帮-黑帮老大</t>
  </si>
  <si>
    <t>黑帮-马仔</t>
  </si>
  <si>
    <t>绅士、淑女</t>
  </si>
  <si>
    <t>游民</t>
  </si>
  <si>
    <t>勤杂护工</t>
  </si>
  <si>
    <t>记者(原作向)-调查记者</t>
  </si>
  <si>
    <t>记者(原作向)-通讯记者</t>
  </si>
  <si>
    <t>法官</t>
  </si>
  <si>
    <t>实验室助理</t>
  </si>
  <si>
    <t>工人-非熟练工人</t>
  </si>
  <si>
    <t>工人-伐木工</t>
  </si>
  <si>
    <t>工人-矿工</t>
  </si>
  <si>
    <t>律师</t>
  </si>
  <si>
    <t>图书馆管理员（原作向）</t>
  </si>
  <si>
    <t>技师</t>
  </si>
  <si>
    <t>军官</t>
  </si>
  <si>
    <t>传教士</t>
  </si>
  <si>
    <t>登山家</t>
  </si>
  <si>
    <t>博物馆管理员</t>
  </si>
  <si>
    <t>音乐家</t>
  </si>
  <si>
    <t>护士</t>
  </si>
  <si>
    <t>神秘学家</t>
  </si>
  <si>
    <t>旅行家</t>
  </si>
  <si>
    <t>超心理学家</t>
  </si>
  <si>
    <t>药剂师</t>
  </si>
  <si>
    <t>摄影师-摄影师</t>
  </si>
  <si>
    <t>摄影师-摄影记者</t>
  </si>
  <si>
    <t>飞行员-飞行员</t>
  </si>
  <si>
    <t>飞行员-特技飞行员（古典）</t>
  </si>
  <si>
    <t>警方(原作向)-巡警</t>
  </si>
  <si>
    <t>私家侦探</t>
  </si>
  <si>
    <t>教授（原作向）</t>
  </si>
  <si>
    <t>淘金客</t>
  </si>
  <si>
    <t>性工作者</t>
  </si>
  <si>
    <t>精神病学家</t>
  </si>
  <si>
    <t>心理学家、精神分析学家</t>
  </si>
  <si>
    <t>研究员</t>
  </si>
  <si>
    <t>海员-军舰海员</t>
  </si>
  <si>
    <t>海员-民船海员</t>
  </si>
  <si>
    <t>推销员</t>
  </si>
  <si>
    <t>科学家</t>
  </si>
  <si>
    <t>秘书</t>
  </si>
  <si>
    <t>店老板</t>
  </si>
  <si>
    <t>士兵、海军陆战队士兵</t>
  </si>
  <si>
    <t>间谍</t>
  </si>
  <si>
    <t>学生、实习生</t>
  </si>
  <si>
    <t>替身演员</t>
  </si>
  <si>
    <t>部落成员</t>
  </si>
  <si>
    <t>殡葬师</t>
  </si>
  <si>
    <t>工会活动家</t>
  </si>
  <si>
    <t>服务生</t>
  </si>
  <si>
    <t>白领工人-职员、主管</t>
  </si>
  <si>
    <t>白领工人-中高层管理人员</t>
  </si>
  <si>
    <t>狂热者</t>
  </si>
  <si>
    <t>饲养员</t>
  </si>
  <si>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rgb="FFED7B30"/>
        <rFont val="黑体"/>
        <family val="3"/>
        <charset val="134"/>
      </rPr>
      <t>4.修复人物卡保护状态下无法插入头像问题</t>
    </r>
  </si>
  <si>
    <r>
      <rPr>
        <b/>
        <sz val="11"/>
        <color rgb="FF000000"/>
        <rFont val="黑体"/>
        <family val="3"/>
        <charset val="134"/>
      </rPr>
      <t>此版本修正</t>
    </r>
    <r>
      <rPr>
        <sz val="11"/>
        <color rgb="FF000000"/>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rgb="FF000000"/>
        <rFont val="黑体"/>
        <family val="3"/>
        <charset val="134"/>
      </rPr>
      <t xml:space="preserve">
</t>
    </r>
    <r>
      <rPr>
        <b/>
        <sz val="11"/>
        <color rgb="FF000000"/>
        <rFont val="黑体"/>
        <family val="3"/>
        <charset val="134"/>
      </rPr>
      <t>人物卡变更</t>
    </r>
    <r>
      <rPr>
        <sz val="11"/>
        <color rgb="FF000000"/>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rgb="FF000000"/>
        <rFont val="黑体"/>
        <family val="3"/>
        <charset val="134"/>
      </rPr>
      <t>职业列表变更</t>
    </r>
    <r>
      <rPr>
        <sz val="11"/>
        <color rgb="FF000000"/>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rgb="FF000000"/>
        <rFont val="黑体"/>
        <family val="3"/>
        <charset val="134"/>
      </rPr>
      <t>属性与掷骰变更</t>
    </r>
    <r>
      <rPr>
        <sz val="11"/>
        <color rgb="FF000000"/>
        <rFont val="黑体"/>
        <family val="3"/>
        <charset val="134"/>
      </rPr>
      <t xml:space="preserve">
1.添加部分机型刷新姿势文字描述
</t>
    </r>
    <r>
      <rPr>
        <b/>
        <sz val="11"/>
        <color rgb="FF000000"/>
        <rFont val="黑体"/>
        <family val="3"/>
        <charset val="134"/>
      </rPr>
      <t>武器列表变更</t>
    </r>
    <r>
      <rPr>
        <sz val="11"/>
        <color rgb="FF000000"/>
        <rFont val="黑体"/>
        <family val="3"/>
        <charset val="134"/>
      </rPr>
      <t xml:space="preserve">
1.变更武器列表表格样式
</t>
    </r>
    <r>
      <rPr>
        <b/>
        <sz val="11"/>
        <color rgb="FF000000"/>
        <rFont val="黑体"/>
        <family val="3"/>
        <charset val="134"/>
      </rPr>
      <t>分支技能列表变更</t>
    </r>
    <r>
      <rPr>
        <sz val="11"/>
        <color rgb="FF000000"/>
        <rFont val="黑体"/>
        <family val="3"/>
        <charset val="134"/>
      </rPr>
      <t xml:space="preserve">
1.补充艺术与手艺部分技能
2.删除特殊技能列表，六项技能直接添加至技能表
</t>
    </r>
    <r>
      <rPr>
        <b/>
        <sz val="11"/>
        <color rgb="FF000000"/>
        <rFont val="黑体"/>
        <family val="3"/>
        <charset val="134"/>
      </rPr>
      <t>更新说明变更</t>
    </r>
    <r>
      <rPr>
        <sz val="11"/>
        <color rgb="FF000000"/>
        <rFont val="黑体"/>
        <family val="3"/>
        <charset val="134"/>
      </rPr>
      <t xml:space="preserve">
1.修改表格样式</t>
    </r>
  </si>
  <si>
    <t>最终结果</t>
  </si>
  <si>
    <t>判断结果</t>
  </si>
  <si>
    <t>潜水</t>
  </si>
  <si>
    <t>爆破</t>
  </si>
  <si>
    <t>读唇</t>
  </si>
  <si>
    <t>催眠</t>
  </si>
  <si>
    <t>炮术</t>
  </si>
  <si>
    <t>外语②</t>
  </si>
  <si>
    <t>母语</t>
  </si>
  <si>
    <t>追踪</t>
  </si>
  <si>
    <t>美术</t>
  </si>
  <si>
    <t>歌剧歌唱</t>
  </si>
  <si>
    <t>理发</t>
  </si>
  <si>
    <t>木匠</t>
  </si>
  <si>
    <t>写作</t>
  </si>
  <si>
    <t>莫里斯舞</t>
  </si>
  <si>
    <t>粉刷匠与油漆工</t>
  </si>
  <si>
    <t>舞蹈</t>
  </si>
  <si>
    <t>伪造</t>
  </si>
  <si>
    <t>技术制图</t>
  </si>
  <si>
    <t>打字</t>
  </si>
  <si>
    <t>速记</t>
  </si>
  <si>
    <t>规则书及本职提及技能</t>
  </si>
  <si>
    <t>自设技能</t>
  </si>
  <si>
    <t>1.8.2</t>
  </si>
  <si>
    <t>1.8.3</t>
  </si>
  <si>
    <t>1.增加4个可自设技能。设置自设技能提示标记，优化自设技能成功率函数。
2.分支技艺技能优化
3.大失败添加规则说明及房规说法
4.神话相关划分单元格</t>
  </si>
  <si>
    <t>100/96+</t>
  </si>
  <si>
    <t>快速参考规则</t>
  </si>
  <si>
    <t>1.8.4</t>
  </si>
  <si>
    <t>技能</t>
  </si>
  <si>
    <t>右侧下拉框选择自定义职业技能（excel2007及以下不适用）不使用时请修改回“无”</t>
  </si>
  <si>
    <t>1.8.1最终版（理论上，仍有建议请联系QQ：2753342070）</t>
  </si>
  <si>
    <t>战斗</t>
  </si>
  <si>
    <t>知识</t>
  </si>
  <si>
    <t>交流</t>
  </si>
  <si>
    <t>技能</t>
  </si>
  <si>
    <t>医疗</t>
  </si>
  <si>
    <t>探索</t>
  </si>
  <si>
    <t>维度</t>
  </si>
  <si>
    <t>点数</t>
  </si>
  <si>
    <t>技能栏</t>
  </si>
  <si>
    <t>名称</t>
  </si>
  <si>
    <t>值</t>
  </si>
  <si>
    <t>合计</t>
  </si>
  <si>
    <t>暂无</t>
  </si>
  <si>
    <t>思想/信念</t>
  </si>
  <si>
    <t>特点</t>
  </si>
  <si>
    <t>恐惧症/狂躁症</t>
  </si>
  <si>
    <t>伤口/疤痕</t>
  </si>
  <si>
    <t>无</t>
  </si>
  <si>
    <t>技能数</t>
  </si>
  <si>
    <t>自设</t>
  </si>
  <si>
    <t>姓名</t>
  </si>
  <si>
    <t>移动力</t>
  </si>
  <si>
    <t>体力</t>
  </si>
  <si>
    <t>魔法</t>
  </si>
  <si>
    <t>技能列表</t>
  </si>
  <si>
    <t>物品栏</t>
  </si>
  <si>
    <t>武器</t>
  </si>
  <si>
    <t>种类</t>
  </si>
  <si>
    <t>故障率</t>
  </si>
  <si>
    <t>1.修正投掷、追踪技能不消耗技能点的问题</t>
  </si>
  <si>
    <t>1.8.5</t>
  </si>
  <si>
    <t>技艺②</t>
  </si>
  <si>
    <t>乔装</t>
  </si>
  <si>
    <t>警方(原作向)-警探</t>
  </si>
  <si>
    <t>克苏鲁神话</t>
  </si>
  <si>
    <t>第三类接触</t>
  </si>
  <si>
    <t>身体状态</t>
  </si>
  <si>
    <t>精神状态</t>
  </si>
  <si>
    <r>
      <rPr>
        <b/>
        <sz val="11"/>
        <color rgb="FF000000"/>
        <rFont val="黑体"/>
        <family val="3"/>
        <charset val="134"/>
      </rPr>
      <t>人物卡变更</t>
    </r>
    <r>
      <rPr>
        <sz val="11"/>
        <color rgb="FF000000"/>
        <rFont val="黑体"/>
        <family val="3"/>
        <charset val="134"/>
      </rPr>
      <t xml:space="preserve">
1.</t>
    </r>
    <r>
      <rPr>
        <sz val="11"/>
        <color rgb="FFFF0000"/>
        <rFont val="黑体"/>
        <family val="3"/>
        <charset val="134"/>
      </rPr>
      <t>快速参考规则</t>
    </r>
    <r>
      <rPr>
        <sz val="11"/>
        <color rgb="FF000000"/>
        <rFont val="黑体"/>
        <family val="3"/>
        <charset val="134"/>
      </rPr>
      <t>-技能检定“大成功”、“大失败”部分内容修改回规则，备注留存泛大陆房规内容
2.</t>
    </r>
    <r>
      <rPr>
        <sz val="11"/>
        <color rgb="FFFF0000"/>
        <rFont val="黑体"/>
        <family val="3"/>
        <charset val="134"/>
      </rPr>
      <t>技能</t>
    </r>
    <r>
      <rPr>
        <sz val="11"/>
        <color rgb="FF000000"/>
        <rFont val="黑体"/>
        <family val="3"/>
        <charset val="134"/>
      </rPr>
      <t>-优化自设技能函数
3.</t>
    </r>
    <r>
      <rPr>
        <sz val="11"/>
        <color rgb="FFFF0000"/>
        <rFont val="黑体"/>
        <family val="3"/>
        <charset val="134"/>
      </rPr>
      <t>资产</t>
    </r>
    <r>
      <rPr>
        <sz val="11"/>
        <color rgb="FF000000"/>
        <rFont val="黑体"/>
        <family val="3"/>
        <charset val="134"/>
      </rPr>
      <t>-取消当前现金，补加“其他资产”
4.增加</t>
    </r>
    <r>
      <rPr>
        <sz val="11"/>
        <color rgb="FFFF0000"/>
        <rFont val="黑体"/>
        <family val="3"/>
        <charset val="134"/>
      </rPr>
      <t>雷达图</t>
    </r>
    <r>
      <rPr>
        <sz val="11"/>
        <color rgb="FF000000"/>
        <rFont val="黑体"/>
        <family val="3"/>
        <charset val="134"/>
      </rPr>
      <t xml:space="preserve">“属性”、“技能”
</t>
    </r>
    <r>
      <rPr>
        <b/>
        <sz val="11"/>
        <color rgb="FF000000"/>
        <rFont val="黑体"/>
        <family val="3"/>
        <charset val="134"/>
      </rPr>
      <t>属性与掷骰变更</t>
    </r>
    <r>
      <rPr>
        <sz val="11"/>
        <color rgb="FF000000"/>
        <rFont val="黑体"/>
        <family val="3"/>
        <charset val="134"/>
      </rPr>
      <t xml:space="preserve">
1.</t>
    </r>
    <r>
      <rPr>
        <sz val="11"/>
        <color rgb="FFFF0000"/>
        <rFont val="黑体"/>
        <family val="3"/>
        <charset val="134"/>
      </rPr>
      <t>幸运#2</t>
    </r>
    <r>
      <rPr>
        <sz val="11"/>
        <color rgb="FF000000"/>
        <rFont val="黑体"/>
        <family val="3"/>
        <charset val="134"/>
      </rPr>
      <t xml:space="preserve">添加说明
</t>
    </r>
    <r>
      <rPr>
        <b/>
        <sz val="11"/>
        <color rgb="FF000000"/>
        <rFont val="黑体"/>
        <family val="3"/>
        <charset val="134"/>
      </rPr>
      <t>疯狂表变更</t>
    </r>
    <r>
      <rPr>
        <sz val="11"/>
        <color rgb="FF000000"/>
        <rFont val="黑体"/>
        <family val="3"/>
        <charset val="134"/>
      </rPr>
      <t xml:space="preserve">
1.保护工作表解锁
</t>
    </r>
    <r>
      <rPr>
        <b/>
        <sz val="11"/>
        <color rgb="FF000000"/>
        <rFont val="黑体"/>
        <family val="3"/>
        <charset val="134"/>
      </rPr>
      <t>信誉参照表变更</t>
    </r>
    <r>
      <rPr>
        <sz val="11"/>
        <color rgb="FF000000"/>
        <rFont val="黑体"/>
        <family val="3"/>
        <charset val="134"/>
      </rPr>
      <t xml:space="preserve">
1.调整排版
</t>
    </r>
    <r>
      <rPr>
        <b/>
        <sz val="11"/>
        <color rgb="FF000000"/>
        <rFont val="黑体"/>
        <family val="3"/>
        <charset val="134"/>
      </rPr>
      <t xml:space="preserve">其他
</t>
    </r>
    <r>
      <rPr>
        <sz val="11"/>
        <color rgb="FF000000"/>
        <rFont val="黑体"/>
        <family val="3"/>
        <charset val="134"/>
      </rPr>
      <t>修改了一些文本</t>
    </r>
  </si>
  <si>
    <t>无</t>
  </si>
  <si>
    <t>技艺</t>
  </si>
  <si>
    <t>1.8.6</t>
  </si>
  <si>
    <t>★</t>
  </si>
  <si>
    <r>
      <rPr>
        <b/>
        <sz val="11"/>
        <color rgb="FF000000"/>
        <rFont val="黑体"/>
        <family val="3"/>
        <charset val="134"/>
      </rPr>
      <t>人物卡变更</t>
    </r>
    <r>
      <rPr>
        <sz val="11"/>
        <color rgb="FF000000"/>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</si>
  <si>
    <t>格斗：</t>
  </si>
  <si>
    <t>生物学</t>
  </si>
  <si>
    <t>吹制玻璃管</t>
  </si>
  <si>
    <t>必须以本职技能点加至范围下限才可以分配兴趣技能点。</t>
  </si>
  <si>
    <t>古籍、魔法相关</t>
  </si>
  <si>
    <t>体型
SIZ</t>
  </si>
  <si>
    <t>外貌
APP</t>
  </si>
  <si>
    <t>体质
CON</t>
  </si>
  <si>
    <t>意志
POW</t>
  </si>
  <si>
    <t>敏捷
DEX</t>
  </si>
  <si>
    <t>力量
STR</t>
  </si>
  <si>
    <t>页码以规则书左下角为准，邮件确认部分爱信不信，事实如此。有其他争议内容请留言</t>
  </si>
  <si>
    <t>学问：</t>
  </si>
  <si>
    <t>按[F9]刷新（或按[Fn+F9]）。移动设备WPS选择[菜单]-[数据]-[全部重算]。</t>
  </si>
  <si>
    <t>外语（拉丁文），图书馆，医学，说服，科学（生物学，司法科学，制药），侦查。</t>
  </si>
  <si>
    <t>推荐使用excel2010及以后版本打开本卡（07及以前版本无法使用全部下拉框，手机wps点击[审阅]-[保护工作表]方可使用下拉框）</t>
  </si>
  <si>
    <t>科学②</t>
  </si>
  <si>
    <t>科学③</t>
  </si>
  <si>
    <t>1.8.7</t>
  </si>
  <si>
    <t>无论疯狂是处于临时性还是不定性中，它们都将经过游戏中的三个阶段:
1.疯狂发作(战斗时发作选择即时症状，远离同伴发作选择总结症状)
2.潜在疯狂
3.恢复与治疗</t>
  </si>
  <si>
    <t>1.8.8</t>
  </si>
  <si>
    <t>快速车卡教程（误）</t>
  </si>
  <si>
    <t>备注</t>
  </si>
  <si>
    <t>建议</t>
  </si>
  <si>
    <t>备忘录（以后再说）</t>
  </si>
  <si>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</si>
  <si>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 xml:space="preserve">1.邮件作者确认
2.邮件作者确认
3.邮件作者确认
</t>
  </si>
  <si>
    <t>1.规则书第82页
2.规则书第140页与第125页
3.规则书第2页
4.规则书第150页</t>
  </si>
  <si>
    <t>整理FAQ</t>
  </si>
  <si>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</si>
  <si>
    <t>1.更接近社会人类学/民俗学
2.比如roll点
3.宰鸽宰鹉
4.美图秀秀和素颜的区别，因KP而异
5.玩家应该理性看待自身角色所遭受的境地
6.脱离：找kp商量退团</t>
  </si>
  <si>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</si>
  <si>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教育×4</t>
  </si>
  <si>
    <t>教育×2＋敏捷×2</t>
  </si>
  <si>
    <t>教育×2＋力量或敏捷×2</t>
  </si>
  <si>
    <t>教育×2+敏捷或力量×2</t>
  </si>
  <si>
    <t>教育×2＋敏捷或力量×2</t>
  </si>
  <si>
    <t>教育×2＋力量×2</t>
  </si>
  <si>
    <t>教育×2＋外貌×2</t>
  </si>
  <si>
    <t>教育×2＋敏捷或外貌×2</t>
  </si>
  <si>
    <t>教育×2＋外貌或敏捷×2</t>
  </si>
  <si>
    <t>裁缝</t>
  </si>
  <si>
    <t>酿酒</t>
  </si>
  <si>
    <t>捕鱼</t>
  </si>
  <si>
    <t>雕塑</t>
  </si>
  <si>
    <t>杂技</t>
  </si>
  <si>
    <t>[技艺]自设技能部分属于额外添加，本意是为了更好的扮演而服务，可联系QQ:2753342070或在爱桌游网bbs.lovezhuoyou.com跑团小组回复留言添加技艺自设技能及说明。</t>
  </si>
  <si>
    <t>爱桌游网bbs.lovezhuoyou.com</t>
  </si>
  <si>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rgb="FF000000"/>
        <rFont val="黑体"/>
        <family val="3"/>
        <charset val="134"/>
      </rPr>
      <t xml:space="preserve">
</t>
    </r>
    <r>
      <rPr>
        <sz val="11"/>
        <color rgb="FF171616"/>
        <rFont val="黑体"/>
        <family val="3"/>
        <charset val="134"/>
      </rPr>
      <t>1.人物卡幸运计入[合计]
2.修正15-19岁教育鉴定说明内容</t>
    </r>
  </si>
  <si>
    <r>
      <rPr>
        <b/>
        <sz val="11"/>
        <color rgb="FF000000"/>
        <rFont val="黑体"/>
        <family val="3"/>
        <charset val="134"/>
      </rPr>
      <t>人物卡变更</t>
    </r>
    <r>
      <rPr>
        <sz val="11"/>
        <color rgb="FF000000"/>
        <rFont val="黑体"/>
        <family val="3"/>
        <charset val="134"/>
      </rPr>
      <t xml:space="preserve">
1.修正</t>
    </r>
    <r>
      <rPr>
        <sz val="11"/>
        <color rgb="FFFF0000"/>
        <rFont val="黑体"/>
        <family val="3"/>
        <charset val="134"/>
      </rPr>
      <t>MOV调整值</t>
    </r>
    <r>
      <rPr>
        <sz val="11"/>
        <color rgb="FF000000"/>
        <rFont val="黑体"/>
        <family val="3"/>
        <charset val="134"/>
      </rPr>
      <t>不变化问题
2.修正</t>
    </r>
    <r>
      <rPr>
        <sz val="11"/>
        <color rgb="FFFF0000"/>
        <rFont val="黑体"/>
        <family val="3"/>
        <charset val="134"/>
      </rPr>
      <t>背景故事</t>
    </r>
    <r>
      <rPr>
        <sz val="11"/>
        <color rgb="FF000000"/>
        <rFont val="黑体"/>
        <family val="3"/>
        <charset val="134"/>
      </rPr>
      <t>非自动换行问题
3.去除</t>
    </r>
    <r>
      <rPr>
        <sz val="11"/>
        <color rgb="FFFF0000"/>
        <rFont val="黑体"/>
        <family val="3"/>
        <charset val="134"/>
      </rPr>
      <t>射击格斗</t>
    </r>
    <r>
      <rPr>
        <sz val="11"/>
        <color rgb="FF000000"/>
        <rFont val="黑体"/>
        <family val="3"/>
        <charset val="134"/>
      </rPr>
      <t>可选斗殴和手枪的情况，请直接在斗殴和手枪上进行加点
4.修正</t>
    </r>
    <r>
      <rPr>
        <sz val="11"/>
        <color rgb="FFFF0000"/>
        <rFont val="黑体"/>
        <family val="3"/>
        <charset val="134"/>
      </rPr>
      <t>资产</t>
    </r>
    <r>
      <rPr>
        <sz val="11"/>
        <color rgb="FF000000"/>
        <rFont val="黑体"/>
        <family val="3"/>
        <charset val="134"/>
      </rPr>
      <t>非自动换行问题
5.添加</t>
    </r>
    <r>
      <rPr>
        <sz val="11"/>
        <color rgb="FFFF0000"/>
        <rFont val="黑体"/>
        <family val="3"/>
        <charset val="134"/>
      </rPr>
      <t>wps下拉框</t>
    </r>
    <r>
      <rPr>
        <sz val="11"/>
        <color rgb="FF000000"/>
        <rFont val="黑体"/>
        <family val="3"/>
        <charset val="134"/>
      </rPr>
      <t>指导
6.</t>
    </r>
    <r>
      <rPr>
        <sz val="11"/>
        <color rgb="FFFF0000"/>
        <rFont val="黑体"/>
        <family val="3"/>
        <charset val="134"/>
      </rPr>
      <t>雷达图</t>
    </r>
    <r>
      <rPr>
        <sz val="11"/>
        <color rgb="FF000000"/>
        <rFont val="黑体"/>
        <family val="3"/>
        <charset val="134"/>
      </rPr>
      <t>调整
7.部分提示变更增加为</t>
    </r>
    <r>
      <rPr>
        <sz val="11"/>
        <color rgb="FFFF0000"/>
        <rFont val="黑体"/>
        <family val="3"/>
        <charset val="134"/>
      </rPr>
      <t xml:space="preserve">批注
</t>
    </r>
    <r>
      <rPr>
        <sz val="11"/>
        <color rgb="FF000000"/>
        <rFont val="黑体"/>
        <family val="3"/>
        <charset val="134"/>
      </rPr>
      <t>8.</t>
    </r>
    <r>
      <rPr>
        <sz val="11"/>
        <color rgb="FFFF0000"/>
        <rFont val="黑体"/>
        <family val="3"/>
        <charset val="134"/>
      </rPr>
      <t>驾驶</t>
    </r>
    <r>
      <rPr>
        <sz val="11"/>
        <color rgb="FF000000"/>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rgb="FF000000"/>
        <rFont val="黑体"/>
        <family val="3"/>
        <charset val="134"/>
      </rPr>
      <t xml:space="preserve">
</t>
    </r>
    <r>
      <rPr>
        <b/>
        <sz val="11"/>
        <color rgb="FF000000"/>
        <rFont val="黑体"/>
        <family val="3"/>
        <charset val="134"/>
      </rPr>
      <t>分支技能变更</t>
    </r>
    <r>
      <rPr>
        <sz val="11"/>
        <color rgb="FF000000"/>
        <rFont val="黑体"/>
        <family val="3"/>
        <charset val="134"/>
      </rPr>
      <t xml:space="preserve">
1.补充</t>
    </r>
    <r>
      <rPr>
        <sz val="11"/>
        <color rgb="FFFF0000"/>
        <rFont val="黑体"/>
        <family val="3"/>
        <charset val="134"/>
      </rPr>
      <t>吹制玻璃管</t>
    </r>
    <r>
      <rPr>
        <sz val="11"/>
        <color rgb="FF000000"/>
        <rFont val="黑体"/>
        <family val="3"/>
        <charset val="134"/>
      </rPr>
      <t xml:space="preserve">(吹真空管)说明
</t>
    </r>
    <r>
      <rPr>
        <b/>
        <sz val="11"/>
        <color rgb="FF000000"/>
        <rFont val="黑体"/>
        <family val="3"/>
        <charset val="134"/>
      </rPr>
      <t>其他</t>
    </r>
    <r>
      <rPr>
        <sz val="11"/>
        <color rgb="FF000000"/>
        <rFont val="黑体"/>
        <family val="3"/>
        <charset val="134"/>
      </rPr>
      <t xml:space="preserve">
增加FAQ区域，有想法请留言
</t>
    </r>
  </si>
  <si>
    <t>1.8.9</t>
  </si>
  <si>
    <t>规则书细节</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</si>
  <si>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</si>
  <si>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攀爬，闪避，电气维修或机械维修，格斗，急救，跳跃，游泳，下面任选一项：潜水、汽车驾驶、驾驶（任一）、骑乘。</t>
  </si>
  <si>
    <t>生存：</t>
  </si>
  <si>
    <t>2018年</t>
  </si>
  <si>
    <t>2017年</t>
  </si>
  <si>
    <t xml:space="preserve">1.可插入头像
2.删除txt导出
3.添加初始理智值,当填写意志属性值后，初始理智值会随之变动
4.添加输入自定义武器名称栏
5.原武器栏变更为类型栏，可进行选择
</t>
  </si>
  <si>
    <r>
      <rPr>
        <b/>
        <sz val="11"/>
        <color rgb="FF171616"/>
        <rFont val="黑体"/>
        <family val="3"/>
        <charset val="134"/>
      </rPr>
      <t>人物卡变更</t>
    </r>
    <r>
      <rPr>
        <sz val="11"/>
        <color rgb="FF171616"/>
        <rFont val="黑体"/>
        <family val="3"/>
        <charset val="134"/>
      </rPr>
      <t xml:space="preserve">
1.新增</t>
    </r>
    <r>
      <rPr>
        <sz val="11"/>
        <color rgb="FFFF0000"/>
        <rFont val="黑体"/>
        <family val="3"/>
        <charset val="134"/>
      </rPr>
      <t>.st指令复制区</t>
    </r>
    <r>
      <rPr>
        <sz val="11"/>
        <color rgb="FF171616"/>
        <rFont val="黑体"/>
        <family val="3"/>
        <charset val="134"/>
      </rPr>
      <t>，用于骰娘导入数据
  备注：因为特殊原因，该功能</t>
    </r>
    <r>
      <rPr>
        <sz val="11"/>
        <color rgb="FF7030A0"/>
        <rFont val="黑体"/>
        <family val="3"/>
        <charset val="134"/>
      </rPr>
      <t>在电脑端建议使用xlsm格式，在手机端仅能使用xlsx格式</t>
    </r>
    <r>
      <rPr>
        <sz val="11"/>
        <color rgb="FF171616"/>
        <rFont val="黑体"/>
        <family val="3"/>
        <charset val="134"/>
      </rPr>
      <t xml:space="preserve">
2.新增任意特长的</t>
    </r>
    <r>
      <rPr>
        <sz val="11"/>
        <color rgb="FFFF0000"/>
        <rFont val="黑体"/>
        <family val="3"/>
        <charset val="134"/>
      </rPr>
      <t>本职技能选择区</t>
    </r>
    <r>
      <rPr>
        <sz val="11"/>
        <color rgb="FF171616"/>
        <rFont val="黑体"/>
        <family val="3"/>
        <charset val="134"/>
      </rPr>
      <t xml:space="preserve">，用于添加本职标记
</t>
    </r>
    <r>
      <rPr>
        <b/>
        <sz val="11"/>
        <color rgb="FF171616"/>
        <rFont val="黑体"/>
        <family val="3"/>
        <charset val="134"/>
      </rPr>
      <t>分支技能变更</t>
    </r>
    <r>
      <rPr>
        <sz val="11"/>
        <color rgb="FF171616"/>
        <rFont val="黑体"/>
        <family val="3"/>
        <charset val="134"/>
      </rPr>
      <t xml:space="preserve">
1.删除分支技能-自设技能：</t>
    </r>
    <r>
      <rPr>
        <sz val="11"/>
        <color rgb="FFFF0000"/>
        <rFont val="黑体"/>
        <family val="3"/>
        <charset val="134"/>
      </rPr>
      <t>歌唱、建筑、风水</t>
    </r>
    <r>
      <rPr>
        <sz val="11"/>
        <color rgb="FF171616"/>
        <rFont val="黑体"/>
        <family val="3"/>
        <charset val="134"/>
      </rPr>
      <t xml:space="preserve">三项
</t>
    </r>
    <r>
      <rPr>
        <b/>
        <sz val="11"/>
        <color rgb="FF171616"/>
        <rFont val="黑体"/>
        <family val="3"/>
        <charset val="134"/>
      </rPr>
      <t>其他</t>
    </r>
    <r>
      <rPr>
        <sz val="11"/>
        <color rgb="FF171616"/>
        <rFont val="黑体"/>
        <family val="3"/>
        <charset val="134"/>
      </rPr>
      <t xml:space="preserve">
</t>
    </r>
    <r>
      <rPr>
        <sz val="11"/>
        <color rgb="FFFF0000"/>
        <rFont val="黑体"/>
        <family val="3"/>
        <charset val="134"/>
      </rPr>
      <t>爱桌游网</t>
    </r>
    <r>
      <rPr>
        <sz val="11"/>
        <color rgb="FF171616"/>
        <rFont val="黑体"/>
        <family val="3"/>
        <charset val="134"/>
      </rPr>
      <t xml:space="preserve">添加超链接，点击可直接跳转页面
修正一处文字描述
</t>
    </r>
    <r>
      <rPr>
        <b/>
        <sz val="11"/>
        <color rgb="FF7030A0"/>
        <rFont val="黑体"/>
        <family val="3"/>
        <charset val="134"/>
      </rPr>
      <t>2018/9/16更新</t>
    </r>
    <r>
      <rPr>
        <sz val="11"/>
        <color rgb="FF171616"/>
        <rFont val="黑体"/>
        <family val="3"/>
        <charset val="134"/>
      </rPr>
      <t xml:space="preserve">
1.修复年龄低于40时mov的问题
2.修复调整值数值不准的问题</t>
    </r>
  </si>
  <si>
    <r>
      <t>人物卡修正</t>
    </r>
    <r>
      <rPr>
        <sz val="11"/>
        <rFont val="黑体"/>
        <family val="3"/>
        <charset val="134"/>
      </rPr>
      <t xml:space="preserve">
1.53号职业：探险家的</t>
    </r>
    <r>
      <rPr>
        <sz val="11"/>
        <color rgb="FFFF0000"/>
        <rFont val="黑体"/>
        <family val="3"/>
        <charset val="134"/>
      </rPr>
      <t>生存技能</t>
    </r>
    <r>
      <rPr>
        <sz val="11"/>
        <rFont val="黑体"/>
        <family val="3"/>
        <charset val="134"/>
      </rPr>
      <t>无本职标记的问题已修复。
2.107号职业：替身演员的</t>
    </r>
    <r>
      <rPr>
        <sz val="11"/>
        <color rgb="FFFF0000"/>
        <rFont val="黑体"/>
        <family val="3"/>
        <charset val="134"/>
      </rPr>
      <t>三选一</t>
    </r>
    <r>
      <rPr>
        <sz val="11"/>
        <rFont val="黑体"/>
        <family val="3"/>
        <charset val="134"/>
      </rPr>
      <t xml:space="preserve">技能更正为四选一。（以英文手册为准）
</t>
    </r>
    <r>
      <rPr>
        <b/>
        <sz val="11"/>
        <rFont val="黑体"/>
        <family val="3"/>
        <charset val="134"/>
      </rPr>
      <t>人物卡变更</t>
    </r>
    <r>
      <rPr>
        <sz val="11"/>
        <rFont val="黑体"/>
        <family val="3"/>
        <charset val="134"/>
      </rPr>
      <t xml:space="preserve">
1.删除</t>
    </r>
    <r>
      <rPr>
        <sz val="11"/>
        <color rgb="FFFF0000"/>
        <rFont val="黑体"/>
        <family val="3"/>
        <charset val="134"/>
      </rPr>
      <t>克苏鲁神话</t>
    </r>
    <r>
      <rPr>
        <sz val="11"/>
        <rFont val="黑体"/>
        <family val="3"/>
        <charset val="134"/>
      </rPr>
      <t xml:space="preserve">职业点横杠标记。
</t>
    </r>
    <r>
      <rPr>
        <b/>
        <sz val="11"/>
        <rFont val="黑体"/>
        <family val="3"/>
        <charset val="134"/>
      </rPr>
      <t>更新说明变更</t>
    </r>
    <r>
      <rPr>
        <sz val="11"/>
        <rFont val="黑体"/>
        <family val="3"/>
        <charset val="134"/>
      </rPr>
      <t xml:space="preserve">
1.往年</t>
    </r>
    <r>
      <rPr>
        <sz val="11"/>
        <color rgb="FFFF0000"/>
        <rFont val="黑体"/>
        <family val="3"/>
        <charset val="134"/>
      </rPr>
      <t>更新说明</t>
    </r>
    <r>
      <rPr>
        <sz val="11"/>
        <rFont val="黑体"/>
        <family val="3"/>
        <charset val="134"/>
      </rPr>
      <t>横向放置。</t>
    </r>
  </si>
  <si>
    <t>序号</t>
  </si>
  <si>
    <t>经历包名称</t>
  </si>
  <si>
    <t>战场经历包（普通士兵）</t>
  </si>
  <si>
    <t>战场经历包（军官）</t>
  </si>
  <si>
    <t>攀爬，格斗（斗殴），射击（手枪），急救，聆听，导航、魅惑、说服、恐吓中一项，潜行，投掷，侦查</t>
  </si>
  <si>
    <t>对目击尸体和重伤员造成的理智损失免疫。</t>
  </si>
  <si>
    <t>自行调整</t>
  </si>
  <si>
    <t>对目击尸体和重伤员造成的理智损失免疫。</t>
  </si>
  <si>
    <t>弓术</t>
  </si>
  <si>
    <t>伪造</t>
  </si>
  <si>
    <t>可自设</t>
  </si>
  <si>
    <t>12号霰弹枪(双管)</t>
  </si>
  <si>
    <t>无</t>
  </si>
  <si>
    <t>1.excel2016 格斗：剑 技能初始成功率无法正确显示</t>
  </si>
  <si>
    <t>无</t>
  </si>
  <si>
    <t>0-99</t>
  </si>
  <si>
    <t>标记</t>
  </si>
  <si>
    <t>信用评级</t>
  </si>
  <si>
    <t>个人特质</t>
  </si>
  <si>
    <t>具体描述</t>
  </si>
  <si>
    <t>描述</t>
  </si>
  <si>
    <t>故事详述</t>
  </si>
  <si>
    <r>
      <rPr>
        <sz val="10"/>
        <color rgb="FF000000"/>
        <rFont val="微软雅黑"/>
        <family val="2"/>
        <charset val="134"/>
      </rPr>
      <t>力量</t>
    </r>
    <r>
      <rPr>
        <sz val="9"/>
        <color rgb="FF000000"/>
        <rFont val="微软雅黑"/>
        <family val="2"/>
        <charset val="134"/>
      </rPr>
      <t xml:space="preserve">
</t>
    </r>
    <r>
      <rPr>
        <sz val="8"/>
        <color rgb="FF000000"/>
        <rFont val="微软雅黑"/>
        <family val="2"/>
        <charset val="134"/>
      </rPr>
      <t>STR</t>
    </r>
  </si>
  <si>
    <r>
      <t xml:space="preserve">敏捷
</t>
    </r>
    <r>
      <rPr>
        <sz val="8"/>
        <color rgb="FF000000"/>
        <rFont val="微软雅黑"/>
        <family val="2"/>
        <charset val="134"/>
      </rPr>
      <t>DEX</t>
    </r>
  </si>
  <si>
    <r>
      <t xml:space="preserve">意志
</t>
    </r>
    <r>
      <rPr>
        <sz val="8"/>
        <color rgb="FF000000"/>
        <rFont val="微软雅黑"/>
        <family val="2"/>
        <charset val="134"/>
      </rPr>
      <t>POW</t>
    </r>
  </si>
  <si>
    <r>
      <t xml:space="preserve">体质
</t>
    </r>
    <r>
      <rPr>
        <sz val="8"/>
        <color rgb="FF000000"/>
        <rFont val="微软雅黑"/>
        <family val="2"/>
        <charset val="134"/>
      </rPr>
      <t>CON</t>
    </r>
  </si>
  <si>
    <r>
      <t xml:space="preserve">外貌
</t>
    </r>
    <r>
      <rPr>
        <sz val="8"/>
        <color rgb="FF000000"/>
        <rFont val="微软雅黑"/>
        <family val="2"/>
        <charset val="134"/>
      </rPr>
      <t>APP</t>
    </r>
  </si>
  <si>
    <r>
      <t xml:space="preserve">教育
</t>
    </r>
    <r>
      <rPr>
        <sz val="8"/>
        <color rgb="FF000000"/>
        <rFont val="微软雅黑"/>
        <family val="2"/>
        <charset val="134"/>
      </rPr>
      <t>EDU</t>
    </r>
  </si>
  <si>
    <r>
      <t xml:space="preserve">体型
</t>
    </r>
    <r>
      <rPr>
        <sz val="8"/>
        <color rgb="FF000000"/>
        <rFont val="微软雅黑"/>
        <family val="2"/>
        <charset val="134"/>
      </rPr>
      <t>SIZ</t>
    </r>
  </si>
  <si>
    <r>
      <t xml:space="preserve">智力
</t>
    </r>
    <r>
      <rPr>
        <sz val="8"/>
        <color rgb="FF000000"/>
        <rFont val="微软雅黑"/>
        <family val="2"/>
        <charset val="134"/>
      </rPr>
      <t>INT</t>
    </r>
  </si>
  <si>
    <r>
      <t xml:space="preserve">移动力
</t>
    </r>
    <r>
      <rPr>
        <sz val="8"/>
        <color rgb="FF000000"/>
        <rFont val="微软雅黑"/>
        <family val="2"/>
        <charset val="134"/>
      </rPr>
      <t>MOV</t>
    </r>
  </si>
  <si>
    <r>
      <t xml:space="preserve">伤害加值
</t>
    </r>
    <r>
      <rPr>
        <sz val="7"/>
        <color rgb="FF000000"/>
        <rFont val="微软雅黑"/>
        <family val="2"/>
        <charset val="134"/>
      </rPr>
      <t>Damage Bonus</t>
    </r>
  </si>
  <si>
    <r>
      <t xml:space="preserve">体格
</t>
    </r>
    <r>
      <rPr>
        <sz val="8"/>
        <color rgb="FF000000"/>
        <rFont val="微软雅黑"/>
        <family val="2"/>
        <charset val="134"/>
      </rPr>
      <t>Build</t>
    </r>
  </si>
  <si>
    <r>
      <t xml:space="preserve">闪避
</t>
    </r>
    <r>
      <rPr>
        <sz val="8"/>
        <color rgb="FF000000"/>
        <rFont val="微软雅黑"/>
        <family val="2"/>
        <charset val="134"/>
      </rPr>
      <t>Dodge</t>
    </r>
  </si>
  <si>
    <r>
      <t xml:space="preserve">护甲 </t>
    </r>
    <r>
      <rPr>
        <sz val="8"/>
        <color rgb="FF000000"/>
        <rFont val="微软雅黑"/>
        <family val="2"/>
        <charset val="134"/>
      </rPr>
      <t>Armor</t>
    </r>
  </si>
  <si>
    <t>.st指令（仅溯洄版骰娘可用，Dice!官方群：624807593）仅电脑端启用宏后可直接复制</t>
  </si>
  <si>
    <t>住所</t>
  </si>
  <si>
    <t>旅行</t>
  </si>
  <si>
    <t>是否使用经历包？</t>
  </si>
  <si>
    <t>序号</t>
  </si>
  <si>
    <t>自定义</t>
  </si>
  <si>
    <t>攀爬，格斗（斗殴），射击（步霰），急救，恐吓，聆听，潜行，投掷，妙手，侦查，生存：</t>
  </si>
  <si>
    <t>初始年龄</t>
  </si>
  <si>
    <t>理智减少</t>
  </si>
  <si>
    <t>背景增加</t>
  </si>
  <si>
    <t>技能增长</t>
  </si>
  <si>
    <t>可分配技能</t>
  </si>
  <si>
    <t>备注</t>
  </si>
  <si>
    <t>战争相关的伤疤/疤痕或恐惧症/躁狂症</t>
  </si>
  <si>
    <t xml:space="preserve"> </t>
  </si>
  <si>
    <t>1D10+5</t>
  </si>
  <si>
    <t>1D10+5</t>
  </si>
  <si>
    <t>累计</t>
  </si>
  <si>
    <t>次数</t>
  </si>
  <si>
    <t>性别</t>
  </si>
  <si>
    <t>年代</t>
  </si>
  <si>
    <t>示例：经历模组[XX]，-5san，+3侦查，-X现金</t>
  </si>
  <si>
    <t>原卡由秋叶EXODUS制作，此卡为咕咕修改结果，随意使用。</t>
  </si>
  <si>
    <t>可在此描述资产。</t>
  </si>
  <si>
    <t>经历包（可选规则：有故事的调查员）</t>
  </si>
  <si>
    <t>警务经历包</t>
  </si>
  <si>
    <t>1D10</t>
  </si>
  <si>
    <t>&gt;=25</t>
  </si>
  <si>
    <t>警察工作相关的伤疤/疤痕或恐惧症/躁狂症</t>
  </si>
  <si>
    <t>攀爬，汽车驾驶，格斗（斗殴），射击（手枪或步霰），急救，法律，聆听，外语，两项社交技能（魅惑、话术、说服、恐吓），追踪</t>
  </si>
  <si>
    <t>对目击尸体造成的理智损失免疫。</t>
  </si>
  <si>
    <t>罪犯经历包</t>
  </si>
  <si>
    <t>&gt;=20</t>
  </si>
  <si>
    <t>犯罪历史相关的伤疤/疤痕或恐惧症/躁狂症</t>
  </si>
  <si>
    <t>攀爬，汽车驾驶，格斗（任一），射击（任一），一项社交技能（魅惑、话术、说服、恐吓），法律，聆听，锁匠，心理学，追踪</t>
  </si>
  <si>
    <t>对目击尸体、目击或亲自谋杀、目击对人类的暴力残害造成的理智损失免疫。</t>
  </si>
  <si>
    <t>医务经历包</t>
  </si>
  <si>
    <t>&gt;=30</t>
  </si>
  <si>
    <t>个人背景相关的伤疤/疤痕或恐惧症/躁狂症</t>
  </si>
  <si>
    <t>急救，法律，聆听，医学，心理学，侦查，科学（任二）</t>
  </si>
  <si>
    <t>对目击尸体和重伤员造成的理智损失免疫。</t>
  </si>
  <si>
    <t>神话经历包</t>
  </si>
  <si>
    <t>CM</t>
  </si>
  <si>
    <t>自行调整</t>
  </si>
  <si>
    <t>与神话经理相关的伤疤/疤痕或恐惧症/躁狂症、遭遇的怪异存在</t>
  </si>
  <si>
    <t>克苏鲁神话</t>
  </si>
  <si>
    <t>经过KP同意“相信者”可以习得法术。KP 应当决定调查员可以习得哪种法术,“相信者”详见“相信神话”</t>
  </si>
  <si>
    <t xml:space="preserve"> </t>
  </si>
  <si>
    <t>身无分文</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</si>
  <si>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</si>
  <si>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</si>
  <si>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</si>
  <si>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标准</t>
  </si>
  <si>
    <t>舒适的生活水平，一日三餐，偶尔下馆子。
住所：普通的家或公寓，并关租赁还是自购。外出住普通的旅馆。
旅行：会使用普通的旅行方式，不会用最高级。在现代来看，大概会有一辆自己的小车。</t>
  </si>
  <si>
    <t>小康</t>
  </si>
  <si>
    <t>小康级别已经可以享受奢侈品的舒适了。
住所：真材实料的住地，也许会有一些仆人（管家，主妇，清洁工，园丁，等等）。乡下估计还有小别墅。会住昂贵的宾馆。
旅行：头等舱。会买高档车或同等的交通工具。</t>
  </si>
  <si>
    <t>富裕</t>
  </si>
  <si>
    <t>豪富</t>
  </si>
  <si>
    <t>与富裕差不多，但钱已经只是一个代号了。你将是世
界上最富有的人。</t>
  </si>
  <si>
    <t>富裕级别就是享受超级奢侈品的时候了。
住所：豪华住所和有着大量仆人的庭院（管家，女仆，洗妇，园丁等等）。乡下和别处有着别墅是定番。
住总统套房。
旅行：头等舱。现代社会估摸还会有很多豪车。</t>
  </si>
  <si>
    <t>停更</t>
  </si>
  <si>
    <t>自定义经历包</t>
  </si>
  <si>
    <t>否</t>
  </si>
  <si>
    <t>10-49</t>
  </si>
  <si>
    <t>10-49</t>
  </si>
  <si>
    <t>1-9</t>
  </si>
  <si>
    <t xml:space="preserve">0 或更低  </t>
  </si>
  <si>
    <t>自定义现金和其他资产</t>
  </si>
  <si>
    <t>1920S 现金和其他资产</t>
  </si>
  <si>
    <t>生活水平</t>
  </si>
  <si>
    <t>信用评级</t>
  </si>
  <si>
    <t>现金</t>
  </si>
  <si>
    <t>其他资产</t>
  </si>
  <si>
    <t>消费水平</t>
  </si>
  <si>
    <t>现代 现金和其他资产</t>
  </si>
  <si>
    <t>$1-9
CR x 1</t>
  </si>
  <si>
    <t>$180000-196000
CR × 2000</t>
  </si>
  <si>
    <t>$1800-1960
CR × 20</t>
  </si>
  <si>
    <t>$3.6M-3.92M
CR × 40000</t>
  </si>
  <si>
    <t>$36000-39200
CR × 400</t>
  </si>
  <si>
    <t>咕咕改：1.9.5未校验</t>
  </si>
  <si>
    <t>[插入]-[图片]，手动调整图片大小</t>
  </si>
  <si>
    <t>自定义现金和其他资产</t>
  </si>
  <si>
    <t>金钱单位：</t>
  </si>
  <si>
    <t>在此输入单位</t>
  </si>
  <si>
    <t>例：1</t>
  </si>
  <si>
    <t>例：1</t>
  </si>
  <si>
    <t>例：1</t>
  </si>
  <si>
    <t>红字部分自行编辑，输入数字</t>
  </si>
  <si>
    <r>
      <t xml:space="preserve">新增：
</t>
    </r>
    <r>
      <rPr>
        <sz val="11"/>
        <rFont val="黑体"/>
        <family val="3"/>
        <charset val="134"/>
      </rPr>
      <t xml:space="preserve">1.添加背景故事关键连接标记。
2.变更排版。
3.添加经历包选择。
4.去除保护工作簿密码。
5.添加自定义信誉参照表，优化资产函数。
</t>
    </r>
    <r>
      <rPr>
        <sz val="11"/>
        <color rgb="FFC00000"/>
        <rFont val="黑体"/>
        <family val="3"/>
        <charset val="134"/>
      </rPr>
      <t>备注：停更，自信继续个人定制化更新，请继续维护个人更新说明，谢谢。</t>
    </r>
  </si>
  <si>
    <t>1.9.5版</t>
  </si>
  <si>
    <t>1.9.5</t>
  </si>
  <si>
    <t>1.9.3</t>
  </si>
  <si>
    <t>使用经历包请选择“是”。</t>
  </si>
  <si>
    <t>MAGALLAN</t>
  </si>
  <si>
    <t>女</t>
  </si>
  <si>
    <t>艺术</t>
  </si>
  <si>
    <t>钢笔和墨水</t>
    <phoneticPr fontId="71" type="noConversion"/>
  </si>
  <si>
    <t>唐辰</t>
    <phoneticPr fontId="71" type="noConversion"/>
  </si>
  <si>
    <t>江苏南京</t>
    <phoneticPr fontId="71" type="noConversion"/>
  </si>
  <si>
    <t>四川成都</t>
    <phoneticPr fontId="71" type="noConversion"/>
  </si>
  <si>
    <t>英语</t>
    <phoneticPr fontId="71" type="noConversion"/>
  </si>
  <si>
    <t>小型刀具(弹簧折叠刀等)</t>
    <phoneticPr fontId="71" type="noConversion"/>
  </si>
  <si>
    <t>艺术学院的美术生</t>
    <phoneticPr fontId="71" type="noConversion"/>
  </si>
  <si>
    <t>艺术之路道阻且长。</t>
    <phoneticPr fontId="71" type="noConversion"/>
  </si>
  <si>
    <t>比自己小一届的女朋友</t>
    <phoneticPr fontId="71" type="noConversion"/>
  </si>
  <si>
    <t>现代</t>
    <phoneticPr fontId="71" type="noConversion"/>
  </si>
  <si>
    <t>无</t>
    <phoneticPr fontId="71" type="noConversion"/>
  </si>
  <si>
    <t>手指上有很多被裁纸刀割伤的痕迹。</t>
    <phoneticPr fontId="71" type="noConversion"/>
  </si>
  <si>
    <t>艺术学院大三的美术生。身形高挑，蓝色挑染短发，左耳带着耳钉，有个隔壁舞蹈系大二在读的女朋友。这次为了参加这个直播活动，专门化了连同行都觉得很夸张的烟熏妆。目前为了硕士阶段前往意大利进行深造攒钱中，在网上看到这个活动后觉得是个揽钱机会，还可以顺便采集一些创作素材。打包了一些简易行李，给女朋友打过招呼后出发了。</t>
    <phoneticPr fontId="71" type="noConversion"/>
  </si>
  <si>
    <t>速写本</t>
    <phoneticPr fontId="71" type="noConversion"/>
  </si>
  <si>
    <t>小型瑞士军刀</t>
    <phoneticPr fontId="71" type="noConversion"/>
  </si>
  <si>
    <t>照相机</t>
    <phoneticPr fontId="71" type="noConversion"/>
  </si>
  <si>
    <t>智能手机</t>
    <phoneticPr fontId="71" type="noConversion"/>
  </si>
  <si>
    <t>手电筒和绳子</t>
    <phoneticPr fontId="71" type="noConversion"/>
  </si>
  <si>
    <t>化妆包（内含化妆镜</t>
    <phoneticPr fontId="71" type="noConversion"/>
  </si>
  <si>
    <t>烟熏妆，姬佬，意识流画师</t>
    <phoneticPr fontId="71" type="noConversion"/>
  </si>
</sst>
</file>

<file path=xl/styles.xml><?xml version="1.0" encoding="utf-8"?>
<styleSheet xmlns="http://schemas.openxmlformats.org/spreadsheetml/2006/main">
  <numFmts count="6">
    <numFmt numFmtId="24" formatCode="\$#,##0_);[Red]\(\$#,##0\)"/>
    <numFmt numFmtId="26" formatCode="\$#,##0.00_);[Red]\(\$#,##0.00\)"/>
    <numFmt numFmtId="176" formatCode="\+0;\-0;\±0"/>
    <numFmt numFmtId="177" formatCode="\/0_ "/>
    <numFmt numFmtId="178" formatCode="0_);[Red]\(0\)"/>
    <numFmt numFmtId="179" formatCode="0.00_ "/>
  </numFmts>
  <fonts count="73">
    <font>
      <sz val="11"/>
      <name val="等线"/>
    </font>
    <font>
      <sz val="10"/>
      <color rgb="FF000000"/>
      <name val="微软雅黑"/>
      <charset val="134"/>
    </font>
    <font>
      <sz val="10"/>
      <color rgb="FFC00000"/>
      <name val="微软雅黑"/>
      <charset val="134"/>
    </font>
    <font>
      <sz val="11"/>
      <color rgb="FF000000"/>
      <name val="微软雅黑"/>
      <charset val="134"/>
    </font>
    <font>
      <sz val="10"/>
      <color rgb="FFFFFFFF"/>
      <name val="微软雅黑"/>
      <charset val="134"/>
    </font>
    <font>
      <sz val="9"/>
      <color rgb="FF000000"/>
      <name val="微软雅黑"/>
      <charset val="134"/>
    </font>
    <font>
      <sz val="11"/>
      <color rgb="FFFFFFFF"/>
      <name val="微软雅黑"/>
      <charset val="134"/>
    </font>
    <font>
      <b/>
      <sz val="9"/>
      <color rgb="FF548235"/>
      <name val="微软雅黑"/>
      <charset val="134"/>
    </font>
    <font>
      <sz val="10"/>
      <color rgb="FF4473C4"/>
      <name val="微软雅黑"/>
      <charset val="134"/>
    </font>
    <font>
      <sz val="7"/>
      <color rgb="FF000000"/>
      <name val="微软雅黑"/>
      <charset val="134"/>
    </font>
    <font>
      <b/>
      <sz val="10"/>
      <color rgb="FF000000"/>
      <name val="微软雅黑"/>
      <charset val="134"/>
    </font>
    <font>
      <sz val="11"/>
      <color rgb="FF000000"/>
      <name val="等线"/>
      <charset val="134"/>
    </font>
    <font>
      <u/>
      <sz val="11"/>
      <color rgb="FF000000"/>
      <name val="等线"/>
      <charset val="134"/>
    </font>
    <font>
      <sz val="10"/>
      <color rgb="FF000000"/>
      <name val="微软雅黑 Light"/>
      <charset val="134"/>
    </font>
    <font>
      <sz val="11"/>
      <color rgb="FF000000"/>
      <name val="微软雅黑 Light"/>
      <charset val="134"/>
    </font>
    <font>
      <sz val="10"/>
      <color rgb="FFFFFFFF"/>
      <name val="微软雅黑 Light"/>
      <charset val="134"/>
    </font>
    <font>
      <sz val="10"/>
      <color rgb="FFC00000"/>
      <name val="微软雅黑 Light"/>
      <charset val="134"/>
    </font>
    <font>
      <sz val="10"/>
      <color rgb="FFFFFFFF"/>
      <name val="等线"/>
      <family val="3"/>
      <charset val="134"/>
    </font>
    <font>
      <sz val="11"/>
      <color rgb="FFFFFFFF"/>
      <name val="微软雅黑 Light"/>
      <charset val="134"/>
    </font>
    <font>
      <sz val="10"/>
      <color rgb="FFFF0000"/>
      <name val="微软雅黑 Light"/>
      <charset val="134"/>
    </font>
    <font>
      <sz val="22"/>
      <color rgb="FFFF0000"/>
      <name val="微软雅黑 Light"/>
      <charset val="134"/>
    </font>
    <font>
      <sz val="12"/>
      <color rgb="FFFFFFFF"/>
      <name val="微软雅黑 Light"/>
      <charset val="134"/>
    </font>
    <font>
      <sz val="12"/>
      <color rgb="FF000000"/>
      <name val="微软雅黑 Light"/>
      <charset val="134"/>
    </font>
    <font>
      <sz val="11"/>
      <color rgb="FFFFFFFF"/>
      <name val="微软雅黑"/>
      <family val="2"/>
      <charset val="134"/>
    </font>
    <font>
      <sz val="11"/>
      <color rgb="FF000000"/>
      <name val="微软雅黑"/>
      <family val="2"/>
      <charset val="134"/>
    </font>
    <font>
      <sz val="11"/>
      <color rgb="FFFFFFFF"/>
      <name val="微软雅黑 Light"/>
      <charset val="134"/>
    </font>
    <font>
      <sz val="10"/>
      <name val="等线"/>
      <family val="3"/>
      <charset val="134"/>
    </font>
    <font>
      <sz val="11"/>
      <name val="等线"/>
      <family val="3"/>
      <charset val="134"/>
    </font>
    <font>
      <sz val="10"/>
      <color rgb="FFFFFFFF"/>
      <name val="宋体"/>
      <family val="3"/>
      <charset val="134"/>
    </font>
    <font>
      <sz val="10"/>
      <color rgb="FF000000"/>
      <name val="宋体"/>
      <family val="3"/>
      <charset val="134"/>
    </font>
    <font>
      <sz val="11"/>
      <color rgb="FF000000"/>
      <name val="等线"/>
      <family val="3"/>
      <charset val="134"/>
    </font>
    <font>
      <b/>
      <sz val="12"/>
      <color rgb="FFC00000"/>
      <name val="方正姚体"/>
      <family val="3"/>
      <charset val="134"/>
    </font>
    <font>
      <sz val="11"/>
      <color rgb="FF435369"/>
      <name val="等线"/>
      <family val="3"/>
      <charset val="134"/>
    </font>
    <font>
      <b/>
      <sz val="11"/>
      <color rgb="FF000000"/>
      <name val="微软雅黑"/>
      <family val="2"/>
      <charset val="134"/>
    </font>
    <font>
      <sz val="11"/>
      <color rgb="FFFF0000"/>
      <name val="微软雅黑"/>
      <family val="2"/>
      <charset val="134"/>
    </font>
    <font>
      <b/>
      <sz val="11"/>
      <color rgb="FFC00000"/>
      <name val="微软雅黑"/>
      <family val="2"/>
      <charset val="134"/>
    </font>
    <font>
      <b/>
      <sz val="12"/>
      <color rgb="FF000000"/>
      <name val="微软雅黑 Light"/>
      <charset val="134"/>
    </font>
    <font>
      <sz val="11"/>
      <color rgb="FF000000"/>
      <name val="微软雅黑 Light"/>
      <charset val="134"/>
    </font>
    <font>
      <b/>
      <sz val="11"/>
      <color rgb="FFFF0000"/>
      <name val="等线"/>
      <family val="3"/>
      <charset val="134"/>
    </font>
    <font>
      <b/>
      <sz val="11"/>
      <color rgb="FFFF0000"/>
      <name val="等线"/>
      <family val="3"/>
      <charset val="134"/>
    </font>
    <font>
      <sz val="11"/>
      <color rgb="FFFFFFFF"/>
      <name val="华文彩云"/>
      <family val="3"/>
      <charset val="134"/>
    </font>
    <font>
      <sz val="11"/>
      <color rgb="FFFFFFFF"/>
      <name val="黑体"/>
      <family val="3"/>
      <charset val="134"/>
    </font>
    <font>
      <b/>
      <sz val="11"/>
      <color indexed="63"/>
      <name val="黑体"/>
      <family val="3"/>
      <charset val="134"/>
    </font>
    <font>
      <sz val="11"/>
      <color indexed="17"/>
      <name val="宋体"/>
      <family val="3"/>
      <charset val="134"/>
    </font>
    <font>
      <sz val="11"/>
      <color indexed="17"/>
      <name val="Calibri"/>
      <family val="2"/>
    </font>
    <font>
      <sz val="11"/>
      <color rgb="FFFFFFFF"/>
      <name val="等线"/>
      <family val="3"/>
      <charset val="134"/>
    </font>
    <font>
      <sz val="11"/>
      <color rgb="FFFFFFFF"/>
      <name val="等线"/>
      <family val="3"/>
      <charset val="134"/>
    </font>
    <font>
      <b/>
      <sz val="11"/>
      <name val="黑体"/>
      <family val="3"/>
      <charset val="134"/>
    </font>
    <font>
      <sz val="11"/>
      <color rgb="FF000000"/>
      <name val="等线"/>
      <family val="3"/>
      <charset val="134"/>
    </font>
    <font>
      <sz val="11"/>
      <color rgb="FF171616"/>
      <name val="黑体"/>
      <family val="3"/>
      <charset val="134"/>
    </font>
    <font>
      <sz val="11"/>
      <color rgb="FF000000"/>
      <name val="黑体"/>
      <family val="3"/>
      <charset val="134"/>
    </font>
    <font>
      <sz val="11"/>
      <name val="黑体"/>
      <family val="3"/>
      <charset val="134"/>
    </font>
    <font>
      <sz val="11"/>
      <color rgb="FFFF0000"/>
      <name val="黑体"/>
      <family val="3"/>
      <charset val="134"/>
    </font>
    <font>
      <b/>
      <sz val="11"/>
      <color rgb="FFFF0000"/>
      <name val="Calibri"/>
      <family val="2"/>
    </font>
    <font>
      <b/>
      <sz val="11"/>
      <color indexed="63"/>
      <name val="Calibri"/>
      <family val="2"/>
    </font>
    <font>
      <b/>
      <sz val="11"/>
      <color rgb="FFFFC000"/>
      <name val="Calibri"/>
      <family val="2"/>
    </font>
    <font>
      <sz val="10"/>
      <color rgb="FF000000"/>
      <name val="等线"/>
      <family val="3"/>
      <charset val="134"/>
    </font>
    <font>
      <sz val="10"/>
      <name val="微软雅黑"/>
      <family val="2"/>
      <charset val="134"/>
    </font>
    <font>
      <u/>
      <sz val="11"/>
      <color rgb="FF0463C1"/>
      <name val="等线"/>
      <family val="3"/>
      <charset val="134"/>
    </font>
    <font>
      <sz val="11"/>
      <color rgb="FFED7B30"/>
      <name val="黑体"/>
      <family val="3"/>
      <charset val="134"/>
    </font>
    <font>
      <b/>
      <sz val="11"/>
      <color rgb="FF000000"/>
      <name val="黑体"/>
      <family val="3"/>
      <charset val="134"/>
    </font>
    <font>
      <b/>
      <sz val="11"/>
      <color rgb="FF171616"/>
      <name val="黑体"/>
      <family val="3"/>
      <charset val="134"/>
    </font>
    <font>
      <sz val="11"/>
      <color rgb="FF7030A0"/>
      <name val="黑体"/>
      <family val="3"/>
      <charset val="134"/>
    </font>
    <font>
      <b/>
      <sz val="11"/>
      <color rgb="FF7030A0"/>
      <name val="黑体"/>
      <family val="3"/>
      <charset val="134"/>
    </font>
    <font>
      <sz val="10"/>
      <color rgb="FF000000"/>
      <name val="微软雅黑"/>
      <family val="2"/>
      <charset val="134"/>
    </font>
    <font>
      <sz val="9"/>
      <color rgb="FF000000"/>
      <name val="微软雅黑"/>
      <family val="2"/>
      <charset val="134"/>
    </font>
    <font>
      <sz val="8"/>
      <color rgb="FF000000"/>
      <name val="微软雅黑"/>
      <family val="2"/>
      <charset val="134"/>
    </font>
    <font>
      <sz val="7"/>
      <color rgb="FF000000"/>
      <name val="微软雅黑"/>
      <family val="2"/>
      <charset val="134"/>
    </font>
    <font>
      <sz val="11"/>
      <color rgb="FFC00000"/>
      <name val="黑体"/>
      <family val="3"/>
      <charset val="134"/>
    </font>
    <font>
      <b/>
      <sz val="9"/>
      <color indexed="81"/>
      <name val="宋体"/>
      <family val="3"/>
      <charset val="134"/>
    </font>
    <font>
      <sz val="9"/>
      <color indexed="81"/>
      <name val="宋体"/>
      <family val="3"/>
      <charset val="134"/>
    </font>
    <font>
      <sz val="9"/>
      <name val="宋体"/>
      <family val="3"/>
      <charset val="134"/>
    </font>
    <font>
      <sz val="9"/>
      <color rgb="FF4473C4"/>
      <name val="微软雅黑"/>
      <family val="2"/>
      <charset val="134"/>
    </font>
  </fonts>
  <fills count="15">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
      <patternFill patternType="solid">
        <fgColor rgb="FF5C9BD5"/>
      </patternFill>
    </fill>
    <fill>
      <patternFill patternType="solid">
        <fgColor rgb="FFBED6EE"/>
        <bgColor indexed="64"/>
      </patternFill>
    </fill>
    <fill>
      <patternFill patternType="solid">
        <fgColor rgb="FF5C9BD5"/>
        <bgColor rgb="FF5C9BD5"/>
      </patternFill>
    </fill>
    <fill>
      <patternFill patternType="solid">
        <fgColor rgb="FF4473C4"/>
      </patternFill>
    </fill>
    <fill>
      <patternFill patternType="solid">
        <fgColor indexed="9"/>
        <bgColor indexed="64"/>
      </patternFill>
    </fill>
    <fill>
      <patternFill patternType="solid">
        <fgColor indexed="42"/>
        <bgColor indexed="64"/>
      </patternFill>
    </fill>
    <fill>
      <patternFill patternType="solid">
        <fgColor rgb="FF4473C4"/>
        <bgColor indexed="64"/>
      </patternFill>
    </fill>
    <fill>
      <patternFill patternType="solid">
        <fgColor rgb="FFFFFF00"/>
        <bgColor indexed="64"/>
      </patternFill>
    </fill>
  </fills>
  <borders count="216">
    <border>
      <left/>
      <right/>
      <top/>
      <bottom/>
      <diagonal/>
    </border>
    <border>
      <left style="medium">
        <color indexed="64"/>
      </left>
      <right style="thin">
        <color rgb="FFDBDBDB"/>
      </right>
      <top style="medium">
        <color indexed="64"/>
      </top>
      <bottom style="thin">
        <color rgb="FFCFCDCD"/>
      </bottom>
      <diagonal/>
    </border>
    <border>
      <left style="thin">
        <color rgb="FFDBDBDB"/>
      </left>
      <right style="thin">
        <color rgb="FFDBDBDB"/>
      </right>
      <top style="medium">
        <color indexed="64"/>
      </top>
      <bottom style="thin">
        <color rgb="FFCFCDCD"/>
      </bottom>
      <diagonal/>
    </border>
    <border>
      <left style="thin">
        <color rgb="FFDBDBDB"/>
      </left>
      <right style="medium">
        <color indexed="64"/>
      </right>
      <top style="medium">
        <color indexed="64"/>
      </top>
      <bottom style="thin">
        <color rgb="FFCFCDCD"/>
      </bottom>
      <diagonal/>
    </border>
    <border>
      <left style="medium">
        <color indexed="64"/>
      </left>
      <right style="thin">
        <color rgb="FFDBDBDB"/>
      </right>
      <top style="medium">
        <color indexed="64"/>
      </top>
      <bottom style="thin">
        <color rgb="FFDBDBDB"/>
      </bottom>
      <diagonal/>
    </border>
    <border>
      <left style="thin">
        <color rgb="FFDBDBDB"/>
      </left>
      <right style="thin">
        <color rgb="FFDBDBDB"/>
      </right>
      <top style="medium">
        <color indexed="64"/>
      </top>
      <bottom style="thin">
        <color rgb="FFDBDBDB"/>
      </bottom>
      <diagonal/>
    </border>
    <border>
      <left style="thin">
        <color rgb="FFDBDBDB"/>
      </left>
      <right style="medium">
        <color indexed="64"/>
      </right>
      <top style="medium">
        <color indexed="64"/>
      </top>
      <bottom style="thin">
        <color rgb="FFDBDBDB"/>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DBDBDB"/>
      </right>
      <top/>
      <bottom style="thin">
        <color rgb="FFDBDBDB"/>
      </bottom>
      <diagonal/>
    </border>
    <border>
      <left style="thin">
        <color rgb="FFDBDBDB"/>
      </left>
      <right style="thin">
        <color rgb="FFDBDBDB"/>
      </right>
      <top/>
      <bottom style="thin">
        <color rgb="FFDBDBDB"/>
      </bottom>
      <diagonal/>
    </border>
    <border>
      <left style="thin">
        <color rgb="FFDBDBDB"/>
      </left>
      <right style="medium">
        <color indexed="64"/>
      </right>
      <top/>
      <bottom style="thin">
        <color rgb="FFDBDBDB"/>
      </bottom>
      <diagonal/>
    </border>
    <border>
      <left style="medium">
        <color indexed="64"/>
      </left>
      <right style="thin">
        <color rgb="FFCFCDCD"/>
      </right>
      <top style="thin">
        <color rgb="FFDBDBDB"/>
      </top>
      <bottom style="thin">
        <color rgb="FFDBDBDB"/>
      </bottom>
      <diagonal/>
    </border>
    <border>
      <left/>
      <right/>
      <top style="thin">
        <color rgb="FFDBDBDB"/>
      </top>
      <bottom style="thin">
        <color rgb="FFDBDBDB"/>
      </bottom>
      <diagonal/>
    </border>
    <border>
      <left style="thin">
        <color rgb="FFCFCDCD"/>
      </left>
      <right style="double">
        <color rgb="FF7F7F7F"/>
      </right>
      <top style="thin">
        <color rgb="FFDBDBDB"/>
      </top>
      <bottom style="thin">
        <color rgb="FFDBDBDB"/>
      </bottom>
      <diagonal/>
    </border>
    <border>
      <left style="double">
        <color rgb="FF7F7F7F"/>
      </left>
      <right style="thin">
        <color rgb="FFCFCDCD"/>
      </right>
      <top style="thin">
        <color rgb="FFDBDBDB"/>
      </top>
      <bottom style="thin">
        <color rgb="FFDBDBDB"/>
      </bottom>
      <diagonal/>
    </border>
    <border>
      <left style="thin">
        <color rgb="FFCFCDCD"/>
      </left>
      <right style="thin">
        <color rgb="FFCFCDCD"/>
      </right>
      <top style="thin">
        <color rgb="FFDBDBDB"/>
      </top>
      <bottom style="thin">
        <color rgb="FFDBDBDB"/>
      </bottom>
      <diagonal/>
    </border>
    <border>
      <left/>
      <right style="medium">
        <color indexed="64"/>
      </right>
      <top style="thin">
        <color rgb="FFDBDBDB"/>
      </top>
      <bottom style="thin">
        <color rgb="FFDBDBDB"/>
      </bottom>
      <diagonal/>
    </border>
    <border>
      <left style="medium">
        <color indexed="64"/>
      </left>
      <right/>
      <top/>
      <bottom/>
      <diagonal/>
    </border>
    <border>
      <left/>
      <right style="medium">
        <color indexed="64"/>
      </right>
      <top/>
      <bottom/>
      <diagonal/>
    </border>
    <border>
      <left style="medium">
        <color indexed="64"/>
      </left>
      <right style="thin">
        <color rgb="FFDBDBDB"/>
      </right>
      <top style="thin">
        <color rgb="FFDBDBDB"/>
      </top>
      <bottom style="thin">
        <color rgb="FFDBDBDB"/>
      </bottom>
      <diagonal/>
    </border>
    <border>
      <left style="thin">
        <color rgb="FFDBDBDB"/>
      </left>
      <right style="thin">
        <color rgb="FFDBDBDB"/>
      </right>
      <top style="thin">
        <color rgb="FFDBDBDB"/>
      </top>
      <bottom style="thin">
        <color rgb="FFDBDBDB"/>
      </bottom>
      <diagonal/>
    </border>
    <border>
      <left style="thin">
        <color rgb="FFDBDBDB"/>
      </left>
      <right style="medium">
        <color indexed="64"/>
      </right>
      <top style="thin">
        <color rgb="FFDBDBDB"/>
      </top>
      <bottom style="thin">
        <color rgb="FFDBDBDB"/>
      </bottom>
      <diagonal/>
    </border>
    <border>
      <left style="thin">
        <color rgb="FFCFCDCD"/>
      </left>
      <right style="medium">
        <color indexed="64"/>
      </right>
      <top style="thin">
        <color rgb="FFDBDBDB"/>
      </top>
      <bottom style="thin">
        <color rgb="FFDBDBDB"/>
      </bottom>
      <diagonal/>
    </border>
    <border>
      <left/>
      <right style="thin">
        <color rgb="FFCFCDCD"/>
      </right>
      <top style="thin">
        <color rgb="FFDBDBDB"/>
      </top>
      <bottom style="thin">
        <color rgb="FFDBDBDB"/>
      </bottom>
      <diagonal/>
    </border>
    <border>
      <left/>
      <right style="double">
        <color rgb="FF7F7F7F"/>
      </right>
      <top style="thin">
        <color rgb="FFDBDBDB"/>
      </top>
      <bottom style="thin">
        <color rgb="FFDBDBDB"/>
      </bottom>
      <diagonal/>
    </border>
    <border>
      <left style="medium">
        <color indexed="64"/>
      </left>
      <right style="thin">
        <color rgb="FFDBDBDB"/>
      </right>
      <top style="thin">
        <color rgb="FFDBDBDB"/>
      </top>
      <bottom style="medium">
        <color indexed="64"/>
      </bottom>
      <diagonal/>
    </border>
    <border>
      <left style="thin">
        <color rgb="FFDBDBDB"/>
      </left>
      <right style="thin">
        <color rgb="FFDBDBDB"/>
      </right>
      <top style="thin">
        <color rgb="FFDBDBDB"/>
      </top>
      <bottom style="medium">
        <color indexed="64"/>
      </bottom>
      <diagonal/>
    </border>
    <border>
      <left style="thin">
        <color rgb="FFDBDBDB"/>
      </left>
      <right style="medium">
        <color indexed="64"/>
      </right>
      <top style="thin">
        <color rgb="FFDBDBDB"/>
      </top>
      <bottom style="medium">
        <color indexed="64"/>
      </bottom>
      <diagonal/>
    </border>
    <border>
      <left style="medium">
        <color indexed="64"/>
      </left>
      <right style="thin">
        <color rgb="FFCFCDCD"/>
      </right>
      <top style="thin">
        <color rgb="FFDBDBDB"/>
      </top>
      <bottom style="medium">
        <color indexed="64"/>
      </bottom>
      <diagonal/>
    </border>
    <border>
      <left/>
      <right style="thin">
        <color rgb="FFDBDBDB"/>
      </right>
      <top style="thin">
        <color rgb="FFDBDBDB"/>
      </top>
      <bottom style="medium">
        <color indexed="64"/>
      </bottom>
      <diagonal/>
    </border>
    <border>
      <left style="thin">
        <color rgb="FFDBDBDB"/>
      </left>
      <right style="double">
        <color rgb="FF7F7F7F"/>
      </right>
      <top style="thin">
        <color rgb="FFDBDBDB"/>
      </top>
      <bottom style="medium">
        <color indexed="64"/>
      </bottom>
      <diagonal/>
    </border>
    <border>
      <left style="double">
        <color rgb="FF7F7F7F"/>
      </left>
      <right style="thin">
        <color rgb="FFCFCDCD"/>
      </right>
      <top style="thin">
        <color rgb="FFDBDBDB"/>
      </top>
      <bottom style="medium">
        <color indexed="64"/>
      </bottom>
      <diagonal/>
    </border>
    <border>
      <left/>
      <right style="thin">
        <color rgb="FFCFCDCD"/>
      </right>
      <top style="thin">
        <color rgb="FFDBDBDB"/>
      </top>
      <bottom style="medium">
        <color indexed="64"/>
      </bottom>
      <diagonal/>
    </border>
    <border>
      <left/>
      <right style="double">
        <color rgb="FF7F7F7F"/>
      </right>
      <top style="thin">
        <color rgb="FFDBDBDB"/>
      </top>
      <bottom style="medium">
        <color indexed="64"/>
      </bottom>
      <diagonal/>
    </border>
    <border>
      <left/>
      <right/>
      <top style="thin">
        <color rgb="FFDBDBDB"/>
      </top>
      <bottom style="medium">
        <color indexed="64"/>
      </bottom>
      <diagonal/>
    </border>
    <border>
      <left style="thin">
        <color rgb="FFCFCDCD"/>
      </left>
      <right style="medium">
        <color indexed="64"/>
      </right>
      <top style="thin">
        <color rgb="FFDBDBDB"/>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double">
        <color rgb="FF7F7F7F"/>
      </right>
      <top style="medium">
        <color indexed="64"/>
      </top>
      <bottom/>
      <diagonal/>
    </border>
    <border>
      <left/>
      <right style="thin">
        <color rgb="FFDBDBDB"/>
      </right>
      <top style="medium">
        <color indexed="64"/>
      </top>
      <bottom style="thin">
        <color rgb="FFDBDBDB"/>
      </bottom>
      <diagonal/>
    </border>
    <border>
      <left/>
      <right style="double">
        <color rgb="FF7F7F7F"/>
      </right>
      <top/>
      <bottom style="medium">
        <color indexed="64"/>
      </bottom>
      <diagonal/>
    </border>
    <border>
      <left style="thin">
        <color rgb="FFDBDBDB"/>
      </left>
      <right style="double">
        <color rgb="FF7F7F7F"/>
      </right>
      <top style="thin">
        <color rgb="FFDBDBDB"/>
      </top>
      <bottom style="thin">
        <color rgb="FFDBDBDB"/>
      </bottom>
      <diagonal/>
    </border>
    <border>
      <left/>
      <right style="thin">
        <color rgb="FFDBDBDB"/>
      </right>
      <top style="thin">
        <color rgb="FFDBDBDB"/>
      </top>
      <bottom style="thin">
        <color rgb="FFDBDBDB"/>
      </bottom>
      <diagonal/>
    </border>
    <border>
      <left style="medium">
        <color indexed="64"/>
      </left>
      <right/>
      <top style="medium">
        <color indexed="64"/>
      </top>
      <bottom style="thin">
        <color rgb="FFDBDBDB"/>
      </bottom>
      <diagonal/>
    </border>
    <border>
      <left/>
      <right/>
      <top style="medium">
        <color indexed="64"/>
      </top>
      <bottom style="thin">
        <color rgb="FFDBDBDB"/>
      </bottom>
      <diagonal/>
    </border>
    <border>
      <left/>
      <right style="medium">
        <color indexed="64"/>
      </right>
      <top style="medium">
        <color indexed="64"/>
      </top>
      <bottom style="thin">
        <color rgb="FFDBDBDB"/>
      </bottom>
      <diagonal/>
    </border>
    <border>
      <left style="medium">
        <color indexed="64"/>
      </left>
      <right/>
      <top style="thin">
        <color rgb="FFCFCDCD"/>
      </top>
      <bottom style="thin">
        <color rgb="FFCFCDCD"/>
      </bottom>
      <diagonal/>
    </border>
    <border>
      <left/>
      <right style="thin">
        <color rgb="FFCFCDCD"/>
      </right>
      <top style="thin">
        <color rgb="FFCFCDCD"/>
      </top>
      <bottom style="thin">
        <color rgb="FFCFCDCD"/>
      </bottom>
      <diagonal/>
    </border>
    <border>
      <left style="thin">
        <color rgb="FFCFCDCD"/>
      </left>
      <right/>
      <top style="thin">
        <color rgb="FFCFCDCD"/>
      </top>
      <bottom style="thin">
        <color rgb="FFCFCDCD"/>
      </bottom>
      <diagonal/>
    </border>
    <border>
      <left/>
      <right style="medium">
        <color indexed="64"/>
      </right>
      <top style="thin">
        <color rgb="FFCFCDCD"/>
      </top>
      <bottom style="thin">
        <color rgb="FFCFCDCD"/>
      </bottom>
      <diagonal/>
    </border>
    <border>
      <left style="medium">
        <color indexed="64"/>
      </left>
      <right/>
      <top style="thin">
        <color rgb="FFDBDBDB"/>
      </top>
      <bottom/>
      <diagonal/>
    </border>
    <border>
      <left/>
      <right style="thin">
        <color rgb="FFDBDBDB"/>
      </right>
      <top style="thin">
        <color rgb="FFDBDBDB"/>
      </top>
      <bottom/>
      <diagonal/>
    </border>
    <border>
      <left style="thin">
        <color rgb="FFDBDBDB"/>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bottom style="thin">
        <color rgb="FFDBDBDB"/>
      </bottom>
      <diagonal/>
    </border>
    <border>
      <left/>
      <right style="thin">
        <color rgb="FFDBDBDB"/>
      </right>
      <top/>
      <bottom style="thin">
        <color rgb="FFDBDBDB"/>
      </bottom>
      <diagonal/>
    </border>
    <border>
      <left style="thin">
        <color rgb="FFDBDBDB"/>
      </left>
      <right/>
      <top/>
      <bottom style="thin">
        <color rgb="FFDBDBDB"/>
      </bottom>
      <diagonal/>
    </border>
    <border>
      <left/>
      <right/>
      <top/>
      <bottom style="thin">
        <color rgb="FFDBDBDB"/>
      </bottom>
      <diagonal/>
    </border>
    <border>
      <left/>
      <right style="medium">
        <color indexed="64"/>
      </right>
      <top/>
      <bottom style="thin">
        <color rgb="FFDBDBDB"/>
      </bottom>
      <diagonal/>
    </border>
    <border>
      <left style="thin">
        <color rgb="FFDBDBDB"/>
      </left>
      <right/>
      <top style="thin">
        <color rgb="FFDBDBDB"/>
      </top>
      <bottom/>
      <diagonal/>
    </border>
    <border>
      <left/>
      <right/>
      <top style="thin">
        <color rgb="FFDBDBDB"/>
      </top>
      <bottom/>
      <diagonal/>
    </border>
    <border>
      <left/>
      <right style="medium">
        <color indexed="64"/>
      </right>
      <top style="thin">
        <color rgb="FFDBDBDB"/>
      </top>
      <bottom/>
      <diagonal/>
    </border>
    <border>
      <left style="medium">
        <color indexed="64"/>
      </left>
      <right/>
      <top/>
      <bottom style="thin">
        <color rgb="FFCFCDCD"/>
      </bottom>
      <diagonal/>
    </border>
    <border>
      <left/>
      <right style="thin">
        <color rgb="FFDBDBDB"/>
      </right>
      <top/>
      <bottom style="thin">
        <color rgb="FFCFCDCD"/>
      </bottom>
      <diagonal/>
    </border>
    <border>
      <left style="thin">
        <color rgb="FFDBDBDB"/>
      </left>
      <right/>
      <top/>
      <bottom style="thin">
        <color rgb="FFCFCDCD"/>
      </bottom>
      <diagonal/>
    </border>
    <border>
      <left/>
      <right/>
      <top/>
      <bottom style="thin">
        <color rgb="FFCFCDCD"/>
      </bottom>
      <diagonal/>
    </border>
    <border>
      <left/>
      <right style="medium">
        <color indexed="64"/>
      </right>
      <top/>
      <bottom style="thin">
        <color rgb="FFCFCDCD"/>
      </bottom>
      <diagonal/>
    </border>
    <border>
      <left style="medium">
        <color indexed="64"/>
      </left>
      <right/>
      <top style="thin">
        <color rgb="FFCFCDCD"/>
      </top>
      <bottom/>
      <diagonal/>
    </border>
    <border>
      <left style="medium">
        <color indexed="64"/>
      </left>
      <right/>
      <top style="thin">
        <color rgb="FFDBDBDB"/>
      </top>
      <bottom style="thin">
        <color rgb="FFDBDBDB"/>
      </bottom>
      <diagonal/>
    </border>
    <border>
      <left style="medium">
        <color indexed="64"/>
      </left>
      <right/>
      <top style="thin">
        <color rgb="FFDBDBDB"/>
      </top>
      <bottom style="medium">
        <color indexed="64"/>
      </bottom>
      <diagonal/>
    </border>
    <border>
      <left/>
      <right style="medium">
        <color indexed="64"/>
      </right>
      <top style="thin">
        <color rgb="FFDBDBDB"/>
      </top>
      <bottom style="medium">
        <color indexed="64"/>
      </bottom>
      <diagonal/>
    </border>
    <border>
      <left style="medium">
        <color indexed="64"/>
      </left>
      <right style="thin">
        <color rgb="FFCFCDCD"/>
      </right>
      <top style="medium">
        <color indexed="64"/>
      </top>
      <bottom style="thin">
        <color rgb="FFCFCDCD"/>
      </bottom>
      <diagonal/>
    </border>
    <border>
      <left style="thin">
        <color rgb="FFCFCDCD"/>
      </left>
      <right style="thin">
        <color rgb="FFCFCDCD"/>
      </right>
      <top style="medium">
        <color indexed="64"/>
      </top>
      <bottom style="thin">
        <color rgb="FFCFCDCD"/>
      </bottom>
      <diagonal/>
    </border>
    <border>
      <left style="thin">
        <color rgb="FFCFCDCD"/>
      </left>
      <right style="medium">
        <color indexed="64"/>
      </right>
      <top style="medium">
        <color indexed="64"/>
      </top>
      <bottom style="thin">
        <color rgb="FFCFCDCD"/>
      </bottom>
      <diagonal/>
    </border>
    <border>
      <left style="medium">
        <color indexed="64"/>
      </left>
      <right style="thin">
        <color rgb="FFCFCDCD"/>
      </right>
      <top style="thin">
        <color rgb="FFCFCDCD"/>
      </top>
      <bottom style="thin">
        <color rgb="FFCFCDCD"/>
      </bottom>
      <diagonal/>
    </border>
    <border>
      <left style="thin">
        <color rgb="FFCFCDCD"/>
      </left>
      <right style="thin">
        <color rgb="FFCFCDCD"/>
      </right>
      <top style="thin">
        <color rgb="FFCFCDCD"/>
      </top>
      <bottom style="thin">
        <color rgb="FFCFCDCD"/>
      </bottom>
      <diagonal/>
    </border>
    <border>
      <left style="thin">
        <color rgb="FFCFCDCD"/>
      </left>
      <right style="double">
        <color rgb="FF7F7F7F"/>
      </right>
      <top style="thin">
        <color rgb="FFCFCDCD"/>
      </top>
      <bottom style="thin">
        <color rgb="FFCFCDCD"/>
      </bottom>
      <diagonal/>
    </border>
    <border>
      <left style="thin">
        <color rgb="FFCFCDCD"/>
      </left>
      <right style="medium">
        <color indexed="64"/>
      </right>
      <top style="thin">
        <color rgb="FFCFCDCD"/>
      </top>
      <bottom style="thin">
        <color rgb="FFCFCDCD"/>
      </bottom>
      <diagonal/>
    </border>
    <border>
      <left/>
      <right/>
      <top style="thin">
        <color rgb="FFCFCDCD"/>
      </top>
      <bottom style="thin">
        <color rgb="FFCFCDCD"/>
      </bottom>
      <diagonal/>
    </border>
    <border>
      <left/>
      <right style="double">
        <color rgb="FF7F7F7F"/>
      </right>
      <top style="thin">
        <color rgb="FFCFCDCD"/>
      </top>
      <bottom style="thin">
        <color rgb="FFCFCDCD"/>
      </bottom>
      <diagonal/>
    </border>
    <border>
      <left style="double">
        <color rgb="FF7F7F7F"/>
      </left>
      <right/>
      <top style="thin">
        <color rgb="FFCFCDCD"/>
      </top>
      <bottom/>
      <diagonal/>
    </border>
    <border>
      <left style="double">
        <color rgb="FF7F7F7F"/>
      </left>
      <right/>
      <top/>
      <bottom/>
      <diagonal/>
    </border>
    <border>
      <left style="medium">
        <color indexed="64"/>
      </left>
      <right/>
      <top style="thin">
        <color rgb="FFCFCDCD"/>
      </top>
      <bottom style="medium">
        <color indexed="64"/>
      </bottom>
      <diagonal/>
    </border>
    <border>
      <left/>
      <right style="thin">
        <color rgb="FFCFCDCD"/>
      </right>
      <top style="thin">
        <color rgb="FFCFCDCD"/>
      </top>
      <bottom style="medium">
        <color indexed="64"/>
      </bottom>
      <diagonal/>
    </border>
    <border>
      <left style="thin">
        <color rgb="FFCFCDCD"/>
      </left>
      <right/>
      <top style="thin">
        <color rgb="FFCFCDCD"/>
      </top>
      <bottom style="medium">
        <color indexed="64"/>
      </bottom>
      <diagonal/>
    </border>
    <border>
      <left/>
      <right/>
      <top style="thin">
        <color rgb="FFCFCDCD"/>
      </top>
      <bottom style="medium">
        <color indexed="64"/>
      </bottom>
      <diagonal/>
    </border>
    <border>
      <left/>
      <right style="double">
        <color rgb="FF7F7F7F"/>
      </right>
      <top style="thin">
        <color rgb="FFCFCDCD"/>
      </top>
      <bottom style="medium">
        <color indexed="64"/>
      </bottom>
      <diagonal/>
    </border>
    <border>
      <left style="double">
        <color rgb="FF7F7F7F"/>
      </left>
      <right/>
      <top/>
      <bottom style="medium">
        <color indexed="64"/>
      </bottom>
      <diagonal/>
    </border>
    <border>
      <left style="thin">
        <color rgb="FFCFCDCD"/>
      </left>
      <right style="thin">
        <color rgb="FFCFCDCD"/>
      </right>
      <top style="thin">
        <color rgb="FFCFCDCD"/>
      </top>
      <bottom style="medium">
        <color indexed="64"/>
      </bottom>
      <diagonal/>
    </border>
    <border>
      <left style="thin">
        <color rgb="FFCFCDCD"/>
      </left>
      <right style="medium">
        <color indexed="64"/>
      </right>
      <top style="thin">
        <color rgb="FFCFCDCD"/>
      </top>
      <bottom style="medium">
        <color indexed="64"/>
      </bottom>
      <diagonal/>
    </border>
    <border>
      <left style="medium">
        <color indexed="64"/>
      </left>
      <right/>
      <top style="medium">
        <color indexed="64"/>
      </top>
      <bottom style="thin">
        <color rgb="FFCFCDCD"/>
      </bottom>
      <diagonal/>
    </border>
    <border>
      <left/>
      <right/>
      <top style="medium">
        <color indexed="64"/>
      </top>
      <bottom style="thin">
        <color rgb="FFCFCDCD"/>
      </bottom>
      <diagonal/>
    </border>
    <border>
      <left/>
      <right style="medium">
        <color indexed="64"/>
      </right>
      <top style="medium">
        <color indexed="64"/>
      </top>
      <bottom style="thin">
        <color rgb="FFCFCDCD"/>
      </bottom>
      <diagonal/>
    </border>
    <border>
      <left/>
      <right style="thin">
        <color rgb="FFCFCDCD"/>
      </right>
      <top style="thin">
        <color rgb="FFCFCDCD"/>
      </top>
      <bottom/>
      <diagonal/>
    </border>
    <border>
      <left/>
      <right style="thin">
        <color rgb="FFCFCDCD"/>
      </right>
      <top/>
      <bottom style="thin">
        <color rgb="FFCFCDCD"/>
      </bottom>
      <diagonal/>
    </border>
    <border>
      <left style="thin">
        <color rgb="FFCFCDCD"/>
      </left>
      <right/>
      <top style="thin">
        <color rgb="FFCFCDCD"/>
      </top>
      <bottom/>
      <diagonal/>
    </border>
    <border>
      <left/>
      <right style="thin">
        <color rgb="FFCFCDCD"/>
      </right>
      <top/>
      <bottom/>
      <diagonal/>
    </border>
    <border>
      <left style="thin">
        <color rgb="FFCFCDCD"/>
      </left>
      <right/>
      <top/>
      <bottom style="thin">
        <color rgb="FFCFCDCD"/>
      </bottom>
      <diagonal/>
    </border>
    <border>
      <left/>
      <right style="medium">
        <color indexed="64"/>
      </right>
      <top style="thin">
        <color rgb="FFCFCDCD"/>
      </top>
      <bottom style="medium">
        <color indexed="64"/>
      </bottom>
      <diagonal/>
    </border>
    <border>
      <left/>
      <right style="thin">
        <color rgb="FFCFCDCD"/>
      </right>
      <top/>
      <bottom style="medium">
        <color indexed="64"/>
      </bottom>
      <diagonal/>
    </border>
    <border>
      <left style="medium">
        <color indexed="64"/>
      </left>
      <right style="thin">
        <color rgb="FFCFCDCD"/>
      </right>
      <top style="thin">
        <color rgb="FFCFCDCD"/>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tted">
        <color indexed="64"/>
      </left>
      <right style="dotted">
        <color indexed="64"/>
      </right>
      <top style="dotted">
        <color indexed="64"/>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right style="medium">
        <color indexed="64"/>
      </right>
      <top style="dotted">
        <color indexed="64"/>
      </top>
      <bottom style="medium">
        <color indexed="64"/>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thin">
        <color indexed="64"/>
      </left>
      <right style="thin">
        <color indexed="64"/>
      </right>
      <top style="medium">
        <color indexed="64"/>
      </top>
      <bottom style="thin">
        <color indexed="64"/>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thin">
        <color indexed="64"/>
      </left>
      <right style="thin">
        <color indexed="64"/>
      </right>
      <top style="thin">
        <color indexed="64"/>
      </top>
      <bottom style="thin">
        <color indexed="64"/>
      </bottom>
      <diagonal/>
    </border>
    <border>
      <left style="thin">
        <color rgb="FFBFBFBF"/>
      </left>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thin">
        <color rgb="FFBFBFBF"/>
      </left>
      <right style="medium">
        <color indexed="64"/>
      </right>
      <top style="thin">
        <color rgb="FFBFBFBF"/>
      </top>
      <bottom style="medium">
        <color indexed="64"/>
      </bottom>
      <diagonal/>
    </border>
    <border>
      <left style="thin">
        <color rgb="FFFFFFFF"/>
      </left>
      <right style="thin">
        <color rgb="FFFFFFFF"/>
      </right>
      <top style="thin">
        <color rgb="FFFFFFFF"/>
      </top>
      <bottom style="thin">
        <color rgb="FFFFFFFF"/>
      </bottom>
      <diagonal/>
    </border>
    <border>
      <left style="thin">
        <color rgb="FFFFFFFF"/>
      </left>
      <right/>
      <top/>
      <bottom/>
      <diagonal/>
    </border>
    <border>
      <left style="thin">
        <color rgb="FFFFFFFF"/>
      </left>
      <right/>
      <top style="thin">
        <color rgb="FFFFFFFF"/>
      </top>
      <bottom style="thin">
        <color rgb="FFFFFFFF"/>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medium">
        <color rgb="FF000000"/>
      </left>
      <right/>
      <top/>
      <bottom/>
      <diagonal/>
    </border>
    <border>
      <left/>
      <right style="medium">
        <color rgb="FF000000"/>
      </right>
      <top/>
      <bottom/>
      <diagonal/>
    </border>
    <border>
      <left style="medium">
        <color rgb="FF000000"/>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bottom/>
      <diagonal/>
    </border>
    <border>
      <left/>
      <right style="thin">
        <color rgb="FFFFFFFF"/>
      </right>
      <top/>
      <bottom/>
      <diagonal/>
    </border>
    <border>
      <left style="medium">
        <color rgb="FF000000"/>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rgb="FF000000"/>
      </left>
      <right style="thin">
        <color rgb="FFBFBFBF"/>
      </right>
      <top style="medium">
        <color rgb="FF000000"/>
      </top>
      <bottom style="thin">
        <color rgb="FFBFBFBF"/>
      </bottom>
      <diagonal/>
    </border>
    <border>
      <left style="thin">
        <color rgb="FFBFBFBF"/>
      </left>
      <right style="medium">
        <color rgb="FF000000"/>
      </right>
      <top style="medium">
        <color rgb="FF000000"/>
      </top>
      <bottom style="thin">
        <color rgb="FFBFBFBF"/>
      </bottom>
      <diagonal/>
    </border>
    <border>
      <left style="medium">
        <color rgb="FF000000"/>
      </left>
      <right style="thin">
        <color rgb="FFBFBFBF"/>
      </right>
      <top style="thin">
        <color rgb="FFBFBFBF"/>
      </top>
      <bottom style="thin">
        <color rgb="FFBFBFBF"/>
      </bottom>
      <diagonal/>
    </border>
    <border>
      <left style="thin">
        <color rgb="FFBFBFBF"/>
      </left>
      <right style="medium">
        <color rgb="FF000000"/>
      </right>
      <top style="thin">
        <color rgb="FFBFBFBF"/>
      </top>
      <bottom style="thin">
        <color rgb="FFBFBFBF"/>
      </bottom>
      <diagonal/>
    </border>
    <border>
      <left style="medium">
        <color rgb="FF000000"/>
      </left>
      <right style="thin">
        <color rgb="FFBFBFBF"/>
      </right>
      <top style="thin">
        <color rgb="FFBFBFBF"/>
      </top>
      <bottom style="medium">
        <color rgb="FF000000"/>
      </bottom>
      <diagonal/>
    </border>
    <border>
      <left style="thin">
        <color rgb="FFBFBFBF"/>
      </left>
      <right style="medium">
        <color rgb="FF000000"/>
      </right>
      <top style="thin">
        <color rgb="FFBFBFBF"/>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BFBFBF"/>
      </bottom>
      <diagonal/>
    </border>
    <border>
      <left style="thin">
        <color rgb="FF000000"/>
      </left>
      <right style="thin">
        <color rgb="FF000000"/>
      </right>
      <top style="thin">
        <color rgb="FF000000"/>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style="thin">
        <color rgb="FF000000"/>
      </left>
      <right style="thin">
        <color rgb="FF000000"/>
      </right>
      <top/>
      <bottom style="thin">
        <color rgb="FFBFBFBF"/>
      </bottom>
      <diagonal/>
    </border>
    <border>
      <left/>
      <right style="medium">
        <color rgb="FF000000"/>
      </right>
      <top/>
      <bottom style="thin">
        <color rgb="FFBFBFBF"/>
      </bottom>
      <diagonal/>
    </border>
    <border>
      <left style="medium">
        <color rgb="FF000000"/>
      </left>
      <right/>
      <top style="thin">
        <color rgb="FFBFBFBF"/>
      </top>
      <bottom style="thin">
        <color rgb="FFBFBFBF"/>
      </bottom>
      <diagonal/>
    </border>
    <border>
      <left style="thin">
        <color rgb="FF000000"/>
      </left>
      <right style="thin">
        <color rgb="FF000000"/>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style="medium">
        <color rgb="FF000000"/>
      </right>
      <top style="thin">
        <color rgb="FFBFBFBF"/>
      </top>
      <bottom style="thin">
        <color rgb="FFBFBFBF"/>
      </bottom>
      <diagonal/>
    </border>
    <border>
      <left style="medium">
        <color rgb="FF000000"/>
      </left>
      <right/>
      <top style="thin">
        <color rgb="FFBFBFBF"/>
      </top>
      <bottom style="medium">
        <color rgb="FF000000"/>
      </bottom>
      <diagonal/>
    </border>
    <border>
      <left style="thin">
        <color rgb="FF000000"/>
      </left>
      <right style="thin">
        <color rgb="FF000000"/>
      </right>
      <top style="thin">
        <color rgb="FFBFBFBF"/>
      </top>
      <bottom style="medium">
        <color rgb="FF000000"/>
      </bottom>
      <diagonal/>
    </border>
    <border>
      <left/>
      <right style="thin">
        <color rgb="FFBFBFBF"/>
      </right>
      <top style="thin">
        <color rgb="FFBFBFBF"/>
      </top>
      <bottom style="medium">
        <color rgb="FF000000"/>
      </bottom>
      <diagonal/>
    </border>
    <border>
      <left style="thin">
        <color rgb="FFBFBFBF"/>
      </left>
      <right style="thin">
        <color rgb="FFBFBFBF"/>
      </right>
      <top style="thin">
        <color rgb="FFBFBFBF"/>
      </top>
      <bottom style="medium">
        <color rgb="FF000000"/>
      </bottom>
      <diagonal/>
    </border>
    <border>
      <left style="thin">
        <color rgb="FFBFBFBF"/>
      </left>
      <right/>
      <top style="thin">
        <color rgb="FFBFBFBF"/>
      </top>
      <bottom style="medium">
        <color rgb="FF000000"/>
      </bottom>
      <diagonal/>
    </border>
    <border>
      <left/>
      <right style="medium">
        <color rgb="FF000000"/>
      </right>
      <top style="thin">
        <color rgb="FFBFBFBF"/>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5C9BD5"/>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rgb="FFFFFFFF"/>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FFFFFF"/>
      </right>
      <top/>
      <bottom style="thin">
        <color rgb="FFFFFFFF"/>
      </bottom>
      <diagonal/>
    </border>
    <border>
      <left style="thin">
        <color indexed="64"/>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s>
  <cellStyleXfs count="7">
    <xf numFmtId="0" fontId="0" fillId="0" borderId="0">
      <alignment vertical="center"/>
    </xf>
    <xf numFmtId="0" fontId="58" fillId="0" borderId="0">
      <protection locked="0"/>
    </xf>
    <xf numFmtId="0" fontId="45" fillId="7" borderId="0">
      <protection locked="0"/>
    </xf>
    <xf numFmtId="0" fontId="27" fillId="0" borderId="0">
      <protection locked="0"/>
    </xf>
    <xf numFmtId="0" fontId="45" fillId="10" borderId="0">
      <protection locked="0"/>
    </xf>
    <xf numFmtId="0" fontId="54" fillId="11" borderId="215">
      <protection locked="0"/>
    </xf>
    <xf numFmtId="0" fontId="44" fillId="12" borderId="0">
      <protection locked="0"/>
    </xf>
  </cellStyleXfs>
  <cellXfs count="947">
    <xf numFmtId="0" fontId="0" fillId="0" borderId="0" xfId="0">
      <alignment vertical="center"/>
    </xf>
    <xf numFmtId="0" fontId="1" fillId="0" borderId="0" xfId="0" applyFont="1" applyAlignment="1" applyProtection="1">
      <alignment horizontal="center" vertical="center"/>
      <protection locked="0"/>
    </xf>
    <xf numFmtId="0" fontId="3" fillId="0" borderId="0" xfId="0" applyFont="1" applyAlignment="1" applyProtection="1">
      <alignment horizontal="center" vertical="center"/>
      <protection locked="0"/>
    </xf>
    <xf numFmtId="0" fontId="4" fillId="0" borderId="0" xfId="0" applyFont="1" applyAlignment="1" applyProtection="1">
      <alignment horizontal="center" vertical="center"/>
      <protection locked="0"/>
    </xf>
    <xf numFmtId="0" fontId="1" fillId="0" borderId="0" xfId="0" applyFont="1" applyFill="1" applyBorder="1" applyProtection="1">
      <alignment vertical="center"/>
      <protection locked="0"/>
    </xf>
    <xf numFmtId="0" fontId="1" fillId="0" borderId="0" xfId="0" applyFont="1" applyAlignment="1">
      <alignment horizontal="center" vertical="center"/>
    </xf>
    <xf numFmtId="0" fontId="5" fillId="0" borderId="0" xfId="0" applyFont="1" applyAlignment="1">
      <alignment horizontal="center" vertical="center"/>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Font="1" applyAlignment="1">
      <alignment horizontal="center" vertical="center"/>
    </xf>
    <xf numFmtId="0" fontId="6" fillId="0" borderId="0" xfId="0" applyNumberFormat="1"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vertical="center"/>
    </xf>
    <xf numFmtId="1" fontId="1" fillId="3" borderId="15" xfId="0" applyNumberFormat="1" applyFont="1" applyFill="1" applyBorder="1" applyAlignment="1">
      <alignment horizontal="center" vertical="center"/>
    </xf>
    <xf numFmtId="1" fontId="1" fillId="0" borderId="15" xfId="0" applyNumberFormat="1" applyFont="1" applyBorder="1" applyAlignment="1">
      <alignment horizontal="center" vertical="center"/>
    </xf>
    <xf numFmtId="1" fontId="1" fillId="3" borderId="18" xfId="0" applyNumberFormat="1" applyFont="1" applyFill="1" applyBorder="1" applyAlignment="1">
      <alignment horizontal="center" vertical="center"/>
    </xf>
    <xf numFmtId="0" fontId="3" fillId="0" borderId="0" xfId="0" applyNumberFormat="1" applyFont="1" applyAlignment="1">
      <alignment horizontal="center" vertical="center"/>
    </xf>
    <xf numFmtId="0" fontId="1" fillId="3" borderId="21" xfId="0" applyFont="1" applyFill="1" applyBorder="1" applyAlignment="1">
      <alignment horizontal="center" vertical="center"/>
    </xf>
    <xf numFmtId="0" fontId="1" fillId="3" borderId="22" xfId="0" applyNumberFormat="1" applyFont="1" applyFill="1" applyBorder="1" applyAlignment="1">
      <alignment horizontal="center" vertical="center"/>
    </xf>
    <xf numFmtId="0" fontId="1" fillId="3" borderId="15" xfId="0" applyFont="1" applyFill="1" applyBorder="1" applyAlignment="1">
      <alignment horizontal="center" vertical="center"/>
    </xf>
    <xf numFmtId="0" fontId="1" fillId="0" borderId="21" xfId="0" applyFont="1" applyBorder="1" applyAlignment="1">
      <alignment horizontal="center" vertical="center"/>
    </xf>
    <xf numFmtId="0" fontId="1" fillId="0" borderId="22" xfId="0" applyNumberFormat="1" applyFont="1" applyBorder="1" applyAlignment="1">
      <alignment horizontal="center" vertical="center"/>
    </xf>
    <xf numFmtId="1" fontId="1" fillId="0" borderId="24" xfId="0" applyNumberFormat="1" applyFont="1" applyBorder="1" applyAlignment="1">
      <alignment horizontal="center" vertical="center"/>
    </xf>
    <xf numFmtId="0" fontId="1" fillId="0" borderId="15" xfId="0" applyFont="1" applyBorder="1" applyAlignment="1">
      <alignment horizontal="center" vertical="center"/>
    </xf>
    <xf numFmtId="1" fontId="1" fillId="0" borderId="26" xfId="0" applyNumberFormat="1" applyFont="1" applyBorder="1" applyAlignment="1">
      <alignment horizontal="center" vertical="center"/>
    </xf>
    <xf numFmtId="176" fontId="5" fillId="3" borderId="24" xfId="0" applyNumberFormat="1" applyFont="1" applyFill="1" applyBorder="1" applyAlignment="1">
      <alignment horizontal="center" vertical="center"/>
    </xf>
    <xf numFmtId="0" fontId="3" fillId="0" borderId="0" xfId="0" applyFont="1" applyAlignment="1">
      <alignment horizontal="center" vertical="center" wrapText="1"/>
    </xf>
    <xf numFmtId="0" fontId="1" fillId="3" borderId="27" xfId="0" applyFont="1" applyFill="1" applyBorder="1" applyAlignment="1">
      <alignment horizontal="center" vertical="center"/>
    </xf>
    <xf numFmtId="0" fontId="1" fillId="3" borderId="32" xfId="0" applyFont="1" applyFill="1" applyBorder="1" applyAlignment="1">
      <alignment horizontal="center" vertical="center"/>
    </xf>
    <xf numFmtId="1" fontId="1" fillId="0" borderId="35" xfId="0" applyNumberFormat="1" applyFont="1" applyBorder="1" applyAlignment="1">
      <alignment horizontal="center" vertical="center"/>
    </xf>
    <xf numFmtId="176" fontId="1" fillId="3" borderId="37" xfId="0" applyNumberFormat="1" applyFont="1" applyFill="1" applyBorder="1" applyAlignment="1">
      <alignment horizontal="center" vertical="center"/>
    </xf>
    <xf numFmtId="0" fontId="2" fillId="0" borderId="0" xfId="0" applyFont="1" applyAlignment="1" applyProtection="1">
      <alignment horizontal="left" vertical="center"/>
      <protection locked="0"/>
    </xf>
    <xf numFmtId="0" fontId="1" fillId="0" borderId="0" xfId="0" applyNumberFormat="1" applyFont="1">
      <alignment vertical="center"/>
    </xf>
    <xf numFmtId="0" fontId="1" fillId="0" borderId="0" xfId="0" applyFont="1" applyBorder="1" applyAlignment="1">
      <alignment horizontal="left"/>
    </xf>
    <xf numFmtId="0" fontId="1" fillId="0" borderId="0" xfId="0" applyNumberFormat="1" applyFont="1" applyBorder="1" applyAlignment="1">
      <alignment horizontal="left" vertical="top"/>
    </xf>
    <xf numFmtId="0" fontId="1" fillId="0" borderId="0" xfId="0" applyFont="1" applyBorder="1" applyAlignment="1"/>
    <xf numFmtId="0" fontId="1" fillId="0" borderId="0" xfId="0" applyFont="1" applyAlignment="1" applyProtection="1">
      <alignment horizontal="left" vertical="center"/>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vertical="center"/>
      <protection locked="0"/>
    </xf>
    <xf numFmtId="0" fontId="1" fillId="0" borderId="0" xfId="0" applyFont="1" applyBorder="1" applyAlignment="1">
      <alignment horizontal="center" vertical="center"/>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4" borderId="45" xfId="0" applyFont="1" applyFill="1" applyBorder="1" applyAlignment="1">
      <alignment horizontal="center" vertical="center"/>
    </xf>
    <xf numFmtId="49" fontId="1" fillId="0" borderId="21" xfId="0" applyNumberFormat="1" applyFont="1" applyBorder="1" applyAlignment="1" applyProtection="1">
      <alignment horizontal="center" vertical="center"/>
      <protection locked="0" hidden="1"/>
    </xf>
    <xf numFmtId="0" fontId="3" fillId="0" borderId="22" xfId="0" applyFont="1" applyBorder="1" applyAlignment="1">
      <alignment horizontal="center" vertical="center"/>
    </xf>
    <xf numFmtId="178" fontId="1" fillId="0" borderId="22" xfId="0" applyNumberFormat="1" applyFont="1" applyBorder="1" applyAlignment="1">
      <alignment horizontal="center" vertical="center"/>
    </xf>
    <xf numFmtId="178" fontId="1" fillId="0" borderId="22" xfId="0" applyNumberFormat="1" applyFont="1" applyBorder="1" applyAlignment="1" applyProtection="1">
      <alignment horizontal="center" vertical="center"/>
      <protection locked="0"/>
    </xf>
    <xf numFmtId="178" fontId="1" fillId="0" borderId="44" xfId="0" applyNumberFormat="1" applyFont="1" applyBorder="1" applyAlignment="1">
      <alignment horizontal="center" vertical="center"/>
    </xf>
    <xf numFmtId="49" fontId="1" fillId="0" borderId="45" xfId="0" applyNumberFormat="1" applyFont="1" applyBorder="1" applyAlignment="1" applyProtection="1">
      <alignment horizontal="center" vertical="center"/>
      <protection locked="0" hidden="1"/>
    </xf>
    <xf numFmtId="178" fontId="1" fillId="0" borderId="23" xfId="0" applyNumberFormat="1" applyFont="1" applyBorder="1" applyAlignment="1">
      <alignment horizontal="center" vertical="center"/>
    </xf>
    <xf numFmtId="49" fontId="1" fillId="3" borderId="21" xfId="0" applyNumberFormat="1" applyFont="1" applyFill="1" applyBorder="1" applyAlignment="1" applyProtection="1">
      <alignment horizontal="center" vertical="center"/>
      <protection locked="0" hidden="1"/>
    </xf>
    <xf numFmtId="178" fontId="3" fillId="3" borderId="22" xfId="0" applyNumberFormat="1" applyFont="1" applyFill="1" applyBorder="1" applyAlignment="1">
      <alignment horizontal="center" vertical="center"/>
    </xf>
    <xf numFmtId="178" fontId="1" fillId="3" borderId="22" xfId="0" applyNumberFormat="1" applyFont="1" applyFill="1" applyBorder="1" applyAlignment="1">
      <alignment horizontal="center" vertical="center"/>
    </xf>
    <xf numFmtId="178" fontId="1" fillId="3" borderId="22" xfId="0" applyNumberFormat="1" applyFont="1" applyFill="1" applyBorder="1" applyAlignment="1" applyProtection="1">
      <alignment horizontal="center" vertical="center"/>
      <protection locked="0"/>
    </xf>
    <xf numFmtId="178" fontId="1" fillId="3" borderId="44" xfId="0" applyNumberFormat="1" applyFont="1" applyFill="1" applyBorder="1" applyAlignment="1">
      <alignment horizontal="center" vertical="center"/>
    </xf>
    <xf numFmtId="49" fontId="1" fillId="3" borderId="45" xfId="0" applyNumberFormat="1" applyFont="1" applyFill="1" applyBorder="1" applyAlignment="1" applyProtection="1">
      <alignment horizontal="center" vertical="center"/>
      <protection locked="0" hidden="1"/>
    </xf>
    <xf numFmtId="178" fontId="1" fillId="3" borderId="23" xfId="0" applyNumberFormat="1" applyFont="1" applyFill="1" applyBorder="1" applyAlignment="1">
      <alignment horizontal="center" vertical="center"/>
    </xf>
    <xf numFmtId="49" fontId="1" fillId="0" borderId="22" xfId="0" applyNumberFormat="1" applyFont="1" applyBorder="1" applyAlignment="1" applyProtection="1">
      <alignment horizontal="right" vertical="center" wrapText="1"/>
      <protection locked="0" hidden="1"/>
    </xf>
    <xf numFmtId="49" fontId="1" fillId="0" borderId="22" xfId="0" applyNumberFormat="1" applyFont="1" applyBorder="1" applyAlignment="1" applyProtection="1">
      <alignment horizontal="left" vertical="center" wrapText="1"/>
      <protection locked="0" hidden="1"/>
    </xf>
    <xf numFmtId="0" fontId="1" fillId="0" borderId="0" xfId="0" applyFont="1" applyProtection="1">
      <alignment vertical="center"/>
      <protection locked="0"/>
    </xf>
    <xf numFmtId="178" fontId="1" fillId="3" borderId="22" xfId="0" applyNumberFormat="1" applyFont="1" applyFill="1" applyBorder="1" applyAlignment="1" applyProtection="1">
      <alignment horizontal="right" vertical="center"/>
      <protection locked="0" hidden="1"/>
    </xf>
    <xf numFmtId="0" fontId="1" fillId="3" borderId="22" xfId="0" applyNumberFormat="1" applyFont="1" applyFill="1" applyBorder="1" applyAlignment="1" applyProtection="1">
      <alignment horizontal="left" vertical="center"/>
      <protection locked="0" hidden="1"/>
    </xf>
    <xf numFmtId="49" fontId="1" fillId="3" borderId="22" xfId="0" applyNumberFormat="1" applyFont="1" applyFill="1" applyBorder="1" applyAlignment="1" applyProtection="1">
      <alignment horizontal="right" vertical="center"/>
      <protection locked="0" hidden="1"/>
    </xf>
    <xf numFmtId="49" fontId="1" fillId="3" borderId="22" xfId="0" applyNumberFormat="1" applyFont="1" applyFill="1" applyBorder="1" applyAlignment="1" applyProtection="1">
      <alignment horizontal="left" vertical="center"/>
      <protection locked="0" hidden="1"/>
    </xf>
    <xf numFmtId="178" fontId="1" fillId="3" borderId="22" xfId="0" applyNumberFormat="1" applyFont="1" applyFill="1" applyBorder="1" applyAlignment="1" applyProtection="1">
      <alignment horizontal="center" vertical="center" wrapText="1"/>
      <protection locked="0"/>
    </xf>
    <xf numFmtId="178" fontId="1" fillId="0" borderId="22" xfId="0" applyNumberFormat="1" applyFont="1" applyBorder="1" applyAlignment="1" applyProtection="1">
      <alignment horizontal="right" vertical="center"/>
      <protection locked="0" hidden="1"/>
    </xf>
    <xf numFmtId="49" fontId="1" fillId="0" borderId="22" xfId="0" applyNumberFormat="1" applyFont="1" applyFill="1" applyBorder="1" applyAlignment="1" applyProtection="1">
      <alignment horizontal="left" vertical="center"/>
      <protection locked="0" hidden="1"/>
    </xf>
    <xf numFmtId="0" fontId="3" fillId="3" borderId="22" xfId="0" applyNumberFormat="1" applyFont="1" applyFill="1" applyBorder="1" applyAlignment="1">
      <alignment horizontal="center" vertical="center"/>
    </xf>
    <xf numFmtId="178" fontId="1" fillId="0" borderId="0" xfId="0" applyNumberFormat="1" applyFont="1" applyAlignment="1" applyProtection="1">
      <alignment horizontal="center" vertical="center"/>
      <protection locked="0"/>
    </xf>
    <xf numFmtId="49" fontId="1" fillId="5" borderId="22" xfId="0" applyNumberFormat="1" applyFont="1" applyFill="1" applyBorder="1" applyAlignment="1" applyProtection="1">
      <alignment horizontal="right" vertical="center"/>
      <protection locked="0" hidden="1"/>
    </xf>
    <xf numFmtId="49" fontId="1" fillId="5" borderId="22" xfId="0" applyNumberFormat="1" applyFont="1" applyFill="1" applyBorder="1" applyAlignment="1" applyProtection="1">
      <alignment horizontal="left" vertical="center"/>
      <protection locked="0" hidden="1"/>
    </xf>
    <xf numFmtId="178" fontId="1" fillId="5" borderId="22" xfId="0" applyNumberFormat="1" applyFont="1" applyFill="1" applyBorder="1" applyAlignment="1">
      <alignment horizontal="center" vertical="center"/>
    </xf>
    <xf numFmtId="49" fontId="1" fillId="3" borderId="22" xfId="0" applyNumberFormat="1" applyFont="1" applyFill="1" applyBorder="1" applyAlignment="1" applyProtection="1">
      <alignment horizontal="right" vertical="center" wrapText="1"/>
      <protection locked="0" hidden="1"/>
    </xf>
    <xf numFmtId="49" fontId="1" fillId="3" borderId="22" xfId="0" applyNumberFormat="1" applyFont="1" applyFill="1" applyBorder="1" applyAlignment="1" applyProtection="1">
      <alignment horizontal="left" vertical="center" wrapText="1"/>
      <protection locked="0" hidden="1"/>
    </xf>
    <xf numFmtId="0" fontId="1" fillId="5" borderId="22" xfId="0" applyNumberFormat="1" applyFont="1" applyFill="1" applyBorder="1" applyAlignment="1" applyProtection="1">
      <alignment horizontal="left" vertical="center"/>
      <protection locked="0" hidden="1"/>
    </xf>
    <xf numFmtId="49" fontId="1" fillId="5" borderId="22" xfId="0" applyNumberFormat="1" applyFont="1" applyFill="1" applyBorder="1" applyAlignment="1" applyProtection="1">
      <alignment horizontal="right" vertical="center" wrapText="1"/>
      <protection locked="0" hidden="1"/>
    </xf>
    <xf numFmtId="49" fontId="1" fillId="3" borderId="22" xfId="0" applyNumberFormat="1" applyFont="1" applyFill="1" applyBorder="1" applyAlignment="1" applyProtection="1">
      <alignment horizontal="center" vertical="center"/>
      <protection locked="0" hidden="1"/>
    </xf>
    <xf numFmtId="49" fontId="1" fillId="3" borderId="22" xfId="0" applyNumberFormat="1" applyFont="1" applyFill="1" applyBorder="1" applyProtection="1">
      <alignment vertical="center"/>
      <protection locked="0" hidden="1"/>
    </xf>
    <xf numFmtId="49" fontId="1" fillId="0" borderId="22" xfId="0" applyNumberFormat="1" applyFont="1" applyBorder="1" applyAlignment="1" applyProtection="1">
      <alignment horizontal="right" vertical="center"/>
      <protection locked="0" hidden="1"/>
    </xf>
    <xf numFmtId="49" fontId="1" fillId="0" borderId="22" xfId="0" applyNumberFormat="1" applyFont="1" applyBorder="1" applyAlignment="1" applyProtection="1">
      <alignment horizontal="left" vertical="center"/>
      <protection locked="0" hidden="1"/>
    </xf>
    <xf numFmtId="178" fontId="3" fillId="0" borderId="22" xfId="0" applyNumberFormat="1" applyFont="1" applyBorder="1" applyAlignment="1">
      <alignment horizontal="center" vertical="center"/>
    </xf>
    <xf numFmtId="49" fontId="1" fillId="3" borderId="27" xfId="0" applyNumberFormat="1" applyFont="1" applyFill="1" applyBorder="1" applyAlignment="1" applyProtection="1">
      <alignment horizontal="center" vertical="center"/>
      <protection locked="0" hidden="1"/>
    </xf>
    <xf numFmtId="178" fontId="3" fillId="3" borderId="28" xfId="0" applyNumberFormat="1" applyFont="1" applyFill="1" applyBorder="1" applyAlignment="1">
      <alignment horizontal="center" vertical="center"/>
    </xf>
    <xf numFmtId="178" fontId="1" fillId="3" borderId="28" xfId="0" applyNumberFormat="1" applyFont="1" applyFill="1" applyBorder="1" applyAlignment="1">
      <alignment horizontal="center" vertical="center"/>
    </xf>
    <xf numFmtId="178" fontId="1" fillId="3" borderId="28" xfId="0" applyNumberFormat="1" applyFont="1" applyFill="1" applyBorder="1" applyAlignment="1" applyProtection="1">
      <alignment horizontal="center" vertical="center"/>
      <protection locked="0"/>
    </xf>
    <xf numFmtId="178" fontId="1" fillId="3" borderId="32" xfId="0" applyNumberFormat="1" applyFont="1" applyFill="1" applyBorder="1" applyAlignment="1">
      <alignment horizontal="center" vertical="center"/>
    </xf>
    <xf numFmtId="49" fontId="1" fillId="3" borderId="31" xfId="0" applyNumberFormat="1" applyFont="1" applyFill="1" applyBorder="1" applyAlignment="1" applyProtection="1">
      <alignment horizontal="center" vertical="center"/>
      <protection locked="0" hidden="1"/>
    </xf>
    <xf numFmtId="178" fontId="1" fillId="3" borderId="29" xfId="0" applyNumberFormat="1" applyFont="1" applyFill="1" applyBorder="1" applyAlignment="1">
      <alignment horizontal="center" vertical="center"/>
    </xf>
    <xf numFmtId="0" fontId="1" fillId="0" borderId="0" xfId="0" applyFont="1" applyBorder="1" applyAlignment="1">
      <alignment vertical="top"/>
    </xf>
    <xf numFmtId="0" fontId="1" fillId="0" borderId="0" xfId="0" applyFont="1" applyBorder="1">
      <alignment vertical="center"/>
    </xf>
    <xf numFmtId="0" fontId="5" fillId="6" borderId="44" xfId="0" applyNumberFormat="1" applyFont="1" applyFill="1" applyBorder="1" applyAlignment="1">
      <alignment horizontal="center" vertical="center"/>
    </xf>
    <xf numFmtId="0" fontId="5" fillId="6" borderId="45" xfId="0" applyNumberFormat="1" applyFont="1" applyFill="1" applyBorder="1" applyAlignment="1">
      <alignment horizontal="center" vertical="center"/>
    </xf>
    <xf numFmtId="0" fontId="5" fillId="6" borderId="22" xfId="0" applyFont="1" applyFill="1" applyBorder="1" applyAlignment="1">
      <alignment horizontal="center" vertical="center"/>
    </xf>
    <xf numFmtId="0" fontId="5" fillId="6" borderId="23" xfId="0" applyFont="1" applyFill="1" applyBorder="1" applyAlignment="1">
      <alignment horizontal="center" vertical="center"/>
    </xf>
    <xf numFmtId="0" fontId="1" fillId="0" borderId="0" xfId="0" applyFont="1" applyFill="1" applyBorder="1" applyAlignment="1" applyProtection="1">
      <alignment horizontal="center" vertical="center"/>
      <protection locked="0"/>
    </xf>
    <xf numFmtId="0" fontId="5" fillId="3" borderId="44" xfId="0" applyNumberFormat="1" applyFont="1" applyFill="1" applyBorder="1" applyAlignment="1">
      <alignment horizontal="center" vertical="center"/>
    </xf>
    <xf numFmtId="0" fontId="5" fillId="3" borderId="45" xfId="0" applyNumberFormat="1" applyFont="1" applyFill="1" applyBorder="1" applyAlignment="1">
      <alignment horizontal="center" vertical="center"/>
    </xf>
    <xf numFmtId="178" fontId="5" fillId="3" borderId="22" xfId="0" applyNumberFormat="1" applyFont="1" applyFill="1" applyBorder="1" applyAlignment="1">
      <alignment horizontal="center" vertical="center"/>
    </xf>
    <xf numFmtId="0" fontId="5" fillId="3" borderId="22" xfId="0" applyNumberFormat="1" applyFont="1" applyFill="1" applyBorder="1" applyAlignment="1">
      <alignment horizontal="center" vertical="center"/>
    </xf>
    <xf numFmtId="0" fontId="5" fillId="3" borderId="23" xfId="0" applyNumberFormat="1" applyFont="1" applyFill="1" applyBorder="1" applyAlignment="1">
      <alignment horizontal="center" vertical="center"/>
    </xf>
    <xf numFmtId="0" fontId="1" fillId="0" borderId="0" xfId="0" applyNumberFormat="1" applyFont="1" applyFill="1" applyBorder="1" applyProtection="1">
      <alignment vertical="center"/>
      <protection locked="0"/>
    </xf>
    <xf numFmtId="0" fontId="5" fillId="0" borderId="44" xfId="0" applyNumberFormat="1" applyFont="1" applyBorder="1" applyAlignment="1" applyProtection="1">
      <alignment horizontal="center" vertical="center"/>
      <protection locked="0"/>
    </xf>
    <xf numFmtId="0" fontId="5" fillId="5" borderId="45" xfId="0" applyFont="1" applyFill="1" applyBorder="1" applyAlignment="1">
      <alignment horizontal="center" vertical="center"/>
    </xf>
    <xf numFmtId="0" fontId="5" fillId="0" borderId="22" xfId="0" applyNumberFormat="1" applyFont="1" applyBorder="1" applyAlignment="1">
      <alignment horizontal="center" vertical="center"/>
    </xf>
    <xf numFmtId="0" fontId="5" fillId="0" borderId="23" xfId="0" applyNumberFormat="1" applyFont="1" applyBorder="1" applyAlignment="1">
      <alignment horizontal="center" vertical="center"/>
    </xf>
    <xf numFmtId="0" fontId="5" fillId="3" borderId="44" xfId="0" applyNumberFormat="1" applyFont="1" applyFill="1" applyBorder="1" applyAlignment="1" applyProtection="1">
      <alignment horizontal="center" vertical="center"/>
      <protection locked="0"/>
    </xf>
    <xf numFmtId="0" fontId="1" fillId="6" borderId="79" xfId="0" applyFont="1" applyFill="1" applyBorder="1" applyAlignment="1" applyProtection="1">
      <alignment horizontal="center" vertical="center" wrapText="1"/>
      <protection locked="0"/>
    </xf>
    <xf numFmtId="0" fontId="1" fillId="6" borderId="81" xfId="0" applyFont="1" applyFill="1" applyBorder="1" applyAlignment="1" applyProtection="1">
      <alignment horizontal="center" vertical="center" wrapText="1"/>
      <protection locked="0"/>
    </xf>
    <xf numFmtId="0" fontId="5" fillId="0" borderId="45" xfId="0" applyNumberFormat="1" applyFont="1" applyBorder="1" applyAlignment="1">
      <alignment horizontal="center" vertical="center"/>
    </xf>
    <xf numFmtId="0" fontId="5" fillId="5" borderId="22" xfId="0" applyFont="1" applyFill="1" applyBorder="1" applyAlignment="1">
      <alignment horizontal="center" vertical="center"/>
    </xf>
    <xf numFmtId="178" fontId="5" fillId="0" borderId="23" xfId="0" applyNumberFormat="1" applyFont="1" applyFill="1" applyBorder="1" applyAlignment="1">
      <alignment horizontal="center" vertical="center"/>
    </xf>
    <xf numFmtId="0" fontId="5" fillId="3" borderId="79" xfId="0" applyNumberFormat="1" applyFont="1" applyFill="1" applyBorder="1" applyAlignment="1" applyProtection="1">
      <alignment horizontal="center" vertical="center"/>
      <protection locked="0"/>
    </xf>
    <xf numFmtId="0" fontId="5" fillId="3" borderId="81" xfId="0" applyNumberFormat="1" applyFont="1" applyFill="1" applyBorder="1" applyAlignment="1" applyProtection="1">
      <alignment horizontal="center" vertical="center"/>
      <protection locked="0"/>
    </xf>
    <xf numFmtId="0" fontId="5" fillId="3" borderId="45" xfId="0" applyNumberFormat="1" applyFont="1" applyFill="1" applyBorder="1" applyAlignment="1" applyProtection="1">
      <alignment horizontal="center" vertical="center"/>
      <protection locked="0"/>
    </xf>
    <xf numFmtId="0" fontId="5" fillId="3" borderId="22" xfId="0" applyNumberFormat="1" applyFont="1" applyFill="1" applyBorder="1" applyAlignment="1" applyProtection="1">
      <alignment horizontal="center" vertical="center"/>
      <protection locked="0"/>
    </xf>
    <xf numFmtId="0" fontId="5" fillId="3" borderId="22" xfId="0" applyNumberFormat="1" applyFont="1" applyFill="1" applyBorder="1" applyAlignment="1" applyProtection="1">
      <alignment horizontal="center" vertical="center"/>
      <protection hidden="1"/>
    </xf>
    <xf numFmtId="0" fontId="5" fillId="3" borderId="23" xfId="0" applyNumberFormat="1" applyFont="1" applyFill="1" applyBorder="1" applyAlignment="1" applyProtection="1">
      <alignment horizontal="center" vertical="center"/>
      <protection locked="0"/>
    </xf>
    <xf numFmtId="0" fontId="5" fillId="5" borderId="79" xfId="0" applyNumberFormat="1" applyFont="1" applyFill="1" applyBorder="1" applyAlignment="1" applyProtection="1">
      <alignment horizontal="center" vertical="center"/>
      <protection locked="0"/>
    </xf>
    <xf numFmtId="0" fontId="5" fillId="5" borderId="81" xfId="0" applyNumberFormat="1" applyFont="1" applyFill="1" applyBorder="1" applyAlignment="1" applyProtection="1">
      <alignment horizontal="center" vertical="center"/>
      <protection locked="0"/>
    </xf>
    <xf numFmtId="0" fontId="5" fillId="0" borderId="32" xfId="0" applyNumberFormat="1" applyFont="1" applyBorder="1" applyAlignment="1" applyProtection="1">
      <alignment horizontal="center" vertical="center"/>
      <protection locked="0"/>
    </xf>
    <xf numFmtId="0" fontId="5" fillId="0" borderId="31" xfId="0" applyNumberFormat="1" applyFont="1" applyBorder="1" applyAlignment="1" applyProtection="1">
      <alignment horizontal="center" vertical="center"/>
      <protection locked="0"/>
    </xf>
    <xf numFmtId="0" fontId="5" fillId="0" borderId="28" xfId="0" applyNumberFormat="1" applyFont="1" applyBorder="1" applyAlignment="1" applyProtection="1">
      <alignment horizontal="center" vertical="center"/>
      <protection locked="0"/>
    </xf>
    <xf numFmtId="0" fontId="5" fillId="0" borderId="28" xfId="0" applyNumberFormat="1" applyFont="1" applyBorder="1" applyAlignment="1" applyProtection="1">
      <alignment horizontal="center" vertical="center"/>
      <protection hidden="1"/>
    </xf>
    <xf numFmtId="0" fontId="5" fillId="0" borderId="29" xfId="0" applyNumberFormat="1" applyFont="1" applyFill="1" applyBorder="1" applyAlignment="1" applyProtection="1">
      <alignment horizontal="center" vertical="center"/>
      <protection locked="0"/>
    </xf>
    <xf numFmtId="0" fontId="5" fillId="6" borderId="80" xfId="0" applyFont="1" applyFill="1" applyBorder="1" applyAlignment="1">
      <alignment horizontal="center" vertical="center" wrapText="1"/>
    </xf>
    <xf numFmtId="0" fontId="10" fillId="0" borderId="80" xfId="0" applyFont="1" applyBorder="1" applyAlignment="1" applyProtection="1">
      <alignment horizontal="center" vertical="center" wrapText="1"/>
      <protection locked="0"/>
    </xf>
    <xf numFmtId="0" fontId="10" fillId="3" borderId="80" xfId="0" applyFont="1" applyFill="1" applyBorder="1" applyAlignment="1" applyProtection="1">
      <alignment horizontal="center" vertical="center" wrapText="1"/>
      <protection locked="0"/>
    </xf>
    <xf numFmtId="0" fontId="5" fillId="5" borderId="92" xfId="0" applyNumberFormat="1" applyFont="1" applyFill="1" applyBorder="1" applyAlignment="1" applyProtection="1">
      <alignment horizontal="center" vertical="center"/>
      <protection locked="0"/>
    </xf>
    <xf numFmtId="0" fontId="5" fillId="5" borderId="93" xfId="0" applyNumberFormat="1" applyFont="1" applyFill="1" applyBorder="1" applyAlignment="1" applyProtection="1">
      <alignment horizontal="center" vertical="center"/>
      <protection locked="0"/>
    </xf>
    <xf numFmtId="0" fontId="5" fillId="0" borderId="0" xfId="0" applyFont="1" applyBorder="1" applyAlignment="1" applyProtection="1">
      <alignment vertical="center" wrapText="1"/>
      <protection locked="0"/>
    </xf>
    <xf numFmtId="0" fontId="1" fillId="0" borderId="19" xfId="0" applyFont="1" applyBorder="1" applyAlignment="1" applyProtection="1">
      <alignment horizontal="center" vertical="center"/>
      <protection locked="0"/>
    </xf>
    <xf numFmtId="0" fontId="5" fillId="0" borderId="79" xfId="0" applyFont="1" applyBorder="1" applyAlignment="1">
      <alignment horizontal="center" vertical="center"/>
    </xf>
    <xf numFmtId="0" fontId="5" fillId="0" borderId="81" xfId="0" applyFont="1" applyBorder="1" applyAlignment="1">
      <alignment horizontal="center" vertical="center"/>
    </xf>
    <xf numFmtId="0" fontId="5" fillId="0" borderId="79" xfId="0" applyFont="1" applyBorder="1" applyAlignment="1" applyProtection="1">
      <alignment horizontal="center" vertical="center"/>
      <protection locked="0"/>
    </xf>
    <xf numFmtId="0" fontId="5" fillId="0" borderId="81" xfId="0" applyNumberFormat="1" applyFont="1" applyBorder="1" applyAlignment="1" applyProtection="1">
      <alignment horizontal="center" vertical="center"/>
      <protection locked="0"/>
    </xf>
    <xf numFmtId="0" fontId="5" fillId="0" borderId="79" xfId="0" applyFont="1" applyBorder="1" applyAlignment="1">
      <alignment horizontal="left" vertical="center"/>
    </xf>
    <xf numFmtId="0" fontId="5" fillId="0" borderId="81" xfId="0" applyFont="1" applyBorder="1" applyAlignment="1">
      <alignment horizontal="left" vertical="center"/>
    </xf>
    <xf numFmtId="0" fontId="4" fillId="0" borderId="0" xfId="0" applyFont="1" applyAlignment="1">
      <alignment horizontal="left" vertical="center"/>
    </xf>
    <xf numFmtId="49" fontId="1" fillId="0" borderId="0" xfId="0" applyNumberFormat="1" applyFont="1" applyFill="1" applyBorder="1" applyAlignment="1" applyProtection="1">
      <alignment vertical="top" wrapText="1"/>
      <protection locked="0"/>
    </xf>
    <xf numFmtId="0" fontId="1" fillId="0" borderId="0" xfId="0" applyFont="1" applyAlignment="1">
      <alignment horizontal="center" vertical="center"/>
    </xf>
    <xf numFmtId="0" fontId="4" fillId="0" borderId="0" xfId="0" applyFont="1" applyAlignment="1">
      <alignment horizontal="center" vertical="center"/>
    </xf>
    <xf numFmtId="0" fontId="1" fillId="6" borderId="19" xfId="0" applyFont="1" applyFill="1" applyBorder="1" applyAlignment="1">
      <alignment horizontal="center" vertical="center"/>
    </xf>
    <xf numFmtId="0" fontId="1" fillId="6" borderId="20" xfId="0" applyFont="1" applyFill="1" applyBorder="1" applyAlignment="1">
      <alignment horizontal="center" vertical="center"/>
    </xf>
    <xf numFmtId="0" fontId="1" fillId="0" borderId="19" xfId="0" applyFont="1" applyBorder="1" applyAlignment="1" applyProtection="1">
      <alignment horizontal="center" vertical="center"/>
      <protection locked="0" hidden="1"/>
    </xf>
    <xf numFmtId="0" fontId="1" fillId="0" borderId="20" xfId="0" applyFont="1" applyBorder="1" applyAlignment="1">
      <alignment horizontal="center" vertical="center"/>
    </xf>
    <xf numFmtId="0" fontId="1" fillId="0" borderId="0" xfId="0" applyFont="1" applyAlignment="1" applyProtection="1">
      <alignment horizontal="center" vertical="center"/>
      <protection locked="0" hidden="1"/>
    </xf>
    <xf numFmtId="0" fontId="1" fillId="3" borderId="19" xfId="0" applyFont="1" applyFill="1" applyBorder="1" applyAlignment="1" applyProtection="1">
      <alignment horizontal="center" vertical="center"/>
      <protection locked="0" hidden="1"/>
    </xf>
    <xf numFmtId="0" fontId="1" fillId="3" borderId="20" xfId="0" applyFont="1" applyFill="1" applyBorder="1" applyAlignment="1">
      <alignment horizontal="center" vertical="center"/>
    </xf>
    <xf numFmtId="0" fontId="1" fillId="0" borderId="38" xfId="0" applyFont="1" applyBorder="1" applyAlignment="1" applyProtection="1">
      <alignment horizontal="center" vertical="center"/>
      <protection locked="0" hidden="1"/>
    </xf>
    <xf numFmtId="0" fontId="1" fillId="0" borderId="40" xfId="0" applyFont="1" applyBorder="1" applyAlignment="1">
      <alignment horizontal="center" vertical="center"/>
    </xf>
    <xf numFmtId="0" fontId="1" fillId="3" borderId="38" xfId="0" applyFont="1" applyFill="1" applyBorder="1" applyAlignment="1" applyProtection="1">
      <alignment horizontal="center" vertical="center"/>
      <protection locked="0" hidden="1"/>
    </xf>
    <xf numFmtId="0" fontId="1" fillId="3" borderId="40" xfId="0" applyFont="1" applyFill="1" applyBorder="1" applyAlignment="1">
      <alignment horizontal="center" vertical="center"/>
    </xf>
    <xf numFmtId="0" fontId="1" fillId="3" borderId="107" xfId="0" applyFont="1" applyFill="1" applyBorder="1" applyAlignment="1" applyProtection="1">
      <alignment horizontal="center" vertical="center"/>
      <protection locked="0" hidden="1"/>
    </xf>
    <xf numFmtId="0" fontId="1" fillId="3" borderId="108" xfId="0" applyFont="1" applyFill="1" applyBorder="1" applyAlignment="1">
      <alignment horizontal="center" vertical="center"/>
    </xf>
    <xf numFmtId="0" fontId="1" fillId="0" borderId="0" xfId="0"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49" fontId="13" fillId="0" borderId="0" xfId="0" applyNumberFormat="1" applyFont="1" applyAlignment="1">
      <alignment horizontal="center" vertical="center" wrapText="1"/>
    </xf>
    <xf numFmtId="0" fontId="13" fillId="0" borderId="0" xfId="0" applyFont="1" applyAlignment="1" applyProtection="1">
      <alignment horizontal="center" vertical="center" wrapText="1"/>
      <protection locked="0"/>
    </xf>
    <xf numFmtId="0" fontId="14" fillId="0" borderId="0" xfId="0" applyFont="1" applyAlignment="1" applyProtection="1">
      <alignment horizontal="center" vertical="center" wrapText="1"/>
      <protection locked="0"/>
    </xf>
    <xf numFmtId="0" fontId="14" fillId="0" borderId="0" xfId="0" applyFont="1" applyAlignment="1" applyProtection="1">
      <alignment horizontal="center" vertical="center"/>
      <protection locked="0"/>
    </xf>
    <xf numFmtId="0" fontId="15" fillId="2" borderId="7" xfId="0" applyFont="1" applyFill="1" applyBorder="1" applyAlignment="1">
      <alignment horizontal="center" vertical="center" wrapText="1"/>
    </xf>
    <xf numFmtId="49" fontId="15" fillId="2" borderId="8" xfId="0" applyNumberFormat="1"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3" fillId="0" borderId="0" xfId="0" applyFont="1" applyBorder="1" applyAlignment="1" applyProtection="1">
      <alignment horizontal="center" vertical="center" wrapText="1"/>
      <protection locked="0"/>
    </xf>
    <xf numFmtId="0" fontId="14" fillId="0" borderId="0" xfId="0" applyFont="1" applyBorder="1" applyAlignment="1" applyProtection="1">
      <alignment horizontal="center" vertical="center" wrapText="1"/>
      <protection locked="0"/>
    </xf>
    <xf numFmtId="0" fontId="14" fillId="0" borderId="0" xfId="0" applyFont="1" applyBorder="1" applyAlignment="1" applyProtection="1">
      <alignment horizontal="center" vertical="center"/>
      <protection locked="0"/>
    </xf>
    <xf numFmtId="0" fontId="13" fillId="0" borderId="19" xfId="0" applyFont="1" applyBorder="1" applyAlignment="1">
      <alignment horizontal="center" vertical="center" wrapText="1"/>
    </xf>
    <xf numFmtId="0" fontId="18" fillId="0" borderId="0" xfId="0" applyFont="1" applyBorder="1" applyAlignment="1" applyProtection="1">
      <alignment horizontal="center" vertical="center"/>
      <protection locked="0"/>
    </xf>
    <xf numFmtId="0" fontId="13" fillId="3" borderId="19" xfId="0" applyFont="1" applyFill="1" applyBorder="1" applyAlignment="1">
      <alignment horizontal="center" vertical="center" wrapText="1"/>
    </xf>
    <xf numFmtId="0" fontId="13" fillId="3" borderId="0" xfId="0" applyFont="1" applyFill="1" applyBorder="1" applyAlignment="1">
      <alignment vertical="center" wrapText="1"/>
    </xf>
    <xf numFmtId="0" fontId="19" fillId="3" borderId="112" xfId="0" applyFont="1" applyFill="1" applyBorder="1" applyAlignment="1" applyProtection="1">
      <alignment horizontal="center" vertical="center" wrapText="1"/>
      <protection locked="0"/>
    </xf>
    <xf numFmtId="49" fontId="13" fillId="3" borderId="0" xfId="0" applyNumberFormat="1" applyFont="1" applyFill="1" applyBorder="1" applyAlignment="1" applyProtection="1">
      <alignment horizontal="center" vertical="center" wrapText="1"/>
      <protection locked="0"/>
    </xf>
    <xf numFmtId="49" fontId="19" fillId="3" borderId="112" xfId="0" applyNumberFormat="1" applyFont="1" applyFill="1" applyBorder="1" applyAlignment="1" applyProtection="1">
      <alignment horizontal="center" vertical="center" wrapText="1"/>
      <protection locked="0" hidden="1"/>
    </xf>
    <xf numFmtId="0" fontId="13" fillId="3" borderId="0" xfId="0" applyFont="1" applyFill="1" applyBorder="1" applyAlignment="1">
      <alignment horizontal="center" vertical="center"/>
    </xf>
    <xf numFmtId="0" fontId="13" fillId="3" borderId="20" xfId="0" applyFont="1" applyFill="1" applyBorder="1" applyAlignment="1">
      <alignment horizontal="left" vertical="center" wrapText="1"/>
    </xf>
    <xf numFmtId="0" fontId="13" fillId="0" borderId="0" xfId="0" applyFont="1" applyBorder="1" applyAlignment="1">
      <alignment horizontal="center" vertical="center" wrapText="1"/>
    </xf>
    <xf numFmtId="0" fontId="13" fillId="0" borderId="0" xfId="0" applyFont="1" applyBorder="1" applyAlignment="1">
      <alignment horizontal="center" vertical="center"/>
    </xf>
    <xf numFmtId="0" fontId="13" fillId="0" borderId="20" xfId="0" applyFont="1" applyBorder="1" applyAlignment="1">
      <alignment horizontal="left" vertical="center" wrapText="1"/>
    </xf>
    <xf numFmtId="49" fontId="13" fillId="3" borderId="0" xfId="0" applyNumberFormat="1" applyFont="1" applyFill="1" applyBorder="1" applyAlignment="1">
      <alignment horizontal="center" vertical="center" wrapText="1"/>
    </xf>
    <xf numFmtId="0" fontId="13" fillId="3" borderId="0" xfId="0" applyFont="1" applyFill="1" applyBorder="1" applyAlignment="1">
      <alignment horizontal="center" vertical="center" wrapText="1"/>
    </xf>
    <xf numFmtId="0" fontId="18" fillId="0" borderId="0" xfId="0" applyFont="1" applyAlignment="1" applyProtection="1">
      <alignment horizontal="center" vertical="center"/>
      <protection locked="0"/>
    </xf>
    <xf numFmtId="0" fontId="13" fillId="3" borderId="38" xfId="0" applyFont="1" applyFill="1" applyBorder="1" applyAlignment="1">
      <alignment horizontal="center" vertical="center" wrapText="1"/>
    </xf>
    <xf numFmtId="49" fontId="13" fillId="3" borderId="39" xfId="0" applyNumberFormat="1" applyFont="1" applyFill="1" applyBorder="1" applyAlignment="1">
      <alignment horizontal="center" vertical="center" wrapText="1"/>
    </xf>
    <xf numFmtId="0" fontId="13" fillId="3" borderId="39" xfId="0" applyFont="1" applyFill="1" applyBorder="1" applyAlignment="1">
      <alignment horizontal="center" vertical="center" wrapText="1"/>
    </xf>
    <xf numFmtId="0" fontId="13" fillId="3" borderId="39" xfId="0" applyFont="1" applyFill="1" applyBorder="1" applyAlignment="1">
      <alignment horizontal="center" vertical="center"/>
    </xf>
    <xf numFmtId="0" fontId="13" fillId="3" borderId="40" xfId="0" applyFont="1" applyFill="1" applyBorder="1" applyAlignment="1">
      <alignment horizontal="left" vertical="center" wrapText="1"/>
    </xf>
    <xf numFmtId="0" fontId="19" fillId="0" borderId="0" xfId="0" applyFont="1" applyAlignment="1">
      <alignment horizontal="center" vertical="center" wrapText="1"/>
    </xf>
    <xf numFmtId="0" fontId="19" fillId="0" borderId="0" xfId="0" applyFont="1" applyAlignment="1">
      <alignment horizontal="left" vertical="center" wrapText="1"/>
    </xf>
    <xf numFmtId="49" fontId="19" fillId="0" borderId="0" xfId="0" applyNumberFormat="1" applyFont="1" applyAlignment="1">
      <alignment horizontal="center" vertical="center" wrapText="1"/>
    </xf>
    <xf numFmtId="0" fontId="19" fillId="0" borderId="0" xfId="0" applyFont="1" applyAlignment="1" applyProtection="1">
      <alignment horizontal="center" vertical="center" wrapText="1"/>
      <protection locked="0"/>
    </xf>
    <xf numFmtId="0" fontId="13" fillId="8" borderId="19" xfId="0" applyFont="1" applyFill="1" applyBorder="1" applyAlignment="1">
      <alignment horizontal="center" vertical="center" wrapText="1"/>
    </xf>
    <xf numFmtId="0" fontId="13" fillId="8" borderId="0" xfId="0" applyFont="1" applyFill="1" applyBorder="1" applyAlignment="1">
      <alignment horizontal="left" vertical="center" wrapText="1"/>
    </xf>
    <xf numFmtId="49" fontId="13" fillId="8" borderId="0" xfId="0" applyNumberFormat="1" applyFont="1" applyFill="1" applyBorder="1" applyAlignment="1">
      <alignment horizontal="center" vertical="center" wrapText="1"/>
    </xf>
    <xf numFmtId="0" fontId="13" fillId="8" borderId="0" xfId="0" applyFont="1" applyFill="1" applyBorder="1" applyAlignment="1">
      <alignment horizontal="center" vertical="center" wrapText="1"/>
    </xf>
    <xf numFmtId="0" fontId="13" fillId="8" borderId="20" xfId="0" applyFont="1" applyFill="1" applyBorder="1" applyAlignment="1">
      <alignment horizontal="left" vertical="center" wrapText="1"/>
    </xf>
    <xf numFmtId="0" fontId="13" fillId="0" borderId="0" xfId="0" applyFont="1" applyBorder="1" applyAlignment="1">
      <alignment horizontal="left" vertical="center" wrapText="1"/>
    </xf>
    <xf numFmtId="49" fontId="13" fillId="0" borderId="0" xfId="0" applyNumberFormat="1" applyFont="1" applyBorder="1" applyAlignment="1">
      <alignment horizontal="center" vertical="center" wrapText="1"/>
    </xf>
    <xf numFmtId="0" fontId="13" fillId="0" borderId="20" xfId="0" applyFont="1" applyBorder="1" applyAlignment="1">
      <alignment vertical="center" wrapText="1"/>
    </xf>
    <xf numFmtId="0" fontId="19" fillId="0" borderId="0" xfId="0" applyFont="1" applyBorder="1" applyAlignment="1">
      <alignment horizontal="left" vertical="center" wrapText="1"/>
    </xf>
    <xf numFmtId="0" fontId="13" fillId="3" borderId="0" xfId="0" applyFont="1" applyFill="1" applyBorder="1" applyAlignment="1">
      <alignment horizontal="left" vertical="center" wrapText="1"/>
    </xf>
    <xf numFmtId="0" fontId="14" fillId="3" borderId="0" xfId="0" applyFont="1" applyFill="1" applyBorder="1" applyAlignment="1" applyProtection="1">
      <alignment horizontal="center" vertical="center" wrapText="1"/>
      <protection locked="0"/>
    </xf>
    <xf numFmtId="0" fontId="13" fillId="3" borderId="20" xfId="0" applyFont="1" applyFill="1" applyBorder="1" applyAlignment="1">
      <alignment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119" xfId="0" applyFont="1" applyBorder="1" applyAlignment="1">
      <alignment horizontal="left" vertical="center" wrapText="1"/>
    </xf>
    <xf numFmtId="0" fontId="14" fillId="0" borderId="119" xfId="0" applyFont="1" applyBorder="1" applyAlignment="1" applyProtection="1">
      <alignment horizontal="center" vertical="center" wrapText="1"/>
      <protection locked="0"/>
    </xf>
    <xf numFmtId="49" fontId="13" fillId="0" borderId="119" xfId="0" applyNumberFormat="1" applyFont="1" applyBorder="1" applyAlignment="1">
      <alignment horizontal="center" vertical="center" wrapText="1"/>
    </xf>
    <xf numFmtId="0" fontId="13" fillId="0" borderId="120" xfId="0" applyFont="1" applyBorder="1" applyAlignment="1">
      <alignment horizontal="center" vertical="center" wrapText="1"/>
    </xf>
    <xf numFmtId="0" fontId="13" fillId="0" borderId="120" xfId="0" applyFont="1" applyBorder="1" applyAlignment="1">
      <alignment horizontal="left" vertical="center" wrapText="1"/>
    </xf>
    <xf numFmtId="0" fontId="13" fillId="0" borderId="121" xfId="0" applyFont="1" applyBorder="1" applyAlignment="1">
      <alignment vertical="center" wrapText="1"/>
    </xf>
    <xf numFmtId="0" fontId="19" fillId="0" borderId="0" xfId="0" applyFont="1" applyBorder="1" applyAlignment="1" applyProtection="1">
      <alignment horizontal="center" vertical="center" wrapText="1"/>
      <protection locked="0"/>
    </xf>
    <xf numFmtId="0" fontId="21" fillId="0" borderId="0" xfId="0" applyFont="1" applyAlignment="1">
      <alignment horizontal="center" vertical="center"/>
    </xf>
    <xf numFmtId="0" fontId="22"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pplyProtection="1">
      <alignment horizontal="center" vertical="center"/>
      <protection locked="0"/>
    </xf>
    <xf numFmtId="0" fontId="26" fillId="0" borderId="0" xfId="3" applyFont="1" applyAlignment="1" applyProtection="1">
      <alignment vertical="center"/>
    </xf>
    <xf numFmtId="0" fontId="27" fillId="0" borderId="0" xfId="3" applyAlignment="1" applyProtection="1">
      <alignment vertical="center"/>
    </xf>
    <xf numFmtId="49" fontId="28" fillId="2" borderId="7" xfId="0" applyNumberFormat="1" applyFont="1" applyFill="1" applyBorder="1" applyAlignment="1">
      <alignment horizontal="center" vertical="center"/>
    </xf>
    <xf numFmtId="49" fontId="28" fillId="2" borderId="8" xfId="0" applyNumberFormat="1" applyFont="1" applyFill="1" applyBorder="1" applyAlignment="1">
      <alignment horizontal="center" vertical="center"/>
    </xf>
    <xf numFmtId="49" fontId="28" fillId="2" borderId="9" xfId="0" applyNumberFormat="1" applyFont="1" applyFill="1" applyBorder="1" applyAlignment="1">
      <alignment horizontal="center" vertical="center"/>
    </xf>
    <xf numFmtId="0" fontId="29" fillId="3" borderId="19" xfId="0" applyFont="1" applyFill="1" applyBorder="1" applyAlignment="1">
      <alignment horizontal="left" vertical="center"/>
    </xf>
    <xf numFmtId="49" fontId="29" fillId="3" borderId="0" xfId="0" applyNumberFormat="1" applyFont="1" applyFill="1" applyBorder="1" applyAlignment="1">
      <alignment horizontal="center" vertical="center"/>
    </xf>
    <xf numFmtId="0" fontId="29" fillId="3" borderId="0" xfId="0" applyFont="1" applyFill="1" applyBorder="1" applyAlignment="1">
      <alignment horizontal="center" vertical="center"/>
    </xf>
    <xf numFmtId="0" fontId="29" fillId="3" borderId="20" xfId="0" applyFont="1" applyFill="1" applyBorder="1" applyAlignment="1">
      <alignment horizontal="center" vertical="center"/>
    </xf>
    <xf numFmtId="0" fontId="29" fillId="0" borderId="19" xfId="0" applyFont="1" applyBorder="1" applyAlignment="1">
      <alignment horizontal="left" vertical="center"/>
    </xf>
    <xf numFmtId="49" fontId="29" fillId="0" borderId="0" xfId="0" applyNumberFormat="1" applyFont="1" applyBorder="1" applyAlignment="1">
      <alignment horizontal="center" vertical="center"/>
    </xf>
    <xf numFmtId="0" fontId="29" fillId="0" borderId="0" xfId="0" applyFont="1" applyBorder="1" applyAlignment="1">
      <alignment horizontal="center" vertical="center"/>
    </xf>
    <xf numFmtId="0" fontId="29" fillId="0" borderId="20" xfId="0" applyFont="1" applyBorder="1" applyAlignment="1">
      <alignment horizontal="center" vertical="center"/>
    </xf>
    <xf numFmtId="0" fontId="27" fillId="0" borderId="0" xfId="3" applyFill="1" applyAlignment="1" applyProtection="1">
      <alignment vertical="center"/>
    </xf>
    <xf numFmtId="0" fontId="26" fillId="0" borderId="0" xfId="3" applyFont="1" applyFill="1" applyAlignment="1" applyProtection="1">
      <alignment horizontal="center" vertical="top" wrapText="1"/>
    </xf>
    <xf numFmtId="49" fontId="26" fillId="0" borderId="0" xfId="3" applyNumberFormat="1" applyFont="1" applyAlignment="1" applyProtection="1">
      <alignment vertical="center"/>
    </xf>
    <xf numFmtId="0" fontId="29" fillId="0" borderId="38" xfId="0" applyFont="1" applyBorder="1" applyAlignment="1">
      <alignment horizontal="left" vertical="center"/>
    </xf>
    <xf numFmtId="49" fontId="29" fillId="0" borderId="39" xfId="0" applyNumberFormat="1" applyFont="1" applyBorder="1" applyAlignment="1">
      <alignment horizontal="center" vertical="center"/>
    </xf>
    <xf numFmtId="0" fontId="29" fillId="0" borderId="39" xfId="0" applyFont="1" applyBorder="1" applyAlignment="1">
      <alignment horizontal="center" vertical="center"/>
    </xf>
    <xf numFmtId="0" fontId="29" fillId="0" borderId="40" xfId="0" applyFont="1" applyBorder="1" applyAlignment="1">
      <alignment horizontal="center" vertical="center"/>
    </xf>
    <xf numFmtId="0" fontId="11" fillId="0" borderId="0" xfId="0" applyFont="1" applyAlignment="1">
      <alignment horizontal="center" vertical="center" wrapText="1"/>
    </xf>
    <xf numFmtId="0" fontId="30" fillId="0" borderId="0" xfId="0" applyFont="1" applyAlignment="1">
      <alignment horizontal="left" vertical="center" wrapText="1"/>
    </xf>
    <xf numFmtId="0" fontId="30" fillId="0" borderId="0" xfId="0" applyFont="1" applyAlignment="1">
      <alignment vertical="center" wrapText="1"/>
    </xf>
    <xf numFmtId="0" fontId="11" fillId="0" borderId="0" xfId="0" applyFont="1" applyAlignment="1">
      <alignment vertical="center" wrapText="1"/>
    </xf>
    <xf numFmtId="0" fontId="11" fillId="0" borderId="0" xfId="0" applyFont="1">
      <alignment vertical="center"/>
    </xf>
    <xf numFmtId="0" fontId="11" fillId="0" borderId="143" xfId="0" applyFont="1" applyBorder="1">
      <alignment vertical="center"/>
    </xf>
    <xf numFmtId="0" fontId="11" fillId="0" borderId="143" xfId="0" applyFont="1" applyBorder="1">
      <alignment vertical="center"/>
    </xf>
    <xf numFmtId="0" fontId="11" fillId="0" borderId="145" xfId="0" applyFont="1" applyBorder="1">
      <alignment vertical="center"/>
    </xf>
    <xf numFmtId="0" fontId="11" fillId="0" borderId="148" xfId="0" applyFont="1" applyBorder="1" applyProtection="1">
      <alignment vertical="center"/>
      <protection locked="0"/>
    </xf>
    <xf numFmtId="0" fontId="11" fillId="0" borderId="149" xfId="0" applyFont="1" applyBorder="1">
      <alignment vertical="center"/>
    </xf>
    <xf numFmtId="0" fontId="11" fillId="0" borderId="0" xfId="0" applyFont="1" applyBorder="1">
      <alignment vertical="center"/>
    </xf>
    <xf numFmtId="0" fontId="3" fillId="6" borderId="150" xfId="0" applyFont="1" applyFill="1" applyBorder="1" applyAlignment="1">
      <alignment horizontal="center" vertical="center" wrapText="1"/>
    </xf>
    <xf numFmtId="0" fontId="3" fillId="6" borderId="151" xfId="0" applyFont="1" applyFill="1" applyBorder="1" applyAlignment="1">
      <alignment horizontal="center" vertical="center" wrapText="1"/>
    </xf>
    <xf numFmtId="0" fontId="11" fillId="0" borderId="148" xfId="0" applyFont="1" applyBorder="1">
      <alignment vertical="center"/>
    </xf>
    <xf numFmtId="0" fontId="3" fillId="6" borderId="150" xfId="0" applyFont="1" applyFill="1" applyBorder="1" applyAlignment="1">
      <alignment horizontal="center" vertical="center"/>
    </xf>
    <xf numFmtId="0" fontId="3" fillId="0" borderId="152" xfId="0" applyFont="1" applyBorder="1" applyAlignment="1">
      <alignment horizontal="center" vertical="center"/>
    </xf>
    <xf numFmtId="0" fontId="3" fillId="0" borderId="153" xfId="0" applyFont="1" applyBorder="1" applyAlignment="1">
      <alignment horizontal="left" vertical="center" wrapText="1"/>
    </xf>
    <xf numFmtId="0" fontId="3" fillId="0" borderId="152" xfId="0" applyFont="1" applyBorder="1" applyAlignment="1">
      <alignment horizontal="center" vertical="center"/>
    </xf>
    <xf numFmtId="0" fontId="3" fillId="0" borderId="153" xfId="0" applyFont="1" applyBorder="1" applyAlignment="1">
      <alignment horizontal="left" vertical="center" wrapText="1"/>
    </xf>
    <xf numFmtId="0" fontId="3" fillId="3" borderId="150" xfId="0" applyFont="1" applyFill="1" applyBorder="1" applyAlignment="1">
      <alignment horizontal="center" vertical="center"/>
    </xf>
    <xf numFmtId="0" fontId="3" fillId="3" borderId="151" xfId="0" applyFont="1" applyFill="1" applyBorder="1" applyAlignment="1">
      <alignment horizontal="left" vertical="center"/>
    </xf>
    <xf numFmtId="0" fontId="3" fillId="3" borderId="150" xfId="0" applyFont="1" applyFill="1" applyBorder="1" applyAlignment="1">
      <alignment horizontal="center" vertical="center"/>
    </xf>
    <xf numFmtId="0" fontId="3" fillId="3" borderId="151" xfId="0" applyFont="1" applyFill="1" applyBorder="1" applyAlignment="1">
      <alignment horizontal="left" vertical="center" wrapText="1"/>
    </xf>
    <xf numFmtId="0" fontId="3" fillId="0" borderId="152" xfId="0" applyFont="1" applyBorder="1" applyAlignment="1">
      <alignment horizontal="center" vertical="center" wrapText="1"/>
    </xf>
    <xf numFmtId="0" fontId="3" fillId="3" borderId="150" xfId="0" applyFont="1" applyFill="1" applyBorder="1" applyAlignment="1">
      <alignment horizontal="center" vertical="center" wrapText="1"/>
    </xf>
    <xf numFmtId="0" fontId="3" fillId="3" borderId="154" xfId="0" applyFont="1" applyFill="1" applyBorder="1" applyAlignment="1">
      <alignment horizontal="center" vertical="center" wrapText="1"/>
    </xf>
    <xf numFmtId="0" fontId="3" fillId="3" borderId="155" xfId="0" applyFont="1" applyFill="1" applyBorder="1" applyAlignment="1">
      <alignment horizontal="left" vertical="center" wrapText="1"/>
    </xf>
    <xf numFmtId="0" fontId="3" fillId="3" borderId="154" xfId="0" applyFont="1" applyFill="1" applyBorder="1" applyAlignment="1">
      <alignment horizontal="center" vertical="center"/>
    </xf>
    <xf numFmtId="0" fontId="11" fillId="0" borderId="156" xfId="0" applyFont="1" applyBorder="1" applyAlignment="1" applyProtection="1">
      <alignment horizontal="center" vertical="center" wrapText="1"/>
      <protection hidden="1"/>
    </xf>
    <xf numFmtId="0" fontId="30" fillId="0" borderId="144" xfId="0" applyFont="1" applyBorder="1" applyAlignment="1" applyProtection="1">
      <alignment horizontal="left" vertical="center" wrapText="1"/>
      <protection hidden="1"/>
    </xf>
    <xf numFmtId="0" fontId="30" fillId="0" borderId="157" xfId="0" applyFont="1" applyBorder="1" applyAlignment="1">
      <alignment vertical="center" wrapText="1"/>
    </xf>
    <xf numFmtId="0" fontId="11" fillId="0" borderId="144" xfId="0" applyFont="1" applyBorder="1" applyAlignment="1">
      <alignment vertical="center" wrapText="1"/>
    </xf>
    <xf numFmtId="0" fontId="3" fillId="6" borderId="150" xfId="0" applyFont="1" applyFill="1" applyBorder="1" applyAlignment="1" applyProtection="1">
      <alignment horizontal="center" vertical="center"/>
      <protection hidden="1"/>
    </xf>
    <xf numFmtId="0" fontId="3" fillId="6" borderId="151" xfId="0" applyFont="1" applyFill="1" applyBorder="1" applyAlignment="1" applyProtection="1">
      <alignment horizontal="center" vertical="center" wrapText="1"/>
      <protection hidden="1"/>
    </xf>
    <xf numFmtId="0" fontId="3" fillId="0" borderId="158" xfId="0" applyFont="1" applyBorder="1" applyAlignment="1" applyProtection="1">
      <alignment horizontal="center" vertical="center"/>
      <protection locked="0" hidden="1"/>
    </xf>
    <xf numFmtId="0" fontId="3" fillId="0" borderId="159" xfId="0" applyFont="1" applyBorder="1" applyAlignment="1" applyProtection="1">
      <alignment horizontal="left" vertical="center" wrapText="1"/>
      <protection hidden="1"/>
    </xf>
    <xf numFmtId="0" fontId="11" fillId="0" borderId="160" xfId="0" applyFont="1" applyBorder="1" applyAlignment="1">
      <alignment horizontal="center" vertical="center" wrapText="1"/>
    </xf>
    <xf numFmtId="0" fontId="30" fillId="0" borderId="160" xfId="0" applyFont="1" applyBorder="1" applyAlignment="1">
      <alignment horizontal="left" vertical="center" wrapText="1"/>
    </xf>
    <xf numFmtId="0" fontId="30" fillId="0" borderId="160" xfId="0" applyFont="1" applyBorder="1" applyAlignment="1">
      <alignment vertical="center" wrapText="1"/>
    </xf>
    <xf numFmtId="0" fontId="11" fillId="0" borderId="161" xfId="0" applyFont="1" applyBorder="1" applyAlignment="1">
      <alignment vertical="center" wrapText="1"/>
    </xf>
    <xf numFmtId="0" fontId="11" fillId="5" borderId="143" xfId="0" applyFont="1" applyFill="1" applyBorder="1">
      <alignment vertical="center"/>
    </xf>
    <xf numFmtId="0" fontId="11" fillId="5" borderId="143" xfId="0" applyFont="1" applyFill="1" applyBorder="1" applyAlignment="1">
      <alignment horizontal="left" vertical="center" wrapText="1"/>
    </xf>
    <xf numFmtId="0" fontId="30" fillId="0" borderId="143" xfId="0" applyFont="1" applyBorder="1" applyAlignment="1">
      <alignment vertical="center" wrapText="1"/>
    </xf>
    <xf numFmtId="0" fontId="11" fillId="0" borderId="145" xfId="0" applyFont="1" applyBorder="1" applyAlignment="1">
      <alignment vertical="center" wrapText="1"/>
    </xf>
    <xf numFmtId="0" fontId="11" fillId="0" borderId="143" xfId="0" applyFont="1" applyBorder="1" applyAlignment="1">
      <alignment vertical="center" wrapText="1"/>
    </xf>
    <xf numFmtId="0" fontId="11" fillId="5" borderId="143" xfId="0" applyFont="1" applyFill="1" applyBorder="1" applyAlignment="1">
      <alignment horizontal="center" vertical="center" wrapText="1"/>
    </xf>
    <xf numFmtId="0" fontId="30" fillId="5" borderId="143" xfId="0" applyFont="1" applyFill="1" applyBorder="1" applyAlignment="1">
      <alignment horizontal="left" vertical="center" wrapText="1"/>
    </xf>
    <xf numFmtId="0" fontId="11" fillId="0" borderId="143" xfId="0" applyFont="1" applyBorder="1" applyAlignment="1">
      <alignment horizontal="left" vertical="center" wrapText="1"/>
    </xf>
    <xf numFmtId="0" fontId="11" fillId="0" borderId="143" xfId="0" applyFont="1" applyBorder="1" applyAlignment="1">
      <alignment horizontal="center" vertical="center" wrapText="1"/>
    </xf>
    <xf numFmtId="0" fontId="30" fillId="0" borderId="143" xfId="0" applyFont="1" applyBorder="1" applyAlignment="1">
      <alignment horizontal="left" vertical="center" wrapText="1"/>
    </xf>
    <xf numFmtId="0" fontId="11" fillId="0" borderId="160" xfId="0" applyFont="1" applyBorder="1">
      <alignment vertical="center"/>
    </xf>
    <xf numFmtId="0" fontId="3" fillId="0" borderId="0" xfId="0" applyFont="1" applyAlignment="1">
      <alignment horizontal="center" vertical="center"/>
    </xf>
    <xf numFmtId="26" fontId="3" fillId="0" borderId="0" xfId="0" applyNumberFormat="1" applyFont="1" applyAlignment="1">
      <alignment horizontal="center" vertical="center"/>
    </xf>
    <xf numFmtId="0" fontId="3" fillId="0" borderId="0" xfId="0" applyFont="1" applyAlignment="1">
      <alignment horizontal="center" vertical="center" wrapText="1"/>
    </xf>
    <xf numFmtId="24" fontId="3" fillId="0" borderId="0" xfId="0" applyNumberFormat="1" applyFont="1" applyAlignment="1">
      <alignment horizontal="center" vertical="center"/>
    </xf>
    <xf numFmtId="0" fontId="3" fillId="6" borderId="19"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20" xfId="0" applyFont="1" applyFill="1" applyBorder="1" applyAlignment="1">
      <alignment horizontal="center" vertical="center"/>
    </xf>
    <xf numFmtId="0" fontId="3" fillId="0" borderId="19" xfId="0" applyFont="1" applyBorder="1" applyAlignment="1">
      <alignment horizontal="center" vertical="center"/>
    </xf>
    <xf numFmtId="0" fontId="3" fillId="0" borderId="0" xfId="0" applyFont="1" applyBorder="1" applyAlignment="1">
      <alignment horizontal="center" vertical="center"/>
    </xf>
    <xf numFmtId="26" fontId="3" fillId="0" borderId="0" xfId="0" applyNumberFormat="1" applyFont="1" applyBorder="1" applyAlignment="1">
      <alignment horizontal="center" vertical="center"/>
    </xf>
    <xf numFmtId="26" fontId="3" fillId="0" borderId="20" xfId="0" applyNumberFormat="1" applyFont="1" applyBorder="1" applyAlignment="1">
      <alignment horizontal="center" vertical="center"/>
    </xf>
    <xf numFmtId="26" fontId="34" fillId="0" borderId="0" xfId="0" applyNumberFormat="1" applyFont="1" applyBorder="1" applyAlignment="1">
      <alignment horizontal="center" vertical="center"/>
    </xf>
    <xf numFmtId="0" fontId="34" fillId="0" borderId="0" xfId="0" applyFont="1" applyBorder="1" applyAlignment="1">
      <alignment horizontal="center" vertical="center"/>
    </xf>
    <xf numFmtId="26" fontId="34" fillId="0" borderId="20" xfId="0" applyNumberFormat="1" applyFont="1" applyBorder="1" applyAlignment="1">
      <alignment horizontal="center" vertical="center"/>
    </xf>
    <xf numFmtId="0" fontId="3" fillId="3" borderId="19" xfId="0" applyFont="1" applyFill="1" applyBorder="1" applyAlignment="1">
      <alignment horizontal="center" vertical="center"/>
    </xf>
    <xf numFmtId="49" fontId="3" fillId="3" borderId="0" xfId="0" applyNumberFormat="1" applyFont="1" applyFill="1" applyBorder="1" applyAlignment="1">
      <alignment horizontal="center" vertical="center"/>
    </xf>
    <xf numFmtId="0" fontId="3" fillId="3" borderId="0" xfId="0" applyFont="1" applyFill="1" applyBorder="1" applyAlignment="1">
      <alignment horizontal="center" vertical="center" wrapText="1"/>
    </xf>
    <xf numFmtId="24" fontId="3" fillId="3" borderId="20" xfId="0" applyNumberFormat="1" applyFont="1" applyFill="1" applyBorder="1" applyAlignment="1">
      <alignment horizontal="center" vertical="center"/>
    </xf>
    <xf numFmtId="0" fontId="34" fillId="3" borderId="0" xfId="0" applyFont="1" applyFill="1" applyBorder="1" applyAlignment="1">
      <alignment horizontal="center" vertical="center" wrapText="1"/>
    </xf>
    <xf numFmtId="24" fontId="34" fillId="3" borderId="20" xfId="0" applyNumberFormat="1" applyFont="1" applyFill="1" applyBorder="1" applyAlignment="1">
      <alignment horizontal="center" vertical="center"/>
    </xf>
    <xf numFmtId="0" fontId="3" fillId="0" borderId="0" xfId="0" applyFont="1" applyBorder="1" applyAlignment="1">
      <alignment horizontal="center" vertical="center" wrapText="1"/>
    </xf>
    <xf numFmtId="24" fontId="3" fillId="0" borderId="20" xfId="0" applyNumberFormat="1" applyFont="1" applyBorder="1" applyAlignment="1">
      <alignment horizontal="center" vertical="center"/>
    </xf>
    <xf numFmtId="0" fontId="34" fillId="0" borderId="0" xfId="0" applyFont="1" applyBorder="1" applyAlignment="1">
      <alignment horizontal="center" vertical="center" wrapText="1"/>
    </xf>
    <xf numFmtId="24" fontId="34" fillId="0" borderId="20" xfId="0" applyNumberFormat="1" applyFont="1" applyBorder="1" applyAlignment="1">
      <alignment horizontal="center" vertical="center"/>
    </xf>
    <xf numFmtId="0" fontId="3" fillId="3" borderId="0" xfId="0" applyFont="1" applyFill="1" applyBorder="1" applyAlignment="1">
      <alignment horizontal="center" vertical="center"/>
    </xf>
    <xf numFmtId="0" fontId="3" fillId="3" borderId="38" xfId="0" applyFont="1" applyFill="1" applyBorder="1" applyAlignment="1">
      <alignment horizontal="center" vertical="center"/>
    </xf>
    <xf numFmtId="0" fontId="3" fillId="3" borderId="39" xfId="0" applyFont="1" applyFill="1" applyBorder="1" applyAlignment="1">
      <alignment horizontal="center" vertical="center"/>
    </xf>
    <xf numFmtId="24" fontId="3" fillId="3" borderId="39" xfId="0" applyNumberFormat="1" applyFont="1" applyFill="1" applyBorder="1" applyAlignment="1">
      <alignment horizontal="center" vertical="center"/>
    </xf>
    <xf numFmtId="24" fontId="3" fillId="3" borderId="40" xfId="0" applyNumberFormat="1" applyFont="1" applyFill="1" applyBorder="1" applyAlignment="1">
      <alignment horizontal="center" vertical="center"/>
    </xf>
    <xf numFmtId="24" fontId="34" fillId="3" borderId="39" xfId="0" applyNumberFormat="1" applyFont="1" applyFill="1" applyBorder="1" applyAlignment="1">
      <alignment horizontal="center" vertical="center"/>
    </xf>
    <xf numFmtId="0" fontId="34" fillId="3" borderId="39" xfId="0" applyFont="1" applyFill="1" applyBorder="1" applyAlignment="1">
      <alignment horizontal="center" vertical="center"/>
    </xf>
    <xf numFmtId="24" fontId="34" fillId="3" borderId="40" xfId="0" applyNumberFormat="1" applyFont="1" applyFill="1" applyBorder="1" applyAlignment="1">
      <alignment horizontal="center" vertical="center"/>
    </xf>
    <xf numFmtId="0" fontId="3" fillId="0" borderId="0" xfId="0" applyFont="1" applyAlignment="1">
      <alignment horizontal="right" vertical="center"/>
    </xf>
    <xf numFmtId="0" fontId="35" fillId="0" borderId="0" xfId="0" applyFont="1" applyAlignment="1">
      <alignment horizontal="center" vertical="center"/>
    </xf>
    <xf numFmtId="49" fontId="22" fillId="0" borderId="0" xfId="0" applyNumberFormat="1" applyFont="1" applyAlignment="1">
      <alignment horizontal="center" vertical="center"/>
    </xf>
    <xf numFmtId="0" fontId="21" fillId="2" borderId="122" xfId="0" applyFont="1" applyFill="1" applyBorder="1" applyAlignment="1" applyProtection="1">
      <alignment horizontal="center" vertical="center"/>
      <protection locked="0"/>
    </xf>
    <xf numFmtId="0" fontId="21" fillId="2" borderId="123" xfId="0" applyFont="1" applyFill="1" applyBorder="1" applyAlignment="1" applyProtection="1">
      <alignment horizontal="center" vertical="center"/>
      <protection locked="0"/>
    </xf>
    <xf numFmtId="0" fontId="21" fillId="2" borderId="124" xfId="0" applyFont="1" applyFill="1" applyBorder="1" applyAlignment="1" applyProtection="1">
      <alignment horizontal="center" vertical="center"/>
      <protection locked="0"/>
    </xf>
    <xf numFmtId="0" fontId="22" fillId="0" borderId="0" xfId="0" applyFont="1">
      <alignment vertical="center"/>
    </xf>
    <xf numFmtId="0" fontId="22" fillId="3" borderId="126" xfId="0" applyFont="1" applyFill="1" applyBorder="1" applyAlignment="1" applyProtection="1">
      <alignment horizontal="center" vertical="center"/>
      <protection locked="0"/>
    </xf>
    <xf numFmtId="49" fontId="22" fillId="3" borderId="127" xfId="0" applyNumberFormat="1" applyFont="1" applyFill="1" applyBorder="1" applyAlignment="1" applyProtection="1">
      <alignment horizontal="center" vertical="center"/>
      <protection locked="0"/>
    </xf>
    <xf numFmtId="0" fontId="22" fillId="3" borderId="128" xfId="0" applyFont="1" applyFill="1" applyBorder="1" applyAlignment="1" applyProtection="1">
      <alignment horizontal="center" vertical="center"/>
      <protection locked="0"/>
    </xf>
    <xf numFmtId="0" fontId="22" fillId="3" borderId="133" xfId="0" applyNumberFormat="1" applyFont="1" applyFill="1" applyBorder="1" applyAlignment="1" applyProtection="1">
      <alignment horizontal="center" vertical="center"/>
      <protection locked="0"/>
    </xf>
    <xf numFmtId="0" fontId="22" fillId="3" borderId="142" xfId="0" applyFont="1" applyFill="1" applyBorder="1" applyAlignment="1" applyProtection="1">
      <alignment horizontal="center" vertical="center"/>
      <protection locked="0"/>
    </xf>
    <xf numFmtId="0" fontId="22" fillId="0" borderId="126" xfId="0" applyFont="1" applyBorder="1" applyAlignment="1" applyProtection="1">
      <alignment horizontal="center" vertical="center"/>
      <protection locked="0"/>
    </xf>
    <xf numFmtId="0" fontId="22" fillId="0" borderId="127" xfId="0" applyFont="1" applyBorder="1" applyAlignment="1" applyProtection="1">
      <alignment horizontal="center" vertical="center"/>
      <protection locked="0"/>
    </xf>
    <xf numFmtId="0" fontId="22" fillId="0" borderId="128" xfId="0" applyFont="1" applyBorder="1" applyAlignment="1" applyProtection="1">
      <alignment horizontal="center" vertical="center"/>
      <protection locked="0"/>
    </xf>
    <xf numFmtId="49" fontId="22" fillId="3" borderId="126" xfId="0" applyNumberFormat="1" applyFont="1" applyFill="1" applyBorder="1" applyAlignment="1" applyProtection="1">
      <alignment horizontal="center" vertical="center"/>
      <protection locked="0"/>
    </xf>
    <xf numFmtId="0" fontId="22" fillId="0" borderId="38" xfId="0" applyFont="1" applyBorder="1" applyAlignment="1">
      <alignment horizontal="center" vertical="center"/>
    </xf>
    <xf numFmtId="0" fontId="22" fillId="0" borderId="40" xfId="0" applyFont="1" applyBorder="1" applyAlignment="1">
      <alignment horizontal="center" vertical="center"/>
    </xf>
    <xf numFmtId="0" fontId="22" fillId="3" borderId="133" xfId="0" applyFont="1" applyFill="1" applyBorder="1" applyAlignment="1" applyProtection="1">
      <alignment horizontal="center" vertical="center"/>
      <protection locked="0"/>
    </xf>
    <xf numFmtId="49" fontId="22" fillId="3" borderId="134" xfId="0" applyNumberFormat="1" applyFont="1" applyFill="1" applyBorder="1" applyAlignment="1" applyProtection="1">
      <alignment horizontal="center" vertical="center"/>
      <protection locked="0"/>
    </xf>
    <xf numFmtId="0" fontId="21" fillId="2" borderId="169" xfId="0" applyFont="1" applyFill="1" applyBorder="1" applyAlignment="1" applyProtection="1">
      <alignment horizontal="center" vertical="center"/>
      <protection locked="0"/>
    </xf>
    <xf numFmtId="0" fontId="21" fillId="2" borderId="170" xfId="0" applyFont="1" applyFill="1" applyBorder="1" applyAlignment="1" applyProtection="1">
      <alignment horizontal="center" vertical="center"/>
      <protection locked="0"/>
    </xf>
    <xf numFmtId="0" fontId="22" fillId="3" borderId="171" xfId="0" applyFont="1" applyFill="1" applyBorder="1" applyAlignment="1" applyProtection="1">
      <alignment horizontal="center" vertical="center" wrapText="1"/>
      <protection locked="0"/>
    </xf>
    <xf numFmtId="49" fontId="22" fillId="3" borderId="172" xfId="0" applyNumberFormat="1" applyFont="1" applyFill="1" applyBorder="1" applyAlignment="1" applyProtection="1">
      <alignment horizontal="center" vertical="center"/>
      <protection locked="0"/>
    </xf>
    <xf numFmtId="0" fontId="22" fillId="0" borderId="171" xfId="0" applyFont="1" applyBorder="1" applyAlignment="1" applyProtection="1">
      <alignment horizontal="center" vertical="center" wrapText="1"/>
      <protection locked="0"/>
    </xf>
    <xf numFmtId="0" fontId="22" fillId="0" borderId="172" xfId="0" applyFont="1" applyBorder="1" applyAlignment="1" applyProtection="1">
      <alignment horizontal="center" vertical="center"/>
      <protection locked="0"/>
    </xf>
    <xf numFmtId="0" fontId="22" fillId="3" borderId="172" xfId="0" applyNumberFormat="1" applyFont="1" applyFill="1" applyBorder="1" applyAlignment="1" applyProtection="1">
      <alignment horizontal="center" vertical="center"/>
      <protection locked="0"/>
    </xf>
    <xf numFmtId="0" fontId="22" fillId="0" borderId="173" xfId="0" applyFont="1" applyBorder="1" applyAlignment="1" applyProtection="1">
      <alignment horizontal="center" vertical="center" wrapText="1"/>
      <protection locked="0"/>
    </xf>
    <xf numFmtId="0" fontId="22" fillId="0" borderId="174" xfId="0" applyFont="1" applyBorder="1" applyAlignment="1" applyProtection="1">
      <alignment horizontal="center" vertical="center"/>
      <protection locked="0"/>
    </xf>
    <xf numFmtId="0" fontId="21" fillId="2" borderId="175" xfId="0" applyFont="1" applyFill="1" applyBorder="1" applyAlignment="1" applyProtection="1">
      <alignment horizontal="center" vertical="center"/>
      <protection locked="0"/>
    </xf>
    <xf numFmtId="0" fontId="21" fillId="2" borderId="176" xfId="0" applyFont="1" applyFill="1" applyBorder="1" applyAlignment="1" applyProtection="1">
      <alignment horizontal="center" vertical="center"/>
      <protection locked="0"/>
    </xf>
    <xf numFmtId="0" fontId="21" fillId="2" borderId="178" xfId="0" applyFont="1" applyFill="1" applyBorder="1" applyAlignment="1" applyProtection="1">
      <alignment horizontal="center" vertical="center"/>
      <protection locked="0"/>
    </xf>
    <xf numFmtId="0" fontId="22" fillId="3" borderId="179" xfId="0" applyFont="1" applyFill="1" applyBorder="1" applyAlignment="1" applyProtection="1">
      <alignment horizontal="center" vertical="center"/>
      <protection locked="0"/>
    </xf>
    <xf numFmtId="0" fontId="22" fillId="3" borderId="180" xfId="0" applyFont="1" applyFill="1" applyBorder="1" applyAlignment="1" applyProtection="1">
      <alignment horizontal="center" vertical="center"/>
      <protection locked="0"/>
    </xf>
    <xf numFmtId="0" fontId="22" fillId="3" borderId="181" xfId="0" applyFont="1" applyFill="1" applyBorder="1" applyAlignment="1" applyProtection="1">
      <alignment horizontal="center" vertical="center"/>
      <protection locked="0"/>
    </xf>
    <xf numFmtId="0" fontId="22" fillId="3" borderId="182" xfId="0" applyFont="1" applyFill="1" applyBorder="1" applyAlignment="1" applyProtection="1">
      <alignment horizontal="center" vertical="center"/>
      <protection locked="0"/>
    </xf>
    <xf numFmtId="0" fontId="22" fillId="3" borderId="183" xfId="0" applyFont="1" applyFill="1" applyBorder="1" applyAlignment="1" applyProtection="1">
      <alignment horizontal="center" vertical="center"/>
      <protection locked="0"/>
    </xf>
    <xf numFmtId="0" fontId="22" fillId="3" borderId="184" xfId="0" applyFont="1" applyFill="1" applyBorder="1" applyAlignment="1" applyProtection="1">
      <alignment horizontal="center" vertical="center"/>
      <protection locked="0"/>
    </xf>
    <xf numFmtId="0" fontId="22" fillId="3" borderId="185" xfId="0" applyFont="1" applyFill="1" applyBorder="1" applyAlignment="1" applyProtection="1">
      <alignment horizontal="center" vertical="center"/>
      <protection locked="0"/>
    </xf>
    <xf numFmtId="0" fontId="22" fillId="0" borderId="186" xfId="0" applyFont="1" applyBorder="1" applyAlignment="1" applyProtection="1">
      <alignment horizontal="center" vertical="center"/>
      <protection locked="0"/>
    </xf>
    <xf numFmtId="0" fontId="22" fillId="0" borderId="187" xfId="0" applyFont="1" applyBorder="1" applyAlignment="1" applyProtection="1">
      <alignment horizontal="center" vertical="center"/>
      <protection locked="0"/>
    </xf>
    <xf numFmtId="0" fontId="22" fillId="0" borderId="188" xfId="0" applyFont="1" applyBorder="1" applyAlignment="1" applyProtection="1">
      <alignment horizontal="center" vertical="center"/>
      <protection locked="0"/>
    </xf>
    <xf numFmtId="0" fontId="22" fillId="0" borderId="189" xfId="0" applyFont="1" applyBorder="1" applyAlignment="1" applyProtection="1">
      <alignment horizontal="center" vertical="center"/>
      <protection locked="0"/>
    </xf>
    <xf numFmtId="0" fontId="22" fillId="0" borderId="190" xfId="0" applyFont="1" applyBorder="1" applyAlignment="1" applyProtection="1">
      <alignment horizontal="center" vertical="center"/>
      <protection locked="0"/>
    </xf>
    <xf numFmtId="0" fontId="22" fillId="3" borderId="186" xfId="0" applyFont="1" applyFill="1" applyBorder="1" applyAlignment="1" applyProtection="1">
      <alignment horizontal="center" vertical="center"/>
      <protection locked="0"/>
    </xf>
    <xf numFmtId="0" fontId="22" fillId="3" borderId="187" xfId="0" applyFont="1" applyFill="1" applyBorder="1" applyAlignment="1" applyProtection="1">
      <alignment horizontal="center" vertical="center"/>
      <protection locked="0"/>
    </xf>
    <xf numFmtId="0" fontId="22" fillId="3" borderId="188" xfId="0" applyFont="1" applyFill="1" applyBorder="1" applyAlignment="1" applyProtection="1">
      <alignment horizontal="center" vertical="center"/>
      <protection locked="0"/>
    </xf>
    <xf numFmtId="0" fontId="22" fillId="3" borderId="127" xfId="0" applyFont="1" applyFill="1" applyBorder="1" applyAlignment="1" applyProtection="1">
      <alignment horizontal="center" vertical="center"/>
      <protection locked="0"/>
    </xf>
    <xf numFmtId="0" fontId="22" fillId="3" borderId="189" xfId="0" applyFont="1" applyFill="1" applyBorder="1" applyAlignment="1" applyProtection="1">
      <alignment horizontal="center" vertical="center"/>
      <protection locked="0"/>
    </xf>
    <xf numFmtId="0" fontId="22" fillId="3" borderId="190" xfId="0" applyFont="1" applyFill="1" applyBorder="1" applyAlignment="1" applyProtection="1">
      <alignment horizontal="center" vertical="center"/>
      <protection locked="0"/>
    </xf>
    <xf numFmtId="0" fontId="22" fillId="0" borderId="191" xfId="0" applyFont="1" applyBorder="1" applyAlignment="1" applyProtection="1">
      <alignment horizontal="center" vertical="center"/>
      <protection locked="0"/>
    </xf>
    <xf numFmtId="0" fontId="22" fillId="0" borderId="192" xfId="0" applyFont="1" applyBorder="1" applyAlignment="1" applyProtection="1">
      <alignment horizontal="center" vertical="center"/>
      <protection locked="0"/>
    </xf>
    <xf numFmtId="0" fontId="22" fillId="0" borderId="193" xfId="0" applyFont="1" applyBorder="1" applyAlignment="1" applyProtection="1">
      <alignment horizontal="center" vertical="center"/>
      <protection locked="0"/>
    </xf>
    <xf numFmtId="0" fontId="22" fillId="0" borderId="194" xfId="0" applyFont="1" applyBorder="1" applyAlignment="1" applyProtection="1">
      <alignment horizontal="center" vertical="center"/>
      <protection locked="0"/>
    </xf>
    <xf numFmtId="0" fontId="22" fillId="0" borderId="195" xfId="0" applyFont="1" applyBorder="1" applyAlignment="1" applyProtection="1">
      <alignment horizontal="center" vertical="center"/>
      <protection locked="0"/>
    </xf>
    <xf numFmtId="0" fontId="22" fillId="0" borderId="196" xfId="0" applyFont="1" applyBorder="1" applyAlignment="1" applyProtection="1">
      <alignment horizontal="center" vertical="center"/>
      <protection locked="0"/>
    </xf>
    <xf numFmtId="49" fontId="36" fillId="9" borderId="197" xfId="3" applyNumberFormat="1" applyFont="1" applyFill="1" applyBorder="1" applyAlignment="1" applyProtection="1">
      <alignment horizontal="center" vertical="top" wrapText="1"/>
    </xf>
    <xf numFmtId="49" fontId="37" fillId="0" borderId="198" xfId="3" applyNumberFormat="1" applyFont="1" applyBorder="1" applyAlignment="1" applyProtection="1">
      <alignment horizontal="left" vertical="center" wrapText="1"/>
    </xf>
    <xf numFmtId="0" fontId="11" fillId="0" borderId="0" xfId="0" applyFont="1" applyAlignment="1">
      <alignment vertical="top" wrapText="1"/>
    </xf>
    <xf numFmtId="0" fontId="11" fillId="0" borderId="0" xfId="0" applyFont="1">
      <alignment vertical="center"/>
    </xf>
    <xf numFmtId="0" fontId="11" fillId="0" borderId="0" xfId="0" applyFont="1" applyAlignment="1">
      <alignment vertical="center" wrapText="1"/>
    </xf>
    <xf numFmtId="0" fontId="11" fillId="0" borderId="0" xfId="0" applyFont="1" applyProtection="1">
      <alignment vertical="center"/>
      <protection locked="0"/>
    </xf>
    <xf numFmtId="14" fontId="42" fillId="11" borderId="207" xfId="5" applyNumberFormat="1" applyFont="1" applyBorder="1" applyAlignment="1" applyProtection="1">
      <alignment vertical="center" wrapText="1"/>
    </xf>
    <xf numFmtId="0" fontId="45" fillId="13" borderId="129" xfId="0" applyFont="1" applyFill="1" applyBorder="1" applyAlignment="1">
      <alignment horizontal="center" vertical="center"/>
    </xf>
    <xf numFmtId="0" fontId="46" fillId="13" borderId="208" xfId="0" applyFont="1" applyFill="1" applyBorder="1" applyAlignment="1">
      <alignment horizontal="center" vertical="center"/>
    </xf>
    <xf numFmtId="14" fontId="42" fillId="11" borderId="129" xfId="5" applyNumberFormat="1" applyFont="1" applyBorder="1" applyAlignment="1" applyProtection="1">
      <alignment vertical="center" wrapText="1"/>
    </xf>
    <xf numFmtId="0" fontId="29" fillId="0" borderId="202" xfId="0" applyFont="1" applyBorder="1" applyAlignment="1">
      <alignment vertical="top" wrapText="1"/>
    </xf>
    <xf numFmtId="0" fontId="48" fillId="0" borderId="160" xfId="0" applyFont="1" applyBorder="1" applyAlignment="1">
      <alignment vertical="top" wrapText="1"/>
    </xf>
    <xf numFmtId="0" fontId="48" fillId="0" borderId="161" xfId="0" applyFont="1" applyBorder="1" applyAlignment="1">
      <alignment vertical="top" wrapText="1"/>
    </xf>
    <xf numFmtId="0" fontId="45" fillId="13" borderId="206" xfId="0" applyFont="1" applyFill="1" applyBorder="1" applyAlignment="1">
      <alignment horizontal="center" vertical="center"/>
    </xf>
    <xf numFmtId="0" fontId="46" fillId="13" borderId="200" xfId="0" applyFont="1" applyFill="1" applyBorder="1" applyAlignment="1">
      <alignment horizontal="center" vertical="center"/>
    </xf>
    <xf numFmtId="0" fontId="48" fillId="0" borderId="149" xfId="0" applyFont="1" applyBorder="1" applyAlignment="1">
      <alignment vertical="top" wrapText="1"/>
    </xf>
    <xf numFmtId="0" fontId="48" fillId="0" borderId="145" xfId="0" applyFont="1" applyBorder="1" applyAlignment="1">
      <alignment vertical="top" wrapText="1"/>
    </xf>
    <xf numFmtId="0" fontId="29" fillId="0" borderId="206" xfId="0" applyFont="1" applyBorder="1" applyAlignment="1">
      <alignment vertical="top" wrapText="1"/>
    </xf>
    <xf numFmtId="0" fontId="29" fillId="0" borderId="0" xfId="0" applyFont="1" applyBorder="1" applyAlignment="1">
      <alignment vertical="top" wrapText="1"/>
    </xf>
    <xf numFmtId="14" fontId="42" fillId="11" borderId="149" xfId="5" applyNumberFormat="1" applyFont="1" applyBorder="1" applyAlignment="1" applyProtection="1">
      <alignment vertical="center" wrapText="1"/>
    </xf>
    <xf numFmtId="0" fontId="11" fillId="0" borderId="145" xfId="0" applyFont="1" applyBorder="1" applyAlignment="1">
      <alignment horizontal="center" vertical="top" wrapText="1"/>
    </xf>
    <xf numFmtId="0" fontId="11" fillId="0" borderId="213" xfId="0" applyFont="1" applyBorder="1">
      <alignment vertical="center"/>
    </xf>
    <xf numFmtId="0" fontId="11" fillId="0" borderId="160" xfId="0" applyFont="1" applyBorder="1" applyAlignment="1">
      <alignment vertical="center" wrapText="1"/>
    </xf>
    <xf numFmtId="0" fontId="11" fillId="0" borderId="143" xfId="0" applyFont="1" applyBorder="1" applyAlignment="1">
      <alignment horizontal="center" vertical="top" wrapText="1"/>
    </xf>
    <xf numFmtId="0" fontId="11" fillId="0" borderId="149" xfId="0" applyFont="1" applyBorder="1">
      <alignment vertical="center"/>
    </xf>
    <xf numFmtId="0" fontId="11" fillId="0" borderId="143" xfId="0" applyFont="1" applyBorder="1" applyAlignment="1">
      <alignment vertical="center" wrapText="1"/>
    </xf>
    <xf numFmtId="0" fontId="11" fillId="0" borderId="143" xfId="0" applyFont="1" applyBorder="1" applyProtection="1">
      <alignment vertical="center"/>
      <protection locked="0"/>
    </xf>
    <xf numFmtId="0" fontId="11" fillId="0" borderId="145" xfId="0" applyFont="1" applyBorder="1" applyProtection="1">
      <alignment vertical="center"/>
      <protection locked="0"/>
    </xf>
    <xf numFmtId="0" fontId="11" fillId="0" borderId="0" xfId="0" applyFont="1" applyAlignment="1">
      <alignment horizontal="left" vertical="center"/>
    </xf>
    <xf numFmtId="0" fontId="11" fillId="0" borderId="149" xfId="0" applyFont="1" applyBorder="1" applyAlignment="1">
      <alignment horizontal="left" vertical="center"/>
    </xf>
    <xf numFmtId="0" fontId="11" fillId="0" borderId="143" xfId="0" applyFont="1" applyBorder="1" applyAlignment="1">
      <alignment horizontal="left" vertical="center"/>
    </xf>
    <xf numFmtId="0" fontId="11" fillId="0" borderId="143" xfId="0" applyFont="1" applyBorder="1" applyAlignment="1" applyProtection="1">
      <alignment horizontal="left" vertical="center"/>
      <protection locked="0"/>
    </xf>
    <xf numFmtId="0" fontId="11" fillId="0" borderId="145" xfId="0" applyFont="1" applyBorder="1" applyAlignment="1" applyProtection="1">
      <alignment horizontal="left" vertical="center"/>
      <protection locked="0"/>
    </xf>
    <xf numFmtId="14" fontId="53" fillId="11" borderId="143" xfId="5" applyNumberFormat="1" applyFont="1" applyBorder="1" applyAlignment="1" applyProtection="1">
      <alignment vertical="center" wrapText="1"/>
    </xf>
    <xf numFmtId="14" fontId="54" fillId="11" borderId="145" xfId="5" applyNumberFormat="1" applyBorder="1" applyAlignment="1" applyProtection="1">
      <alignment vertical="center" wrapText="1"/>
    </xf>
    <xf numFmtId="0" fontId="52" fillId="0" borderId="143" xfId="0" applyFont="1" applyBorder="1" applyAlignment="1">
      <alignment vertical="top" wrapText="1"/>
    </xf>
    <xf numFmtId="14" fontId="54" fillId="11" borderId="145" xfId="5" applyNumberFormat="1" applyBorder="1" applyAlignment="1" applyProtection="1">
      <alignment vertical="top" wrapText="1"/>
    </xf>
    <xf numFmtId="14" fontId="55" fillId="11" borderId="145" xfId="5" applyNumberFormat="1" applyFont="1" applyBorder="1" applyAlignment="1" applyProtection="1">
      <alignment vertical="center" wrapText="1"/>
    </xf>
    <xf numFmtId="0" fontId="11" fillId="0" borderId="0" xfId="0" applyFont="1" applyAlignment="1">
      <alignment horizontal="left" vertical="center" wrapText="1"/>
    </xf>
    <xf numFmtId="0" fontId="11" fillId="0" borderId="149" xfId="0" applyFont="1" applyBorder="1" applyAlignment="1">
      <alignment horizontal="left" vertical="center" wrapText="1"/>
    </xf>
    <xf numFmtId="0" fontId="11" fillId="0" borderId="143" xfId="0" applyFont="1" applyBorder="1" applyAlignment="1">
      <alignment horizontal="left" vertical="center" wrapText="1"/>
    </xf>
    <xf numFmtId="0" fontId="11" fillId="0" borderId="145" xfId="0" applyFont="1" applyBorder="1" applyAlignment="1">
      <alignment horizontal="left" vertical="center" wrapText="1"/>
    </xf>
    <xf numFmtId="0" fontId="11" fillId="0" borderId="143" xfId="0" applyFont="1" applyBorder="1">
      <alignment vertical="center"/>
    </xf>
    <xf numFmtId="0" fontId="11" fillId="0" borderId="145" xfId="0" applyFont="1" applyBorder="1">
      <alignment vertical="center"/>
    </xf>
    <xf numFmtId="0" fontId="11" fillId="0" borderId="161" xfId="0" applyFont="1" applyBorder="1" applyAlignment="1">
      <alignment vertical="center" wrapText="1"/>
    </xf>
    <xf numFmtId="0" fontId="11" fillId="0" borderId="149" xfId="0" applyFont="1" applyBorder="1" applyAlignment="1">
      <alignment vertical="center" wrapText="1"/>
    </xf>
    <xf numFmtId="0" fontId="11" fillId="0" borderId="156" xfId="0" applyFont="1" applyBorder="1" applyProtection="1">
      <alignment vertical="center"/>
      <protection locked="0"/>
    </xf>
    <xf numFmtId="0" fontId="11" fillId="0" borderId="145" xfId="0" applyFont="1" applyBorder="1" applyAlignment="1">
      <alignment vertical="center" wrapText="1"/>
    </xf>
    <xf numFmtId="0" fontId="50" fillId="0" borderId="0" xfId="0" applyFont="1">
      <alignment vertical="center"/>
    </xf>
    <xf numFmtId="0" fontId="50" fillId="0" borderId="0" xfId="0" applyFont="1" applyAlignment="1">
      <alignment vertical="center" wrapText="1"/>
    </xf>
    <xf numFmtId="0" fontId="11" fillId="0" borderId="0" xfId="0" applyNumberFormat="1" applyFont="1">
      <alignment vertical="center"/>
    </xf>
    <xf numFmtId="0" fontId="56" fillId="0" borderId="0" xfId="0" applyFont="1" applyFill="1" applyBorder="1" applyAlignment="1">
      <alignment horizontal="center" vertical="center"/>
    </xf>
    <xf numFmtId="0" fontId="56" fillId="0" borderId="0" xfId="0" applyFont="1" applyFill="1" applyBorder="1" applyAlignment="1">
      <alignment horizontal="center" vertical="center"/>
    </xf>
    <xf numFmtId="0" fontId="56" fillId="0" borderId="0" xfId="0" applyFont="1" applyFill="1" applyBorder="1" applyAlignment="1">
      <alignment horizontal="center" vertical="center" wrapText="1"/>
    </xf>
    <xf numFmtId="0" fontId="56" fillId="0" borderId="0" xfId="0" applyFont="1" applyFill="1" applyBorder="1" applyAlignment="1" applyProtection="1">
      <alignment horizontal="center" vertical="center"/>
      <protection locked="0"/>
    </xf>
    <xf numFmtId="0" fontId="45" fillId="7" borderId="0" xfId="2" applyBorder="1" applyAlignment="1" applyProtection="1">
      <alignment horizontal="center" vertical="center"/>
    </xf>
    <xf numFmtId="0" fontId="45" fillId="7" borderId="0" xfId="2" applyBorder="1" applyAlignment="1" applyProtection="1">
      <alignment vertical="center"/>
    </xf>
    <xf numFmtId="0" fontId="11" fillId="0" borderId="0" xfId="0" applyFont="1" applyBorder="1">
      <alignment vertical="center"/>
    </xf>
    <xf numFmtId="0" fontId="11" fillId="0" borderId="0" xfId="0" applyFont="1" applyBorder="1" applyAlignment="1">
      <alignment horizontal="center" vertical="center"/>
    </xf>
    <xf numFmtId="0" fontId="57" fillId="0" borderId="0" xfId="0" applyFont="1" applyBorder="1" applyAlignment="1">
      <alignment horizontal="center" vertical="center"/>
    </xf>
    <xf numFmtId="0" fontId="57" fillId="0" borderId="0" xfId="0" applyNumberFormat="1" applyFont="1" applyBorder="1" applyAlignment="1">
      <alignment horizontal="center" vertical="center"/>
    </xf>
    <xf numFmtId="49" fontId="56" fillId="0" borderId="0" xfId="0" applyNumberFormat="1" applyFont="1" applyFill="1" applyBorder="1" applyAlignment="1" applyProtection="1">
      <alignment horizontal="center" vertical="center" wrapText="1"/>
      <protection locked="0"/>
    </xf>
    <xf numFmtId="0" fontId="14" fillId="0" borderId="0" xfId="0" applyFont="1" applyFill="1" applyBorder="1" applyAlignment="1" applyProtection="1">
      <alignment horizontal="center" vertical="center"/>
      <protection locked="0"/>
    </xf>
    <xf numFmtId="49" fontId="56" fillId="0" borderId="0" xfId="0" applyNumberFormat="1" applyFont="1" applyFill="1" applyBorder="1" applyAlignment="1">
      <alignment horizontal="center" vertical="center" wrapText="1"/>
    </xf>
    <xf numFmtId="49" fontId="56" fillId="0" borderId="0" xfId="0" applyNumberFormat="1" applyFont="1" applyFill="1" applyBorder="1" applyAlignment="1" applyProtection="1">
      <alignment horizontal="center" vertical="center"/>
      <protection locked="0"/>
    </xf>
    <xf numFmtId="0" fontId="11" fillId="0" borderId="0" xfId="0" applyFont="1" applyFill="1" applyBorder="1">
      <alignment vertical="center"/>
    </xf>
    <xf numFmtId="49" fontId="1" fillId="0" borderId="0" xfId="0" applyNumberFormat="1" applyFont="1" applyFill="1" applyBorder="1" applyProtection="1">
      <alignment vertical="center"/>
      <protection locked="0"/>
    </xf>
    <xf numFmtId="49" fontId="11" fillId="0" borderId="0" xfId="0" applyNumberFormat="1" applyFont="1" applyBorder="1">
      <alignment vertical="center"/>
    </xf>
    <xf numFmtId="49" fontId="1" fillId="0" borderId="0" xfId="0" applyNumberFormat="1" applyFont="1" applyBorder="1" applyProtection="1">
      <alignment vertical="center"/>
      <protection locked="0"/>
    </xf>
    <xf numFmtId="0" fontId="11" fillId="0" borderId="0" xfId="0" applyNumberFormat="1" applyFont="1" applyBorder="1">
      <alignment vertical="center"/>
    </xf>
    <xf numFmtId="1" fontId="11" fillId="0" borderId="0" xfId="0" applyNumberFormat="1" applyFont="1">
      <alignment vertical="center"/>
    </xf>
    <xf numFmtId="0" fontId="11" fillId="14" borderId="0" xfId="0" applyFont="1" applyFill="1">
      <alignment vertical="center"/>
    </xf>
    <xf numFmtId="49" fontId="64" fillId="5" borderId="22" xfId="0" applyNumberFormat="1" applyFont="1" applyFill="1" applyBorder="1" applyAlignment="1" applyProtection="1">
      <alignment horizontal="left" vertical="center"/>
      <protection locked="0" hidden="1"/>
    </xf>
    <xf numFmtId="49" fontId="64" fillId="3" borderId="22" xfId="0" applyNumberFormat="1" applyFont="1" applyFill="1" applyBorder="1" applyAlignment="1" applyProtection="1">
      <alignment horizontal="left" vertical="center"/>
      <protection locked="0" hidden="1"/>
    </xf>
    <xf numFmtId="0" fontId="29" fillId="0" borderId="19" xfId="0" applyFont="1" applyBorder="1" applyAlignment="1" applyProtection="1">
      <alignment horizontal="left" vertical="center"/>
      <protection locked="0"/>
    </xf>
    <xf numFmtId="0" fontId="72" fillId="0" borderId="84" xfId="0" applyFont="1" applyBorder="1" applyAlignment="1" applyProtection="1">
      <alignment horizontal="left" vertical="top" wrapText="1"/>
      <protection locked="0"/>
    </xf>
    <xf numFmtId="0" fontId="5" fillId="0" borderId="56" xfId="0" applyFont="1" applyBorder="1" applyAlignment="1" applyProtection="1">
      <alignment horizontal="left" vertical="top" wrapText="1"/>
      <protection locked="0"/>
    </xf>
    <xf numFmtId="0" fontId="5" fillId="0" borderId="57" xfId="0" applyFont="1" applyBorder="1" applyAlignment="1" applyProtection="1">
      <alignment horizontal="left" vertical="top" wrapText="1"/>
      <protection locked="0"/>
    </xf>
    <xf numFmtId="0" fontId="5" fillId="0" borderId="85" xfId="0" applyFont="1" applyBorder="1" applyAlignment="1" applyProtection="1">
      <alignment horizontal="left" vertical="top" wrapText="1"/>
      <protection locked="0"/>
    </xf>
    <xf numFmtId="0" fontId="5" fillId="0" borderId="0" xfId="0" applyFont="1" applyBorder="1" applyAlignment="1" applyProtection="1">
      <alignment horizontal="left" vertical="top" wrapText="1"/>
      <protection locked="0"/>
    </xf>
    <xf numFmtId="0" fontId="5" fillId="0" borderId="20" xfId="0" applyFont="1" applyBorder="1" applyAlignment="1" applyProtection="1">
      <alignment horizontal="left" vertical="top" wrapText="1"/>
      <protection locked="0"/>
    </xf>
    <xf numFmtId="0" fontId="5" fillId="0" borderId="91" xfId="0" applyFont="1" applyBorder="1" applyAlignment="1" applyProtection="1">
      <alignment horizontal="left" vertical="top" wrapText="1"/>
      <protection locked="0"/>
    </xf>
    <xf numFmtId="0" fontId="5" fillId="0" borderId="39" xfId="0" applyFont="1" applyBorder="1" applyAlignment="1" applyProtection="1">
      <alignment horizontal="left" vertical="top" wrapText="1"/>
      <protection locked="0"/>
    </xf>
    <xf numFmtId="0" fontId="5" fillId="0" borderId="40" xfId="0" applyFont="1" applyBorder="1" applyAlignment="1" applyProtection="1">
      <alignment horizontal="left" vertical="top" wrapText="1"/>
      <protection locked="0"/>
    </xf>
    <xf numFmtId="0" fontId="5" fillId="3" borderId="49" xfId="0" applyNumberFormat="1" applyFont="1" applyFill="1" applyBorder="1" applyAlignment="1" applyProtection="1">
      <alignment horizontal="left" vertical="top"/>
      <protection locked="0"/>
    </xf>
    <xf numFmtId="0" fontId="5" fillId="3" borderId="82" xfId="0" applyNumberFormat="1" applyFont="1" applyFill="1" applyBorder="1" applyAlignment="1" applyProtection="1">
      <alignment horizontal="left" vertical="top"/>
      <protection locked="0"/>
    </xf>
    <xf numFmtId="0" fontId="5" fillId="3" borderId="83" xfId="0" applyNumberFormat="1" applyFont="1" applyFill="1" applyBorder="1" applyAlignment="1" applyProtection="1">
      <alignment horizontal="left" vertical="top"/>
      <protection locked="0"/>
    </xf>
    <xf numFmtId="0" fontId="65" fillId="3" borderId="51" xfId="0" applyFont="1" applyFill="1" applyBorder="1" applyAlignment="1" applyProtection="1">
      <alignment horizontal="center" vertical="center"/>
      <protection locked="0"/>
    </xf>
    <xf numFmtId="0" fontId="5" fillId="3" borderId="82" xfId="0" applyFont="1" applyFill="1" applyBorder="1" applyAlignment="1" applyProtection="1">
      <alignment horizontal="center" vertical="center"/>
      <protection locked="0"/>
    </xf>
    <xf numFmtId="0" fontId="5" fillId="3" borderId="50" xfId="0" applyFont="1" applyFill="1" applyBorder="1" applyAlignment="1" applyProtection="1">
      <alignment horizontal="center" vertical="center"/>
      <protection locked="0"/>
    </xf>
    <xf numFmtId="0" fontId="5" fillId="0" borderId="22" xfId="0" applyNumberFormat="1" applyFont="1" applyBorder="1" applyAlignment="1">
      <alignment horizontal="center" vertical="center"/>
    </xf>
    <xf numFmtId="0" fontId="1" fillId="0" borderId="78" xfId="0" applyFont="1" applyBorder="1" applyAlignment="1">
      <alignment horizontal="center" vertical="center"/>
    </xf>
    <xf numFmtId="0" fontId="1" fillId="0" borderId="79"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5" fillId="5" borderId="49" xfId="0" applyNumberFormat="1" applyFont="1" applyFill="1" applyBorder="1" applyAlignment="1" applyProtection="1">
      <alignment horizontal="left" vertical="top"/>
      <protection locked="0"/>
    </xf>
    <xf numFmtId="0" fontId="5" fillId="5" borderId="82" xfId="0" applyNumberFormat="1" applyFont="1" applyFill="1" applyBorder="1" applyAlignment="1" applyProtection="1">
      <alignment horizontal="left" vertical="top"/>
      <protection locked="0"/>
    </xf>
    <xf numFmtId="0" fontId="5" fillId="5" borderId="83" xfId="0" applyNumberFormat="1" applyFont="1" applyFill="1" applyBorder="1" applyAlignment="1" applyProtection="1">
      <alignment horizontal="left" vertical="top"/>
      <protection locked="0"/>
    </xf>
    <xf numFmtId="49" fontId="1" fillId="5" borderId="22" xfId="0" applyNumberFormat="1" applyFont="1" applyFill="1" applyBorder="1" applyAlignment="1" applyProtection="1">
      <alignment horizontal="center" vertical="center"/>
      <protection locked="0" hidden="1"/>
    </xf>
    <xf numFmtId="49" fontId="1" fillId="3" borderId="22" xfId="0" applyNumberFormat="1" applyFont="1" applyFill="1" applyBorder="1" applyAlignment="1" applyProtection="1">
      <alignment horizontal="center" vertical="center"/>
      <protection locked="0" hidden="1"/>
    </xf>
    <xf numFmtId="0" fontId="1" fillId="0" borderId="53" xfId="0" applyFont="1" applyBorder="1" applyAlignment="1" applyProtection="1">
      <alignment horizontal="center" vertical="center"/>
      <protection hidden="1"/>
    </xf>
    <xf numFmtId="0" fontId="1" fillId="0" borderId="54" xfId="0" applyFont="1" applyBorder="1" applyAlignment="1" applyProtection="1">
      <alignment horizontal="center" vertical="center"/>
      <protection hidden="1"/>
    </xf>
    <xf numFmtId="0" fontId="1" fillId="0" borderId="58" xfId="0" applyFont="1" applyBorder="1" applyAlignment="1" applyProtection="1">
      <alignment horizontal="center" vertical="center"/>
      <protection hidden="1"/>
    </xf>
    <xf numFmtId="0" fontId="1" fillId="0" borderId="59" xfId="0" applyFont="1" applyBorder="1" applyAlignment="1" applyProtection="1">
      <alignment horizontal="center" vertical="center"/>
      <protection hidden="1"/>
    </xf>
    <xf numFmtId="0" fontId="5" fillId="5" borderId="72" xfId="0" applyNumberFormat="1" applyFont="1" applyFill="1" applyBorder="1" applyAlignment="1" applyProtection="1">
      <alignment horizontal="center" vertical="top"/>
      <protection locked="0"/>
    </xf>
    <xf numFmtId="0" fontId="5" fillId="5" borderId="14" xfId="0" applyNumberFormat="1" applyFont="1" applyFill="1" applyBorder="1" applyAlignment="1" applyProtection="1">
      <alignment horizontal="center" vertical="top"/>
      <protection locked="0"/>
    </xf>
    <xf numFmtId="0" fontId="5" fillId="5" borderId="18" xfId="0" applyNumberFormat="1" applyFont="1" applyFill="1" applyBorder="1" applyAlignment="1" applyProtection="1">
      <alignment horizontal="center" vertical="top"/>
      <protection locked="0"/>
    </xf>
    <xf numFmtId="0" fontId="1" fillId="3" borderId="72" xfId="0" applyNumberFormat="1" applyFont="1" applyFill="1" applyBorder="1" applyAlignment="1" applyProtection="1">
      <alignment horizontal="left" vertical="top"/>
      <protection locked="0"/>
    </xf>
    <xf numFmtId="0" fontId="1" fillId="3" borderId="14" xfId="0" applyNumberFormat="1" applyFont="1" applyFill="1" applyBorder="1" applyAlignment="1" applyProtection="1">
      <alignment horizontal="left" vertical="top"/>
      <protection locked="0"/>
    </xf>
    <xf numFmtId="0" fontId="1" fillId="3" borderId="18" xfId="0" applyNumberFormat="1" applyFont="1" applyFill="1" applyBorder="1" applyAlignment="1" applyProtection="1">
      <alignment horizontal="left" vertical="top"/>
      <protection locked="0"/>
    </xf>
    <xf numFmtId="0" fontId="1" fillId="6" borderId="49" xfId="0" applyFont="1" applyFill="1" applyBorder="1" applyAlignment="1" applyProtection="1">
      <alignment horizontal="center" vertical="center" wrapText="1"/>
      <protection locked="0"/>
    </xf>
    <xf numFmtId="0" fontId="1" fillId="6" borderId="50" xfId="0" applyFont="1" applyFill="1" applyBorder="1" applyAlignment="1" applyProtection="1">
      <alignment horizontal="center" vertical="center" wrapText="1"/>
      <protection locked="0"/>
    </xf>
    <xf numFmtId="0" fontId="2" fillId="0" borderId="0" xfId="0" applyFont="1" applyAlignment="1">
      <alignment horizontal="center" vertical="center"/>
    </xf>
    <xf numFmtId="49" fontId="1" fillId="3" borderId="28" xfId="0" applyNumberFormat="1" applyFont="1" applyFill="1" applyBorder="1" applyAlignment="1" applyProtection="1">
      <alignment horizontal="center" vertical="center"/>
      <protection locked="0" hidden="1"/>
    </xf>
    <xf numFmtId="0" fontId="4" fillId="2" borderId="75" xfId="0" applyFont="1" applyFill="1" applyBorder="1" applyAlignment="1" applyProtection="1">
      <alignment horizontal="center" vertical="center"/>
      <protection locked="0"/>
    </xf>
    <xf numFmtId="0" fontId="4" fillId="2" borderId="76" xfId="0" applyFont="1" applyFill="1" applyBorder="1" applyAlignment="1" applyProtection="1">
      <alignment horizontal="center" vertical="center"/>
      <protection locked="0"/>
    </xf>
    <xf numFmtId="0" fontId="4" fillId="2" borderId="77" xfId="0" applyFont="1" applyFill="1" applyBorder="1" applyAlignment="1" applyProtection="1">
      <alignment horizontal="center" vertical="center"/>
      <protection locked="0"/>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5" fillId="5" borderId="89" xfId="0" applyNumberFormat="1" applyFont="1" applyFill="1" applyBorder="1" applyAlignment="1" applyProtection="1">
      <alignment horizontal="left" vertical="top"/>
      <protection locked="0"/>
    </xf>
    <xf numFmtId="0" fontId="5" fillId="5" borderId="87" xfId="0" applyNumberFormat="1" applyFont="1" applyFill="1" applyBorder="1" applyAlignment="1" applyProtection="1">
      <alignment horizontal="left" vertical="top"/>
      <protection locked="0"/>
    </xf>
    <xf numFmtId="0" fontId="5" fillId="3" borderId="22" xfId="0" applyNumberFormat="1" applyFont="1" applyFill="1" applyBorder="1" applyAlignment="1" applyProtection="1">
      <alignment horizontal="center" vertical="center"/>
      <protection locked="0"/>
    </xf>
    <xf numFmtId="0" fontId="5" fillId="3" borderId="50" xfId="0" applyNumberFormat="1" applyFont="1" applyFill="1" applyBorder="1" applyAlignment="1" applyProtection="1">
      <alignment horizontal="left" vertical="top"/>
      <protection locked="0"/>
    </xf>
    <xf numFmtId="0" fontId="5" fillId="3" borderId="79" xfId="0" applyNumberFormat="1" applyFont="1" applyFill="1" applyBorder="1" applyAlignment="1" applyProtection="1">
      <alignment horizontal="left" vertical="top"/>
      <protection locked="0"/>
    </xf>
    <xf numFmtId="0" fontId="5" fillId="6" borderId="22" xfId="0" applyFont="1" applyFill="1" applyBorder="1" applyAlignment="1">
      <alignment horizontal="center" vertical="center"/>
    </xf>
    <xf numFmtId="0" fontId="5" fillId="0" borderId="28" xfId="0" applyNumberFormat="1" applyFont="1" applyBorder="1" applyAlignment="1" applyProtection="1">
      <alignment horizontal="center" vertical="center"/>
      <protection locked="0"/>
    </xf>
    <xf numFmtId="0" fontId="65" fillId="0" borderId="51" xfId="0" applyFont="1" applyBorder="1" applyAlignment="1" applyProtection="1">
      <alignment horizontal="center" vertical="center"/>
      <protection locked="0"/>
    </xf>
    <xf numFmtId="0" fontId="5" fillId="0" borderId="82" xfId="0" applyFont="1" applyBorder="1" applyAlignment="1" applyProtection="1">
      <alignment horizontal="center" vertical="center"/>
      <protection locked="0"/>
    </xf>
    <xf numFmtId="0" fontId="5" fillId="0" borderId="50" xfId="0" applyFont="1" applyBorder="1" applyAlignment="1" applyProtection="1">
      <alignment horizontal="center" vertical="center"/>
      <protection locked="0"/>
    </xf>
    <xf numFmtId="0" fontId="5" fillId="5" borderId="86" xfId="0" applyNumberFormat="1" applyFont="1" applyFill="1" applyBorder="1" applyAlignment="1" applyProtection="1">
      <alignment horizontal="left" vertical="top"/>
      <protection locked="0"/>
    </xf>
    <xf numFmtId="0" fontId="5" fillId="5" borderId="90" xfId="0" applyNumberFormat="1" applyFont="1" applyFill="1" applyBorder="1" applyAlignment="1" applyProtection="1">
      <alignment horizontal="left" vertical="top"/>
      <protection locked="0"/>
    </xf>
    <xf numFmtId="0" fontId="1" fillId="0" borderId="0" xfId="0" applyFont="1" applyBorder="1" applyAlignment="1" applyProtection="1">
      <alignment horizontal="left" vertical="center"/>
      <protection hidden="1"/>
    </xf>
    <xf numFmtId="0" fontId="64" fillId="0" borderId="22" xfId="0" applyFont="1" applyBorder="1" applyAlignment="1" applyProtection="1">
      <alignment horizontal="center" vertical="center"/>
      <protection locked="0"/>
    </xf>
    <xf numFmtId="0" fontId="1" fillId="0" borderId="22" xfId="0" applyFont="1" applyBorder="1" applyAlignment="1" applyProtection="1">
      <alignment horizontal="center" vertical="center"/>
      <protection locked="0"/>
    </xf>
    <xf numFmtId="0" fontId="1" fillId="0" borderId="23" xfId="0" applyFont="1" applyBorder="1" applyAlignment="1" applyProtection="1">
      <alignment horizontal="center" vertical="center"/>
      <protection locked="0"/>
    </xf>
    <xf numFmtId="0" fontId="1" fillId="0" borderId="0" xfId="0" applyFont="1" applyAlignment="1">
      <alignment horizontal="center" vertical="center"/>
    </xf>
    <xf numFmtId="49" fontId="1" fillId="0" borderId="22" xfId="0" applyNumberFormat="1" applyFont="1" applyBorder="1" applyAlignment="1" applyProtection="1">
      <alignment horizontal="center" vertical="center"/>
      <protection locked="0" hidden="1"/>
    </xf>
    <xf numFmtId="0" fontId="1" fillId="0" borderId="0" xfId="0" applyFont="1" applyBorder="1" applyAlignment="1" applyProtection="1">
      <alignment horizontal="left" vertical="center"/>
      <protection locked="0"/>
    </xf>
    <xf numFmtId="0" fontId="65" fillId="0" borderId="51" xfId="0" applyFont="1" applyBorder="1" applyAlignment="1" applyProtection="1">
      <alignment horizontal="center" vertical="center" wrapText="1"/>
      <protection locked="0"/>
    </xf>
    <xf numFmtId="0" fontId="5" fillId="0" borderId="82" xfId="0" applyFont="1" applyBorder="1" applyAlignment="1" applyProtection="1">
      <alignment horizontal="center" vertical="center" wrapText="1"/>
      <protection locked="0"/>
    </xf>
    <xf numFmtId="0" fontId="5" fillId="0" borderId="83" xfId="0" applyFont="1" applyBorder="1" applyAlignment="1" applyProtection="1">
      <alignment horizontal="center" vertical="center" wrapText="1"/>
      <protection locked="0"/>
    </xf>
    <xf numFmtId="0" fontId="9" fillId="3" borderId="22" xfId="0" applyNumberFormat="1" applyFont="1" applyFill="1" applyBorder="1" applyAlignment="1">
      <alignment horizontal="center" vertical="center"/>
    </xf>
    <xf numFmtId="0" fontId="1" fillId="0" borderId="22" xfId="0" applyNumberFormat="1" applyFont="1" applyBorder="1" applyAlignment="1" applyProtection="1">
      <alignment horizontal="center" vertical="center"/>
      <protection locked="0"/>
    </xf>
    <xf numFmtId="0" fontId="1" fillId="0" borderId="23" xfId="0" applyNumberFormat="1" applyFont="1" applyBorder="1" applyAlignment="1" applyProtection="1">
      <alignment horizontal="center" vertical="center"/>
      <protection locked="0"/>
    </xf>
    <xf numFmtId="0" fontId="1" fillId="0" borderId="0" xfId="0" applyNumberFormat="1" applyFont="1" applyAlignment="1" applyProtection="1">
      <alignment horizontal="center" vertical="center"/>
      <protection locked="0"/>
    </xf>
    <xf numFmtId="177" fontId="1" fillId="4" borderId="8" xfId="0" applyNumberFormat="1" applyFont="1" applyFill="1" applyBorder="1" applyAlignment="1">
      <alignment horizontal="left" vertical="center"/>
    </xf>
    <xf numFmtId="177" fontId="1" fillId="4" borderId="39" xfId="0" applyNumberFormat="1" applyFont="1" applyFill="1" applyBorder="1" applyAlignment="1">
      <alignment horizontal="left" vertical="center"/>
    </xf>
    <xf numFmtId="0" fontId="1" fillId="0" borderId="14" xfId="0" applyFont="1" applyBorder="1" applyAlignment="1" applyProtection="1">
      <alignment horizontal="center" vertical="center" wrapText="1"/>
      <protection locked="0"/>
    </xf>
    <xf numFmtId="0" fontId="1" fillId="3" borderId="28" xfId="0" applyFont="1" applyFill="1" applyBorder="1" applyAlignment="1" applyProtection="1">
      <alignment horizontal="center" vertical="center"/>
      <protection locked="0"/>
    </xf>
    <xf numFmtId="0" fontId="1" fillId="3" borderId="29" xfId="0" applyFont="1" applyFill="1" applyBorder="1" applyAlignment="1" applyProtection="1">
      <alignment horizontal="center" vertical="center"/>
      <protection locked="0"/>
    </xf>
    <xf numFmtId="0" fontId="7" fillId="0" borderId="0" xfId="0" applyFont="1" applyBorder="1" applyAlignment="1">
      <alignment horizontal="center"/>
    </xf>
    <xf numFmtId="0" fontId="1" fillId="3" borderId="7" xfId="0" applyFont="1" applyFill="1" applyBorder="1" applyAlignment="1" applyProtection="1">
      <alignment horizontal="center" vertical="center"/>
      <protection locked="0"/>
    </xf>
    <xf numFmtId="0" fontId="1" fillId="3" borderId="8" xfId="0" applyFont="1" applyFill="1" applyBorder="1" applyAlignment="1" applyProtection="1">
      <alignment horizontal="center" vertical="center"/>
      <protection locked="0"/>
    </xf>
    <xf numFmtId="0" fontId="1" fillId="3" borderId="9" xfId="0" applyFont="1" applyFill="1" applyBorder="1" applyAlignment="1" applyProtection="1">
      <alignment horizontal="center" vertical="center"/>
      <protection locked="0"/>
    </xf>
    <xf numFmtId="0" fontId="1" fillId="3" borderId="19" xfId="0"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protection locked="0"/>
    </xf>
    <xf numFmtId="0" fontId="1" fillId="3" borderId="20" xfId="0" applyFont="1" applyFill="1" applyBorder="1" applyAlignment="1" applyProtection="1">
      <alignment horizontal="center" vertical="center"/>
      <protection locked="0"/>
    </xf>
    <xf numFmtId="0" fontId="1" fillId="3" borderId="38" xfId="0" applyFont="1" applyFill="1" applyBorder="1" applyAlignment="1" applyProtection="1">
      <alignment horizontal="center" vertical="center"/>
      <protection locked="0"/>
    </xf>
    <xf numFmtId="0" fontId="1" fillId="3" borderId="39" xfId="0" applyFont="1" applyFill="1" applyBorder="1" applyAlignment="1" applyProtection="1">
      <alignment horizontal="center" vertical="center"/>
      <protection locked="0"/>
    </xf>
    <xf numFmtId="0" fontId="1" fillId="3" borderId="40" xfId="0" applyFont="1" applyFill="1" applyBorder="1" applyAlignment="1" applyProtection="1">
      <alignment horizontal="center" vertical="center"/>
      <protection locked="0"/>
    </xf>
    <xf numFmtId="0" fontId="1" fillId="4" borderId="8" xfId="0" applyFont="1" applyFill="1" applyBorder="1" applyAlignment="1">
      <alignment horizontal="center" vertical="center" wrapText="1"/>
    </xf>
    <xf numFmtId="0" fontId="1" fillId="4" borderId="39" xfId="0" applyFont="1" applyFill="1" applyBorder="1" applyAlignment="1">
      <alignment horizontal="center" vertical="center" wrapText="1"/>
    </xf>
    <xf numFmtId="0" fontId="1" fillId="4" borderId="41" xfId="0" applyFont="1" applyFill="1" applyBorder="1" applyAlignment="1">
      <alignment horizontal="center" vertical="center" wrapText="1"/>
    </xf>
    <xf numFmtId="0" fontId="1" fillId="4" borderId="43" xfId="0" applyFont="1" applyFill="1" applyBorder="1" applyAlignment="1">
      <alignment horizontal="center" vertical="center" wrapText="1"/>
    </xf>
    <xf numFmtId="0" fontId="1" fillId="4" borderId="8" xfId="0" applyFont="1" applyFill="1" applyBorder="1" applyAlignment="1" applyProtection="1">
      <alignment horizontal="right" vertical="center" wrapText="1"/>
      <protection locked="0"/>
    </xf>
    <xf numFmtId="0" fontId="1" fillId="4" borderId="39" xfId="0" applyFont="1" applyFill="1" applyBorder="1" applyAlignment="1" applyProtection="1">
      <alignment horizontal="right" vertical="center" wrapText="1"/>
      <protection locked="0"/>
    </xf>
    <xf numFmtId="0" fontId="1" fillId="3" borderId="14" xfId="0" applyFont="1" applyFill="1" applyBorder="1" applyAlignment="1" applyProtection="1">
      <alignment horizontal="center" vertical="center" wrapText="1"/>
      <protection locked="0"/>
    </xf>
    <xf numFmtId="0" fontId="1" fillId="3" borderId="31" xfId="0" applyFont="1" applyFill="1" applyBorder="1" applyAlignment="1" applyProtection="1">
      <alignment horizontal="center" vertical="center" wrapText="1"/>
      <protection locked="0"/>
    </xf>
    <xf numFmtId="0" fontId="1" fillId="0" borderId="16" xfId="0" applyFont="1" applyBorder="1" applyAlignment="1">
      <alignment horizontal="center" vertical="center" wrapText="1"/>
    </xf>
    <xf numFmtId="0" fontId="1" fillId="4" borderId="8" xfId="0" applyFont="1" applyFill="1" applyBorder="1" applyAlignment="1" applyProtection="1">
      <alignment horizontal="right" vertical="center"/>
      <protection locked="0"/>
    </xf>
    <xf numFmtId="0" fontId="1" fillId="4" borderId="39" xfId="0" applyFont="1" applyFill="1" applyBorder="1" applyAlignment="1" applyProtection="1">
      <alignment horizontal="right" vertical="center"/>
      <protection locked="0"/>
    </xf>
    <xf numFmtId="0" fontId="1" fillId="3" borderId="8"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0" borderId="0" xfId="0" applyFont="1" applyBorder="1" applyAlignment="1">
      <alignment horizontal="center"/>
    </xf>
    <xf numFmtId="0" fontId="1" fillId="0" borderId="8" xfId="0" applyFont="1" applyBorder="1" applyAlignment="1">
      <alignment horizontal="center"/>
    </xf>
    <xf numFmtId="0" fontId="1" fillId="0" borderId="0" xfId="0" applyFont="1" applyBorder="1" applyAlignment="1" applyProtection="1">
      <alignment horizontal="center" vertical="center"/>
      <protection hidden="1"/>
    </xf>
    <xf numFmtId="0" fontId="64" fillId="3" borderId="22" xfId="0" applyNumberFormat="1" applyFont="1" applyFill="1" applyBorder="1" applyAlignment="1" applyProtection="1">
      <alignment horizontal="center" vertical="center"/>
      <protection locked="0"/>
    </xf>
    <xf numFmtId="0" fontId="1" fillId="3" borderId="23" xfId="0" applyNumberFormat="1" applyFont="1" applyFill="1" applyBorder="1" applyAlignment="1" applyProtection="1">
      <alignment horizontal="center" vertical="center"/>
      <protection locked="0"/>
    </xf>
    <xf numFmtId="0" fontId="1" fillId="6" borderId="79" xfId="0" applyFont="1" applyFill="1" applyBorder="1" applyAlignment="1" applyProtection="1">
      <alignment horizontal="center" vertical="center" wrapText="1"/>
      <protection locked="0"/>
    </xf>
    <xf numFmtId="0" fontId="5" fillId="3" borderId="22" xfId="0" applyNumberFormat="1" applyFont="1" applyFill="1" applyBorder="1" applyAlignment="1">
      <alignment horizontal="center" vertical="center"/>
    </xf>
    <xf numFmtId="0" fontId="2" fillId="0" borderId="0" xfId="0" applyNumberFormat="1" applyFont="1" applyAlignment="1">
      <alignment horizontal="center" vertical="center"/>
    </xf>
    <xf numFmtId="0" fontId="5" fillId="3" borderId="22" xfId="0" applyFont="1" applyFill="1" applyBorder="1" applyAlignment="1">
      <alignment horizontal="center" vertical="center"/>
    </xf>
    <xf numFmtId="0" fontId="5" fillId="3" borderId="23" xfId="0" applyFont="1" applyFill="1" applyBorder="1" applyAlignment="1">
      <alignment horizontal="center" vertical="center"/>
    </xf>
    <xf numFmtId="177" fontId="1" fillId="4" borderId="8" xfId="0" applyNumberFormat="1" applyFont="1" applyFill="1" applyBorder="1" applyAlignment="1">
      <alignment horizontal="left" vertical="center" wrapText="1"/>
    </xf>
    <xf numFmtId="177" fontId="1" fillId="4" borderId="39" xfId="0" applyNumberFormat="1" applyFont="1" applyFill="1" applyBorder="1" applyAlignment="1">
      <alignment horizontal="left" vertical="center" wrapText="1"/>
    </xf>
    <xf numFmtId="0" fontId="1" fillId="3" borderId="22" xfId="0" applyNumberFormat="1" applyFont="1" applyFill="1" applyBorder="1" applyAlignment="1" applyProtection="1">
      <alignment horizontal="center" vertical="center"/>
      <protection locked="0"/>
    </xf>
    <xf numFmtId="0" fontId="1" fillId="0" borderId="25" xfId="0" applyFont="1" applyBorder="1" applyAlignment="1" applyProtection="1">
      <alignment horizontal="center" vertical="center" wrapText="1"/>
      <protection locked="0"/>
    </xf>
    <xf numFmtId="0" fontId="1" fillId="0" borderId="34" xfId="0" applyFont="1" applyBorder="1" applyAlignment="1" applyProtection="1">
      <alignment horizontal="center" vertical="center" wrapText="1"/>
      <protection locked="0"/>
    </xf>
    <xf numFmtId="177" fontId="1" fillId="3" borderId="41" xfId="0" applyNumberFormat="1" applyFont="1" applyFill="1" applyBorder="1" applyAlignment="1">
      <alignment horizontal="left" vertical="center" wrapText="1"/>
    </xf>
    <xf numFmtId="177" fontId="1" fillId="3" borderId="43" xfId="0" applyNumberFormat="1" applyFont="1" applyFill="1" applyBorder="1" applyAlignment="1">
      <alignment horizontal="left" vertical="center" wrapText="1"/>
    </xf>
    <xf numFmtId="0" fontId="1" fillId="3" borderId="13"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0" borderId="0" xfId="0" applyFont="1" applyFill="1" applyBorder="1" applyAlignment="1" applyProtection="1">
      <alignment horizontal="center" vertical="center" wrapText="1"/>
      <protection locked="0"/>
    </xf>
    <xf numFmtId="0" fontId="5" fillId="0" borderId="55" xfId="0" applyFont="1" applyBorder="1" applyAlignment="1" applyProtection="1">
      <alignment horizontal="left" vertical="top" wrapText="1"/>
      <protection hidden="1"/>
    </xf>
    <xf numFmtId="0" fontId="5" fillId="0" borderId="56" xfId="0" applyFont="1" applyBorder="1" applyAlignment="1" applyProtection="1">
      <alignment horizontal="left" vertical="top" wrapText="1"/>
      <protection hidden="1"/>
    </xf>
    <xf numFmtId="0" fontId="5" fillId="0" borderId="57" xfId="0" applyFont="1" applyBorder="1" applyAlignment="1" applyProtection="1">
      <alignment horizontal="left" vertical="top" wrapText="1"/>
      <protection hidden="1"/>
    </xf>
    <xf numFmtId="0" fontId="5" fillId="0" borderId="60" xfId="0" applyFont="1" applyBorder="1" applyAlignment="1" applyProtection="1">
      <alignment horizontal="left" vertical="top" wrapText="1"/>
      <protection hidden="1"/>
    </xf>
    <xf numFmtId="0" fontId="5" fillId="0" borderId="61" xfId="0" applyFont="1" applyBorder="1" applyAlignment="1" applyProtection="1">
      <alignment horizontal="left" vertical="top" wrapText="1"/>
      <protection hidden="1"/>
    </xf>
    <xf numFmtId="0" fontId="5" fillId="0" borderId="62" xfId="0" applyFont="1" applyBorder="1" applyAlignment="1" applyProtection="1">
      <alignment horizontal="left" vertical="top" wrapText="1"/>
      <protection hidden="1"/>
    </xf>
    <xf numFmtId="0" fontId="64" fillId="3" borderId="28" xfId="0" applyFont="1" applyFill="1" applyBorder="1" applyAlignment="1" applyProtection="1">
      <alignment horizontal="center" vertical="center"/>
      <protection locked="0"/>
    </xf>
    <xf numFmtId="0" fontId="1" fillId="3" borderId="5" xfId="0" applyFont="1" applyFill="1" applyBorder="1" applyAlignment="1" applyProtection="1">
      <alignment horizontal="center" vertical="center"/>
      <protection locked="0"/>
    </xf>
    <xf numFmtId="0" fontId="1" fillId="3" borderId="6" xfId="0" applyFont="1" applyFill="1" applyBorder="1" applyAlignment="1" applyProtection="1">
      <alignment horizontal="center" vertical="center"/>
      <protection locked="0"/>
    </xf>
    <xf numFmtId="0" fontId="5" fillId="0" borderId="0" xfId="0" applyFont="1" applyBorder="1" applyAlignment="1" applyProtection="1">
      <alignment horizontal="left" vertical="top" wrapText="1"/>
      <protection hidden="1"/>
    </xf>
    <xf numFmtId="0" fontId="5" fillId="0" borderId="99" xfId="0" applyFont="1" applyBorder="1" applyAlignment="1">
      <alignment horizontal="left" vertical="center" wrapText="1"/>
    </xf>
    <xf numFmtId="0" fontId="11" fillId="0" borderId="56" xfId="0" applyFont="1" applyBorder="1" applyAlignment="1">
      <alignment horizontal="left" vertical="center" wrapText="1"/>
    </xf>
    <xf numFmtId="0" fontId="11" fillId="0" borderId="57" xfId="0" applyFont="1" applyBorder="1" applyAlignment="1">
      <alignment horizontal="left" vertical="center" wrapText="1"/>
    </xf>
    <xf numFmtId="0" fontId="11" fillId="0" borderId="101" xfId="0" applyFont="1" applyBorder="1" applyAlignment="1">
      <alignment horizontal="left" vertical="center" wrapText="1"/>
    </xf>
    <xf numFmtId="0" fontId="11" fillId="0" borderId="69" xfId="0" applyFont="1" applyBorder="1" applyAlignment="1">
      <alignment horizontal="left" vertical="center" wrapText="1"/>
    </xf>
    <xf numFmtId="0" fontId="11" fillId="0" borderId="70" xfId="0" applyFont="1" applyBorder="1" applyAlignment="1">
      <alignment horizontal="left" vertical="center" wrapText="1"/>
    </xf>
    <xf numFmtId="178" fontId="5" fillId="0" borderId="22" xfId="0" applyNumberFormat="1" applyFont="1" applyFill="1" applyBorder="1" applyAlignment="1">
      <alignment horizontal="center" vertical="center"/>
    </xf>
    <xf numFmtId="0" fontId="4" fillId="2" borderId="46" xfId="0" applyFont="1" applyFill="1" applyBorder="1" applyAlignment="1">
      <alignment horizontal="center" vertical="center"/>
    </xf>
    <xf numFmtId="0" fontId="4" fillId="2" borderId="47" xfId="0" applyFont="1" applyFill="1" applyBorder="1" applyAlignment="1">
      <alignment horizontal="center" vertical="center"/>
    </xf>
    <xf numFmtId="0" fontId="4" fillId="2" borderId="48" xfId="0" applyFont="1" applyFill="1" applyBorder="1" applyAlignment="1">
      <alignment horizontal="center" vertical="center"/>
    </xf>
    <xf numFmtId="0" fontId="5" fillId="3" borderId="51" xfId="0" applyNumberFormat="1" applyFont="1" applyFill="1" applyBorder="1" applyAlignment="1" applyProtection="1">
      <alignment horizontal="center" vertical="center" wrapText="1"/>
      <protection locked="0" hidden="1"/>
    </xf>
    <xf numFmtId="0" fontId="5" fillId="3" borderId="50" xfId="0" applyNumberFormat="1" applyFont="1" applyFill="1" applyBorder="1" applyAlignment="1" applyProtection="1">
      <alignment horizontal="center" vertical="center" wrapText="1"/>
      <protection locked="0" hidden="1"/>
    </xf>
    <xf numFmtId="0" fontId="5" fillId="5" borderId="50" xfId="0" applyNumberFormat="1" applyFont="1" applyFill="1" applyBorder="1" applyAlignment="1" applyProtection="1">
      <alignment horizontal="left" vertical="top"/>
      <protection locked="0"/>
    </xf>
    <xf numFmtId="0" fontId="4" fillId="2" borderId="94" xfId="0" applyFont="1" applyFill="1" applyBorder="1" applyAlignment="1">
      <alignment horizontal="center" vertical="center"/>
    </xf>
    <xf numFmtId="0" fontId="4" fillId="2" borderId="95" xfId="0" applyFont="1" applyFill="1" applyBorder="1" applyAlignment="1">
      <alignment horizontal="center" vertical="center"/>
    </xf>
    <xf numFmtId="0" fontId="4" fillId="2" borderId="96" xfId="0" applyFont="1" applyFill="1" applyBorder="1" applyAlignment="1">
      <alignment horizontal="center" vertical="center"/>
    </xf>
    <xf numFmtId="49" fontId="1" fillId="3" borderId="49" xfId="0" applyNumberFormat="1" applyFont="1" applyFill="1" applyBorder="1" applyAlignment="1" applyProtection="1">
      <alignment horizontal="center" vertical="center"/>
      <protection locked="0"/>
    </xf>
    <xf numFmtId="49" fontId="1" fillId="3" borderId="82" xfId="0" applyNumberFormat="1" applyFont="1" applyFill="1" applyBorder="1" applyAlignment="1" applyProtection="1">
      <alignment horizontal="center" vertical="center"/>
      <protection locked="0"/>
    </xf>
    <xf numFmtId="49" fontId="1" fillId="3" borderId="52" xfId="0" applyNumberFormat="1" applyFont="1" applyFill="1" applyBorder="1" applyAlignment="1" applyProtection="1">
      <alignment horizontal="center" vertical="center"/>
      <protection locked="0"/>
    </xf>
    <xf numFmtId="0" fontId="4" fillId="2" borderId="75" xfId="0" applyFont="1" applyFill="1" applyBorder="1" applyAlignment="1">
      <alignment horizontal="center" vertical="center" wrapText="1"/>
    </xf>
    <xf numFmtId="0" fontId="4" fillId="2" borderId="76" xfId="0" applyFont="1" applyFill="1" applyBorder="1" applyAlignment="1">
      <alignment horizontal="center" vertical="center" wrapText="1"/>
    </xf>
    <xf numFmtId="0" fontId="4" fillId="2" borderId="77" xfId="0" applyFont="1" applyFill="1" applyBorder="1" applyAlignment="1">
      <alignment horizontal="center" vertical="center" wrapText="1"/>
    </xf>
    <xf numFmtId="0" fontId="4" fillId="2" borderId="78" xfId="0" applyFont="1" applyFill="1" applyBorder="1" applyAlignment="1">
      <alignment horizontal="center" vertical="center" wrapText="1"/>
    </xf>
    <xf numFmtId="0" fontId="4" fillId="2" borderId="79" xfId="0" applyFont="1" applyFill="1" applyBorder="1" applyAlignment="1">
      <alignment horizontal="center" vertical="center" wrapText="1"/>
    </xf>
    <xf numFmtId="0" fontId="4" fillId="2" borderId="81" xfId="0" applyFont="1" applyFill="1" applyBorder="1" applyAlignment="1">
      <alignment horizontal="center" vertical="center" wrapText="1"/>
    </xf>
    <xf numFmtId="0" fontId="5" fillId="3" borderId="21" xfId="0" applyNumberFormat="1" applyFont="1" applyFill="1" applyBorder="1" applyAlignment="1" applyProtection="1">
      <alignment horizontal="center" vertical="center"/>
      <protection locked="0" hidden="1"/>
    </xf>
    <xf numFmtId="0" fontId="5" fillId="3" borderId="22" xfId="0" applyNumberFormat="1" applyFont="1" applyFill="1" applyBorder="1" applyAlignment="1" applyProtection="1">
      <alignment horizontal="center" vertical="center"/>
      <protection locked="0" hidden="1"/>
    </xf>
    <xf numFmtId="0" fontId="1" fillId="3" borderId="42" xfId="0" applyFont="1" applyFill="1" applyBorder="1" applyAlignment="1">
      <alignment horizontal="center" vertical="center"/>
    </xf>
    <xf numFmtId="0" fontId="1" fillId="3" borderId="5" xfId="0" applyFont="1" applyFill="1" applyBorder="1" applyAlignment="1">
      <alignment horizontal="center" vertical="center"/>
    </xf>
    <xf numFmtId="0" fontId="5" fillId="0" borderId="21" xfId="0" applyNumberFormat="1" applyFont="1" applyBorder="1" applyAlignment="1" applyProtection="1">
      <alignment horizontal="center" vertical="center"/>
      <protection locked="0" hidden="1"/>
    </xf>
    <xf numFmtId="0" fontId="5" fillId="0" borderId="22" xfId="0" applyNumberFormat="1" applyFont="1" applyBorder="1" applyAlignment="1" applyProtection="1">
      <alignment horizontal="center" vertical="center"/>
      <protection locked="0" hidden="1"/>
    </xf>
    <xf numFmtId="0" fontId="5" fillId="6" borderId="22" xfId="0" applyNumberFormat="1" applyFont="1" applyFill="1" applyBorder="1" applyAlignment="1">
      <alignment horizontal="center" vertical="center"/>
    </xf>
    <xf numFmtId="0" fontId="5" fillId="0" borderId="21"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3" borderId="21" xfId="0" applyNumberFormat="1" applyFont="1" applyFill="1" applyBorder="1" applyAlignment="1">
      <alignment horizontal="center" vertical="center"/>
    </xf>
    <xf numFmtId="0" fontId="5" fillId="3" borderId="63" xfId="0" applyNumberFormat="1" applyFont="1" applyFill="1" applyBorder="1" applyAlignment="1" applyProtection="1">
      <alignment horizontal="left" vertical="top" wrapText="1"/>
      <protection hidden="1"/>
    </xf>
    <xf numFmtId="0" fontId="5" fillId="3" borderId="64" xfId="0" applyNumberFormat="1" applyFont="1" applyFill="1" applyBorder="1" applyAlignment="1" applyProtection="1">
      <alignment horizontal="left" vertical="top" wrapText="1"/>
      <protection hidden="1"/>
    </xf>
    <xf numFmtId="0" fontId="5" fillId="3" borderId="65" xfId="0" applyNumberFormat="1" applyFont="1" applyFill="1" applyBorder="1" applyAlignment="1" applyProtection="1">
      <alignment horizontal="left" vertical="top" wrapText="1"/>
      <protection hidden="1"/>
    </xf>
    <xf numFmtId="0" fontId="5" fillId="3" borderId="60" xfId="0" applyNumberFormat="1" applyFont="1" applyFill="1" applyBorder="1" applyAlignment="1" applyProtection="1">
      <alignment horizontal="left" vertical="top" wrapText="1"/>
      <protection hidden="1"/>
    </xf>
    <xf numFmtId="0" fontId="5" fillId="3" borderId="61" xfId="0" applyNumberFormat="1" applyFont="1" applyFill="1" applyBorder="1" applyAlignment="1" applyProtection="1">
      <alignment horizontal="left" vertical="top" wrapText="1"/>
      <protection hidden="1"/>
    </xf>
    <xf numFmtId="0" fontId="5" fillId="3" borderId="62" xfId="0" applyNumberFormat="1" applyFont="1" applyFill="1" applyBorder="1" applyAlignment="1" applyProtection="1">
      <alignment horizontal="left" vertical="top" wrapText="1"/>
      <protection hidden="1"/>
    </xf>
    <xf numFmtId="0" fontId="5" fillId="0" borderId="63" xfId="0" applyFont="1" applyBorder="1" applyAlignment="1" applyProtection="1">
      <alignment horizontal="left" vertical="top" wrapText="1"/>
      <protection hidden="1"/>
    </xf>
    <xf numFmtId="0" fontId="5" fillId="0" borderId="64" xfId="0" applyFont="1" applyBorder="1" applyAlignment="1" applyProtection="1">
      <alignment horizontal="left" vertical="top" wrapText="1"/>
      <protection hidden="1"/>
    </xf>
    <xf numFmtId="0" fontId="5" fillId="0" borderId="65" xfId="0" applyFont="1" applyBorder="1" applyAlignment="1" applyProtection="1">
      <alignment horizontal="left" vertical="top" wrapText="1"/>
      <protection hidden="1"/>
    </xf>
    <xf numFmtId="0" fontId="5" fillId="0" borderId="68" xfId="0" applyFont="1" applyBorder="1" applyAlignment="1" applyProtection="1">
      <alignment horizontal="left" vertical="top" wrapText="1"/>
      <protection hidden="1"/>
    </xf>
    <xf numFmtId="0" fontId="5" fillId="0" borderId="69" xfId="0" applyFont="1" applyBorder="1" applyAlignment="1" applyProtection="1">
      <alignment horizontal="left" vertical="top" wrapText="1"/>
      <protection hidden="1"/>
    </xf>
    <xf numFmtId="0" fontId="5" fillId="0" borderId="70" xfId="0" applyFont="1" applyBorder="1" applyAlignment="1" applyProtection="1">
      <alignment horizontal="left" vertical="top" wrapText="1"/>
      <protection hidden="1"/>
    </xf>
    <xf numFmtId="179" fontId="1" fillId="0" borderId="22" xfId="0" applyNumberFormat="1" applyFont="1" applyBorder="1" applyAlignment="1" applyProtection="1">
      <alignment horizontal="center" vertical="center"/>
      <protection locked="0" hidden="1"/>
    </xf>
    <xf numFmtId="0" fontId="4" fillId="2" borderId="75" xfId="0" applyFont="1" applyFill="1" applyBorder="1" applyAlignment="1">
      <alignment horizontal="center" vertical="center"/>
    </xf>
    <xf numFmtId="0" fontId="4" fillId="2" borderId="76" xfId="0" applyFont="1" applyFill="1" applyBorder="1" applyAlignment="1">
      <alignment horizontal="center" vertical="center"/>
    </xf>
    <xf numFmtId="0" fontId="4" fillId="2" borderId="77" xfId="0" applyFont="1" applyFill="1" applyBorder="1" applyAlignment="1">
      <alignment horizontal="center" vertical="center"/>
    </xf>
    <xf numFmtId="0" fontId="12" fillId="0" borderId="0" xfId="1" applyFont="1" applyBorder="1" applyAlignment="1" applyProtection="1">
      <alignment horizontal="center" vertical="center"/>
      <protection locked="0" hidden="1"/>
    </xf>
    <xf numFmtId="0" fontId="1" fillId="0" borderId="86" xfId="0" applyFont="1" applyBorder="1" applyAlignment="1" applyProtection="1">
      <alignment horizontal="left" vertical="center"/>
      <protection locked="0"/>
    </xf>
    <xf numFmtId="0" fontId="1" fillId="0" borderId="89" xfId="0" applyFont="1" applyBorder="1" applyAlignment="1" applyProtection="1">
      <alignment horizontal="left" vertical="center"/>
      <protection locked="0"/>
    </xf>
    <xf numFmtId="0" fontId="1" fillId="0" borderId="102" xfId="0" applyFont="1" applyBorder="1" applyAlignment="1" applyProtection="1">
      <alignment horizontal="left" vertical="center"/>
      <protection locked="0"/>
    </xf>
    <xf numFmtId="0" fontId="1" fillId="3" borderId="86" xfId="0" applyFont="1" applyFill="1" applyBorder="1" applyAlignment="1">
      <alignment horizontal="center" vertical="center"/>
    </xf>
    <xf numFmtId="0" fontId="1" fillId="3" borderId="87" xfId="0" applyFont="1" applyFill="1" applyBorder="1" applyAlignment="1">
      <alignment horizontal="center" vertical="center"/>
    </xf>
    <xf numFmtId="0" fontId="65" fillId="5" borderId="49" xfId="0" applyNumberFormat="1" applyFont="1" applyFill="1" applyBorder="1" applyAlignment="1" applyProtection="1">
      <alignment horizontal="left" vertical="top"/>
      <protection locked="0"/>
    </xf>
    <xf numFmtId="0" fontId="5" fillId="5" borderId="52" xfId="0" applyNumberFormat="1" applyFont="1" applyFill="1" applyBorder="1" applyAlignment="1" applyProtection="1">
      <alignment horizontal="left" vertical="top"/>
      <protection locked="0"/>
    </xf>
    <xf numFmtId="0" fontId="5" fillId="0" borderId="51" xfId="0" applyFont="1" applyBorder="1" applyAlignment="1">
      <alignment horizontal="left" vertical="center" wrapText="1"/>
    </xf>
    <xf numFmtId="0" fontId="11" fillId="0" borderId="82" xfId="0" applyFont="1" applyBorder="1" applyAlignment="1">
      <alignment horizontal="left" vertical="center" wrapText="1"/>
    </xf>
    <xf numFmtId="0" fontId="11" fillId="0" borderId="52" xfId="0" applyFont="1" applyBorder="1" applyAlignment="1">
      <alignment horizontal="left" vertical="center" wrapText="1"/>
    </xf>
    <xf numFmtId="0" fontId="65" fillId="3" borderId="49" xfId="0" applyNumberFormat="1" applyFont="1" applyFill="1" applyBorder="1" applyAlignment="1" applyProtection="1">
      <alignment horizontal="left" vertical="top"/>
      <protection locked="0"/>
    </xf>
    <xf numFmtId="0" fontId="5" fillId="3" borderId="52" xfId="0" applyNumberFormat="1" applyFont="1" applyFill="1" applyBorder="1" applyAlignment="1" applyProtection="1">
      <alignment horizontal="left" vertical="top"/>
      <protection locked="0"/>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8" xfId="0" applyFont="1" applyFill="1" applyBorder="1" applyAlignment="1" applyProtection="1">
      <alignment horizontal="center" vertical="center"/>
      <protection locked="0"/>
    </xf>
    <xf numFmtId="0" fontId="5" fillId="3" borderId="29" xfId="0" applyFont="1" applyFill="1" applyBorder="1" applyAlignment="1" applyProtection="1">
      <alignment horizontal="center" vertical="center"/>
      <protection locked="0"/>
    </xf>
    <xf numFmtId="0" fontId="5" fillId="0" borderId="56" xfId="0" applyFont="1" applyBorder="1" applyAlignment="1">
      <alignment horizontal="center" vertical="center"/>
    </xf>
    <xf numFmtId="0" fontId="5" fillId="0" borderId="97" xfId="0" applyFont="1" applyBorder="1" applyAlignment="1">
      <alignment horizontal="center" vertical="center"/>
    </xf>
    <xf numFmtId="0" fontId="2" fillId="0" borderId="8" xfId="0" applyFont="1" applyBorder="1" applyAlignment="1" applyProtection="1">
      <alignment horizontal="center" vertical="center"/>
      <protection locked="0"/>
    </xf>
    <xf numFmtId="0" fontId="1" fillId="0" borderId="0" xfId="0" applyFont="1" applyBorder="1" applyAlignment="1" applyProtection="1">
      <alignment horizontal="center" vertical="center"/>
      <protection locked="0"/>
    </xf>
    <xf numFmtId="0" fontId="1" fillId="3" borderId="78" xfId="0" applyNumberFormat="1" applyFont="1" applyFill="1" applyBorder="1" applyAlignment="1" applyProtection="1">
      <alignment horizontal="left" vertical="top" wrapText="1"/>
      <protection locked="0"/>
    </xf>
    <xf numFmtId="0" fontId="1" fillId="3" borderId="79" xfId="0" applyNumberFormat="1" applyFont="1" applyFill="1" applyBorder="1" applyAlignment="1" applyProtection="1">
      <alignment horizontal="left" vertical="top" wrapText="1"/>
      <protection locked="0"/>
    </xf>
    <xf numFmtId="0" fontId="1" fillId="3" borderId="81" xfId="0" applyNumberFormat="1" applyFont="1" applyFill="1" applyBorder="1" applyAlignment="1" applyProtection="1">
      <alignment horizontal="left" vertical="top" wrapText="1"/>
      <protection locked="0"/>
    </xf>
    <xf numFmtId="0" fontId="1" fillId="3" borderId="104" xfId="0" applyNumberFormat="1" applyFont="1" applyFill="1" applyBorder="1" applyAlignment="1" applyProtection="1">
      <alignment horizontal="left" vertical="top" wrapText="1"/>
      <protection locked="0"/>
    </xf>
    <xf numFmtId="0" fontId="1" fillId="3" borderId="92" xfId="0" applyNumberFormat="1" applyFont="1" applyFill="1" applyBorder="1" applyAlignment="1" applyProtection="1">
      <alignment horizontal="left" vertical="top" wrapText="1"/>
      <protection locked="0"/>
    </xf>
    <xf numFmtId="0" fontId="1" fillId="3" borderId="93" xfId="0" applyNumberFormat="1" applyFont="1" applyFill="1" applyBorder="1" applyAlignment="1" applyProtection="1">
      <alignment horizontal="left" vertical="top" wrapText="1"/>
      <protection locked="0"/>
    </xf>
    <xf numFmtId="0" fontId="1" fillId="3" borderId="49" xfId="0" applyFont="1" applyFill="1" applyBorder="1" applyAlignment="1">
      <alignment horizontal="center" vertical="center"/>
    </xf>
    <xf numFmtId="0" fontId="1" fillId="3" borderId="50" xfId="0" applyFont="1" applyFill="1" applyBorder="1" applyAlignment="1">
      <alignment horizontal="center" vertical="center"/>
    </xf>
    <xf numFmtId="0" fontId="65" fillId="3" borderId="49" xfId="0" applyNumberFormat="1" applyFont="1" applyFill="1" applyBorder="1" applyAlignment="1" applyProtection="1">
      <alignment horizontal="left" vertical="center"/>
      <protection locked="0"/>
    </xf>
    <xf numFmtId="0" fontId="5" fillId="3" borderId="82" xfId="0" applyNumberFormat="1" applyFont="1" applyFill="1" applyBorder="1" applyAlignment="1" applyProtection="1">
      <alignment horizontal="left" vertical="center"/>
      <protection locked="0"/>
    </xf>
    <xf numFmtId="0" fontId="5" fillId="3" borderId="52" xfId="0" applyNumberFormat="1" applyFont="1" applyFill="1" applyBorder="1" applyAlignment="1" applyProtection="1">
      <alignment horizontal="left" vertical="center"/>
      <protection locked="0"/>
    </xf>
    <xf numFmtId="0" fontId="5" fillId="0" borderId="69" xfId="0" applyFont="1" applyBorder="1" applyAlignment="1" applyProtection="1">
      <alignment horizontal="center" vertical="center"/>
      <protection locked="0"/>
    </xf>
    <xf numFmtId="0" fontId="5" fillId="0" borderId="98" xfId="0" applyFont="1" applyBorder="1" applyAlignment="1" applyProtection="1">
      <alignment horizontal="center" vertical="center"/>
      <protection locked="0"/>
    </xf>
    <xf numFmtId="0" fontId="5" fillId="0" borderId="27" xfId="0" applyNumberFormat="1" applyFont="1" applyBorder="1" applyAlignment="1" applyProtection="1">
      <alignment horizontal="center" vertical="center"/>
      <protection locked="0"/>
    </xf>
    <xf numFmtId="0" fontId="5" fillId="0" borderId="49" xfId="0" applyFont="1" applyBorder="1" applyAlignment="1">
      <alignment horizontal="center" vertical="center"/>
    </xf>
    <xf numFmtId="0" fontId="5" fillId="0" borderId="50" xfId="0" applyFont="1" applyBorder="1" applyAlignment="1">
      <alignment horizontal="center" vertical="center"/>
    </xf>
    <xf numFmtId="0" fontId="1" fillId="0" borderId="0" xfId="0" applyFont="1" applyBorder="1" applyAlignment="1">
      <alignment horizontal="right" vertical="center"/>
    </xf>
    <xf numFmtId="177" fontId="1" fillId="4" borderId="41" xfId="0" applyNumberFormat="1" applyFont="1" applyFill="1" applyBorder="1" applyAlignment="1">
      <alignment horizontal="left" vertical="center"/>
    </xf>
    <xf numFmtId="177" fontId="1" fillId="4" borderId="43" xfId="0" applyNumberFormat="1" applyFont="1" applyFill="1" applyBorder="1" applyAlignment="1">
      <alignment horizontal="left" vertical="center"/>
    </xf>
    <xf numFmtId="0" fontId="1" fillId="4" borderId="22" xfId="0" applyFont="1" applyFill="1" applyBorder="1" applyAlignment="1">
      <alignment horizontal="center" vertical="center"/>
    </xf>
    <xf numFmtId="0" fontId="1" fillId="4" borderId="44" xfId="0" applyFont="1" applyFill="1" applyBorder="1" applyAlignment="1">
      <alignment horizontal="center" vertical="center"/>
    </xf>
    <xf numFmtId="0" fontId="1" fillId="3" borderId="7" xfId="0" applyFont="1" applyFill="1" applyBorder="1" applyAlignment="1">
      <alignment horizontal="center" vertical="center" wrapText="1"/>
    </xf>
    <xf numFmtId="0" fontId="1" fillId="3" borderId="38" xfId="0" applyFont="1" applyFill="1" applyBorder="1" applyAlignment="1">
      <alignment horizontal="center" vertical="center" wrapText="1"/>
    </xf>
    <xf numFmtId="0" fontId="5" fillId="0" borderId="88" xfId="0" applyFont="1" applyBorder="1" applyAlignment="1">
      <alignment horizontal="center" vertical="center"/>
    </xf>
    <xf numFmtId="0" fontId="5" fillId="0" borderId="89" xfId="0" applyFont="1" applyBorder="1" applyAlignment="1">
      <alignment horizontal="center" vertical="center"/>
    </xf>
    <xf numFmtId="0" fontId="5" fillId="0" borderId="102" xfId="0" applyFont="1" applyBorder="1" applyAlignment="1">
      <alignment horizontal="center" vertical="center"/>
    </xf>
    <xf numFmtId="49" fontId="5" fillId="0" borderId="86" xfId="0" applyNumberFormat="1" applyFont="1" applyFill="1" applyBorder="1" applyAlignment="1" applyProtection="1">
      <alignment horizontal="center" vertical="center"/>
      <protection locked="0"/>
    </xf>
    <xf numFmtId="49" fontId="5" fillId="0" borderId="89" xfId="0" applyNumberFormat="1" applyFont="1" applyFill="1" applyBorder="1" applyAlignment="1" applyProtection="1">
      <alignment horizontal="center" vertical="center"/>
      <protection locked="0"/>
    </xf>
    <xf numFmtId="49" fontId="5" fillId="0" borderId="102" xfId="0" applyNumberFormat="1" applyFont="1" applyFill="1" applyBorder="1" applyAlignment="1" applyProtection="1">
      <alignment horizontal="center" vertical="center"/>
      <protection locked="0"/>
    </xf>
    <xf numFmtId="0" fontId="5" fillId="0" borderId="82" xfId="0" applyFont="1" applyBorder="1" applyAlignment="1">
      <alignment horizontal="center" vertical="center"/>
    </xf>
    <xf numFmtId="49" fontId="5" fillId="0" borderId="49" xfId="0" applyNumberFormat="1" applyFont="1" applyFill="1" applyBorder="1" applyAlignment="1" applyProtection="1">
      <alignment horizontal="center" vertical="center"/>
      <protection locked="0"/>
    </xf>
    <xf numFmtId="49" fontId="5" fillId="0" borderId="82" xfId="0" applyNumberFormat="1" applyFont="1" applyFill="1" applyBorder="1" applyAlignment="1" applyProtection="1">
      <alignment horizontal="center" vertical="center"/>
      <protection locked="0"/>
    </xf>
    <xf numFmtId="49" fontId="5" fillId="0" borderId="52" xfId="0" applyNumberFormat="1" applyFont="1" applyFill="1" applyBorder="1" applyAlignment="1" applyProtection="1">
      <alignment horizontal="center" vertical="center"/>
      <protection locked="0"/>
    </xf>
    <xf numFmtId="49" fontId="1" fillId="3" borderId="49" xfId="0" applyNumberFormat="1" applyFont="1" applyFill="1" applyBorder="1" applyAlignment="1" applyProtection="1">
      <alignment horizontal="left" vertical="center" wrapText="1"/>
      <protection locked="0"/>
    </xf>
    <xf numFmtId="49" fontId="1" fillId="3" borderId="82" xfId="0" applyNumberFormat="1" applyFont="1" applyFill="1" applyBorder="1" applyAlignment="1" applyProtection="1">
      <alignment horizontal="left" vertical="center" wrapText="1"/>
      <protection locked="0"/>
    </xf>
    <xf numFmtId="49" fontId="1" fillId="3" borderId="52" xfId="0" applyNumberFormat="1" applyFont="1" applyFill="1" applyBorder="1" applyAlignment="1" applyProtection="1">
      <alignment horizontal="left" vertical="center" wrapText="1"/>
      <protection locked="0"/>
    </xf>
    <xf numFmtId="0" fontId="5" fillId="0" borderId="71" xfId="0" applyFont="1" applyBorder="1" applyAlignment="1">
      <alignment horizontal="center" vertical="center"/>
    </xf>
    <xf numFmtId="0" fontId="5" fillId="0" borderId="19" xfId="0" applyFont="1" applyBorder="1" applyAlignment="1">
      <alignment horizontal="center" vertical="center"/>
    </xf>
    <xf numFmtId="0" fontId="5" fillId="0" borderId="100" xfId="0" applyFont="1" applyBorder="1" applyAlignment="1">
      <alignment horizontal="center" vertical="center"/>
    </xf>
    <xf numFmtId="0" fontId="5" fillId="6" borderId="51" xfId="0" applyFont="1" applyFill="1" applyBorder="1" applyAlignment="1">
      <alignment horizontal="center" vertical="center"/>
    </xf>
    <xf numFmtId="0" fontId="5" fillId="6" borderId="82" xfId="0" applyFont="1" applyFill="1" applyBorder="1" applyAlignment="1">
      <alignment horizontal="center" vertical="center"/>
    </xf>
    <xf numFmtId="0" fontId="5" fillId="6" borderId="50" xfId="0" applyFont="1" applyFill="1" applyBorder="1" applyAlignment="1">
      <alignment horizontal="center" vertical="center"/>
    </xf>
    <xf numFmtId="0" fontId="9" fillId="0" borderId="22" xfId="0" applyNumberFormat="1" applyFont="1" applyBorder="1" applyAlignment="1">
      <alignment horizontal="center" vertical="center"/>
    </xf>
    <xf numFmtId="0" fontId="5" fillId="0" borderId="51" xfId="0" applyFont="1" applyBorder="1" applyAlignment="1">
      <alignment horizontal="center" vertical="center"/>
    </xf>
    <xf numFmtId="0" fontId="5" fillId="0" borderId="52" xfId="0" applyFont="1" applyBorder="1" applyAlignment="1">
      <alignment horizontal="center" vertical="center"/>
    </xf>
    <xf numFmtId="0" fontId="5" fillId="6" borderId="49" xfId="0" applyFont="1" applyFill="1" applyBorder="1" applyAlignment="1">
      <alignment horizontal="center" vertical="center"/>
    </xf>
    <xf numFmtId="0" fontId="5" fillId="0" borderId="0" xfId="0" applyFont="1" applyAlignment="1">
      <alignment horizontal="center" vertical="center"/>
    </xf>
    <xf numFmtId="0" fontId="1" fillId="3" borderId="16" xfId="0" applyFont="1" applyFill="1" applyBorder="1" applyAlignment="1">
      <alignment horizontal="center" vertical="center" wrapText="1"/>
    </xf>
    <xf numFmtId="0" fontId="1" fillId="0" borderId="13" xfId="0" applyFont="1" applyBorder="1" applyAlignment="1">
      <alignment horizontal="center"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1" fillId="4" borderId="23" xfId="0" applyFont="1" applyFill="1" applyBorder="1" applyAlignment="1">
      <alignment horizontal="center" vertical="center"/>
    </xf>
    <xf numFmtId="0" fontId="1" fillId="0" borderId="33" xfId="0" applyFont="1" applyBorder="1" applyAlignment="1">
      <alignment horizontal="center" vertical="center" wrapText="1"/>
    </xf>
    <xf numFmtId="0" fontId="1" fillId="0" borderId="0" xfId="0" applyFont="1" applyAlignment="1">
      <alignment horizontal="left" vertical="center"/>
    </xf>
    <xf numFmtId="0" fontId="1" fillId="0" borderId="66" xfId="0" applyFont="1" applyBorder="1" applyAlignment="1" applyProtection="1">
      <alignment horizontal="center" vertical="center"/>
      <protection hidden="1"/>
    </xf>
    <xf numFmtId="0" fontId="1" fillId="0" borderId="67" xfId="0" applyFont="1" applyBorder="1" applyAlignment="1" applyProtection="1">
      <alignment horizontal="center" vertical="center"/>
      <protection hidden="1"/>
    </xf>
    <xf numFmtId="0" fontId="5" fillId="6" borderId="21" xfId="0" applyNumberFormat="1" applyFont="1" applyFill="1" applyBorder="1" applyAlignment="1">
      <alignment horizontal="center" vertical="center"/>
    </xf>
    <xf numFmtId="0" fontId="1" fillId="3" borderId="22" xfId="0" applyFont="1" applyFill="1" applyBorder="1" applyAlignment="1" applyProtection="1">
      <alignment horizontal="center" vertical="center"/>
      <protection locked="0"/>
    </xf>
    <xf numFmtId="0" fontId="5" fillId="3" borderId="21" xfId="0" applyNumberFormat="1" applyFont="1" applyFill="1" applyBorder="1" applyAlignment="1" applyProtection="1">
      <alignment horizontal="center" vertical="center"/>
      <protection locked="0"/>
    </xf>
    <xf numFmtId="0" fontId="5" fillId="6" borderId="79" xfId="0" applyFont="1" applyFill="1" applyBorder="1" applyAlignment="1">
      <alignment horizontal="center" vertical="center"/>
    </xf>
    <xf numFmtId="0" fontId="5" fillId="6" borderId="81" xfId="0" applyFont="1" applyFill="1" applyBorder="1" applyAlignment="1">
      <alignment horizontal="center" vertical="center"/>
    </xf>
    <xf numFmtId="0" fontId="5" fillId="0" borderId="71" xfId="0" applyFont="1" applyBorder="1" applyAlignment="1">
      <alignment horizontal="left" vertical="center" wrapText="1"/>
    </xf>
    <xf numFmtId="0" fontId="5" fillId="0" borderId="56" xfId="0" applyFont="1" applyBorder="1" applyAlignment="1">
      <alignment horizontal="left" vertical="center" wrapText="1"/>
    </xf>
    <xf numFmtId="0" fontId="5" fillId="0" borderId="57" xfId="0" applyFont="1" applyBorder="1" applyAlignment="1">
      <alignment horizontal="left" vertical="center" wrapText="1"/>
    </xf>
    <xf numFmtId="0" fontId="5" fillId="0" borderId="66" xfId="0" applyFont="1" applyBorder="1" applyAlignment="1">
      <alignment horizontal="left" vertical="center" wrapText="1"/>
    </xf>
    <xf numFmtId="0" fontId="5" fillId="0" borderId="69" xfId="0" applyFont="1" applyBorder="1" applyAlignment="1">
      <alignment horizontal="left" vertical="center" wrapText="1"/>
    </xf>
    <xf numFmtId="0" fontId="5" fillId="0" borderId="70" xfId="0" applyFont="1" applyBorder="1" applyAlignment="1">
      <alignment horizontal="left" vertical="center" wrapText="1"/>
    </xf>
    <xf numFmtId="0" fontId="5" fillId="3" borderId="13" xfId="0" applyFont="1" applyFill="1" applyBorder="1" applyAlignment="1">
      <alignment horizontal="center" vertical="center" wrapText="1"/>
    </xf>
    <xf numFmtId="0" fontId="5" fillId="3" borderId="88" xfId="0" applyFont="1" applyFill="1" applyBorder="1" applyAlignment="1" applyProtection="1">
      <alignment horizontal="center" vertical="center" wrapText="1"/>
      <protection locked="0"/>
    </xf>
    <xf numFmtId="0" fontId="5" fillId="3" borderId="89" xfId="0" applyFont="1" applyFill="1" applyBorder="1" applyAlignment="1" applyProtection="1">
      <alignment horizontal="center" vertical="center" wrapText="1"/>
      <protection locked="0"/>
    </xf>
    <xf numFmtId="0" fontId="5" fillId="3" borderId="90" xfId="0" applyFont="1" applyFill="1" applyBorder="1" applyAlignment="1" applyProtection="1">
      <alignment horizontal="center" vertical="center" wrapText="1"/>
      <protection locked="0"/>
    </xf>
    <xf numFmtId="14" fontId="1" fillId="0" borderId="0" xfId="0" applyNumberFormat="1" applyFont="1" applyBorder="1" applyAlignment="1" applyProtection="1">
      <alignment horizontal="center" vertical="center"/>
      <protection locked="0"/>
    </xf>
    <xf numFmtId="0" fontId="1" fillId="3" borderId="8" xfId="0" applyFont="1" applyFill="1" applyBorder="1" applyAlignment="1" applyProtection="1">
      <alignment horizontal="right" vertical="center"/>
      <protection locked="0"/>
    </xf>
    <xf numFmtId="0" fontId="1" fillId="3" borderId="39" xfId="0" applyFont="1" applyFill="1" applyBorder="1" applyAlignment="1" applyProtection="1">
      <alignment horizontal="right" vertical="center"/>
      <protection locked="0"/>
    </xf>
    <xf numFmtId="0" fontId="8" fillId="0" borderId="71" xfId="0" applyFont="1" applyBorder="1" applyAlignment="1" applyProtection="1">
      <alignment horizontal="left" vertical="top" wrapText="1"/>
      <protection locked="0" hidden="1"/>
    </xf>
    <xf numFmtId="0" fontId="8" fillId="0" borderId="56" xfId="0" applyFont="1" applyBorder="1" applyAlignment="1" applyProtection="1">
      <alignment horizontal="left" vertical="top" wrapText="1"/>
      <protection locked="0" hidden="1"/>
    </xf>
    <xf numFmtId="0" fontId="8" fillId="0" borderId="57" xfId="0" applyFont="1" applyBorder="1" applyAlignment="1" applyProtection="1">
      <alignment horizontal="left" vertical="top" wrapText="1"/>
      <protection locked="0" hidden="1"/>
    </xf>
    <xf numFmtId="0" fontId="8" fillId="0" borderId="19" xfId="0" applyFont="1" applyBorder="1" applyAlignment="1" applyProtection="1">
      <alignment horizontal="left" vertical="top" wrapText="1"/>
      <protection locked="0" hidden="1"/>
    </xf>
    <xf numFmtId="0" fontId="8" fillId="0" borderId="0" xfId="0" applyFont="1" applyBorder="1" applyAlignment="1" applyProtection="1">
      <alignment horizontal="left" vertical="top" wrapText="1"/>
      <protection locked="0" hidden="1"/>
    </xf>
    <xf numFmtId="0" fontId="8" fillId="0" borderId="20" xfId="0" applyFont="1" applyBorder="1" applyAlignment="1" applyProtection="1">
      <alignment horizontal="left" vertical="top" wrapText="1"/>
      <protection locked="0" hidden="1"/>
    </xf>
    <xf numFmtId="0" fontId="8" fillId="0" borderId="38" xfId="0" applyFont="1" applyBorder="1" applyAlignment="1" applyProtection="1">
      <alignment horizontal="left" vertical="top" wrapText="1"/>
      <protection locked="0" hidden="1"/>
    </xf>
    <xf numFmtId="0" fontId="8" fillId="0" borderId="39" xfId="0" applyFont="1" applyBorder="1" applyAlignment="1" applyProtection="1">
      <alignment horizontal="left" vertical="top" wrapText="1"/>
      <protection locked="0" hidden="1"/>
    </xf>
    <xf numFmtId="0" fontId="8" fillId="0" borderId="40" xfId="0" applyFont="1" applyBorder="1" applyAlignment="1" applyProtection="1">
      <alignment horizontal="left" vertical="top" wrapText="1"/>
      <protection locked="0" hidden="1"/>
    </xf>
    <xf numFmtId="0" fontId="5" fillId="0" borderId="71" xfId="0" applyFont="1" applyBorder="1" applyAlignment="1">
      <alignment horizontal="center" vertical="center" wrapText="1"/>
    </xf>
    <xf numFmtId="0" fontId="5" fillId="0" borderId="97" xfId="0" applyFont="1" applyBorder="1" applyAlignment="1">
      <alignment horizontal="center" vertical="center" wrapText="1"/>
    </xf>
    <xf numFmtId="0" fontId="5" fillId="0" borderId="66" xfId="0" applyFont="1" applyBorder="1" applyAlignment="1">
      <alignment horizontal="center" vertical="center" wrapText="1"/>
    </xf>
    <xf numFmtId="0" fontId="5" fillId="0" borderId="98" xfId="0" applyFont="1" applyBorder="1" applyAlignment="1">
      <alignment horizontal="center" vertical="center" wrapText="1"/>
    </xf>
    <xf numFmtId="0" fontId="5" fillId="0" borderId="22" xfId="0" applyFont="1" applyFill="1" applyBorder="1" applyAlignment="1">
      <alignment horizontal="center" vertical="center"/>
    </xf>
    <xf numFmtId="0" fontId="5" fillId="0" borderId="23" xfId="0" applyFont="1" applyFill="1" applyBorder="1" applyAlignment="1">
      <alignment horizontal="center" vertical="center"/>
    </xf>
    <xf numFmtId="0" fontId="5" fillId="3" borderId="27" xfId="0" applyFont="1" applyFill="1" applyBorder="1" applyAlignment="1">
      <alignment horizontal="center" vertical="center" wrapText="1"/>
    </xf>
    <xf numFmtId="0" fontId="5" fillId="3" borderId="28" xfId="0" applyFont="1" applyFill="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103" xfId="0" applyFont="1" applyBorder="1" applyAlignment="1">
      <alignment horizontal="center" vertical="center" wrapText="1"/>
    </xf>
    <xf numFmtId="0" fontId="1" fillId="6" borderId="51" xfId="0" applyFont="1" applyFill="1" applyBorder="1" applyAlignment="1" applyProtection="1">
      <alignment horizontal="center" vertical="center" wrapText="1"/>
      <protection locked="0"/>
    </xf>
    <xf numFmtId="0" fontId="1" fillId="6" borderId="78" xfId="0" applyFont="1" applyFill="1" applyBorder="1" applyAlignment="1">
      <alignment horizontal="center" vertical="center"/>
    </xf>
    <xf numFmtId="0" fontId="1" fillId="6" borderId="79" xfId="0" applyFont="1" applyFill="1" applyBorder="1" applyAlignment="1">
      <alignment horizontal="center" vertical="center"/>
    </xf>
    <xf numFmtId="0" fontId="1" fillId="6" borderId="80" xfId="0" applyFont="1" applyFill="1" applyBorder="1" applyAlignment="1">
      <alignment horizontal="center" vertical="center"/>
    </xf>
    <xf numFmtId="0" fontId="5" fillId="3" borderId="52" xfId="0" applyNumberFormat="1" applyFont="1" applyFill="1" applyBorder="1" applyAlignment="1" applyProtection="1">
      <alignment horizontal="center" vertical="center" wrapText="1"/>
      <protection locked="0" hidden="1"/>
    </xf>
    <xf numFmtId="0" fontId="5" fillId="3" borderId="49" xfId="0" applyNumberFormat="1" applyFont="1" applyFill="1" applyBorder="1" applyAlignment="1" applyProtection="1">
      <alignment horizontal="center" vertical="center" wrapText="1"/>
      <protection locked="0" hidden="1"/>
    </xf>
    <xf numFmtId="0" fontId="1" fillId="0" borderId="0" xfId="0" applyFont="1" applyBorder="1" applyAlignment="1" applyProtection="1">
      <alignment horizontal="left" vertical="top" wrapText="1"/>
      <protection hidden="1"/>
    </xf>
    <xf numFmtId="0" fontId="1" fillId="3" borderId="53" xfId="0" applyNumberFormat="1" applyFont="1" applyFill="1" applyBorder="1" applyAlignment="1" applyProtection="1">
      <alignment horizontal="center" vertical="center"/>
      <protection hidden="1"/>
    </xf>
    <xf numFmtId="0" fontId="1" fillId="3" borderId="54" xfId="0" applyNumberFormat="1" applyFont="1" applyFill="1" applyBorder="1" applyAlignment="1" applyProtection="1">
      <alignment horizontal="center" vertical="center"/>
      <protection hidden="1"/>
    </xf>
    <xf numFmtId="0" fontId="1" fillId="3" borderId="58" xfId="0" applyNumberFormat="1" applyFont="1" applyFill="1" applyBorder="1" applyAlignment="1" applyProtection="1">
      <alignment horizontal="center" vertical="center"/>
      <protection hidden="1"/>
    </xf>
    <xf numFmtId="0" fontId="1" fillId="3" borderId="59" xfId="0" applyNumberFormat="1" applyFont="1" applyFill="1" applyBorder="1" applyAlignment="1" applyProtection="1">
      <alignment horizontal="center" vertical="center"/>
      <protection hidden="1"/>
    </xf>
    <xf numFmtId="0" fontId="1" fillId="3" borderId="73" xfId="0" applyNumberFormat="1" applyFont="1" applyFill="1" applyBorder="1" applyAlignment="1" applyProtection="1">
      <alignment horizontal="left" vertical="top"/>
      <protection locked="0"/>
    </xf>
    <xf numFmtId="0" fontId="1" fillId="3" borderId="36" xfId="0" applyNumberFormat="1" applyFont="1" applyFill="1" applyBorder="1" applyAlignment="1" applyProtection="1">
      <alignment horizontal="left" vertical="top"/>
      <protection locked="0"/>
    </xf>
    <xf numFmtId="0" fontId="1" fillId="3" borderId="74" xfId="0" applyNumberFormat="1" applyFont="1" applyFill="1" applyBorder="1" applyAlignment="1" applyProtection="1">
      <alignment horizontal="left" vertical="top"/>
      <protection locked="0"/>
    </xf>
    <xf numFmtId="0" fontId="4" fillId="2" borderId="46" xfId="0" applyFont="1" applyFill="1" applyBorder="1" applyAlignment="1">
      <alignment horizontal="center" vertical="center" wrapText="1"/>
    </xf>
    <xf numFmtId="0" fontId="4" fillId="2" borderId="47" xfId="0" applyFont="1" applyFill="1" applyBorder="1" applyAlignment="1">
      <alignment horizontal="center" vertical="center" wrapText="1"/>
    </xf>
    <xf numFmtId="0" fontId="4" fillId="2" borderId="48" xfId="0" applyFont="1" applyFill="1" applyBorder="1" applyAlignment="1">
      <alignment horizontal="center" vertical="center" wrapText="1"/>
    </xf>
    <xf numFmtId="0" fontId="1" fillId="3" borderId="31" xfId="0" applyFont="1" applyFill="1" applyBorder="1" applyAlignment="1">
      <alignment horizontal="center" vertical="center"/>
    </xf>
    <xf numFmtId="0" fontId="1" fillId="3" borderId="28" xfId="0" applyFont="1" applyFill="1" applyBorder="1" applyAlignment="1">
      <alignment horizontal="center" vertical="center"/>
    </xf>
    <xf numFmtId="0" fontId="3" fillId="3" borderId="22" xfId="0" applyNumberFormat="1" applyFont="1" applyFill="1" applyBorder="1" applyAlignment="1" applyProtection="1">
      <alignment horizontal="center" vertical="center"/>
      <protection locked="0"/>
    </xf>
    <xf numFmtId="0" fontId="1" fillId="3" borderId="33" xfId="0" applyFont="1" applyFill="1" applyBorder="1" applyAlignment="1">
      <alignment horizontal="center" vertical="center" wrapText="1"/>
    </xf>
    <xf numFmtId="177" fontId="1" fillId="3" borderId="41" xfId="0" applyNumberFormat="1" applyFont="1" applyFill="1" applyBorder="1" applyAlignment="1">
      <alignment horizontal="left" vertical="center"/>
    </xf>
    <xf numFmtId="177" fontId="1" fillId="3" borderId="43" xfId="0" applyNumberFormat="1" applyFont="1" applyFill="1" applyBorder="1" applyAlignment="1">
      <alignment horizontal="left" vertical="center"/>
    </xf>
    <xf numFmtId="0" fontId="1" fillId="3" borderId="14"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64" fillId="0" borderId="11"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 fillId="0" borderId="12" xfId="0" applyFont="1" applyBorder="1" applyAlignment="1" applyProtection="1">
      <alignment horizontal="center" vertical="center"/>
      <protection locked="0"/>
    </xf>
    <xf numFmtId="0" fontId="1" fillId="3" borderId="17" xfId="0" applyFont="1" applyFill="1" applyBorder="1" applyAlignment="1" applyProtection="1">
      <alignment horizontal="center" vertical="center" wrapText="1"/>
      <protection locked="0"/>
    </xf>
    <xf numFmtId="1" fontId="1" fillId="3" borderId="8" xfId="0" applyNumberFormat="1" applyFont="1" applyFill="1" applyBorder="1" applyAlignment="1" applyProtection="1">
      <alignment horizontal="right" vertical="center" wrapText="1"/>
      <protection locked="0"/>
    </xf>
    <xf numFmtId="1" fontId="1" fillId="3" borderId="39" xfId="0" applyNumberFormat="1" applyFont="1" applyFill="1" applyBorder="1" applyAlignment="1" applyProtection="1">
      <alignment horizontal="right" vertical="center" wrapText="1"/>
      <protection locked="0"/>
    </xf>
    <xf numFmtId="0" fontId="4" fillId="0" borderId="0" xfId="0" applyFont="1" applyBorder="1" applyAlignment="1" applyProtection="1">
      <alignment horizontal="center" vertical="center"/>
      <protection locked="0"/>
    </xf>
    <xf numFmtId="0" fontId="1" fillId="6" borderId="52" xfId="0" applyFont="1" applyFill="1" applyBorder="1" applyAlignment="1" applyProtection="1">
      <alignment horizontal="center" vertical="center" wrapText="1"/>
      <protection locked="0"/>
    </xf>
    <xf numFmtId="0" fontId="1" fillId="0" borderId="105" xfId="0" applyFont="1" applyBorder="1" applyAlignment="1">
      <alignment horizontal="center" vertical="center" textRotation="255"/>
    </xf>
    <xf numFmtId="0" fontId="1" fillId="0" borderId="20" xfId="0" applyFont="1" applyBorder="1" applyAlignment="1">
      <alignment horizontal="center" vertical="center" textRotation="255"/>
    </xf>
    <xf numFmtId="0" fontId="1" fillId="0" borderId="106" xfId="0" applyFont="1" applyBorder="1" applyAlignment="1">
      <alignment horizontal="center" vertical="center" textRotation="255"/>
    </xf>
    <xf numFmtId="0" fontId="4" fillId="2" borderId="7" xfId="0" applyFont="1" applyFill="1" applyBorder="1" applyAlignment="1">
      <alignment horizontal="center" vertical="center"/>
    </xf>
    <xf numFmtId="0" fontId="4" fillId="2" borderId="9" xfId="0" applyFont="1" applyFill="1" applyBorder="1" applyAlignment="1">
      <alignment horizontal="center" vertical="center"/>
    </xf>
    <xf numFmtId="0" fontId="13" fillId="3" borderId="0" xfId="0" applyFont="1" applyFill="1" applyBorder="1" applyAlignment="1" applyProtection="1">
      <alignment horizontal="left" vertical="center" wrapText="1"/>
      <protection locked="0"/>
    </xf>
    <xf numFmtId="0" fontId="15" fillId="2" borderId="8" xfId="0" applyFont="1" applyFill="1" applyBorder="1" applyAlignment="1">
      <alignment horizontal="center" vertical="center" wrapText="1"/>
    </xf>
    <xf numFmtId="0" fontId="13" fillId="0" borderId="0" xfId="0" applyFont="1" applyBorder="1" applyAlignment="1" applyProtection="1">
      <alignment horizontal="left" vertical="center" wrapText="1"/>
      <protection locked="0"/>
    </xf>
    <xf numFmtId="0" fontId="13" fillId="0" borderId="0" xfId="0" applyFont="1" applyBorder="1" applyAlignment="1" applyProtection="1">
      <alignment horizontal="center" vertical="center" wrapText="1"/>
      <protection locked="0"/>
    </xf>
    <xf numFmtId="0" fontId="17" fillId="7" borderId="110" xfId="2" applyFont="1" applyBorder="1" applyAlignment="1">
      <alignment horizontal="center" vertical="center" wrapText="1"/>
      <protection locked="0"/>
    </xf>
    <xf numFmtId="0" fontId="17" fillId="7" borderId="111" xfId="2" applyFont="1" applyBorder="1" applyAlignment="1">
      <alignment horizontal="center" vertical="center" wrapText="1"/>
      <protection locked="0"/>
    </xf>
    <xf numFmtId="0" fontId="13" fillId="0" borderId="117" xfId="0" applyFont="1" applyBorder="1" applyAlignment="1" applyProtection="1">
      <alignment horizontal="center" vertical="center" wrapText="1"/>
      <protection locked="0"/>
    </xf>
    <xf numFmtId="0" fontId="13" fillId="0" borderId="118" xfId="0" applyFont="1" applyBorder="1" applyAlignment="1" applyProtection="1">
      <alignment horizontal="center" vertical="center" wrapText="1"/>
      <protection locked="0"/>
    </xf>
    <xf numFmtId="0" fontId="13" fillId="0" borderId="115" xfId="0" applyFont="1" applyBorder="1" applyAlignment="1" applyProtection="1">
      <alignment horizontal="center" vertical="center" wrapText="1"/>
      <protection locked="0"/>
    </xf>
    <xf numFmtId="0" fontId="13" fillId="0" borderId="116" xfId="0" applyFont="1" applyBorder="1" applyAlignment="1" applyProtection="1">
      <alignment horizontal="center" vertical="center" wrapText="1"/>
      <protection locked="0"/>
    </xf>
    <xf numFmtId="0" fontId="16" fillId="0" borderId="0" xfId="0" applyFont="1" applyBorder="1" applyAlignment="1">
      <alignment horizontal="center" vertical="center" wrapText="1"/>
    </xf>
    <xf numFmtId="0" fontId="16" fillId="0" borderId="20" xfId="0" applyFont="1" applyBorder="1" applyAlignment="1">
      <alignment horizontal="center" vertical="center" wrapText="1"/>
    </xf>
    <xf numFmtId="0" fontId="15" fillId="2" borderId="7"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3" fillId="0" borderId="113" xfId="0" applyFont="1" applyBorder="1" applyAlignment="1" applyProtection="1">
      <alignment horizontal="center" vertical="center" wrapText="1"/>
      <protection locked="0"/>
    </xf>
    <xf numFmtId="0" fontId="13" fillId="0" borderId="114" xfId="0" applyFont="1" applyBorder="1" applyAlignment="1" applyProtection="1">
      <alignment horizontal="center" vertical="center" wrapText="1"/>
      <protection locked="0"/>
    </xf>
    <xf numFmtId="0" fontId="16" fillId="0" borderId="109" xfId="0" applyFont="1" applyBorder="1" applyAlignment="1">
      <alignment horizontal="center" vertical="center" wrapText="1" readingOrder="1"/>
    </xf>
    <xf numFmtId="0" fontId="13" fillId="3" borderId="39" xfId="0" applyFont="1" applyFill="1" applyBorder="1" applyAlignment="1" applyProtection="1">
      <alignment horizontal="left" vertical="center" wrapText="1"/>
      <protection locked="0"/>
    </xf>
    <xf numFmtId="0" fontId="20" fillId="0" borderId="0" xfId="0" applyFont="1" applyBorder="1" applyAlignment="1" applyProtection="1">
      <alignment horizontal="center" vertical="center" textRotation="255" wrapText="1"/>
      <protection locked="0"/>
    </xf>
    <xf numFmtId="0" fontId="22" fillId="3" borderId="130" xfId="0" applyFont="1" applyFill="1" applyBorder="1" applyAlignment="1">
      <alignment horizontal="center" vertical="center" wrapText="1"/>
    </xf>
    <xf numFmtId="0" fontId="22" fillId="3" borderId="131" xfId="0" applyFont="1" applyFill="1" applyBorder="1" applyAlignment="1">
      <alignment horizontal="center" vertical="center" wrapText="1"/>
    </xf>
    <xf numFmtId="0" fontId="22" fillId="3" borderId="132" xfId="0" applyFont="1" applyFill="1" applyBorder="1" applyAlignment="1">
      <alignment horizontal="center" vertical="center" wrapText="1"/>
    </xf>
    <xf numFmtId="0" fontId="22" fillId="3" borderId="135" xfId="0" applyFont="1" applyFill="1" applyBorder="1" applyAlignment="1">
      <alignment horizontal="center" vertical="center" wrapText="1"/>
    </xf>
    <xf numFmtId="0" fontId="22" fillId="3" borderId="39" xfId="0" applyFont="1" applyFill="1" applyBorder="1" applyAlignment="1">
      <alignment horizontal="center" vertical="center" wrapText="1"/>
    </xf>
    <xf numFmtId="0" fontId="22" fillId="3" borderId="40" xfId="0" applyFont="1" applyFill="1" applyBorder="1" applyAlignment="1">
      <alignment horizontal="center" vertical="center" wrapText="1"/>
    </xf>
    <xf numFmtId="0" fontId="22" fillId="0" borderId="127" xfId="0" applyFont="1" applyBorder="1" applyAlignment="1">
      <alignment horizontal="center" vertical="center"/>
    </xf>
    <xf numFmtId="1" fontId="22" fillId="3" borderId="127" xfId="0" applyNumberFormat="1" applyFont="1" applyFill="1" applyBorder="1" applyAlignment="1">
      <alignment horizontal="center" vertical="center"/>
    </xf>
    <xf numFmtId="1" fontId="22" fillId="3" borderId="128" xfId="0" applyNumberFormat="1" applyFont="1" applyFill="1" applyBorder="1" applyAlignment="1">
      <alignment horizontal="center" vertical="center"/>
    </xf>
    <xf numFmtId="1" fontId="22" fillId="0" borderId="127" xfId="0" applyNumberFormat="1" applyFont="1" applyBorder="1" applyAlignment="1">
      <alignment horizontal="center" vertical="center"/>
    </xf>
    <xf numFmtId="0" fontId="22" fillId="0" borderId="127" xfId="0" applyFont="1" applyBorder="1" applyAlignment="1" applyProtection="1">
      <alignment horizontal="center" vertical="center"/>
      <protection locked="0" hidden="1"/>
    </xf>
    <xf numFmtId="0" fontId="22" fillId="0" borderId="127" xfId="0" applyFont="1" applyBorder="1" applyAlignment="1">
      <alignment horizontal="center" vertical="center" wrapText="1"/>
    </xf>
    <xf numFmtId="0" fontId="22" fillId="0" borderId="134" xfId="0" applyFont="1" applyBorder="1" applyAlignment="1">
      <alignment horizontal="center" vertical="center" wrapText="1"/>
    </xf>
    <xf numFmtId="1" fontId="22" fillId="0" borderId="134" xfId="0" applyNumberFormat="1" applyFont="1" applyBorder="1" applyAlignment="1">
      <alignment horizontal="center" vertical="center"/>
    </xf>
    <xf numFmtId="0" fontId="23" fillId="2" borderId="110" xfId="0" applyFont="1" applyFill="1" applyBorder="1" applyAlignment="1">
      <alignment horizontal="center" vertical="center"/>
    </xf>
    <xf numFmtId="0" fontId="23" fillId="2" borderId="125" xfId="0" applyFont="1" applyFill="1" applyBorder="1" applyAlignment="1">
      <alignment horizontal="center" vertical="center"/>
    </xf>
    <xf numFmtId="0" fontId="23" fillId="2" borderId="111" xfId="0" applyFont="1" applyFill="1" applyBorder="1" applyAlignment="1">
      <alignment horizontal="center" vertical="center"/>
    </xf>
    <xf numFmtId="0" fontId="22" fillId="3" borderId="127" xfId="0" applyFont="1" applyFill="1" applyBorder="1" applyAlignment="1">
      <alignment horizontal="center" vertical="center" wrapText="1"/>
    </xf>
    <xf numFmtId="0" fontId="22" fillId="0" borderId="134" xfId="0" applyFont="1" applyBorder="1" applyAlignment="1" applyProtection="1">
      <alignment horizontal="center" vertical="center"/>
      <protection locked="0" hidden="1"/>
    </xf>
    <xf numFmtId="0" fontId="22" fillId="3" borderId="134" xfId="0" applyFont="1" applyFill="1" applyBorder="1" applyAlignment="1">
      <alignment horizontal="center" vertical="center"/>
    </xf>
    <xf numFmtId="0" fontId="22" fillId="0" borderId="128" xfId="0" applyFont="1" applyBorder="1" applyAlignment="1" applyProtection="1">
      <alignment horizontal="center" vertical="center"/>
      <protection locked="0" hidden="1"/>
    </xf>
    <xf numFmtId="0" fontId="22" fillId="0" borderId="142" xfId="0" applyFont="1" applyBorder="1" applyAlignment="1" applyProtection="1">
      <alignment horizontal="center" vertical="center"/>
      <protection locked="0" hidden="1"/>
    </xf>
    <xf numFmtId="0" fontId="22" fillId="3" borderId="139" xfId="0" applyFont="1" applyFill="1" applyBorder="1" applyAlignment="1">
      <alignment horizontal="center" vertical="center"/>
    </xf>
    <xf numFmtId="0" fontId="22" fillId="3" borderId="140" xfId="0" applyFont="1" applyFill="1" applyBorder="1" applyAlignment="1">
      <alignment horizontal="center" vertical="center"/>
    </xf>
    <xf numFmtId="0" fontId="22" fillId="3" borderId="141" xfId="0" applyFont="1" applyFill="1" applyBorder="1" applyAlignment="1">
      <alignment horizontal="center" vertical="center"/>
    </xf>
    <xf numFmtId="0" fontId="21" fillId="2" borderId="122" xfId="0" applyFont="1" applyFill="1" applyBorder="1" applyAlignment="1">
      <alignment horizontal="center" vertical="center"/>
    </xf>
    <xf numFmtId="0" fontId="21" fillId="2" borderId="123" xfId="0" applyFont="1" applyFill="1" applyBorder="1" applyAlignment="1">
      <alignment horizontal="center" vertical="center"/>
    </xf>
    <xf numFmtId="0" fontId="21" fillId="2" borderId="124" xfId="0" applyFont="1" applyFill="1" applyBorder="1" applyAlignment="1">
      <alignment horizontal="center" vertical="center"/>
    </xf>
    <xf numFmtId="0" fontId="1" fillId="4" borderId="127"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9" xfId="0" applyFont="1" applyFill="1" applyBorder="1" applyAlignment="1">
      <alignment horizontal="center" vertical="center"/>
    </xf>
    <xf numFmtId="0" fontId="24" fillId="0" borderId="129" xfId="0" applyFont="1" applyBorder="1" applyAlignment="1">
      <alignment horizontal="center" vertical="center" wrapText="1"/>
    </xf>
    <xf numFmtId="0" fontId="24" fillId="0" borderId="114" xfId="0" applyFont="1" applyBorder="1" applyAlignment="1">
      <alignment horizontal="center" vertical="center" wrapText="1"/>
    </xf>
    <xf numFmtId="0" fontId="22" fillId="3" borderId="126" xfId="0" applyFont="1" applyFill="1" applyBorder="1" applyAlignment="1">
      <alignment horizontal="center" vertical="center" wrapText="1"/>
    </xf>
    <xf numFmtId="0" fontId="22" fillId="3" borderId="133" xfId="0" applyFont="1" applyFill="1" applyBorder="1" applyAlignment="1">
      <alignment horizontal="center" vertical="center" wrapText="1"/>
    </xf>
    <xf numFmtId="0" fontId="22" fillId="3" borderId="134" xfId="0" applyFont="1" applyFill="1" applyBorder="1" applyAlignment="1">
      <alignment horizontal="center" vertical="center" wrapText="1"/>
    </xf>
    <xf numFmtId="0" fontId="22" fillId="0" borderId="126" xfId="0" applyFont="1" applyBorder="1" applyAlignment="1">
      <alignment horizontal="center" vertical="center" wrapText="1"/>
    </xf>
    <xf numFmtId="0" fontId="22" fillId="3" borderId="127" xfId="0" applyFont="1" applyFill="1" applyBorder="1" applyAlignment="1" applyProtection="1">
      <alignment horizontal="center" vertical="center"/>
      <protection locked="0" hidden="1"/>
    </xf>
    <xf numFmtId="0" fontId="22" fillId="0" borderId="126" xfId="0" applyFont="1" applyBorder="1" applyAlignment="1" applyProtection="1">
      <alignment horizontal="center" vertical="center"/>
      <protection locked="0" hidden="1"/>
    </xf>
    <xf numFmtId="0" fontId="22" fillId="0" borderId="133" xfId="0" applyFont="1" applyBorder="1" applyAlignment="1" applyProtection="1">
      <alignment horizontal="center" vertical="center"/>
      <protection locked="0" hidden="1"/>
    </xf>
    <xf numFmtId="0" fontId="24" fillId="3" borderId="129" xfId="0" applyNumberFormat="1" applyFont="1" applyFill="1" applyBorder="1" applyAlignment="1">
      <alignment horizontal="center" vertical="center" wrapText="1"/>
    </xf>
    <xf numFmtId="0" fontId="24" fillId="3" borderId="114" xfId="0" applyNumberFormat="1" applyFont="1" applyFill="1" applyBorder="1" applyAlignment="1">
      <alignment horizontal="center" vertical="center" wrapText="1"/>
    </xf>
    <xf numFmtId="0" fontId="24" fillId="3" borderId="137" xfId="0" applyNumberFormat="1" applyFont="1" applyFill="1" applyBorder="1" applyAlignment="1">
      <alignment horizontal="center" vertical="center" wrapText="1"/>
    </xf>
    <xf numFmtId="0" fontId="24" fillId="3" borderId="138" xfId="0" applyNumberFormat="1" applyFont="1" applyFill="1" applyBorder="1" applyAlignment="1">
      <alignment horizontal="center" vertical="center" wrapText="1"/>
    </xf>
    <xf numFmtId="0" fontId="24" fillId="3" borderId="113" xfId="0" applyFont="1" applyFill="1" applyBorder="1" applyAlignment="1">
      <alignment horizontal="center" vertical="center" wrapText="1"/>
    </xf>
    <xf numFmtId="0" fontId="24" fillId="3" borderId="129" xfId="0" applyFont="1" applyFill="1" applyBorder="1" applyAlignment="1">
      <alignment horizontal="center" vertical="center" wrapText="1"/>
    </xf>
    <xf numFmtId="0" fontId="18" fillId="2" borderId="7" xfId="0" applyFont="1" applyFill="1" applyBorder="1" applyAlignment="1" applyProtection="1">
      <alignment horizontal="center" vertical="center"/>
      <protection locked="0" hidden="1"/>
    </xf>
    <xf numFmtId="0" fontId="25" fillId="2" borderId="9" xfId="0" applyFont="1" applyFill="1" applyBorder="1" applyAlignment="1" applyProtection="1">
      <alignment horizontal="center" vertical="center"/>
      <protection locked="0" hidden="1"/>
    </xf>
    <xf numFmtId="0" fontId="24" fillId="0" borderId="113" xfId="0" applyFont="1" applyBorder="1" applyAlignment="1">
      <alignment horizontal="center" vertical="center" wrapText="1"/>
    </xf>
    <xf numFmtId="0" fontId="24" fillId="0" borderId="137" xfId="0" applyFont="1" applyBorder="1" applyAlignment="1">
      <alignment horizontal="center" vertical="center" wrapText="1"/>
    </xf>
    <xf numFmtId="0" fontId="22" fillId="0" borderId="19" xfId="0" applyFont="1" applyBorder="1" applyAlignment="1" applyProtection="1">
      <alignment horizontal="center" vertical="center"/>
      <protection locked="0" hidden="1"/>
    </xf>
    <xf numFmtId="0" fontId="22" fillId="0" borderId="20" xfId="0" applyFont="1" applyBorder="1" applyAlignment="1" applyProtection="1">
      <alignment horizontal="center" vertical="center"/>
      <protection locked="0" hidden="1"/>
    </xf>
    <xf numFmtId="0" fontId="22" fillId="0" borderId="38" xfId="0" applyFont="1" applyBorder="1" applyAlignment="1" applyProtection="1">
      <alignment horizontal="center" vertical="center"/>
      <protection locked="0" hidden="1"/>
    </xf>
    <xf numFmtId="0" fontId="22" fillId="0" borderId="40" xfId="0" applyFont="1" applyBorder="1" applyAlignment="1" applyProtection="1">
      <alignment horizontal="center" vertical="center"/>
      <protection locked="0" hidden="1"/>
    </xf>
    <xf numFmtId="1" fontId="22" fillId="0" borderId="128" xfId="0" applyNumberFormat="1" applyFont="1" applyBorder="1" applyAlignment="1">
      <alignment horizontal="center" vertical="center"/>
    </xf>
    <xf numFmtId="0" fontId="1" fillId="4" borderId="128" xfId="0" applyFont="1" applyFill="1" applyBorder="1" applyAlignment="1">
      <alignment horizontal="center" vertical="center"/>
    </xf>
    <xf numFmtId="0" fontId="24" fillId="3" borderId="136" xfId="0" applyFont="1" applyFill="1" applyBorder="1" applyAlignment="1">
      <alignment horizontal="center" vertical="center" wrapText="1"/>
    </xf>
    <xf numFmtId="0" fontId="24" fillId="3" borderId="137" xfId="0" applyFont="1" applyFill="1" applyBorder="1" applyAlignment="1">
      <alignment horizontal="center" vertical="center" wrapText="1"/>
    </xf>
    <xf numFmtId="0" fontId="24" fillId="3" borderId="114" xfId="0" applyFont="1" applyFill="1" applyBorder="1" applyAlignment="1">
      <alignment horizontal="center" vertical="center" wrapText="1"/>
    </xf>
    <xf numFmtId="0" fontId="1" fillId="4" borderId="126" xfId="0" applyFont="1" applyFill="1" applyBorder="1" applyAlignment="1">
      <alignment horizontal="center" vertical="center"/>
    </xf>
    <xf numFmtId="0" fontId="22" fillId="3" borderId="134" xfId="0" applyFont="1" applyFill="1" applyBorder="1" applyAlignment="1" applyProtection="1">
      <alignment horizontal="center" vertical="center"/>
      <protection locked="0" hidden="1"/>
    </xf>
    <xf numFmtId="0" fontId="22" fillId="3" borderId="127" xfId="0" applyFont="1" applyFill="1" applyBorder="1" applyAlignment="1">
      <alignment horizontal="center" vertical="center"/>
    </xf>
    <xf numFmtId="0" fontId="22" fillId="3" borderId="127" xfId="0" applyFont="1" applyFill="1" applyBorder="1" applyAlignment="1" applyProtection="1">
      <alignment horizontal="center" vertical="center" wrapText="1"/>
      <protection locked="0" hidden="1"/>
    </xf>
    <xf numFmtId="0" fontId="26" fillId="0" borderId="39" xfId="3" applyFont="1" applyBorder="1" applyAlignment="1" applyProtection="1">
      <alignment horizontal="center" vertical="center"/>
    </xf>
    <xf numFmtId="0" fontId="32" fillId="5" borderId="143" xfId="0" applyFont="1" applyFill="1" applyBorder="1" applyAlignment="1">
      <alignment horizontal="center" vertical="center" wrapText="1"/>
    </xf>
    <xf numFmtId="0" fontId="6" fillId="2" borderId="146" xfId="0" applyFont="1" applyFill="1" applyBorder="1" applyAlignment="1" applyProtection="1">
      <alignment horizontal="center" vertical="center"/>
      <protection hidden="1"/>
    </xf>
    <xf numFmtId="0" fontId="6" fillId="2" borderId="147" xfId="0" applyFont="1" applyFill="1" applyBorder="1" applyAlignment="1" applyProtection="1">
      <alignment horizontal="center" vertical="center"/>
      <protection hidden="1"/>
    </xf>
    <xf numFmtId="0" fontId="31" fillId="0" borderId="144" xfId="0" applyFont="1" applyBorder="1" applyAlignment="1">
      <alignment horizontal="left" vertical="center" wrapText="1"/>
    </xf>
    <xf numFmtId="0" fontId="31" fillId="0" borderId="0" xfId="0" applyFont="1" applyAlignment="1">
      <alignment horizontal="left" vertical="center" wrapText="1"/>
    </xf>
    <xf numFmtId="0" fontId="6" fillId="2" borderId="146" xfId="0" applyFont="1" applyFill="1" applyBorder="1" applyAlignment="1" applyProtection="1">
      <alignment horizontal="center" vertical="center" wrapText="1"/>
      <protection locked="0"/>
    </xf>
    <xf numFmtId="0" fontId="6" fillId="2" borderId="147" xfId="0" applyFont="1" applyFill="1" applyBorder="1" applyAlignment="1" applyProtection="1">
      <alignment horizontal="center" vertical="center" wrapText="1"/>
      <protection locked="0"/>
    </xf>
    <xf numFmtId="0" fontId="6" fillId="2" borderId="146" xfId="0" applyFont="1" applyFill="1" applyBorder="1" applyAlignment="1" applyProtection="1">
      <alignment horizontal="center" vertical="center"/>
      <protection locked="0"/>
    </xf>
    <xf numFmtId="0" fontId="6" fillId="2" borderId="147" xfId="0" applyFont="1" applyFill="1" applyBorder="1" applyAlignment="1" applyProtection="1">
      <alignment horizontal="center" vertical="center"/>
      <protection locked="0"/>
    </xf>
    <xf numFmtId="0" fontId="33" fillId="0" borderId="165" xfId="0" applyFont="1" applyBorder="1" applyAlignment="1">
      <alignment horizontal="center" vertical="center" wrapText="1"/>
    </xf>
    <xf numFmtId="0" fontId="33" fillId="0" borderId="109" xfId="0" applyFont="1" applyBorder="1" applyAlignment="1">
      <alignment horizontal="center" vertical="center" wrapText="1"/>
    </xf>
    <xf numFmtId="0" fontId="33" fillId="0" borderId="166"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62" xfId="0" applyFont="1" applyBorder="1" applyAlignment="1">
      <alignment horizontal="center" vertical="center"/>
    </xf>
    <xf numFmtId="0" fontId="3" fillId="0" borderId="163" xfId="0" applyFont="1" applyBorder="1" applyAlignment="1">
      <alignment horizontal="center" vertical="center"/>
    </xf>
    <xf numFmtId="0" fontId="3" fillId="0" borderId="164" xfId="0" applyFont="1" applyBorder="1" applyAlignment="1">
      <alignment horizontal="center" vertical="center"/>
    </xf>
    <xf numFmtId="0" fontId="3" fillId="0" borderId="38" xfId="0" applyFont="1" applyBorder="1" applyAlignment="1">
      <alignment horizontal="left" vertical="center" wrapText="1"/>
    </xf>
    <xf numFmtId="0" fontId="3" fillId="0" borderId="39" xfId="0" applyFont="1" applyBorder="1" applyAlignment="1">
      <alignment horizontal="left" vertical="center" wrapText="1"/>
    </xf>
    <xf numFmtId="0" fontId="3" fillId="0" borderId="40" xfId="0" applyFont="1" applyBorder="1" applyAlignment="1">
      <alignment horizontal="left" vertical="center" wrapText="1"/>
    </xf>
    <xf numFmtId="0" fontId="3" fillId="0" borderId="19" xfId="0" applyFont="1" applyBorder="1" applyAlignment="1">
      <alignment horizontal="left" vertical="center" wrapText="1"/>
    </xf>
    <xf numFmtId="0" fontId="3" fillId="0" borderId="0" xfId="0" applyFont="1" applyBorder="1" applyAlignment="1">
      <alignment horizontal="left" vertical="center" wrapText="1"/>
    </xf>
    <xf numFmtId="0" fontId="3" fillId="0" borderId="20" xfId="0" applyFont="1" applyBorder="1" applyAlignment="1">
      <alignment horizontal="left" vertical="center" wrapText="1"/>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3" fillId="6" borderId="19" xfId="0" applyFont="1" applyFill="1" applyBorder="1" applyAlignment="1">
      <alignment horizontal="center" vertical="center" wrapText="1"/>
    </xf>
    <xf numFmtId="0" fontId="3" fillId="6" borderId="0" xfId="0" applyFont="1" applyFill="1" applyBorder="1" applyAlignment="1">
      <alignment horizontal="center" vertical="center" wrapText="1"/>
    </xf>
    <xf numFmtId="0" fontId="3" fillId="6" borderId="20"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6" borderId="9" xfId="0" applyFont="1" applyFill="1" applyBorder="1" applyAlignment="1">
      <alignment horizontal="center" vertical="center" wrapText="1"/>
    </xf>
    <xf numFmtId="0" fontId="21" fillId="2" borderId="167" xfId="0" applyFont="1" applyFill="1" applyBorder="1" applyAlignment="1" applyProtection="1">
      <alignment horizontal="center" vertical="center"/>
      <protection locked="0"/>
    </xf>
    <xf numFmtId="0" fontId="21" fillId="2" borderId="168" xfId="0" applyFont="1" applyFill="1" applyBorder="1" applyAlignment="1" applyProtection="1">
      <alignment horizontal="center" vertical="center"/>
      <protection locked="0"/>
    </xf>
    <xf numFmtId="0" fontId="21" fillId="2" borderId="176" xfId="0" applyFont="1" applyFill="1" applyBorder="1" applyAlignment="1" applyProtection="1">
      <alignment horizontal="center" vertical="center"/>
      <protection locked="0"/>
    </xf>
    <xf numFmtId="0" fontId="21" fillId="2" borderId="177" xfId="0" applyFont="1" applyFill="1" applyBorder="1" applyAlignment="1" applyProtection="1">
      <alignment horizontal="center" vertical="center"/>
      <protection locked="0"/>
    </xf>
    <xf numFmtId="0" fontId="48" fillId="0" borderId="206" xfId="0" applyFont="1" applyBorder="1" applyAlignment="1">
      <alignment horizontal="center" vertical="top" wrapText="1"/>
    </xf>
    <xf numFmtId="0" fontId="41" fillId="10" borderId="129" xfId="4" applyFont="1" applyBorder="1" applyAlignment="1" applyProtection="1">
      <alignment horizontal="left" vertical="center"/>
    </xf>
    <xf numFmtId="0" fontId="50" fillId="0" borderId="208" xfId="0" applyFont="1" applyBorder="1" applyAlignment="1">
      <alignment horizontal="left" vertical="top" wrapText="1"/>
    </xf>
    <xf numFmtId="0" fontId="50" fillId="0" borderId="200" xfId="0" applyFont="1" applyBorder="1" applyAlignment="1">
      <alignment horizontal="left" vertical="top"/>
    </xf>
    <xf numFmtId="0" fontId="50" fillId="0" borderId="211" xfId="0" applyFont="1" applyBorder="1" applyAlignment="1">
      <alignment horizontal="left" vertical="top"/>
    </xf>
    <xf numFmtId="0" fontId="52" fillId="0" borderId="208" xfId="0" applyFont="1" applyBorder="1" applyAlignment="1">
      <alignment horizontal="left" vertical="top" wrapText="1"/>
    </xf>
    <xf numFmtId="0" fontId="50" fillId="0" borderId="200" xfId="0" applyFont="1" applyBorder="1" applyAlignment="1">
      <alignment horizontal="left" vertical="top" wrapText="1"/>
    </xf>
    <xf numFmtId="0" fontId="50" fillId="0" borderId="211" xfId="0" applyFont="1" applyBorder="1" applyAlignment="1">
      <alignment horizontal="left" vertical="top" wrapText="1"/>
    </xf>
    <xf numFmtId="0" fontId="51" fillId="0" borderId="208" xfId="0" applyFont="1" applyBorder="1" applyAlignment="1">
      <alignment horizontal="left" vertical="top" wrapText="1"/>
    </xf>
    <xf numFmtId="0" fontId="39" fillId="0" borderId="200" xfId="0" applyFont="1" applyBorder="1" applyAlignment="1">
      <alignment horizontal="left" vertical="top" wrapText="1"/>
    </xf>
    <xf numFmtId="0" fontId="39" fillId="0" borderId="211" xfId="0" applyFont="1" applyBorder="1" applyAlignment="1">
      <alignment horizontal="left" vertical="top" wrapText="1"/>
    </xf>
    <xf numFmtId="0" fontId="50" fillId="0" borderId="129" xfId="0" applyFont="1" applyBorder="1" applyAlignment="1">
      <alignment horizontal="left" vertical="center" wrapText="1"/>
    </xf>
    <xf numFmtId="0" fontId="50" fillId="0" borderId="129" xfId="0" applyFont="1" applyBorder="1" applyAlignment="1">
      <alignment horizontal="left" vertical="center"/>
    </xf>
    <xf numFmtId="0" fontId="50" fillId="0" borderId="129" xfId="0" applyFont="1" applyBorder="1" applyAlignment="1">
      <alignment horizontal="left" vertical="top" wrapText="1"/>
    </xf>
    <xf numFmtId="0" fontId="29" fillId="0" borderId="202" xfId="0" applyFont="1" applyBorder="1" applyAlignment="1">
      <alignment horizontal="left" vertical="top" wrapText="1"/>
    </xf>
    <xf numFmtId="0" fontId="29" fillId="0" borderId="0" xfId="0" applyFont="1" applyBorder="1" applyAlignment="1">
      <alignment horizontal="left" vertical="top" wrapText="1"/>
    </xf>
    <xf numFmtId="0" fontId="29" fillId="0" borderId="205" xfId="0" applyFont="1" applyBorder="1" applyAlignment="1">
      <alignment horizontal="left" vertical="top" wrapText="1"/>
    </xf>
    <xf numFmtId="0" fontId="47" fillId="0" borderId="129" xfId="1" applyFont="1" applyBorder="1" applyAlignment="1">
      <alignment horizontal="left" vertical="top" wrapText="1"/>
      <protection locked="0"/>
    </xf>
    <xf numFmtId="0" fontId="11" fillId="0" borderId="204" xfId="0" applyFont="1" applyBorder="1" applyAlignment="1" applyProtection="1">
      <alignment horizontal="center" vertical="center"/>
      <protection locked="0"/>
    </xf>
    <xf numFmtId="0" fontId="11" fillId="0" borderId="205" xfId="0" applyFont="1" applyBorder="1" applyAlignment="1" applyProtection="1">
      <alignment horizontal="center" vertical="center"/>
      <protection locked="0"/>
    </xf>
    <xf numFmtId="0" fontId="41" fillId="10" borderId="203" xfId="4" applyFont="1" applyBorder="1" applyAlignment="1" applyProtection="1">
      <alignment horizontal="left" vertical="center"/>
    </xf>
    <xf numFmtId="0" fontId="41" fillId="10" borderId="207" xfId="4" applyFont="1" applyBorder="1" applyAlignment="1" applyProtection="1">
      <alignment horizontal="left" vertical="center"/>
    </xf>
    <xf numFmtId="0" fontId="47" fillId="0" borderId="209" xfId="1" applyFont="1" applyBorder="1" applyAlignment="1">
      <alignment horizontal="left" vertical="top" wrapText="1"/>
      <protection locked="0"/>
    </xf>
    <xf numFmtId="0" fontId="38" fillId="0" borderId="206" xfId="1" applyFont="1" applyBorder="1" applyAlignment="1">
      <alignment horizontal="left" vertical="top" wrapText="1"/>
      <protection locked="0"/>
    </xf>
    <xf numFmtId="0" fontId="11" fillId="0" borderId="207" xfId="0" applyFont="1" applyBorder="1" applyAlignment="1">
      <alignment horizontal="center" vertical="top" wrapText="1"/>
    </xf>
    <xf numFmtId="0" fontId="11" fillId="0" borderId="210" xfId="0" applyFont="1" applyBorder="1" applyAlignment="1">
      <alignment horizontal="center" vertical="top" wrapText="1"/>
    </xf>
    <xf numFmtId="0" fontId="11" fillId="0" borderId="214" xfId="0" applyFont="1" applyBorder="1" applyAlignment="1">
      <alignment horizontal="center" vertical="top" wrapText="1"/>
    </xf>
    <xf numFmtId="0" fontId="38" fillId="0" borderId="199" xfId="1" applyFont="1" applyBorder="1" applyAlignment="1">
      <alignment horizontal="right" vertical="top" wrapText="1"/>
      <protection locked="0"/>
    </xf>
    <xf numFmtId="0" fontId="38" fillId="0" borderId="200" xfId="1" applyFont="1" applyBorder="1" applyAlignment="1">
      <alignment horizontal="right" vertical="top" wrapText="1"/>
      <protection locked="0"/>
    </xf>
    <xf numFmtId="0" fontId="38" fillId="0" borderId="201" xfId="1" applyFont="1" applyBorder="1" applyAlignment="1">
      <alignment horizontal="right" vertical="top" wrapText="1"/>
      <protection locked="0"/>
    </xf>
    <xf numFmtId="0" fontId="40" fillId="7" borderId="206" xfId="2" applyFont="1" applyBorder="1" applyAlignment="1" applyProtection="1">
      <alignment horizontal="center" vertical="top" wrapText="1"/>
    </xf>
    <xf numFmtId="0" fontId="40" fillId="7" borderId="212" xfId="2" applyFont="1" applyBorder="1" applyAlignment="1" applyProtection="1">
      <alignment horizontal="center" vertical="top" wrapText="1"/>
    </xf>
    <xf numFmtId="0" fontId="43" fillId="12" borderId="199" xfId="6" applyFont="1" applyBorder="1" applyAlignment="1" applyProtection="1">
      <alignment horizontal="center" vertical="top" wrapText="1"/>
    </xf>
    <xf numFmtId="0" fontId="44" fillId="12" borderId="202" xfId="6" applyBorder="1" applyAlignment="1" applyProtection="1">
      <alignment horizontal="center" vertical="top" wrapText="1"/>
    </xf>
    <xf numFmtId="0" fontId="29" fillId="0" borderId="206" xfId="0" applyFont="1" applyBorder="1" applyAlignment="1">
      <alignment horizontal="left" vertical="top" wrapText="1"/>
    </xf>
    <xf numFmtId="0" fontId="39" fillId="0" borderId="202" xfId="0" applyFont="1" applyBorder="1" applyAlignment="1">
      <alignment horizontal="left" vertical="top" wrapText="1"/>
    </xf>
    <xf numFmtId="0" fontId="39" fillId="0" borderId="203" xfId="0" applyFont="1" applyBorder="1" applyAlignment="1">
      <alignment horizontal="left" vertical="top" wrapText="1"/>
    </xf>
    <xf numFmtId="0" fontId="11" fillId="0" borderId="205" xfId="0" applyFont="1" applyBorder="1" applyAlignment="1">
      <alignment horizontal="center" vertical="center"/>
    </xf>
    <xf numFmtId="0" fontId="49" fillId="0" borderId="208" xfId="1" applyFont="1" applyBorder="1" applyAlignment="1" applyProtection="1">
      <alignment horizontal="left" vertical="top" wrapText="1"/>
    </xf>
    <xf numFmtId="0" fontId="38" fillId="0" borderId="200" xfId="1" applyFont="1" applyBorder="1" applyAlignment="1" applyProtection="1">
      <alignment horizontal="left" vertical="top" wrapText="1"/>
    </xf>
    <xf numFmtId="0" fontId="38" fillId="0" borderId="211" xfId="1" applyFont="1" applyBorder="1" applyAlignment="1" applyProtection="1">
      <alignment horizontal="left" vertical="top" wrapText="1"/>
    </xf>
    <xf numFmtId="0" fontId="45" fillId="7" borderId="0" xfId="2" applyBorder="1" applyAlignment="1" applyProtection="1">
      <alignment horizontal="center" vertical="center"/>
    </xf>
  </cellXfs>
  <cellStyles count="7">
    <cellStyle name="Good" xfId="6"/>
    <cellStyle name="Output" xfId="5"/>
    <cellStyle name="常规" xfId="0" builtinId="0"/>
    <cellStyle name="常规 2" xfId="3"/>
    <cellStyle name="超链接" xfId="1"/>
    <cellStyle name="强调文字颜色 1" xfId="2"/>
    <cellStyle name="强调文字颜色 5" xfId="4"/>
  </cellStyles>
  <dxfs count="11">
    <dxf>
      <fill>
        <patternFill>
          <bgColor rgb="FFFFFFFF"/>
        </patternFill>
      </fill>
      <border>
        <left/>
        <right/>
        <top/>
        <bottom/>
      </border>
    </dxf>
    <dxf>
      <font>
        <sz val="11"/>
        <color rgb="FFFFFFFF"/>
      </font>
    </dxf>
    <dxf>
      <border>
        <left style="thin">
          <color rgb="FFCFCDCD"/>
        </left>
        <right style="thin">
          <color rgb="FFCFCDCD"/>
        </right>
        <top style="thin">
          <color rgb="FFCFCDCD"/>
        </top>
        <bottom style="thin">
          <color rgb="FFCFCDCD"/>
        </bottom>
      </border>
    </dxf>
    <dxf>
      <fill>
        <patternFill>
          <bgColor rgb="FFDEEAF6"/>
        </patternFill>
      </fill>
    </dxf>
    <dxf>
      <fill>
        <patternFill>
          <bgColor rgb="FF5C9BD5"/>
        </patternFill>
      </fill>
      <border>
        <left style="thin">
          <color rgb="FFCFCDCD"/>
        </left>
        <right style="thin">
          <color rgb="FFCFCDCD"/>
        </right>
        <top style="thin">
          <color rgb="FFCFCDCD"/>
        </top>
        <bottom style="thin">
          <color rgb="FFCFCDCD"/>
        </bottom>
      </border>
    </dxf>
    <dxf>
      <fill>
        <patternFill>
          <bgColor rgb="FFACB9CA"/>
        </patternFill>
      </fill>
      <border>
        <left style="dashDotDot">
          <color indexed="64"/>
        </left>
        <right style="dashDotDot">
          <color indexed="64"/>
        </right>
        <top style="dashDotDot">
          <color indexed="64"/>
        </top>
        <bottom style="dashDotDot">
          <color indexed="64"/>
        </bottom>
      </border>
    </dxf>
    <dxf>
      <fill>
        <patternFill>
          <bgColor rgb="FFBED6EE"/>
        </patternFill>
      </fill>
      <border>
        <left style="dashDot">
          <color indexed="64"/>
        </left>
        <right style="dashDot">
          <color indexed="64"/>
        </right>
        <top style="dashDot">
          <color indexed="64"/>
        </top>
        <bottom style="dashDot">
          <color indexed="64"/>
        </bottom>
      </border>
    </dxf>
    <dxf>
      <fill>
        <patternFill>
          <bgColor rgb="FFA8D08E"/>
        </patternFill>
      </fill>
      <border>
        <left style="dotted">
          <color indexed="64"/>
        </left>
        <right style="dotted">
          <color indexed="64"/>
        </right>
        <top style="dotted">
          <color indexed="64"/>
        </top>
        <bottom style="dotted">
          <color indexed="64"/>
        </bottom>
      </border>
    </dxf>
    <dxf>
      <fill>
        <patternFill>
          <bgColor rgb="FFFBE4D5"/>
        </patternFill>
      </fill>
      <border>
        <left style="dotted">
          <color indexed="64"/>
        </left>
        <right style="dotted">
          <color indexed="64"/>
        </right>
        <top style="dotted">
          <color indexed="64"/>
        </top>
        <bottom style="dotted">
          <color indexed="64"/>
        </bottom>
      </border>
    </dxf>
    <dxf>
      <fill>
        <patternFill>
          <bgColor rgb="FFFFE598"/>
        </patternFill>
      </fill>
      <border>
        <left style="dotted">
          <color indexed="64"/>
        </left>
        <right style="dotted">
          <color indexed="64"/>
        </right>
        <top style="dotted">
          <color indexed="64"/>
        </top>
        <bottom style="dotted">
          <color indexed="64"/>
        </bottom>
      </border>
    </dxf>
    <dxf>
      <fill>
        <patternFill>
          <bgColor rgb="FFB4C7E7"/>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zh-CN"/>
  <c:style val="10"/>
  <c:chart>
    <c:autoTitleDeleted val="1"/>
    <c:plotArea>
      <c:layout/>
      <c:radarChart>
        <c:radarStyle val="filled"/>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55</c:v>
                </c:pt>
                <c:pt idx="1">
                  <c:v>55</c:v>
                </c:pt>
                <c:pt idx="2" formatCode="@">
                  <c:v>55</c:v>
                </c:pt>
                <c:pt idx="3">
                  <c:v>60</c:v>
                </c:pt>
                <c:pt idx="4" formatCode="@">
                  <c:v>70</c:v>
                </c:pt>
                <c:pt idx="5">
                  <c:v>80</c:v>
                </c:pt>
                <c:pt idx="6">
                  <c:v>70</c:v>
                </c:pt>
                <c:pt idx="7">
                  <c:v>65</c:v>
                </c:pt>
              </c:numCache>
            </c:numRef>
          </c:val>
        </c:ser>
        <c:axId val="99800192"/>
        <c:axId val="99801728"/>
      </c:radarChart>
      <c:catAx>
        <c:axId val="99800192"/>
        <c:scaling>
          <c:orientation val="minMax"/>
        </c:scaling>
        <c:axPos val="b"/>
        <c:majorGridlines/>
        <c:majorTickMark val="none"/>
        <c:tickLblPos val="nextTo"/>
        <c:spPr>
          <a:ln w="6350">
            <a:noFill/>
          </a:ln>
        </c:spPr>
        <c:crossAx val="99801728"/>
        <c:crosses val="autoZero"/>
        <c:auto val="1"/>
        <c:lblAlgn val="ctr"/>
        <c:lblOffset val="100"/>
      </c:catAx>
      <c:valAx>
        <c:axId val="99801728"/>
        <c:scaling>
          <c:orientation val="minMax"/>
          <c:max val="100"/>
          <c:min val="0"/>
        </c:scaling>
        <c:axPos val="l"/>
        <c:majorGridlines/>
        <c:numFmt formatCode="@" sourceLinked="1"/>
        <c:majorTickMark val="none"/>
        <c:tickLblPos val="none"/>
        <c:crossAx val="99800192"/>
        <c:crosses val="autoZero"/>
        <c:crossBetween val="between"/>
        <c:majorUnit val="20"/>
      </c:valAx>
    </c:plotArea>
    <c:plotVisOnly val="1"/>
    <c:dispBlanksAs val="gap"/>
  </c:chart>
  <c:spPr>
    <a:ln>
      <a:noFill/>
    </a:ln>
  </c:spPr>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zh-CN"/>
  <c:chart>
    <c:plotArea>
      <c:layout/>
      <c:radarChart>
        <c:radarStyle val="filled"/>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83.333333333333329</c:v>
                </c:pt>
                <c:pt idx="1">
                  <c:v>86.666666666666671</c:v>
                </c:pt>
                <c:pt idx="2">
                  <c:v>20</c:v>
                </c:pt>
                <c:pt idx="3">
                  <c:v>133.75</c:v>
                </c:pt>
                <c:pt idx="4">
                  <c:v>65</c:v>
                </c:pt>
                <c:pt idx="5">
                  <c:v>125.55555555555556</c:v>
                </c:pt>
              </c:numCache>
            </c:numRef>
          </c:val>
        </c:ser>
        <c:axId val="87737856"/>
        <c:axId val="87739392"/>
      </c:radarChart>
      <c:catAx>
        <c:axId val="87737856"/>
        <c:scaling>
          <c:orientation val="minMax"/>
        </c:scaling>
        <c:axPos val="b"/>
        <c:majorGridlines/>
        <c:tickLblPos val="nextTo"/>
        <c:crossAx val="87739392"/>
        <c:crosses val="autoZero"/>
        <c:auto val="1"/>
        <c:lblAlgn val="ctr"/>
        <c:lblOffset val="100"/>
      </c:catAx>
      <c:valAx>
        <c:axId val="87739392"/>
        <c:scaling>
          <c:orientation val="minMax"/>
          <c:max val="250"/>
        </c:scaling>
        <c:axPos val="l"/>
        <c:majorGridlines/>
        <c:numFmt formatCode="General" sourceLinked="1"/>
        <c:majorTickMark val="none"/>
        <c:tickLblPos val="none"/>
        <c:crossAx val="87737856"/>
        <c:crosses val="autoZero"/>
        <c:crossBetween val="between"/>
        <c:majorUnit val="50"/>
      </c:valAx>
      <c:spPr>
        <a:noFill/>
        <a:ln>
          <a:noFill/>
        </a:ln>
      </c:spPr>
    </c:plotArea>
    <c:plotVisOnly val="1"/>
    <c:dispBlanksAs val="gap"/>
  </c:chart>
  <c:spPr>
    <a:noFill/>
    <a:ln>
      <a:noFill/>
    </a:ln>
  </c:spPr>
  <c:printSettings>
    <c:headerFooter/>
    <c:pageMargins b="0.75000000000000089" l="0.70000000000000062" r="0.70000000000000062" t="0.75000000000000089"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32</xdr:col>
      <xdr:colOff>240340</xdr:colOff>
      <xdr:row>12</xdr:row>
      <xdr:rowOff>25375</xdr:rowOff>
    </xdr:from>
    <xdr:to>
      <xdr:col>36</xdr:col>
      <xdr:colOff>195668</xdr:colOff>
      <xdr:row>25</xdr:row>
      <xdr:rowOff>25375</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250354</xdr:colOff>
      <xdr:row>0</xdr:row>
      <xdr:rowOff>0</xdr:rowOff>
    </xdr:from>
    <xdr:to>
      <xdr:col>36</xdr:col>
      <xdr:colOff>176590</xdr:colOff>
      <xdr:row>12</xdr:row>
      <xdr:rowOff>0</xdr:rowOff>
    </xdr:to>
    <xdr:graphicFrame macro="">
      <xdr:nvGraphicFramePr>
        <xdr:cNvPr id="3" name="图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BA104"/>
  <sheetViews>
    <sheetView showGridLines="0" tabSelected="1" topLeftCell="A10" workbookViewId="0">
      <selection activeCell="S21" sqref="S21"/>
    </sheetView>
  </sheetViews>
  <sheetFormatPr defaultColWidth="3.25" defaultRowHeight="16.5"/>
  <cols>
    <col min="1" max="1" width="5.75" style="1" customWidth="1"/>
    <col min="2" max="3" width="5.5" style="1" customWidth="1"/>
    <col min="4" max="4" width="7" style="1" customWidth="1"/>
    <col min="5" max="5" width="8.375" style="1" customWidth="1"/>
    <col min="6" max="12" width="5.375" style="1" customWidth="1"/>
    <col min="13" max="13" width="6.25" style="1" customWidth="1"/>
    <col min="14" max="14" width="5.25" style="1" customWidth="1"/>
    <col min="15" max="15" width="6.25" style="1" customWidth="1"/>
    <col min="16" max="16" width="6.125" style="1" customWidth="1"/>
    <col min="17" max="23" width="5.125" style="1" customWidth="1"/>
    <col min="24" max="24" width="3.25" style="1" customWidth="1"/>
    <col min="25" max="32" width="5.125" style="1" customWidth="1"/>
    <col min="33" max="33" width="19.375" style="1" customWidth="1"/>
    <col min="34" max="34" width="7.875" style="1" customWidth="1"/>
    <col min="35" max="50" width="6.625" style="1" customWidth="1"/>
    <col min="51" max="52" width="3.25" style="1" customWidth="1"/>
    <col min="53" max="16384" width="3.25" style="1"/>
  </cols>
  <sheetData>
    <row r="1" spans="2:51">
      <c r="B1" s="489" t="s">
        <v>1483</v>
      </c>
      <c r="C1" s="489"/>
      <c r="D1" s="489"/>
      <c r="E1" s="489"/>
      <c r="F1" s="489"/>
      <c r="G1" s="489"/>
      <c r="H1" s="489"/>
      <c r="I1" s="489"/>
      <c r="J1" s="489"/>
      <c r="K1" s="489"/>
      <c r="L1" s="489"/>
      <c r="M1" s="489"/>
      <c r="N1" s="489"/>
      <c r="O1" s="489"/>
      <c r="P1" s="489"/>
      <c r="Q1" s="489"/>
      <c r="R1" s="489"/>
      <c r="S1" s="489"/>
      <c r="T1" s="489"/>
      <c r="U1" s="489"/>
      <c r="V1" s="489"/>
      <c r="W1" s="489"/>
      <c r="AD1" s="2"/>
      <c r="AE1" s="2"/>
      <c r="AF1" s="2"/>
      <c r="AH1" s="3"/>
      <c r="AI1" s="3"/>
      <c r="AJ1" s="3"/>
      <c r="AK1" s="3"/>
      <c r="AL1" s="3"/>
      <c r="AM1" s="3"/>
      <c r="AN1" s="3"/>
      <c r="AO1" s="3"/>
      <c r="AP1" s="3"/>
      <c r="AQ1" s="3"/>
      <c r="AR1" s="3"/>
      <c r="AS1" s="3"/>
    </row>
    <row r="2" spans="2:51" ht="17.100000000000001" customHeight="1">
      <c r="B2" s="702" t="s">
        <v>95</v>
      </c>
      <c r="C2" s="703"/>
      <c r="D2" s="703"/>
      <c r="E2" s="703"/>
      <c r="F2" s="703"/>
      <c r="G2" s="704"/>
      <c r="H2" s="4"/>
      <c r="I2" s="494" t="str">
        <f>"属性（合计："&amp;J3+J5+J7+DEX+APP+INT+P3+P5&amp;"）[含幸运："&amp;J3+J5+J7+DEX+APP+INT+P3+P5+Luck&amp;"]"</f>
        <v>属性（合计：510）[含幸运：585]</v>
      </c>
      <c r="J2" s="495"/>
      <c r="K2" s="495"/>
      <c r="L2" s="495"/>
      <c r="M2" s="495"/>
      <c r="N2" s="495"/>
      <c r="O2" s="495"/>
      <c r="P2" s="495"/>
      <c r="Q2" s="496"/>
      <c r="S2" s="529" t="s">
        <v>1644</v>
      </c>
      <c r="T2" s="530"/>
      <c r="U2" s="530"/>
      <c r="V2" s="530"/>
      <c r="W2" s="531"/>
      <c r="X2" s="5"/>
      <c r="Y2" s="699" t="str">
        <f>IF(Z3="","","任意特长可在下方选择本职技能")</f>
        <v>任意特长可在下方选择本职技能</v>
      </c>
      <c r="Z2" s="699"/>
      <c r="AA2" s="699"/>
      <c r="AB2" s="699"/>
      <c r="AC2" s="699"/>
      <c r="AD2" s="699"/>
      <c r="AE2" s="699"/>
      <c r="AF2" s="6"/>
      <c r="AG2" s="7"/>
      <c r="AH2" s="8"/>
      <c r="AI2" s="9">
        <f>职业!V3</f>
        <v>0</v>
      </c>
      <c r="AJ2" s="9">
        <f>IF(AI2="任意特长",1,0)</f>
        <v>0</v>
      </c>
      <c r="AK2" s="9"/>
      <c r="AL2" s="10" t="str">
        <f t="array" ref="AL2">IFERROR(INDEX($AI$2:$AI$10,SMALL(IF($AJ$2:$AJ$10=1,ROW($AI$2:$AI$10),99999),ROW($AI1))-1,1),"")</f>
        <v>任意特长</v>
      </c>
      <c r="AM2" s="9"/>
      <c r="AN2" s="9">
        <f>IF(Z3="本职技能为：",1,0)</f>
        <v>1</v>
      </c>
      <c r="AO2" s="9">
        <f>IF(AB3="",1,0)</f>
        <v>1</v>
      </c>
      <c r="AP2" s="3"/>
      <c r="AQ2" s="3"/>
      <c r="AR2" s="3"/>
      <c r="AS2" s="11"/>
      <c r="AT2" s="12"/>
      <c r="AU2" s="12"/>
      <c r="AV2" s="12"/>
      <c r="AW2" s="12"/>
      <c r="AX2" s="12"/>
      <c r="AY2" s="12"/>
    </row>
    <row r="3" spans="2:51" ht="17.100000000000001" customHeight="1">
      <c r="B3" s="13" t="s">
        <v>0</v>
      </c>
      <c r="C3" s="773" t="s">
        <v>1661</v>
      </c>
      <c r="D3" s="774"/>
      <c r="E3" s="774"/>
      <c r="F3" s="774"/>
      <c r="G3" s="775"/>
      <c r="H3" s="570"/>
      <c r="I3" s="721" t="s">
        <v>1550</v>
      </c>
      <c r="J3" s="544">
        <v>55</v>
      </c>
      <c r="K3" s="14">
        <f>INT(J3/2)</f>
        <v>27</v>
      </c>
      <c r="L3" s="546" t="s">
        <v>1551</v>
      </c>
      <c r="M3" s="525">
        <v>55</v>
      </c>
      <c r="N3" s="15">
        <f>INT(M3/2)</f>
        <v>27</v>
      </c>
      <c r="O3" s="700" t="s">
        <v>1552</v>
      </c>
      <c r="P3" s="776">
        <v>55</v>
      </c>
      <c r="Q3" s="16">
        <f>INT(P3/2)</f>
        <v>27</v>
      </c>
      <c r="S3" s="532"/>
      <c r="T3" s="533"/>
      <c r="U3" s="533"/>
      <c r="V3" s="533"/>
      <c r="W3" s="534"/>
      <c r="X3" s="5"/>
      <c r="Y3" s="7">
        <f>IF(Z3="","",1)</f>
        <v>1</v>
      </c>
      <c r="Z3" s="513" t="str">
        <f>IF(AL2="任意特长","本职技能为：","")</f>
        <v>本职技能为：</v>
      </c>
      <c r="AA3" s="513"/>
      <c r="AB3" s="522"/>
      <c r="AC3" s="522"/>
      <c r="AD3" s="522"/>
      <c r="AE3" s="17" t="str">
        <f>IF(Z3="","","←")&amp;IF(AND(AN2=0,AO2=0),"←","")</f>
        <v>←</v>
      </c>
      <c r="AF3" s="558" t="str">
        <f>IF(AND(AN2=0,AO2=0),"请清除左侧选择框内容","")</f>
        <v/>
      </c>
      <c r="AG3" s="558"/>
      <c r="AH3" s="8"/>
      <c r="AI3" s="9" t="str">
        <f>职业!V4</f>
        <v>图书馆使用</v>
      </c>
      <c r="AJ3" s="9">
        <f t="shared" ref="AJ3:AJ10" si="0">IF(AI3="任意特长",1,0)</f>
        <v>0</v>
      </c>
      <c r="AK3" s="9"/>
      <c r="AL3" s="10" t="str">
        <f t="array" ref="AL3">IFERROR(INDEX($AI$2:$AI$10,SMALL(IF($AJ$2:$AJ$10=1,ROW($AI$2:$AI$10),99999),ROW($AI2))-1,1),"")</f>
        <v>任意特长</v>
      </c>
      <c r="AM3" s="9"/>
      <c r="AN3" s="9">
        <f>IF(Z4="本职技能为：",1,0)</f>
        <v>1</v>
      </c>
      <c r="AO3" s="9">
        <f t="shared" ref="AO3:AO6" si="1">IF(AB4="",1,0)</f>
        <v>1</v>
      </c>
      <c r="AP3" s="3"/>
      <c r="AQ3" s="3"/>
      <c r="AR3" s="3"/>
      <c r="AS3" s="11"/>
      <c r="AT3" s="12"/>
      <c r="AU3" s="12"/>
      <c r="AV3" s="12"/>
      <c r="AW3" s="12"/>
      <c r="AX3" s="12"/>
      <c r="AY3" s="12"/>
    </row>
    <row r="4" spans="2:51" ht="17.100000000000001" customHeight="1">
      <c r="B4" s="18" t="s">
        <v>457</v>
      </c>
      <c r="C4" s="711" t="s">
        <v>1657</v>
      </c>
      <c r="D4" s="711"/>
      <c r="E4" s="19" t="s">
        <v>1583</v>
      </c>
      <c r="F4" s="554" t="s">
        <v>1669</v>
      </c>
      <c r="G4" s="555"/>
      <c r="H4" s="570"/>
      <c r="I4" s="721"/>
      <c r="J4" s="544"/>
      <c r="K4" s="20">
        <f>INT(J3/5)</f>
        <v>11</v>
      </c>
      <c r="L4" s="546"/>
      <c r="M4" s="525"/>
      <c r="N4" s="15">
        <f>INT(M3/5)</f>
        <v>11</v>
      </c>
      <c r="O4" s="700"/>
      <c r="P4" s="776"/>
      <c r="Q4" s="16">
        <f>INT(P3/5)</f>
        <v>11</v>
      </c>
      <c r="S4" s="532"/>
      <c r="T4" s="533"/>
      <c r="U4" s="533"/>
      <c r="V4" s="533"/>
      <c r="W4" s="534"/>
      <c r="X4" s="5"/>
      <c r="Y4" s="7">
        <f>IF(Z4="","",2)</f>
        <v>2</v>
      </c>
      <c r="Z4" s="513" t="str">
        <f>IF(AL3="任意特长","本职技能为：","")</f>
        <v>本职技能为：</v>
      </c>
      <c r="AA4" s="513"/>
      <c r="AB4" s="522"/>
      <c r="AC4" s="522"/>
      <c r="AD4" s="522"/>
      <c r="AE4" s="17" t="str">
        <f>IF(Z4="","","←")&amp;IF(AND(AN3=0,AO3=0),"←","")</f>
        <v>←</v>
      </c>
      <c r="AF4" s="558" t="str">
        <f>IF(AND(AN3=0,AO3=0),"请清除左侧选择框内容","")</f>
        <v/>
      </c>
      <c r="AG4" s="558"/>
      <c r="AH4" s="8"/>
      <c r="AI4" s="9" t="str">
        <f>职业!V5</f>
        <v>聆听</v>
      </c>
      <c r="AJ4" s="9">
        <f t="shared" si="0"/>
        <v>0</v>
      </c>
      <c r="AK4" s="9"/>
      <c r="AL4" s="10" t="str">
        <f t="array" ref="AL4">IFERROR(INDEX($AI$2:$AI$10,SMALL(IF($AJ$2:$AJ$10=1,ROW($AI$2:$AI$10),99999),ROW($AI3))-1,1),"")</f>
        <v>任意特长</v>
      </c>
      <c r="AM4" s="9"/>
      <c r="AN4" s="9">
        <f>IF(Z5="本职技能为：",1,0)</f>
        <v>1</v>
      </c>
      <c r="AO4" s="9">
        <f t="shared" si="1"/>
        <v>1</v>
      </c>
      <c r="AP4" s="3"/>
      <c r="AQ4" s="3"/>
      <c r="AR4" s="3"/>
      <c r="AS4" s="11"/>
      <c r="AT4" s="12"/>
      <c r="AU4" s="12"/>
      <c r="AV4" s="12"/>
      <c r="AW4" s="12"/>
      <c r="AX4" s="12"/>
      <c r="AY4" s="12"/>
    </row>
    <row r="5" spans="2:51" ht="17.100000000000001" customHeight="1">
      <c r="B5" s="21" t="s">
        <v>1</v>
      </c>
      <c r="C5" s="511"/>
      <c r="D5" s="511"/>
      <c r="E5" s="22" t="s">
        <v>1567</v>
      </c>
      <c r="F5" s="520">
        <v>106</v>
      </c>
      <c r="G5" s="521"/>
      <c r="H5" s="570"/>
      <c r="I5" s="701" t="s">
        <v>1553</v>
      </c>
      <c r="J5" s="525">
        <v>60</v>
      </c>
      <c r="K5" s="15">
        <f>INT(J5/2)</f>
        <v>30</v>
      </c>
      <c r="L5" s="700" t="s">
        <v>1554</v>
      </c>
      <c r="M5" s="544">
        <v>70</v>
      </c>
      <c r="N5" s="14">
        <f>INT(M5/2)</f>
        <v>35</v>
      </c>
      <c r="O5" s="546" t="s">
        <v>1555</v>
      </c>
      <c r="P5" s="525">
        <v>80</v>
      </c>
      <c r="Q5" s="23">
        <f>INT(P5/2)</f>
        <v>40</v>
      </c>
      <c r="S5" s="532"/>
      <c r="T5" s="533"/>
      <c r="U5" s="533"/>
      <c r="V5" s="533"/>
      <c r="W5" s="534"/>
      <c r="X5" s="5"/>
      <c r="Y5" s="7">
        <f>IF(Z5="","",3)</f>
        <v>3</v>
      </c>
      <c r="Z5" s="513" t="str">
        <f t="shared" ref="Z5:Z7" si="2">IF(AL4="任意特长","本职技能为：","")</f>
        <v>本职技能为：</v>
      </c>
      <c r="AA5" s="513"/>
      <c r="AB5" s="522"/>
      <c r="AC5" s="522"/>
      <c r="AD5" s="522"/>
      <c r="AE5" s="17" t="str">
        <f>IF(Z5="","","←")&amp;IF(AND(AN4=0,AO4=0),"←","")</f>
        <v>←</v>
      </c>
      <c r="AF5" s="558" t="str">
        <f t="shared" ref="AF5:AF7" si="3">IF(AND(AN4=0,AO4=0),"请清除左侧选择框内容","")</f>
        <v/>
      </c>
      <c r="AG5" s="558"/>
      <c r="AH5" s="8"/>
      <c r="AI5" s="9" t="str">
        <f>职业!V6</f>
        <v>任意特长</v>
      </c>
      <c r="AJ5" s="9">
        <f t="shared" si="0"/>
        <v>1</v>
      </c>
      <c r="AK5" s="9"/>
      <c r="AL5" s="10" t="str">
        <f t="array" ref="AL5">IFERROR(INDEX($AI$2:$AI$10,SMALL(IF($AJ$2:$AJ$10=1,ROW($AI$2:$AI$10),99999),ROW($AI4))-1,1),"")</f>
        <v>任意特长</v>
      </c>
      <c r="AM5" s="9"/>
      <c r="AN5" s="9">
        <f>IF(Z6="本职技能为：",1,0)</f>
        <v>1</v>
      </c>
      <c r="AO5" s="9">
        <f t="shared" si="1"/>
        <v>1</v>
      </c>
      <c r="AP5" s="3"/>
      <c r="AQ5" s="3"/>
      <c r="AR5" s="3"/>
      <c r="AS5" s="11"/>
      <c r="AT5" s="12"/>
      <c r="AU5" s="12"/>
      <c r="AV5" s="12"/>
      <c r="AW5" s="12"/>
      <c r="AX5" s="12"/>
      <c r="AY5" s="12"/>
    </row>
    <row r="6" spans="2:51" ht="17.100000000000001" customHeight="1">
      <c r="B6" s="18" t="s">
        <v>2</v>
      </c>
      <c r="C6" s="767">
        <v>21</v>
      </c>
      <c r="D6" s="767"/>
      <c r="E6" s="19" t="s">
        <v>1582</v>
      </c>
      <c r="F6" s="563" t="s">
        <v>1658</v>
      </c>
      <c r="G6" s="555"/>
      <c r="H6" s="570"/>
      <c r="I6" s="701"/>
      <c r="J6" s="525"/>
      <c r="K6" s="24">
        <f>INT(J5/5)</f>
        <v>12</v>
      </c>
      <c r="L6" s="700"/>
      <c r="M6" s="544"/>
      <c r="N6" s="14">
        <f>INT(M5/5)</f>
        <v>14</v>
      </c>
      <c r="O6" s="546"/>
      <c r="P6" s="525"/>
      <c r="Q6" s="23">
        <f>INT(P5/5)</f>
        <v>16</v>
      </c>
      <c r="S6" s="532"/>
      <c r="T6" s="533"/>
      <c r="U6" s="533"/>
      <c r="V6" s="533"/>
      <c r="W6" s="534"/>
      <c r="X6" s="5"/>
      <c r="Y6" s="7">
        <f>IF(Z6="","",4)</f>
        <v>4</v>
      </c>
      <c r="Z6" s="513" t="str">
        <f t="shared" si="2"/>
        <v>本职技能为：</v>
      </c>
      <c r="AA6" s="513"/>
      <c r="AB6" s="522"/>
      <c r="AC6" s="522"/>
      <c r="AD6" s="522"/>
      <c r="AE6" s="17" t="str">
        <f>IF(Z6="","","←")&amp;IF(AND(AN5=0,AO5=0),"←","")</f>
        <v>←</v>
      </c>
      <c r="AF6" s="558" t="str">
        <f t="shared" si="3"/>
        <v/>
      </c>
      <c r="AG6" s="558"/>
      <c r="AH6" s="8"/>
      <c r="AI6" s="9" t="str">
        <f>职业!V7</f>
        <v>任意特长</v>
      </c>
      <c r="AJ6" s="9">
        <f t="shared" si="0"/>
        <v>1</v>
      </c>
      <c r="AK6" s="9"/>
      <c r="AL6" s="10" t="str">
        <f t="array" ref="AL6">IFERROR(INDEX($AI$2:$AI$10,SMALL(IF($AJ$2:$AJ$10=1,ROW($AI$2:$AI$10),99999),ROW($AI5))-1,1),"")</f>
        <v>任意特长</v>
      </c>
      <c r="AM6" s="9"/>
      <c r="AN6" s="9">
        <f>IF(Z7="本职技能为：",1,0)</f>
        <v>1</v>
      </c>
      <c r="AO6" s="9">
        <f t="shared" si="1"/>
        <v>1</v>
      </c>
      <c r="AP6" s="3"/>
      <c r="AQ6" s="3"/>
      <c r="AR6" s="3"/>
      <c r="AS6" s="11"/>
      <c r="AT6" s="12"/>
      <c r="AU6" s="12"/>
      <c r="AV6" s="12"/>
      <c r="AW6" s="12"/>
      <c r="AX6" s="12"/>
      <c r="AY6" s="12"/>
    </row>
    <row r="7" spans="2:51" ht="17.100000000000001" customHeight="1">
      <c r="B7" s="21" t="s">
        <v>68</v>
      </c>
      <c r="C7" s="510" t="s">
        <v>1662</v>
      </c>
      <c r="D7" s="511"/>
      <c r="E7" s="511"/>
      <c r="F7" s="511"/>
      <c r="G7" s="512"/>
      <c r="H7" s="570"/>
      <c r="I7" s="568" t="s">
        <v>1556</v>
      </c>
      <c r="J7" s="544">
        <v>70</v>
      </c>
      <c r="K7" s="14">
        <f>INT(J7/2)</f>
        <v>35</v>
      </c>
      <c r="L7" s="546" t="s">
        <v>1557</v>
      </c>
      <c r="M7" s="564">
        <v>65</v>
      </c>
      <c r="N7" s="25">
        <f>INT(M7/2)</f>
        <v>32</v>
      </c>
      <c r="O7" s="700" t="s">
        <v>1558</v>
      </c>
      <c r="P7" s="771">
        <f>附表!F28</f>
        <v>7</v>
      </c>
      <c r="Q7" s="26" t="s">
        <v>589</v>
      </c>
      <c r="S7" s="532"/>
      <c r="T7" s="533"/>
      <c r="U7" s="533"/>
      <c r="V7" s="533"/>
      <c r="W7" s="534"/>
      <c r="X7" s="5"/>
      <c r="Y7" s="7">
        <f>IF(Z7="","",5)</f>
        <v>5</v>
      </c>
      <c r="Z7" s="513" t="str">
        <f t="shared" si="2"/>
        <v>本职技能为：</v>
      </c>
      <c r="AA7" s="513"/>
      <c r="AB7" s="522"/>
      <c r="AC7" s="522"/>
      <c r="AD7" s="522"/>
      <c r="AE7" s="17" t="str">
        <f>IF(Z7="","","←")&amp;IF(AND(AN6=0,AO6=0),"←","")</f>
        <v>←</v>
      </c>
      <c r="AF7" s="558" t="str">
        <f t="shared" si="3"/>
        <v/>
      </c>
      <c r="AG7" s="558"/>
      <c r="AH7" s="8"/>
      <c r="AI7" s="9" t="str">
        <f>职业!V8</f>
        <v>任意特长</v>
      </c>
      <c r="AJ7" s="9">
        <f t="shared" si="0"/>
        <v>1</v>
      </c>
      <c r="AK7" s="9"/>
      <c r="AL7" s="9"/>
      <c r="AM7" s="9"/>
      <c r="AN7" s="9"/>
      <c r="AO7" s="9"/>
      <c r="AP7" s="3"/>
      <c r="AQ7" s="3"/>
      <c r="AR7" s="3"/>
      <c r="AS7" s="11"/>
      <c r="AT7" s="12"/>
      <c r="AU7" s="12"/>
      <c r="AV7" s="12"/>
      <c r="AW7" s="12"/>
      <c r="AX7" s="27"/>
      <c r="AY7" s="12"/>
    </row>
    <row r="8" spans="2:51" ht="17.100000000000001" customHeight="1">
      <c r="B8" s="28" t="s">
        <v>69</v>
      </c>
      <c r="C8" s="577" t="s">
        <v>1663</v>
      </c>
      <c r="D8" s="526"/>
      <c r="E8" s="526"/>
      <c r="F8" s="526"/>
      <c r="G8" s="527"/>
      <c r="H8" s="570"/>
      <c r="I8" s="569"/>
      <c r="J8" s="545"/>
      <c r="K8" s="29">
        <f>INT(J7/5)</f>
        <v>14</v>
      </c>
      <c r="L8" s="706"/>
      <c r="M8" s="565"/>
      <c r="N8" s="30">
        <f>INT(M7/5)</f>
        <v>13</v>
      </c>
      <c r="O8" s="768"/>
      <c r="P8" s="772"/>
      <c r="Q8" s="31">
        <f>附表!F27-附表!F2-8</f>
        <v>-1</v>
      </c>
      <c r="S8" s="535"/>
      <c r="T8" s="536"/>
      <c r="U8" s="536"/>
      <c r="V8" s="536"/>
      <c r="W8" s="537"/>
      <c r="X8" s="5"/>
      <c r="Y8" s="513" t="s">
        <v>1566</v>
      </c>
      <c r="Z8" s="513"/>
      <c r="AA8" s="513"/>
      <c r="AB8" s="32" t="s">
        <v>1625</v>
      </c>
      <c r="AC8" s="707" t="s">
        <v>1656</v>
      </c>
      <c r="AD8" s="707"/>
      <c r="AE8" s="707"/>
      <c r="AF8" s="707"/>
      <c r="AG8" s="33"/>
      <c r="AH8" s="9"/>
      <c r="AI8" s="9" t="str">
        <f>职业!V9</f>
        <v>任意特长</v>
      </c>
      <c r="AJ8" s="9">
        <f t="shared" si="0"/>
        <v>1</v>
      </c>
      <c r="AK8" s="9"/>
      <c r="AL8" s="9"/>
      <c r="AM8" s="9"/>
      <c r="AN8" s="9"/>
      <c r="AO8" s="9"/>
      <c r="AP8" s="3"/>
      <c r="AQ8" s="3"/>
      <c r="AR8" s="3"/>
      <c r="AS8" s="11"/>
      <c r="AT8" s="12"/>
      <c r="AU8" s="12"/>
      <c r="AV8" s="12"/>
      <c r="AW8" s="12"/>
      <c r="AX8" s="12"/>
      <c r="AY8" s="12"/>
    </row>
    <row r="9" spans="2:51">
      <c r="B9" s="551" t="str">
        <f>IF(D9=" "," ","任意特长")</f>
        <v>任意特长</v>
      </c>
      <c r="C9" s="551"/>
      <c r="D9" s="34">
        <f>IF(SUMIF(职业!V3:V11,"任意特长",职业!W3:W11)=0," ",SUMIF(职业!V3:V11,"任意特长",职业!W3:W11))</f>
        <v>5</v>
      </c>
      <c r="E9" s="669" t="str">
        <f>IF(K9=" ","","社交技能（☯）：4选")</f>
        <v/>
      </c>
      <c r="F9" s="669"/>
      <c r="G9" s="669"/>
      <c r="H9" s="669"/>
      <c r="I9" s="669"/>
      <c r="J9" s="669"/>
      <c r="K9" s="35" t="str">
        <f>IF(SUMIF(职业!V3:V11,"社交技能",职业!W3:W11)=0," ",SUMIF(职业!V3:V11,"社交技能",职业!W3:W11))</f>
        <v xml:space="preserve"> </v>
      </c>
      <c r="L9" s="5"/>
      <c r="M9" s="551" t="str">
        <f>IF(OR(F5="",F5=0),"",IF(职业!$Y$3=0," ","二选一：☆"))</f>
        <v>二选一：☆</v>
      </c>
      <c r="N9" s="551"/>
      <c r="O9" s="5"/>
      <c r="P9" s="551" t="str">
        <f>IF(OR(F5="",F5=0),"",IF(职业!Y5=0,"","二选一②:⊙"))</f>
        <v/>
      </c>
      <c r="Q9" s="551"/>
      <c r="R9" s="5"/>
      <c r="S9" s="552" t="str">
        <f>IF(OR(F5="",F5=0),"",IF(职业!Y7=0,"","二选一②:※"))</f>
        <v/>
      </c>
      <c r="T9" s="552"/>
      <c r="U9" s="36"/>
      <c r="V9" s="552" t="str">
        <f>IF(OR(F5="",F5=0),"",IF(职业!Y9=0," ","多选X:X"))</f>
        <v xml:space="preserve"> </v>
      </c>
      <c r="W9" s="552"/>
      <c r="X9" s="5"/>
      <c r="AC9" s="37"/>
      <c r="AE9" s="37"/>
      <c r="AF9" s="37"/>
      <c r="AG9" s="37"/>
      <c r="AH9" s="9"/>
      <c r="AI9" s="9" t="str">
        <f>职业!V10</f>
        <v>任意特长</v>
      </c>
      <c r="AJ9" s="9">
        <f t="shared" si="0"/>
        <v>1</v>
      </c>
      <c r="AK9" s="9"/>
      <c r="AL9" s="9"/>
      <c r="AM9" s="9"/>
      <c r="AN9" s="9"/>
      <c r="AO9" s="9"/>
      <c r="AP9" s="3"/>
      <c r="AQ9" s="3"/>
      <c r="AR9" s="3"/>
      <c r="AS9" s="3"/>
    </row>
    <row r="10" spans="2:51" ht="16.5" customHeight="1">
      <c r="B10" s="674" t="s">
        <v>235</v>
      </c>
      <c r="C10" s="549"/>
      <c r="D10" s="777">
        <f>E10</f>
        <v>13</v>
      </c>
      <c r="E10" s="566">
        <f>INT((J5+J7)/10)</f>
        <v>13</v>
      </c>
      <c r="F10" s="538" t="s">
        <v>236</v>
      </c>
      <c r="G10" s="538"/>
      <c r="H10" s="547">
        <f>IF(AB8="是",POW-AD13,POW)</f>
        <v>55</v>
      </c>
      <c r="I10" s="523">
        <f>IF(ISBLANK(H10),MIN(J26,99-J26),INT(99-J26))</f>
        <v>99</v>
      </c>
      <c r="J10" s="670"/>
      <c r="K10" s="549" t="s">
        <v>590</v>
      </c>
      <c r="L10" s="549"/>
      <c r="M10" s="726">
        <v>75</v>
      </c>
      <c r="N10" s="769">
        <v>99</v>
      </c>
      <c r="O10" s="538" t="s">
        <v>591</v>
      </c>
      <c r="P10" s="538"/>
      <c r="Q10" s="542">
        <f>MP</f>
        <v>11</v>
      </c>
      <c r="R10" s="561">
        <f>P3/5</f>
        <v>11</v>
      </c>
      <c r="S10" s="540"/>
      <c r="T10" s="608" t="s">
        <v>1460</v>
      </c>
      <c r="U10" s="609"/>
      <c r="V10" s="578" t="s">
        <v>97</v>
      </c>
      <c r="W10" s="579"/>
      <c r="X10" s="5"/>
      <c r="Y10" s="779" t="str">
        <f>IF($AB$8="否","","经历包（可选规则：有故事的调查员）")</f>
        <v/>
      </c>
      <c r="Z10" s="779"/>
      <c r="AA10" s="779"/>
      <c r="AB10" s="779"/>
      <c r="AC10" s="779"/>
      <c r="AD10" s="779"/>
      <c r="AE10" s="779"/>
      <c r="AF10" s="779"/>
      <c r="AG10" s="37"/>
      <c r="AH10" s="9"/>
      <c r="AI10" s="9" t="str">
        <f>职业!V11</f>
        <v>无</v>
      </c>
      <c r="AJ10" s="9">
        <f t="shared" si="0"/>
        <v>0</v>
      </c>
      <c r="AK10" s="9"/>
      <c r="AL10" s="9"/>
      <c r="AM10" s="9"/>
      <c r="AN10" s="9"/>
      <c r="AO10" s="9"/>
      <c r="AP10" s="3"/>
      <c r="AQ10" s="3"/>
      <c r="AR10" s="3"/>
      <c r="AS10" s="3"/>
    </row>
    <row r="11" spans="2:51" ht="17.25" customHeight="1">
      <c r="B11" s="675"/>
      <c r="C11" s="550"/>
      <c r="D11" s="778"/>
      <c r="E11" s="567"/>
      <c r="F11" s="539"/>
      <c r="G11" s="539"/>
      <c r="H11" s="548"/>
      <c r="I11" s="524"/>
      <c r="J11" s="671"/>
      <c r="K11" s="550"/>
      <c r="L11" s="550"/>
      <c r="M11" s="727"/>
      <c r="N11" s="770"/>
      <c r="O11" s="539"/>
      <c r="P11" s="539"/>
      <c r="Q11" s="543"/>
      <c r="R11" s="562"/>
      <c r="S11" s="541"/>
      <c r="T11" s="765" t="s">
        <v>1461</v>
      </c>
      <c r="U11" s="766"/>
      <c r="V11" s="526" t="s">
        <v>99</v>
      </c>
      <c r="W11" s="527"/>
      <c r="X11" s="5"/>
      <c r="Y11" s="553" t="str">
        <f>IF($AB$8="否","","经历包名")</f>
        <v/>
      </c>
      <c r="Z11" s="553"/>
      <c r="AA11" s="509" t="str">
        <f>IF($AB$8="否","",IFERROR(LOOKUP($AF$11,职业及经历包!$A$121:$A$127,职业及经历包!B$121:B$127),""))</f>
        <v/>
      </c>
      <c r="AB11" s="509"/>
      <c r="AC11" s="509"/>
      <c r="AD11" s="509"/>
      <c r="AE11" s="38" t="str">
        <f>IF($AB$8="否","","序号")</f>
        <v/>
      </c>
      <c r="AF11" s="39"/>
      <c r="AG11" s="37"/>
      <c r="AH11" s="9"/>
      <c r="AI11" s="9"/>
      <c r="AJ11" s="3"/>
      <c r="AK11" s="3"/>
      <c r="AL11" s="3"/>
      <c r="AM11" s="3"/>
      <c r="AN11" s="3"/>
      <c r="AO11" s="3"/>
      <c r="AP11" s="3"/>
      <c r="AQ11" s="3"/>
      <c r="AR11" s="3"/>
      <c r="AS11" s="3"/>
    </row>
    <row r="12" spans="2:51" ht="17.25" customHeight="1">
      <c r="B12" s="528" t="str">
        <f>IF(F5=0," ","["&amp;LOOKUP(F5,职业及经历包!A2:A117,职业及经历包!B2:B117)&amp;"]的本职技能："&amp;LOOKUP(F5,职业及经历包!A2:A117,职业及经历包!G2:G117))</f>
        <v>[学生、实习生]的本职技能：语言（母语或外语），图书馆，聆听，三个学习的专业，任意两项其他个人或时代特长。</v>
      </c>
      <c r="C12" s="528"/>
      <c r="D12" s="528"/>
      <c r="E12" s="528"/>
      <c r="F12" s="528"/>
      <c r="G12" s="528"/>
      <c r="H12" s="528"/>
      <c r="I12" s="528"/>
      <c r="J12" s="528"/>
      <c r="K12" s="528"/>
      <c r="L12" s="528"/>
      <c r="M12" s="528"/>
      <c r="N12" s="528"/>
      <c r="O12" s="528"/>
      <c r="P12" s="528"/>
      <c r="Q12" s="528"/>
      <c r="R12" s="528"/>
      <c r="S12" s="528"/>
      <c r="T12" s="528"/>
      <c r="U12" s="528"/>
      <c r="V12" s="528"/>
      <c r="W12" s="528"/>
      <c r="X12" s="40"/>
      <c r="Y12" s="553" t="str">
        <f>IF($AB$8="否","",职业及经历包!D120)</f>
        <v/>
      </c>
      <c r="Z12" s="553"/>
      <c r="AA12" s="509" t="str">
        <f>IF($AB$8="否","",IFERROR(LOOKUP($AF$11,职业及经历包!$A$121:$A$127,职业及经历包!D$121:D$127),""))</f>
        <v/>
      </c>
      <c r="AB12" s="509"/>
      <c r="AC12" s="509"/>
      <c r="AD12" s="509"/>
      <c r="AE12" s="509"/>
      <c r="AF12" s="509"/>
      <c r="AG12" s="37"/>
      <c r="AH12" s="9"/>
      <c r="AI12" s="9"/>
      <c r="AJ12" s="3"/>
      <c r="AK12" s="3"/>
      <c r="AL12" s="3"/>
      <c r="AM12" s="3"/>
      <c r="AN12" s="3"/>
      <c r="AO12" s="3"/>
      <c r="AP12" s="3"/>
      <c r="AQ12" s="3"/>
      <c r="AR12" s="3"/>
      <c r="AS12" s="3"/>
    </row>
    <row r="13" spans="2:51" ht="16.5" customHeight="1">
      <c r="B13" s="494" t="s">
        <v>1421</v>
      </c>
      <c r="C13" s="495"/>
      <c r="D13" s="495"/>
      <c r="E13" s="495"/>
      <c r="F13" s="495"/>
      <c r="G13" s="495"/>
      <c r="H13" s="495"/>
      <c r="I13" s="495"/>
      <c r="J13" s="495"/>
      <c r="K13" s="495"/>
      <c r="L13" s="495"/>
      <c r="M13" s="495"/>
      <c r="N13" s="495"/>
      <c r="O13" s="495"/>
      <c r="P13" s="495"/>
      <c r="Q13" s="495"/>
      <c r="R13" s="495"/>
      <c r="S13" s="495"/>
      <c r="T13" s="495"/>
      <c r="U13" s="495"/>
      <c r="V13" s="495"/>
      <c r="W13" s="496"/>
      <c r="X13" s="5"/>
      <c r="Y13" s="553" t="str">
        <f>IF($AB$8="否","",职业及经历包!C120)</f>
        <v/>
      </c>
      <c r="Z13" s="553"/>
      <c r="AA13" s="509" t="str">
        <f>IF($AB$8="否","",IFERROR(LOOKUP($AF$11,职业及经历包!$A$121:$A$127,职业及经历包!C$121:C$127),""))</f>
        <v/>
      </c>
      <c r="AB13" s="509"/>
      <c r="AC13" s="509"/>
      <c r="AD13" s="39" t="str">
        <f>IF($AB$8="否","",IF($AA$13="","","0"))</f>
        <v/>
      </c>
      <c r="AE13" s="553" t="str">
        <f>IF($AB$8="否","",IF($AA$13="","","←此处输入"))</f>
        <v/>
      </c>
      <c r="AF13" s="553"/>
    </row>
    <row r="14" spans="2:51" ht="16.5" customHeight="1">
      <c r="B14" s="41" t="s">
        <v>1076</v>
      </c>
      <c r="C14" s="42" t="s">
        <v>1006</v>
      </c>
      <c r="D14" s="672" t="s">
        <v>109</v>
      </c>
      <c r="E14" s="672"/>
      <c r="F14" s="42" t="s">
        <v>3</v>
      </c>
      <c r="G14" s="42" t="s">
        <v>8</v>
      </c>
      <c r="H14" s="42" t="s">
        <v>1</v>
      </c>
      <c r="I14" s="42" t="s">
        <v>4</v>
      </c>
      <c r="J14" s="672" t="s">
        <v>5</v>
      </c>
      <c r="K14" s="672"/>
      <c r="L14" s="673"/>
      <c r="M14" s="43" t="s">
        <v>480</v>
      </c>
      <c r="N14" s="42" t="s">
        <v>1006</v>
      </c>
      <c r="O14" s="672" t="s">
        <v>109</v>
      </c>
      <c r="P14" s="672"/>
      <c r="Q14" s="42" t="s">
        <v>3</v>
      </c>
      <c r="R14" s="42" t="s">
        <v>8</v>
      </c>
      <c r="S14" s="42" t="s">
        <v>1</v>
      </c>
      <c r="T14" s="42" t="s">
        <v>4</v>
      </c>
      <c r="U14" s="672" t="s">
        <v>5</v>
      </c>
      <c r="V14" s="672"/>
      <c r="W14" s="705"/>
      <c r="Y14" s="553" t="str">
        <f>IF($AB$8="否","",职业及经历包!F120)</f>
        <v/>
      </c>
      <c r="Z14" s="553"/>
      <c r="AA14" s="509" t="str">
        <f>IF($AB$8="否","",IFERROR(LOOKUP($AF$11,职业及经历包!$A$121:$A$127,职业及经历包!F$121:F$127),""))</f>
        <v/>
      </c>
      <c r="AB14" s="509"/>
      <c r="AC14" s="509"/>
      <c r="AD14" s="39" t="str">
        <f>IF($AB$8="否","",IF($AA$13="","",$AA$14))</f>
        <v/>
      </c>
      <c r="AE14" s="553" t="str">
        <f>IF(AB9="否","",IF($AA$14="","","←此处编辑"))</f>
        <v/>
      </c>
      <c r="AF14" s="553"/>
      <c r="AG14" s="37"/>
      <c r="AH14" s="5"/>
      <c r="AI14" s="5"/>
    </row>
    <row r="15" spans="2:51" ht="16.5" customHeight="1">
      <c r="B15" s="44" t="s">
        <v>167</v>
      </c>
      <c r="C15" s="45" t="str">
        <f>IFERROR(IF(OR(COUNTIF(职业!$V$3:$V$11,$D15)=1,COUNTIF($AB$3:$AB$7,$D15)=1),"★",IF(COUNTIF(职业!$Y$3:$Z$3,$D15),"☆",IF(COUNTIF(职业!$Y$5:$Z$5,$D15),"⊙",IF(COUNTIF(职业!$Y$7:$Z$7,$D15),"※",IF(COUNTIF(职业!$Y$9:$AA$9,$D15),"×"," ")))))," ")</f>
        <v xml:space="preserve"> </v>
      </c>
      <c r="D15" s="514" t="s">
        <v>245</v>
      </c>
      <c r="E15" s="514"/>
      <c r="F15" s="46">
        <v>5</v>
      </c>
      <c r="G15" s="47"/>
      <c r="H15" s="47"/>
      <c r="I15" s="47"/>
      <c r="J15" s="46">
        <f t="shared" ref="J15:J48" si="4">SUM(F15:I15)</f>
        <v>5</v>
      </c>
      <c r="K15" s="46">
        <f t="shared" ref="K15:K48" si="5">INT(J15/2)</f>
        <v>2</v>
      </c>
      <c r="L15" s="48">
        <f t="shared" ref="L15:L48" si="6">INT(J15/5)</f>
        <v>1</v>
      </c>
      <c r="M15" s="49" t="s">
        <v>167</v>
      </c>
      <c r="N15" s="45" t="str">
        <f>IFERROR(IF(OR(COUNTIF(职业!$V$3:$V$11,$O15)=1,COUNTIF($AB$3:$AB$7,$O15)=1),"★",IF(COUNTIF(职业!$Y$3:$Z$3,$O15),"☆",IF(COUNTIF(职业!$Y$5:$Z$5,$O15),"⊙",IF(COUNTIF(职业!$Y$7:$Z$7,$O15),"※",IF(COUNTIF(职业!$Y$9:$AA$9,$O15),"×"," ")))))," ")</f>
        <v xml:space="preserve"> </v>
      </c>
      <c r="O15" s="475" t="s">
        <v>6</v>
      </c>
      <c r="P15" s="475"/>
      <c r="Q15" s="46">
        <v>5</v>
      </c>
      <c r="R15" s="47"/>
      <c r="S15" s="47"/>
      <c r="T15" s="47"/>
      <c r="U15" s="46">
        <f t="shared" ref="U15:U37" si="7">SUM(Q15:T15)</f>
        <v>5</v>
      </c>
      <c r="V15" s="46">
        <f>INT(U15/2)</f>
        <v>2</v>
      </c>
      <c r="W15" s="50">
        <f>INT(U15/5)</f>
        <v>1</v>
      </c>
      <c r="X15" s="5"/>
      <c r="Y15" s="553" t="str">
        <f>IF($AB$8="否","",职业及经历包!E120)</f>
        <v/>
      </c>
      <c r="Z15" s="553"/>
      <c r="AA15" s="754" t="str">
        <f>IF($AB$8="否","",IFERROR(LOOKUP($AF$11,职业及经历包!$A$121:$A$127,职业及经历包!E$121:E$127),""))</f>
        <v/>
      </c>
      <c r="AB15" s="754"/>
      <c r="AC15" s="754"/>
      <c r="AD15" s="754"/>
      <c r="AE15" s="754"/>
      <c r="AF15" s="754"/>
      <c r="AG15" s="37"/>
      <c r="AH15" s="5"/>
      <c r="AI15" s="5"/>
    </row>
    <row r="16" spans="2:51" ht="16.5" customHeight="1">
      <c r="B16" s="51" t="s">
        <v>167</v>
      </c>
      <c r="C16" s="52" t="str">
        <f>IFERROR(IF(OR(COUNTIF(职业!$V$3:$V$11,$D16)=1,COUNTIF($AB$3:$AB$7,$D16)=1),"★",IF(COUNTIF(职业!$Y$3:$Z$3,$D16),"☆",IF(COUNTIF(职业!$Y$5:$Z$5,$D16),"⊙",IF(COUNTIF(职业!$Y$7:$Z$7,$D16),"※",IF(COUNTIF(职业!$Y$9:$AA$9,$D16),"×"," ")))))," ")</f>
        <v xml:space="preserve"> </v>
      </c>
      <c r="D16" s="476" t="s">
        <v>72</v>
      </c>
      <c r="E16" s="476"/>
      <c r="F16" s="53">
        <v>1</v>
      </c>
      <c r="G16" s="54"/>
      <c r="H16" s="54"/>
      <c r="I16" s="54"/>
      <c r="J16" s="53">
        <f t="shared" si="4"/>
        <v>1</v>
      </c>
      <c r="K16" s="53">
        <f t="shared" si="5"/>
        <v>0</v>
      </c>
      <c r="L16" s="55">
        <f t="shared" si="6"/>
        <v>0</v>
      </c>
      <c r="M16" s="56" t="s">
        <v>167</v>
      </c>
      <c r="N16" s="52" t="str">
        <f>IFERROR(IF(OR(COUNTIF(职业!$V$3:$V$11,$O16)=1,COUNTIF($AB$3:$AB$7,$O16)=1),"★",IF(COUNTIF(职业!$Y$3:$Z$3,$O16),"☆",IF(COUNTIF(职业!$Y$5:$Z$5,$O16),"⊙",IF(COUNTIF(职业!$Y$7:$Z$7,$O16),"※",IF(COUNTIF(职业!$Y$9:$AA$9,$O16),"×"," ")))))," ")</f>
        <v>★</v>
      </c>
      <c r="O16" s="476" t="s">
        <v>155</v>
      </c>
      <c r="P16" s="476"/>
      <c r="Q16" s="53">
        <v>20</v>
      </c>
      <c r="R16" s="54"/>
      <c r="S16" s="54">
        <v>30</v>
      </c>
      <c r="T16" s="54">
        <v>15</v>
      </c>
      <c r="U16" s="53">
        <f t="shared" si="7"/>
        <v>65</v>
      </c>
      <c r="V16" s="53">
        <f>INT(U16/2)</f>
        <v>32</v>
      </c>
      <c r="W16" s="57">
        <f>INT(U16/5)</f>
        <v>13</v>
      </c>
      <c r="X16" s="5"/>
      <c r="Y16" s="553"/>
      <c r="Z16" s="553"/>
      <c r="AA16" s="754"/>
      <c r="AB16" s="754"/>
      <c r="AC16" s="754"/>
      <c r="AD16" s="754"/>
      <c r="AE16" s="754"/>
      <c r="AF16" s="754"/>
      <c r="AG16" s="37"/>
      <c r="AH16" s="5"/>
      <c r="AI16" s="5"/>
    </row>
    <row r="17" spans="2:35" ht="16.5" customHeight="1">
      <c r="B17" s="44" t="s">
        <v>167</v>
      </c>
      <c r="C17" s="45" t="str">
        <f>IFERROR(IF(OR(COUNTIF(职业!$V$3:$V$11,$D17)=1,COUNTIF($AB$3:$AB$7,$D17)=1),"★",IF(COUNTIF(职业!$Y$3:$Z$3,$D17),"☆",IF(COUNTIF(职业!$Y$5:$Z$5,$D17),"⊙",IF(COUNTIF(职业!$Y$7:$Z$7,$D17),"※",IF(COUNTIF(职业!$Y$9:$AA$9,$D17),"×"," ")))))," ")</f>
        <v xml:space="preserve"> </v>
      </c>
      <c r="D17" s="514" t="s">
        <v>192</v>
      </c>
      <c r="E17" s="514"/>
      <c r="F17" s="46">
        <v>5</v>
      </c>
      <c r="G17" s="47"/>
      <c r="H17" s="47"/>
      <c r="I17" s="47"/>
      <c r="J17" s="46">
        <f t="shared" si="4"/>
        <v>5</v>
      </c>
      <c r="K17" s="46">
        <f t="shared" si="5"/>
        <v>2</v>
      </c>
      <c r="L17" s="48">
        <f t="shared" si="6"/>
        <v>1</v>
      </c>
      <c r="M17" s="49" t="s">
        <v>167</v>
      </c>
      <c r="N17" s="45" t="str">
        <f>IFERROR(IF(OR(COUNTIF(职业!$V$3:$V$11,$O17)=1,COUNTIF($AB$3:$AB$7,$O17)=1),"★",IF(COUNTIF(职业!$Y$3:$Z$3,$O17),"☆",IF(COUNTIF(职业!$Y$5:$Z$5,$O17),"⊙",IF(COUNTIF(职业!$Y$7:$Z$7,$O17),"※",IF(COUNTIF(职业!$Y$9:$AA$9,$O17),"×"," ")))))," ")</f>
        <v>★</v>
      </c>
      <c r="O17" s="475" t="s">
        <v>83</v>
      </c>
      <c r="P17" s="475"/>
      <c r="Q17" s="46">
        <v>20</v>
      </c>
      <c r="R17" s="47"/>
      <c r="S17" s="47">
        <v>30</v>
      </c>
      <c r="T17" s="47">
        <v>20</v>
      </c>
      <c r="U17" s="46">
        <f t="shared" si="7"/>
        <v>70</v>
      </c>
      <c r="V17" s="46">
        <f t="shared" ref="V17:V37" si="8">INT(U17/2)</f>
        <v>35</v>
      </c>
      <c r="W17" s="50">
        <f t="shared" ref="W17:W37" si="9">INT(U17/5)</f>
        <v>14</v>
      </c>
      <c r="X17" s="5"/>
      <c r="Y17" s="553" t="str">
        <f>IF($AB$8="否","",职业及经历包!G120)</f>
        <v/>
      </c>
      <c r="Z17" s="553"/>
      <c r="AA17" s="580" t="str">
        <f>IF($AB$8="否","",IFERROR(LOOKUP($AF$11,职业及经历包!$A$121:$A$127,职业及经历包!G$121:G$127),""))</f>
        <v/>
      </c>
      <c r="AB17" s="580"/>
      <c r="AC17" s="580"/>
      <c r="AD17" s="580"/>
      <c r="AE17" s="580"/>
      <c r="AF17" s="580"/>
      <c r="AG17" s="37"/>
      <c r="AH17" s="5"/>
      <c r="AI17" s="5"/>
    </row>
    <row r="18" spans="2:35">
      <c r="B18" s="51" t="s">
        <v>167</v>
      </c>
      <c r="C18" s="52" t="str">
        <f>IFERROR(IF(OR(COUNTIF(职业!$V$3:$V$11,$D18)=1,COUNTIF($AB$3:$AB$7,$D18)=1),"★",IF(COUNTIF(职业!$Y$3:$Z$3,$D18),"☆",IF(COUNTIF(职业!$Y$5:$Z$5,$D18),"⊙",IF(COUNTIF(职业!$Y$7:$Z$7,$D18),"※",IF(COUNTIF(职业!$Y$9:$AA$9,$D18),"×"," ")))))," ")</f>
        <v xml:space="preserve"> </v>
      </c>
      <c r="D18" s="476" t="s">
        <v>73</v>
      </c>
      <c r="E18" s="476"/>
      <c r="F18" s="53">
        <v>1</v>
      </c>
      <c r="G18" s="54"/>
      <c r="H18" s="54"/>
      <c r="I18" s="54"/>
      <c r="J18" s="53">
        <f t="shared" si="4"/>
        <v>1</v>
      </c>
      <c r="K18" s="53">
        <f t="shared" si="5"/>
        <v>0</v>
      </c>
      <c r="L18" s="55">
        <f t="shared" si="6"/>
        <v>0</v>
      </c>
      <c r="M18" s="56" t="s">
        <v>167</v>
      </c>
      <c r="N18" s="52" t="str">
        <f>IFERROR(IF(OR(COUNTIF(职业!$V$3:$V$11,$O18)=1,COUNTIF($AB$3:$AB$7,$O18)=1),"★",IF(COUNTIF(职业!$Y$3:$Z$3,$O18),"☆",IF(COUNTIF(职业!$Y$5:$Z$5,$O18),"⊙",IF(COUNTIF(职业!$Y$7:$Z$7,$O18),"※",IF(COUNTIF(职业!$Y$9:$AA$9,$O18),"×"," ")))))," ")</f>
        <v xml:space="preserve"> </v>
      </c>
      <c r="O18" s="476" t="s">
        <v>84</v>
      </c>
      <c r="P18" s="476"/>
      <c r="Q18" s="53">
        <v>1</v>
      </c>
      <c r="R18" s="54"/>
      <c r="S18" s="54"/>
      <c r="T18" s="54"/>
      <c r="U18" s="53">
        <f t="shared" si="7"/>
        <v>1</v>
      </c>
      <c r="V18" s="53">
        <f t="shared" si="8"/>
        <v>0</v>
      </c>
      <c r="W18" s="57">
        <f t="shared" si="9"/>
        <v>0</v>
      </c>
      <c r="X18" s="5"/>
      <c r="Y18" s="553"/>
      <c r="Z18" s="553"/>
      <c r="AA18" s="580"/>
      <c r="AB18" s="580"/>
      <c r="AC18" s="580"/>
      <c r="AD18" s="580"/>
      <c r="AE18" s="580"/>
      <c r="AF18" s="580"/>
      <c r="AG18" s="37"/>
      <c r="AH18" s="5"/>
      <c r="AI18" s="5"/>
    </row>
    <row r="19" spans="2:35" ht="16.5" customHeight="1">
      <c r="B19" s="44" t="s">
        <v>167</v>
      </c>
      <c r="C19" s="45" t="str">
        <f>IFERROR(IF(OR(COUNTIF(职业!$V$3:$V$11,$D19)=1,COUNTIF($AB$3:$AB$7,$D19)=1),"★",IF(COUNTIF(职业!$Y$3:$Z$3,$D19),"☆",IF(COUNTIF(职业!$Y$5:$Z$5,$D19),"⊙",IF(COUNTIF(职业!$Y$7:$Z$7,$D19),"※",IF(COUNTIF(职业!$Y$9:$AA$9,$D19),"×"," ")))))," ")</f>
        <v xml:space="preserve"> </v>
      </c>
      <c r="D19" s="58" t="s">
        <v>921</v>
      </c>
      <c r="E19" s="59" t="s">
        <v>1537</v>
      </c>
      <c r="F19" s="46">
        <v>5</v>
      </c>
      <c r="G19" s="47"/>
      <c r="H19" s="47">
        <v>5</v>
      </c>
      <c r="I19" s="47">
        <v>20</v>
      </c>
      <c r="J19" s="46">
        <f t="shared" si="4"/>
        <v>30</v>
      </c>
      <c r="K19" s="46">
        <f t="shared" si="5"/>
        <v>15</v>
      </c>
      <c r="L19" s="48">
        <f t="shared" si="6"/>
        <v>6</v>
      </c>
      <c r="M19" s="49" t="s">
        <v>167</v>
      </c>
      <c r="N19" s="45" t="str">
        <f>IFERROR(IF(OR(COUNTIF(职业!$V$3:$V$11,$O19)=1,COUNTIF($AB$3:$AB$7,$O19)=1),"★",IF(COUNTIF(职业!$Y$3:$Z$3,$O19),"☆",IF(COUNTIF(职业!$Y$5:$Z$5,$O19),"⊙",IF(COUNTIF(职业!$Y$7:$Z$7,$O19),"※",IF(COUNTIF(职业!$Y$9:$AA$9,$O19),"×"," ")))))," ")</f>
        <v xml:space="preserve"> </v>
      </c>
      <c r="O19" s="475" t="s">
        <v>85</v>
      </c>
      <c r="P19" s="475"/>
      <c r="Q19" s="46">
        <v>10</v>
      </c>
      <c r="R19" s="47"/>
      <c r="S19" s="47">
        <v>10</v>
      </c>
      <c r="T19" s="47">
        <v>30</v>
      </c>
      <c r="U19" s="46">
        <f t="shared" si="7"/>
        <v>50</v>
      </c>
      <c r="V19" s="46">
        <f t="shared" si="8"/>
        <v>25</v>
      </c>
      <c r="W19" s="50">
        <f t="shared" si="9"/>
        <v>10</v>
      </c>
      <c r="X19" s="5"/>
      <c r="Y19" s="553"/>
      <c r="Z19" s="553"/>
      <c r="AA19" s="580"/>
      <c r="AB19" s="580"/>
      <c r="AC19" s="580"/>
      <c r="AD19" s="580"/>
      <c r="AE19" s="580"/>
      <c r="AF19" s="580"/>
      <c r="AG19" s="60"/>
      <c r="AH19" s="5"/>
      <c r="AI19" s="5"/>
    </row>
    <row r="20" spans="2:35" ht="16.5" customHeight="1">
      <c r="B20" s="51" t="s">
        <v>167</v>
      </c>
      <c r="C20" s="52" t="str">
        <f>IFERROR(IF(OR(COUNTIF(职业!$V$3:$V$11,$D20)=1,COUNTIF($AB$3:$AB$7,$D20)=1),"★",IF(COUNTIF(职业!$Y$3:$Z$3,$D20),"☆",IF(COUNTIF(职业!$Y$5:$Z$5,$D20),"⊙",IF(COUNTIF(职业!$Y$7:$Z$7,$D20),"※",IF(COUNTIF(职业!$Y$9:$AA$9,$D20),"×"," ")))))," ")</f>
        <v xml:space="preserve"> </v>
      </c>
      <c r="D20" s="61" t="s">
        <v>922</v>
      </c>
      <c r="E20" s="62" t="s">
        <v>1659</v>
      </c>
      <c r="F20" s="53">
        <v>5</v>
      </c>
      <c r="G20" s="54"/>
      <c r="H20" s="54">
        <v>35</v>
      </c>
      <c r="I20" s="54"/>
      <c r="J20" s="53">
        <f t="shared" si="4"/>
        <v>40</v>
      </c>
      <c r="K20" s="53">
        <f t="shared" si="5"/>
        <v>20</v>
      </c>
      <c r="L20" s="55">
        <f t="shared" si="6"/>
        <v>8</v>
      </c>
      <c r="M20" s="56" t="s">
        <v>167</v>
      </c>
      <c r="N20" s="52" t="str">
        <f>IFERROR(IF(OR(COUNTIF(职业!$V$3:$V$11,$O20)=1,COUNTIF($AB$3:$AB$7,$O20)=1),"★",IF(COUNTIF(职业!$Y$3:$Z$3,$O20),"☆",IF(COUNTIF(职业!$Y$5:$Z$5,$O20),"⊙",IF(COUNTIF(职业!$Y$7:$Z$7,$O20),"※",IF(COUNTIF(职业!$Y$9:$AA$9,$O20),"×"," ")))))," ")</f>
        <v xml:space="preserve"> </v>
      </c>
      <c r="O20" s="476" t="s">
        <v>193</v>
      </c>
      <c r="P20" s="476"/>
      <c r="Q20" s="53">
        <v>1</v>
      </c>
      <c r="R20" s="54"/>
      <c r="S20" s="54"/>
      <c r="T20" s="54"/>
      <c r="U20" s="53">
        <f t="shared" si="7"/>
        <v>1</v>
      </c>
      <c r="V20" s="53">
        <f t="shared" si="8"/>
        <v>0</v>
      </c>
      <c r="W20" s="57">
        <f t="shared" si="9"/>
        <v>0</v>
      </c>
      <c r="X20" s="5"/>
      <c r="Y20" s="553" t="str">
        <f>IF($AB$8="否","",职业及经历包!H120)</f>
        <v/>
      </c>
      <c r="Z20" s="553"/>
      <c r="AA20" s="580" t="str">
        <f>IF($AB$8="否","",IFERROR(LOOKUP($AF$11,职业及经历包!$A$121:$A$127,职业及经历包!H$121:H$127),""))</f>
        <v/>
      </c>
      <c r="AB20" s="580"/>
      <c r="AC20" s="580"/>
      <c r="AD20" s="580"/>
      <c r="AE20" s="580"/>
      <c r="AF20" s="580"/>
      <c r="AH20" s="5"/>
      <c r="AI20" s="5"/>
    </row>
    <row r="21" spans="2:35" ht="16.5" customHeight="1">
      <c r="B21" s="44" t="s">
        <v>167</v>
      </c>
      <c r="C21" s="45" t="str">
        <f>IFERROR(IF(OR(COUNTIF(职业!$V$3:$V$11,$D21)=1,COUNTIF($AB$3:$AB$7,$D21)=1),"★",IF(COUNTIF(职业!$Y$3:$Z$3,$D21),"☆",IF(COUNTIF(职业!$Y$5:$Z$5,$D21),"⊙",IF(COUNTIF(职业!$Y$7:$Z$7,$D21),"※",IF(COUNTIF(职业!$Y$9:$AA$9,$D21),"×"," ")))))," ")</f>
        <v xml:space="preserve"> </v>
      </c>
      <c r="D21" s="58" t="s">
        <v>923</v>
      </c>
      <c r="E21" s="59"/>
      <c r="F21" s="46">
        <v>5</v>
      </c>
      <c r="G21" s="47"/>
      <c r="H21" s="47"/>
      <c r="I21" s="47"/>
      <c r="J21" s="46">
        <f t="shared" si="4"/>
        <v>5</v>
      </c>
      <c r="K21" s="46">
        <f t="shared" si="5"/>
        <v>2</v>
      </c>
      <c r="L21" s="48">
        <f t="shared" si="6"/>
        <v>1</v>
      </c>
      <c r="M21" s="49" t="s">
        <v>167</v>
      </c>
      <c r="N21" s="45" t="str">
        <f>IFERROR(IF(OR(COUNTIF(职业!$V$3:$V$11,$O21)=1,COUNTIF($AB$3:$AB$7,$O21)=1),"★",IF(COUNTIF(职业!$Y$3:$Z$3,$O21),"☆",IF(COUNTIF(职业!$Y$5:$Z$5,$O21),"⊙",IF(COUNTIF(职业!$Y$7:$Z$7,$O21),"※",IF(COUNTIF(职业!$Y$9:$AA$9,$O21),"×"," ")))))," ")</f>
        <v xml:space="preserve"> </v>
      </c>
      <c r="O21" s="475" t="s">
        <v>229</v>
      </c>
      <c r="P21" s="475"/>
      <c r="Q21" s="46">
        <v>10</v>
      </c>
      <c r="R21" s="47"/>
      <c r="S21" s="47"/>
      <c r="T21" s="47"/>
      <c r="U21" s="46">
        <f t="shared" si="7"/>
        <v>10</v>
      </c>
      <c r="V21" s="46">
        <f t="shared" si="8"/>
        <v>5</v>
      </c>
      <c r="W21" s="50">
        <f t="shared" si="9"/>
        <v>2</v>
      </c>
      <c r="X21" s="5"/>
      <c r="Y21" s="553"/>
      <c r="Z21" s="553"/>
      <c r="AA21" s="580"/>
      <c r="AB21" s="580"/>
      <c r="AC21" s="580"/>
      <c r="AD21" s="580"/>
      <c r="AE21" s="580"/>
      <c r="AF21" s="580"/>
      <c r="AH21" s="5"/>
      <c r="AI21" s="5"/>
    </row>
    <row r="22" spans="2:35">
      <c r="B22" s="51" t="s">
        <v>167</v>
      </c>
      <c r="C22" s="52" t="str">
        <f>IFERROR(IF(OR(COUNTIF(职业!$V$3:$V$11,$D22)=1,COUNTIF($AB$3:$AB$7,$D22)=1),"★",IF(COUNTIF(职业!$Y$3:$Z$3,$D22),"☆",IF(COUNTIF(职业!$Y$5:$Z$5,$D22),"⊙",IF(COUNTIF(职业!$Y$7:$Z$7,$D22),"※",IF(COUNTIF(职业!$Y$9:$AA$9,$D22),"×"," ")))))," ")&amp;CHAR(10)&amp;IF($K$9=" "," ","☯")</f>
        <v xml:space="preserve"> 
 </v>
      </c>
      <c r="D22" s="476" t="s">
        <v>190</v>
      </c>
      <c r="E22" s="476"/>
      <c r="F22" s="53">
        <v>15</v>
      </c>
      <c r="G22" s="54"/>
      <c r="H22" s="54"/>
      <c r="I22" s="54"/>
      <c r="J22" s="53">
        <f t="shared" si="4"/>
        <v>15</v>
      </c>
      <c r="K22" s="53">
        <f t="shared" si="5"/>
        <v>7</v>
      </c>
      <c r="L22" s="55">
        <f t="shared" si="6"/>
        <v>3</v>
      </c>
      <c r="M22" s="56" t="s">
        <v>167</v>
      </c>
      <c r="N22" s="52" t="str">
        <f>IFERROR(IF(OR(COUNTIF(职业!$V$3:$V$11,$O22)=1,COUNTIF($AB$3:$AB$7,$O22)=1),"★",IF(COUNTIF(职业!$Y$3:$Z$3,$O22),"☆",IF(COUNTIF(职业!$Y$5:$Z$5,$O22),"⊙",IF(COUNTIF(职业!$Y$7:$Z$7,$O22),"※",IF(COUNTIF(职业!$Y$9:$AA$9,$O22),"×"," ")))))," ")</f>
        <v xml:space="preserve"> </v>
      </c>
      <c r="O22" s="476" t="s">
        <v>230</v>
      </c>
      <c r="P22" s="476"/>
      <c r="Q22" s="53">
        <v>10</v>
      </c>
      <c r="R22" s="54"/>
      <c r="S22" s="54"/>
      <c r="T22" s="54"/>
      <c r="U22" s="53">
        <f t="shared" si="7"/>
        <v>10</v>
      </c>
      <c r="V22" s="53">
        <f t="shared" si="8"/>
        <v>5</v>
      </c>
      <c r="W22" s="57">
        <f t="shared" si="9"/>
        <v>2</v>
      </c>
      <c r="X22" s="5"/>
      <c r="Y22" s="553"/>
      <c r="Z22" s="553"/>
      <c r="AA22" s="580"/>
      <c r="AB22" s="580"/>
      <c r="AC22" s="580"/>
      <c r="AD22" s="580"/>
      <c r="AE22" s="580"/>
      <c r="AF22" s="580"/>
      <c r="AH22" s="5"/>
      <c r="AI22" s="5"/>
    </row>
    <row r="23" spans="2:35">
      <c r="B23" s="44" t="s">
        <v>167</v>
      </c>
      <c r="C23" s="45" t="str">
        <f>IFERROR(IF(OR(COUNTIF(职业!$V$3:$V$11,$D23)=1,COUNTIF($AB$3:$AB$7,$D23)=1),"★",IF(COUNTIF(职业!$Y$3:$Z$3,$D23),"☆",IF(COUNTIF(职业!$Y$5:$Z$5,$D23),"⊙",IF(COUNTIF(职业!$Y$7:$Z$7,$D23),"※",IF(COUNTIF(职业!$Y$9:$AA$9,$D23),"×"," ")))))," ")</f>
        <v xml:space="preserve"> </v>
      </c>
      <c r="D23" s="514" t="s">
        <v>74</v>
      </c>
      <c r="E23" s="514"/>
      <c r="F23" s="46">
        <v>20</v>
      </c>
      <c r="G23" s="47"/>
      <c r="H23" s="47"/>
      <c r="I23" s="47"/>
      <c r="J23" s="46">
        <f t="shared" si="4"/>
        <v>20</v>
      </c>
      <c r="K23" s="46">
        <f t="shared" si="5"/>
        <v>10</v>
      </c>
      <c r="L23" s="48">
        <f t="shared" si="6"/>
        <v>4</v>
      </c>
      <c r="M23" s="49" t="s">
        <v>167</v>
      </c>
      <c r="N23" s="45" t="str">
        <f>IFERROR(IF(OR(COUNTIF(职业!$V$3:$V$11,$O23)=1,COUNTIF($AB$3:$AB$7,$O23)=1),"★",IF(COUNTIF(职业!$Y$3:$Z$3,$O23),"☆",IF(COUNTIF(职业!$Y$5:$Z$5,$O23),"⊙",IF(COUNTIF(职业!$Y$7:$Z$7,$O23),"※",IF(COUNTIF(职业!$Y$9:$AA$9,$O23),"×"," ")))))," ")</f>
        <v xml:space="preserve"> </v>
      </c>
      <c r="O23" s="475" t="s">
        <v>86</v>
      </c>
      <c r="P23" s="475"/>
      <c r="Q23" s="46">
        <v>5</v>
      </c>
      <c r="R23" s="47"/>
      <c r="S23" s="47"/>
      <c r="T23" s="47"/>
      <c r="U23" s="46">
        <f t="shared" si="7"/>
        <v>5</v>
      </c>
      <c r="V23" s="46">
        <f t="shared" si="8"/>
        <v>2</v>
      </c>
      <c r="W23" s="50">
        <f t="shared" si="9"/>
        <v>1</v>
      </c>
      <c r="X23" s="5"/>
      <c r="AH23" s="5"/>
      <c r="AI23" s="5"/>
    </row>
    <row r="24" spans="2:35" ht="16.5" customHeight="1">
      <c r="B24" s="51" t="s">
        <v>167</v>
      </c>
      <c r="C24" s="52" t="str">
        <f>IFERROR(IF(OR(COUNTIF(职业!$V$3:$V$11,$D24)=1,COUNTIF($AB$3:$AB$7,$D24)=1),"★",IF(COUNTIF(职业!$Y$3:$Z$3,$D24),"☆",IF(COUNTIF(职业!$Y$5:$Z$5,$D24),"⊙",IF(COUNTIF(职业!$Y$7:$Z$7,$D24),"※",IF(COUNTIF(职业!$Y$9:$AA$9,$D24),"×"," ")))))," ")</f>
        <v xml:space="preserve"> </v>
      </c>
      <c r="D24" s="476" t="s">
        <v>943</v>
      </c>
      <c r="E24" s="476"/>
      <c r="F24" s="53">
        <v>5</v>
      </c>
      <c r="G24" s="54"/>
      <c r="H24" s="54"/>
      <c r="I24" s="54"/>
      <c r="J24" s="53">
        <f t="shared" si="4"/>
        <v>5</v>
      </c>
      <c r="K24" s="53">
        <f t="shared" si="5"/>
        <v>2</v>
      </c>
      <c r="L24" s="55">
        <f t="shared" si="6"/>
        <v>1</v>
      </c>
      <c r="M24" s="56" t="s">
        <v>167</v>
      </c>
      <c r="N24" s="52" t="str">
        <f>IFERROR(IF(OR(COUNTIF(职业!$V$3:$V$11,$O24)=1,COUNTIF($AB$3:$AB$7,$O24)=1),"★",IF(COUNTIF(职业!$Y$3:$Z$3,$O24),"☆",IF(COUNTIF(职业!$Y$5:$Z$5,$O24),"⊙",IF(COUNTIF(职业!$Y$7:$Z$7,$O24),"※",IF(COUNTIF(职业!$Y$9:$AA$9,$O24),"×"," ")))))," ")</f>
        <v xml:space="preserve"> </v>
      </c>
      <c r="O24" s="476" t="s">
        <v>87</v>
      </c>
      <c r="P24" s="476"/>
      <c r="Q24" s="53">
        <v>1</v>
      </c>
      <c r="R24" s="54"/>
      <c r="S24" s="54"/>
      <c r="T24" s="54"/>
      <c r="U24" s="53">
        <f t="shared" si="7"/>
        <v>1</v>
      </c>
      <c r="V24" s="53">
        <f t="shared" si="8"/>
        <v>0</v>
      </c>
      <c r="W24" s="57">
        <f t="shared" si="9"/>
        <v>0</v>
      </c>
      <c r="X24" s="5"/>
      <c r="Y24" s="762" t="str">
        <f>IF(F4="自定义",IF(信誉参照表!V21="在此输入单位","资产（默认美元）","资产（"&amp;信誉参照表!V21&amp;"）"),"资产（默认美元）")</f>
        <v>资产（默认美元）</v>
      </c>
      <c r="Z24" s="763"/>
      <c r="AA24" s="763"/>
      <c r="AB24" s="763"/>
      <c r="AC24" s="763"/>
      <c r="AD24" s="763"/>
      <c r="AE24" s="763"/>
      <c r="AF24" s="764"/>
      <c r="AG24" s="5"/>
      <c r="AH24" s="5"/>
      <c r="AI24" s="5"/>
    </row>
    <row r="25" spans="2:35" ht="16.5" customHeight="1">
      <c r="B25" s="44"/>
      <c r="C25" s="45" t="s">
        <v>1466</v>
      </c>
      <c r="D25" s="514" t="s">
        <v>154</v>
      </c>
      <c r="E25" s="514"/>
      <c r="F25" s="46">
        <v>0</v>
      </c>
      <c r="G25" s="47"/>
      <c r="H25" s="47"/>
      <c r="I25" s="47">
        <v>10</v>
      </c>
      <c r="J25" s="46">
        <f>SUM(F25:I25)</f>
        <v>10</v>
      </c>
      <c r="K25" s="46">
        <f t="shared" si="5"/>
        <v>5</v>
      </c>
      <c r="L25" s="48">
        <f t="shared" si="6"/>
        <v>2</v>
      </c>
      <c r="M25" s="49" t="s">
        <v>167</v>
      </c>
      <c r="N25" s="45" t="str">
        <f>IFERROR(IF(OR(COUNTIF(职业!$V$3:$V$11,$O25)=1,COUNTIF($AB$3:$AB$7,$O25)=1),"★",IF(COUNTIF(职业!$Y$3:$Z$3,$O25),"☆",IF(COUNTIF(职业!$Y$5:$Z$5,$O25),"⊙",IF(COUNTIF(职业!$Y$7:$Z$7,$O25),"※",IF(COUNTIF(职业!$Y$9:$AA$9,$O25),"×"," ")))))," ")&amp;CHAR(10)&amp;IF($K$9=" "," ","☯")</f>
        <v xml:space="preserve"> 
 </v>
      </c>
      <c r="O25" s="475" t="s">
        <v>57</v>
      </c>
      <c r="P25" s="475"/>
      <c r="Q25" s="46">
        <v>10</v>
      </c>
      <c r="R25" s="47"/>
      <c r="S25" s="47"/>
      <c r="T25" s="47"/>
      <c r="U25" s="46">
        <f t="shared" si="7"/>
        <v>10</v>
      </c>
      <c r="V25" s="46">
        <f t="shared" si="8"/>
        <v>5</v>
      </c>
      <c r="W25" s="50">
        <f t="shared" si="9"/>
        <v>2</v>
      </c>
      <c r="X25" s="5"/>
      <c r="Y25" s="487" t="s">
        <v>1632</v>
      </c>
      <c r="Z25" s="488"/>
      <c r="AA25" s="748" t="s">
        <v>1636</v>
      </c>
      <c r="AB25" s="488"/>
      <c r="AC25" s="748" t="s">
        <v>1635</v>
      </c>
      <c r="AD25" s="488"/>
      <c r="AE25" s="748" t="s">
        <v>1634</v>
      </c>
      <c r="AF25" s="780"/>
      <c r="AG25" s="5"/>
      <c r="AH25" s="5"/>
      <c r="AI25" s="5"/>
    </row>
    <row r="26" spans="2:35" ht="16.5" customHeight="1">
      <c r="B26" s="51"/>
      <c r="C26" s="52" t="str">
        <f>IFERROR(IF(OR(COUNTIF(职业!$V$3:$V$11,$D26)=1,COUNTIF($AB$3:$AB$7,$D26)=1),"★",IF(COUNTIF(职业!$Y$3:$Z$3,$D26),"☆",IF(COUNTIF(职业!$Y$5:$Z$5,$D26),"⊙",IF(COUNTIF(职业!$Y$7:$Z$7,$D26),"※",IF(COUNTIF(职业!$Y$9:$AA$9,$D26),"×"," ")))))," ")</f>
        <v xml:space="preserve"> </v>
      </c>
      <c r="D26" s="476" t="s">
        <v>75</v>
      </c>
      <c r="E26" s="476"/>
      <c r="F26" s="53">
        <v>0</v>
      </c>
      <c r="G26" s="54"/>
      <c r="H26" s="54"/>
      <c r="I26" s="53" t="s">
        <v>24</v>
      </c>
      <c r="J26" s="53">
        <f t="shared" si="4"/>
        <v>0</v>
      </c>
      <c r="K26" s="53">
        <f t="shared" si="5"/>
        <v>0</v>
      </c>
      <c r="L26" s="55">
        <f t="shared" si="6"/>
        <v>0</v>
      </c>
      <c r="M26" s="56" t="s">
        <v>167</v>
      </c>
      <c r="N26" s="52" t="str">
        <f>IFERROR(IF(OR(COUNTIF(职业!$V$3:$V$11,$O26)=1,COUNTIF($AB$3:$AB$7,$O26)=1),"★",IF(COUNTIF(职业!$Y$3:$Z$3,$O26),"☆",IF(COUNTIF(职业!$Y$5:$Z$5,$O26),"⊙",IF(COUNTIF(职业!$Y$7:$Z$7,$O26),"※",IF(COUNTIF(职业!$Y$9:$AA$9,$O26),"×"," ")))))," ")</f>
        <v xml:space="preserve"> </v>
      </c>
      <c r="O26" s="63" t="s">
        <v>958</v>
      </c>
      <c r="P26" s="64"/>
      <c r="Q26" s="53">
        <v>1</v>
      </c>
      <c r="R26" s="54"/>
      <c r="S26" s="54"/>
      <c r="T26" s="54"/>
      <c r="U26" s="53">
        <f t="shared" si="7"/>
        <v>1</v>
      </c>
      <c r="V26" s="53">
        <f t="shared" si="8"/>
        <v>0</v>
      </c>
      <c r="W26" s="57">
        <f t="shared" si="9"/>
        <v>0</v>
      </c>
      <c r="X26" s="9">
        <f>IF(Y26="身无分文",1,IF(Y26="贫穷",2,IF(Y26="标准",3,IF(Y26="小康",4,IF(Y26="富裕",5,IF(Y26="富豪",6))))))</f>
        <v>3</v>
      </c>
      <c r="Y26" s="753" t="str">
        <f>LOOKUP(J25,{0,1,10,50,90,99},{"身无分文","贫穷","标准","小康","富裕","富豪"})</f>
        <v>标准</v>
      </c>
      <c r="Z26" s="592"/>
      <c r="AA26" s="591">
        <f>IF($F$4="1920s",VLOOKUP($X$26,信誉参照表!$E$6:$J$11,6,FALSE),IF($F$4="现代",VLOOKUP($X$26,信誉参照表!$K$6:$P$11,6,FALSE),VLOOKUP($X$26,信誉参照表!$Q$6:$V$11,6,FALSE)))</f>
        <v>200</v>
      </c>
      <c r="AB26" s="592"/>
      <c r="AC26" s="591">
        <f>IF($F$4="1920s",VLOOKUP($X$26,信誉参照表!$E$6:$J$11,5,FALSE),IF($F$4="现代",VLOOKUP($X$26,信誉参照表!$K$6:$P$11,5,FALSE),VLOOKUP($X$26,信誉参照表!$Q$6:$V$11,5,FALSE)))</f>
        <v>10000</v>
      </c>
      <c r="AD26" s="592"/>
      <c r="AE26" s="591">
        <f>IF($F$4="1920s",VLOOKUP($X$26,信誉参照表!$E$6:$J$11,4,FALSE),IF($F$4="现代",VLOOKUP($X$26,信誉参照表!$K$6:$P$11,4,FALSE),VLOOKUP($X$26,信誉参照表!$Q$6:$V$11,4,FALSE)))</f>
        <v>400</v>
      </c>
      <c r="AF26" s="752"/>
      <c r="AG26" s="5"/>
      <c r="AH26" s="5"/>
      <c r="AI26" s="5"/>
    </row>
    <row r="27" spans="2:35">
      <c r="B27" s="44" t="s">
        <v>167</v>
      </c>
      <c r="C27" s="45" t="str">
        <f>IFERROR(IF(OR(COUNTIF(职业!$V$3:$V$11,$D27)=1,COUNTIF($AB$3:$AB$7,$D27)=1),"★",IF(COUNTIF(职业!$Y$3:$Z$3,$D27),"☆",IF(COUNTIF(职业!$Y$5:$Z$5,$D27),"⊙",IF(COUNTIF(职业!$Y$7:$Z$7,$D27),"※",IF(COUNTIF(职业!$Y$9:$AA$9,$D27),"×"," ")))))," ")</f>
        <v xml:space="preserve"> </v>
      </c>
      <c r="D27" s="514" t="s">
        <v>76</v>
      </c>
      <c r="E27" s="514"/>
      <c r="F27" s="46">
        <v>5</v>
      </c>
      <c r="G27" s="47"/>
      <c r="H27" s="47"/>
      <c r="I27" s="47"/>
      <c r="J27" s="46">
        <f t="shared" si="4"/>
        <v>5</v>
      </c>
      <c r="K27" s="46">
        <f t="shared" si="5"/>
        <v>2</v>
      </c>
      <c r="L27" s="48">
        <f t="shared" si="6"/>
        <v>1</v>
      </c>
      <c r="M27" s="49" t="s">
        <v>167</v>
      </c>
      <c r="N27" s="45" t="str">
        <f>IFERROR(IF(OR(COUNTIF(职业!$V$3:$V$11,$O27)=1,COUNTIF($AB$3:$AB$7,$O27)=1),"★",IF(COUNTIF(职业!$Y$3:$Z$3,$O27),"☆",IF(COUNTIF(职业!$Y$5:$Z$5,$O27),"⊙",IF(COUNTIF(职业!$Y$7:$Z$7,$O27),"※",IF(COUNTIF(职业!$Y$9:$AA$9,$O27),"×"," ")))))," ")</f>
        <v xml:space="preserve"> </v>
      </c>
      <c r="O27" s="475" t="s">
        <v>88</v>
      </c>
      <c r="P27" s="475"/>
      <c r="Q27" s="46">
        <v>1</v>
      </c>
      <c r="R27" s="47"/>
      <c r="S27" s="47"/>
      <c r="T27" s="47"/>
      <c r="U27" s="46">
        <f t="shared" si="7"/>
        <v>1</v>
      </c>
      <c r="V27" s="46">
        <f t="shared" si="8"/>
        <v>0</v>
      </c>
      <c r="W27" s="50">
        <f t="shared" si="9"/>
        <v>0</v>
      </c>
      <c r="X27" s="5"/>
      <c r="Y27" s="477" t="s">
        <v>1548</v>
      </c>
      <c r="Z27" s="478"/>
      <c r="AA27" s="571" t="str">
        <f>LOOKUP(J25,{0,1,10,50,90,99},{"连贫穷都够不上的人才能够叫做身无分文。","刚好买得起最廉价的屋顶，每天能够吃到一餐廉价食物。","舒适的生活水平，一日三餐，偶尔下馆子。","小康级别已经可以享受奢侈品的舒适了。","富裕级别就是享受超级奢侈品的时候了。","与富裕差不多，但钱已经只是一个代号了。你将是世界上最富有的人。"})</f>
        <v>舒适的生活水平，一日三餐，偶尔下馆子。</v>
      </c>
      <c r="AB27" s="572"/>
      <c r="AC27" s="572"/>
      <c r="AD27" s="572"/>
      <c r="AE27" s="572"/>
      <c r="AF27" s="573"/>
      <c r="AG27" s="5"/>
      <c r="AH27" s="5"/>
      <c r="AI27" s="5"/>
    </row>
    <row r="28" spans="2:35" ht="16.5" customHeight="1">
      <c r="B28" s="51" t="s">
        <v>167</v>
      </c>
      <c r="C28" s="52" t="str">
        <f>IFERROR(IF(OR(COUNTIF(职业!$V$3:$V$11,$D28)=1,COUNTIF($AB$3:$AB$7,$D28)=1),"★",IF(COUNTIF(职业!$Y$3:$Z$3,$D28),"☆",IF(COUNTIF(职业!$Y$5:$Z$5,$D28),"⊙",IF(COUNTIF(职业!$Y$7:$Z$7,$D28),"※",IF(COUNTIF(职业!$Y$9:$AA$9,$D28),"×"," ")))))," ")</f>
        <v xml:space="preserve"> </v>
      </c>
      <c r="D28" s="476" t="s">
        <v>77</v>
      </c>
      <c r="E28" s="476"/>
      <c r="F28" s="53">
        <f>INT(M3/2)</f>
        <v>27</v>
      </c>
      <c r="G28" s="54"/>
      <c r="H28" s="54"/>
      <c r="I28" s="54">
        <v>33</v>
      </c>
      <c r="J28" s="53">
        <f t="shared" si="4"/>
        <v>60</v>
      </c>
      <c r="K28" s="53">
        <f t="shared" si="5"/>
        <v>30</v>
      </c>
      <c r="L28" s="55">
        <f t="shared" si="6"/>
        <v>12</v>
      </c>
      <c r="M28" s="56" t="s">
        <v>167</v>
      </c>
      <c r="N28" s="52" t="str">
        <f>IFERROR(IF(OR(COUNTIF(职业!$V$3:$V$11,$O28)=1,COUNTIF($AB$3:$AB$7,$O28)=1),"★",IF(COUNTIF(职业!$Y$3:$Z$3,$O28),"☆",IF(COUNTIF(职业!$Y$5:$Z$5,$O28),"⊙",IF(COUNTIF(职业!$Y$7:$Z$7,$O28),"※",IF(COUNTIF(职业!$Y$9:$AA$9,$O28),"×"," ")))))," ")</f>
        <v xml:space="preserve"> </v>
      </c>
      <c r="O28" s="476" t="s">
        <v>89</v>
      </c>
      <c r="P28" s="476"/>
      <c r="Q28" s="53">
        <v>10</v>
      </c>
      <c r="R28" s="54"/>
      <c r="S28" s="54">
        <v>35</v>
      </c>
      <c r="T28" s="54">
        <v>7</v>
      </c>
      <c r="U28" s="53">
        <f t="shared" si="7"/>
        <v>52</v>
      </c>
      <c r="V28" s="53">
        <f t="shared" si="8"/>
        <v>26</v>
      </c>
      <c r="W28" s="57">
        <f t="shared" si="9"/>
        <v>10</v>
      </c>
      <c r="Y28" s="479"/>
      <c r="Z28" s="480"/>
      <c r="AA28" s="574"/>
      <c r="AB28" s="575"/>
      <c r="AC28" s="575"/>
      <c r="AD28" s="575"/>
      <c r="AE28" s="575"/>
      <c r="AF28" s="576"/>
    </row>
    <row r="29" spans="2:35">
      <c r="B29" s="44" t="s">
        <v>167</v>
      </c>
      <c r="C29" s="45" t="str">
        <f>IFERROR(IF(OR(COUNTIF(职业!$V$3:$V$11,$D29)=1,COUNTIF($AB$3:$AB$7,$D29)=1),"★",IF(COUNTIF(职业!$Y$3:$Z$3,$D29),"☆",IF(COUNTIF(职业!$Y$5:$Z$5,$D29),"⊙",IF(COUNTIF(职业!$Y$7:$Z$7,$D29),"※",IF(COUNTIF(职业!$Y$9:$AA$9,$D29),"×"," ")))))," ")</f>
        <v xml:space="preserve"> </v>
      </c>
      <c r="D29" s="514" t="s">
        <v>78</v>
      </c>
      <c r="E29" s="514"/>
      <c r="F29" s="46">
        <v>20</v>
      </c>
      <c r="G29" s="47"/>
      <c r="H29" s="47"/>
      <c r="I29" s="47"/>
      <c r="J29" s="46">
        <f t="shared" si="4"/>
        <v>20</v>
      </c>
      <c r="K29" s="46">
        <f t="shared" si="5"/>
        <v>10</v>
      </c>
      <c r="L29" s="48">
        <f t="shared" si="6"/>
        <v>4</v>
      </c>
      <c r="M29" s="49" t="s">
        <v>167</v>
      </c>
      <c r="N29" s="45" t="str">
        <f>IFERROR(IF(OR(COUNTIF(职业!$V$3:$V$11,$O29)=1,COUNTIF($AB$3:$AB$7,$O29)=1),"★",IF(COUNTIF(职业!$Y$3:$Z$3,$O29),"☆",IF(COUNTIF(职业!$Y$5:$Z$5,$O29),"⊙",IF(COUNTIF(职业!$Y$7:$Z$7,$O29),"※",IF(COUNTIF(职业!$Y$9:$AA$9,$O29),"×","")))))," ")&amp;(IF(F5=107,"×",""))</f>
        <v/>
      </c>
      <c r="O29" s="475" t="s">
        <v>946</v>
      </c>
      <c r="P29" s="475"/>
      <c r="Q29" s="46">
        <v>5</v>
      </c>
      <c r="R29" s="47"/>
      <c r="S29" s="47"/>
      <c r="T29" s="47"/>
      <c r="U29" s="46">
        <f t="shared" si="7"/>
        <v>5</v>
      </c>
      <c r="V29" s="46">
        <f t="shared" si="8"/>
        <v>2</v>
      </c>
      <c r="W29" s="50">
        <f t="shared" si="9"/>
        <v>1</v>
      </c>
      <c r="Y29" s="755" t="s">
        <v>1564</v>
      </c>
      <c r="Z29" s="756"/>
      <c r="AA29" s="616" t="str">
        <f>LOOKUP(J25,{0,1,10,50,90,99},{"大概只有睡大街。","最最最廉价的出租屋或睡袋旅馆。","普通的家或公寓，并关租赁还是自购。外出住普通的旅馆。","真材实料的住地，也许会有一些仆人。乡下估计还有小别墅。会住昂贵的宾馆。","豪华住所和有着大量仆人的庭院。乡下和别处有着别墅是定番，住总统套房。","钱已经只是一个代号。"})</f>
        <v>普通的家或公寓，并关租赁还是自购。外出住普通的旅馆。</v>
      </c>
      <c r="AB29" s="617"/>
      <c r="AC29" s="617"/>
      <c r="AD29" s="617"/>
      <c r="AE29" s="617"/>
      <c r="AF29" s="618"/>
    </row>
    <row r="30" spans="2:35">
      <c r="B30" s="51" t="s">
        <v>167</v>
      </c>
      <c r="C30" s="52" t="str">
        <f>IFERROR(IF(OR(COUNTIF(职业!$V$3:$V$11,$D30)=1,COUNTIF($AB$3:$AB$7,$D30)=1),"★",IF(COUNTIF(职业!$Y$3:$Z$3,$D30),"☆",IF(COUNTIF(职业!$Y$5:$Z$5,$D30),"⊙",IF(COUNTIF(职业!$Y$7:$Z$7,$D30),"※",IF(COUNTIF(职业!$Y$9:$AA$9,$D30),"×"," ")))))," ")</f>
        <v xml:space="preserve"> </v>
      </c>
      <c r="D30" s="476" t="s">
        <v>79</v>
      </c>
      <c r="E30" s="476"/>
      <c r="F30" s="53">
        <v>10</v>
      </c>
      <c r="G30" s="54"/>
      <c r="H30" s="54"/>
      <c r="I30" s="65"/>
      <c r="J30" s="53">
        <f t="shared" si="4"/>
        <v>10</v>
      </c>
      <c r="K30" s="53">
        <f t="shared" si="5"/>
        <v>5</v>
      </c>
      <c r="L30" s="55">
        <f t="shared" si="6"/>
        <v>2</v>
      </c>
      <c r="M30" s="56" t="s">
        <v>167</v>
      </c>
      <c r="N30" s="52" t="str">
        <f>IFERROR(IF(OR(COUNTIF(职业!$V$3:$V$11,$O30)=1,COUNTIF($AB$3:$AB$7,$O30)=1),"★",IF(COUNTIF(职业!$Y$3:$Z$3,$O30),"☆",IF(COUNTIF(职业!$Y$5:$Z$5,$O30),"⊙",IF(COUNTIF(职业!$Y$7:$Z$7,$O30),"※",IF(COUNTIF(职业!$Y$9:$AA$9,$O30),"×"," ")))))," ")</f>
        <v xml:space="preserve"> </v>
      </c>
      <c r="O30" s="61" t="s">
        <v>941</v>
      </c>
      <c r="P30" s="64" t="s">
        <v>1469</v>
      </c>
      <c r="Q30" s="53">
        <v>1</v>
      </c>
      <c r="R30" s="54"/>
      <c r="S30" s="54"/>
      <c r="T30" s="54"/>
      <c r="U30" s="53">
        <f t="shared" si="7"/>
        <v>1</v>
      </c>
      <c r="V30" s="53">
        <f t="shared" si="8"/>
        <v>0</v>
      </c>
      <c r="W30" s="57">
        <f t="shared" si="9"/>
        <v>0</v>
      </c>
      <c r="Y30" s="757"/>
      <c r="Z30" s="758"/>
      <c r="AA30" s="619"/>
      <c r="AB30" s="620"/>
      <c r="AC30" s="620"/>
      <c r="AD30" s="620"/>
      <c r="AE30" s="620"/>
      <c r="AF30" s="621"/>
    </row>
    <row r="31" spans="2:35">
      <c r="B31" s="44" t="s">
        <v>167</v>
      </c>
      <c r="C31" s="45" t="str">
        <f>IFERROR(IF(OR(COUNTIF(职业!$V$3:$V$11,$D31)=1,COUNTIF($AB$3:$AB$7,$D31)=1),"★",IF(COUNTIF(职业!$Y$3:$Z$3,$D31),"☆",IF(COUNTIF(职业!$Y$5:$Z$5,$D31),"⊙",IF(COUNTIF(职业!$Y$7:$Z$7,$D31),"※",IF(COUNTIF(职业!$Y$9:$AA$9,$D31),"×"," ")))))," ")</f>
        <v xml:space="preserve"> </v>
      </c>
      <c r="D31" s="514" t="s">
        <v>913</v>
      </c>
      <c r="E31" s="514"/>
      <c r="F31" s="46">
        <v>1</v>
      </c>
      <c r="G31" s="47"/>
      <c r="H31" s="47"/>
      <c r="I31" s="47"/>
      <c r="J31" s="46">
        <f t="shared" si="4"/>
        <v>1</v>
      </c>
      <c r="K31" s="46">
        <f t="shared" si="5"/>
        <v>0</v>
      </c>
      <c r="L31" s="48">
        <f t="shared" si="6"/>
        <v>0</v>
      </c>
      <c r="M31" s="49" t="s">
        <v>167</v>
      </c>
      <c r="N31" s="45" t="str">
        <f>IFERROR(IF(OR(COUNTIF(职业!$V$3:$V$11,$O31)=1,COUNTIF($AB$3:$AB$7,$O31)=1),"★",IF(COUNTIF(职业!$Y$3:$Z$3,$O31),"☆",IF(COUNTIF(职业!$Y$5:$Z$5,$O31),"⊙",IF(COUNTIF(职业!$Y$7:$Z$7,$O31),"※",IF(COUNTIF(职业!$Y$9:$AA$9,$O31),"×"," ")))))," ")</f>
        <v xml:space="preserve"> </v>
      </c>
      <c r="O31" s="66" t="s">
        <v>926</v>
      </c>
      <c r="P31" s="67"/>
      <c r="Q31" s="46">
        <v>1</v>
      </c>
      <c r="R31" s="47"/>
      <c r="S31" s="47"/>
      <c r="T31" s="47"/>
      <c r="U31" s="46">
        <f t="shared" si="7"/>
        <v>1</v>
      </c>
      <c r="V31" s="46">
        <f t="shared" si="8"/>
        <v>0</v>
      </c>
      <c r="W31" s="50">
        <f t="shared" si="9"/>
        <v>0</v>
      </c>
      <c r="Y31" s="477" t="s">
        <v>1565</v>
      </c>
      <c r="Z31" s="478"/>
      <c r="AA31" s="622" t="str">
        <f>LOOKUP(J25,{0,1,10,50,90,99},{"步行，扒车或逃票上火车轮船。","最便宜的公众运输方式。反正只要赶便宜就对了，与之相伴的是不可靠。","会使用普通的旅行方式，不会用最高级。在现代来看，大概会有一辆自己的小车。","头等舱。会买高档车或同等的交通工具。","坐头等舱。现代社会估摸还会有很多豪车。","钱已经只是一个代号。"})</f>
        <v>会使用普通的旅行方式，不会用最高级。在现代来看，大概会有一辆自己的小车。</v>
      </c>
      <c r="AB31" s="623"/>
      <c r="AC31" s="623"/>
      <c r="AD31" s="623"/>
      <c r="AE31" s="623"/>
      <c r="AF31" s="624"/>
    </row>
    <row r="32" spans="2:35">
      <c r="B32" s="51" t="s">
        <v>167</v>
      </c>
      <c r="C32" s="68" t="str">
        <f>IFERROR(IF(OR(COUNTIF(职业!$V$3:$V$11,$D32)=1,COUNTIF($AB$3:$AB$7,$D32)=1),"★",IF(COUNTIF(职业!$Y$3:$Z$3,$D32),"☆",IF(COUNTIF(职业!$Y$5:$Z$5,$D32),"⊙",IF(COUNTIF(职业!$Y$7:$Z$7,$D32),"※",IF(COUNTIF(职业!$Y$9:$AA$9,$D32),"×"," ")))))," ")&amp;CHAR(10)&amp;IF($K$9=" "," ","☯")</f>
        <v xml:space="preserve"> 
 </v>
      </c>
      <c r="D32" s="476" t="s">
        <v>80</v>
      </c>
      <c r="E32" s="476"/>
      <c r="F32" s="53">
        <v>5</v>
      </c>
      <c r="G32" s="54"/>
      <c r="H32" s="54"/>
      <c r="I32" s="54"/>
      <c r="J32" s="53">
        <f t="shared" si="4"/>
        <v>5</v>
      </c>
      <c r="K32" s="53">
        <f t="shared" si="5"/>
        <v>2</v>
      </c>
      <c r="L32" s="55">
        <f t="shared" si="6"/>
        <v>1</v>
      </c>
      <c r="M32" s="56" t="s">
        <v>167</v>
      </c>
      <c r="N32" s="52" t="str">
        <f>IFERROR(IF(OR(COUNTIF(职业!$V$3:$V$11,$O32)=1,COUNTIF($AB$3:$AB$7,$O32)=1),"★",IF(COUNTIF(职业!$Y$3:$Z$3,$O32),"☆",IF(COUNTIF(职业!$Y$5:$Z$5,$O32),"⊙",IF(COUNTIF(职业!$Y$7:$Z$7,$O32),"※",IF(COUNTIF(职业!$Y$9:$AA$9,$O32),"×"," ")))))," ")</f>
        <v xml:space="preserve"> </v>
      </c>
      <c r="O32" s="63" t="s">
        <v>939</v>
      </c>
      <c r="P32" s="64"/>
      <c r="Q32" s="53">
        <v>1</v>
      </c>
      <c r="R32" s="54"/>
      <c r="S32" s="54"/>
      <c r="T32" s="54"/>
      <c r="U32" s="53">
        <f t="shared" si="7"/>
        <v>1</v>
      </c>
      <c r="V32" s="53">
        <f t="shared" si="8"/>
        <v>0</v>
      </c>
      <c r="W32" s="57">
        <f t="shared" si="9"/>
        <v>0</v>
      </c>
      <c r="Y32" s="708"/>
      <c r="Z32" s="709"/>
      <c r="AA32" s="625"/>
      <c r="AB32" s="626"/>
      <c r="AC32" s="626"/>
      <c r="AD32" s="626"/>
      <c r="AE32" s="626"/>
      <c r="AF32" s="627"/>
    </row>
    <row r="33" spans="1:32">
      <c r="A33" s="69"/>
      <c r="B33" s="44" t="s">
        <v>167</v>
      </c>
      <c r="C33" s="45" t="str">
        <f>IFERROR(IF(OR(COUNTIF(职业!$V$3:$V$11,$E33)=1,COUNTIF($AB$3:$AB$7,$E33)=1),"★",IF(COUNTIF(职业!$Y$3:$Z$3,$E33),"☆",IF(COUNTIF(职业!$Y$5:$Z$5,$E33),"⊙",IF(COUNTIF(职业!$Y$7:$Z$7,$E33),"※",IF(COUNTIF(职业!$Y$9:$AA$9,$E33),"×"," ")))))," ")</f>
        <v xml:space="preserve"> </v>
      </c>
      <c r="D33" s="70" t="s">
        <v>1468</v>
      </c>
      <c r="E33" s="71" t="s">
        <v>1030</v>
      </c>
      <c r="F33" s="72">
        <v>25</v>
      </c>
      <c r="G33" s="47"/>
      <c r="H33" s="47"/>
      <c r="I33" s="47">
        <v>5</v>
      </c>
      <c r="J33" s="46">
        <f t="shared" si="4"/>
        <v>30</v>
      </c>
      <c r="K33" s="46">
        <f t="shared" si="5"/>
        <v>15</v>
      </c>
      <c r="L33" s="48">
        <f t="shared" si="6"/>
        <v>6</v>
      </c>
      <c r="M33" s="49" t="s">
        <v>167</v>
      </c>
      <c r="N33" s="45" t="str">
        <f>IFERROR(IF(OR(COUNTIF(职业!$V$3:$V$11,$O33)=1,COUNTIF($AB$3:$AB$7,$O33)=1),"★",IF(COUNTIF(职业!$Y$3:$Z$3,$O33),"☆",IF(COUNTIF(职业!$Y$5:$Z$5,$O33),"⊙",IF(COUNTIF(职业!$Y$7:$Z$7,$O33),"※",IF(COUNTIF(职业!$Y$9:$AA$9,$O33),"×"," ")))))," ")</f>
        <v xml:space="preserve"> </v>
      </c>
      <c r="O33" s="475" t="s">
        <v>91</v>
      </c>
      <c r="P33" s="475"/>
      <c r="Q33" s="46">
        <v>10</v>
      </c>
      <c r="R33" s="47"/>
      <c r="S33" s="47"/>
      <c r="T33" s="47"/>
      <c r="U33" s="46">
        <f t="shared" si="7"/>
        <v>10</v>
      </c>
      <c r="V33" s="46">
        <f t="shared" si="8"/>
        <v>5</v>
      </c>
      <c r="W33" s="50">
        <f t="shared" si="9"/>
        <v>2</v>
      </c>
      <c r="Y33" s="728" t="s">
        <v>1586</v>
      </c>
      <c r="Z33" s="729"/>
      <c r="AA33" s="729"/>
      <c r="AB33" s="729"/>
      <c r="AC33" s="729"/>
      <c r="AD33" s="729"/>
      <c r="AE33" s="729"/>
      <c r="AF33" s="730"/>
    </row>
    <row r="34" spans="1:32" ht="16.5" customHeight="1">
      <c r="A34" s="69"/>
      <c r="B34" s="51" t="s">
        <v>167</v>
      </c>
      <c r="C34" s="52" t="str">
        <f>IFERROR(IF(OR(COUNTIF(职业!$V$3:$V$11,$D34)=1,COUNTIF($AB$3:$AB$7,$D34)=1),"★",IF(COUNTIF(职业!$Y$3:$Z$3,$D34),"☆",IF(COUNTIF(职业!$Y$5:$Z$5,$D34),"⊙",IF(COUNTIF(职业!$Y$7:$Z$7,$D34),"※",IF(COUNTIF(职业!$Y$9:$AA$9,$D34),"×"," ")))))," ")</f>
        <v xml:space="preserve"> </v>
      </c>
      <c r="D34" s="61" t="s">
        <v>927</v>
      </c>
      <c r="E34" s="64"/>
      <c r="F34" s="53" t="str">
        <f>IF(ISNA(LOOKUP(E34,分支技能!$H$4:$H$11,分支技能!$I$4:$I$11)),"0",LOOKUP(E34,分支技能!$H$4:$H$11,分支技能!$I$4:$I$11))</f>
        <v>0</v>
      </c>
      <c r="G34" s="54"/>
      <c r="H34" s="54"/>
      <c r="I34" s="54"/>
      <c r="J34" s="53">
        <f t="shared" si="4"/>
        <v>0</v>
      </c>
      <c r="K34" s="53">
        <f t="shared" si="5"/>
        <v>0</v>
      </c>
      <c r="L34" s="55">
        <f t="shared" si="6"/>
        <v>0</v>
      </c>
      <c r="M34" s="56" t="s">
        <v>167</v>
      </c>
      <c r="N34" s="52" t="str">
        <f>IFERROR(IF(OR(COUNTIF(职业!$V$3:$V$11,$O34)=1,COUNTIF($AB$3:$AB$7,$O34)=1),"★",IF(COUNTIF(职业!$Y$3:$Z$3,$O34),"☆",IF(COUNTIF(职业!$Y$5:$Z$5,$O34),"⊙",IF(COUNTIF(职业!$Y$7:$Z$7,$O34),"※",IF(COUNTIF(职业!$Y$9:$AA$9,$O34),"×"," ")))))," ")</f>
        <v xml:space="preserve"> </v>
      </c>
      <c r="O34" s="476" t="s">
        <v>231</v>
      </c>
      <c r="P34" s="476"/>
      <c r="Q34" s="53">
        <v>25</v>
      </c>
      <c r="R34" s="54"/>
      <c r="S34" s="54"/>
      <c r="T34" s="54"/>
      <c r="U34" s="53">
        <f t="shared" si="7"/>
        <v>25</v>
      </c>
      <c r="V34" s="53">
        <f t="shared" si="8"/>
        <v>12</v>
      </c>
      <c r="W34" s="57">
        <f t="shared" si="9"/>
        <v>5</v>
      </c>
      <c r="Y34" s="731"/>
      <c r="Z34" s="732"/>
      <c r="AA34" s="732"/>
      <c r="AB34" s="732"/>
      <c r="AC34" s="732"/>
      <c r="AD34" s="732"/>
      <c r="AE34" s="732"/>
      <c r="AF34" s="733"/>
    </row>
    <row r="35" spans="1:32">
      <c r="A35" s="69"/>
      <c r="B35" s="44" t="s">
        <v>167</v>
      </c>
      <c r="C35" s="45" t="str">
        <f>IFERROR(IF(OR(COUNTIF(职业!$V$3:$V$11,$D35)=1,COUNTIF($AB$3:$AB$7,$D35)=1),"★",IF(COUNTIF(职业!$Y$3:$Z$3,$D35),"☆",IF(COUNTIF(职业!$Y$5:$Z$5,$D35),"⊙",IF(COUNTIF(职业!$Y$7:$Z$7,$D35),"※",IF(COUNTIF(职业!$Y$9:$AA$9,$D35),"×"," ")))))," ")</f>
        <v xml:space="preserve"> </v>
      </c>
      <c r="D35" s="70" t="s">
        <v>928</v>
      </c>
      <c r="E35" s="71"/>
      <c r="F35" s="72" t="str">
        <f>IF(ISNA(LOOKUP(E35,分支技能!$H$4:$H$11,分支技能!$I$4:$I$11)),"0",LOOKUP(E35,分支技能!$H$4:$H$11,分支技能!$I$4:$I$11))</f>
        <v>0</v>
      </c>
      <c r="G35" s="47"/>
      <c r="H35" s="47"/>
      <c r="I35" s="47"/>
      <c r="J35" s="46">
        <f t="shared" si="4"/>
        <v>0</v>
      </c>
      <c r="K35" s="46">
        <f t="shared" si="5"/>
        <v>0</v>
      </c>
      <c r="L35" s="48">
        <f t="shared" si="6"/>
        <v>0</v>
      </c>
      <c r="M35" s="49" t="s">
        <v>167</v>
      </c>
      <c r="N35" s="45" t="str">
        <f>IFERROR(IF(OR(COUNTIF(职业!$V$3:$V$11,$O35)=1,COUNTIF($AB$3:$AB$7,$O35)=1),"★",IF(COUNTIF(职业!$Y$3:$Z$3,$O35),"☆",IF(COUNTIF(职业!$Y$5:$Z$5,$O35),"⊙",IF(COUNTIF(职业!$Y$7:$Z$7,$O35),"※",IF(COUNTIF(职业!$Y$9:$AA$9,$O35),"×"," ")))))," ")</f>
        <v xml:space="preserve"> </v>
      </c>
      <c r="O35" s="475" t="s">
        <v>92</v>
      </c>
      <c r="P35" s="475"/>
      <c r="Q35" s="46">
        <v>20</v>
      </c>
      <c r="R35" s="47"/>
      <c r="S35" s="47"/>
      <c r="T35" s="47"/>
      <c r="U35" s="46">
        <f t="shared" si="7"/>
        <v>20</v>
      </c>
      <c r="V35" s="46">
        <f t="shared" si="8"/>
        <v>10</v>
      </c>
      <c r="W35" s="50">
        <f t="shared" si="9"/>
        <v>4</v>
      </c>
      <c r="Y35" s="731"/>
      <c r="Z35" s="732"/>
      <c r="AA35" s="732"/>
      <c r="AB35" s="732"/>
      <c r="AC35" s="732"/>
      <c r="AD35" s="732"/>
      <c r="AE35" s="732"/>
      <c r="AF35" s="733"/>
    </row>
    <row r="36" spans="1:32" ht="16.5" customHeight="1">
      <c r="A36" s="69"/>
      <c r="B36" s="51" t="s">
        <v>167</v>
      </c>
      <c r="C36" s="68" t="str">
        <f>IFERROR(IF(OR(COUNTIF(职业!$V$3:$V$11,$E36)=1,COUNTIF($AB$3:$AB$7,$E36)=1),"★",IF(COUNTIF(职业!$Y$3:$Z$3,$E36),"☆",IF(COUNTIF(职业!$Y$5:$Z$5,$E36),"⊙",IF(COUNTIF(职业!$Y$7:$Z$7,$E36),"※",IF(COUNTIF(职业!$Y$9:$AA$9,$E36),"×"," ")))))," ")</f>
        <v xml:space="preserve"> </v>
      </c>
      <c r="D36" s="73" t="s">
        <v>1057</v>
      </c>
      <c r="E36" s="74" t="s">
        <v>1044</v>
      </c>
      <c r="F36" s="53">
        <v>20</v>
      </c>
      <c r="G36" s="54"/>
      <c r="H36" s="54"/>
      <c r="I36" s="54"/>
      <c r="J36" s="53">
        <f t="shared" si="4"/>
        <v>20</v>
      </c>
      <c r="K36" s="53">
        <f t="shared" si="5"/>
        <v>10</v>
      </c>
      <c r="L36" s="55">
        <f t="shared" si="6"/>
        <v>4</v>
      </c>
      <c r="M36" s="56" t="s">
        <v>167</v>
      </c>
      <c r="N36" s="52" t="str">
        <f>IFERROR(IF(OR(COUNTIF(职业!$V$3:$V$11,$O36)=1,COUNTIF($AB$3:$AB$7,$O36)=1),"★",IF(COUNTIF(职业!$Y$3:$Z$3,$O36),"☆",IF(COUNTIF(职业!$Y$5:$Z$5,$O36),"⊙",IF(COUNTIF(职业!$Y$7:$Z$7,$O36),"※",IF(COUNTIF(职业!$Y$9:$AA$9,$O36),"×"," ")))))," ")</f>
        <v xml:space="preserve"> </v>
      </c>
      <c r="O36" s="63" t="s">
        <v>950</v>
      </c>
      <c r="P36" s="64"/>
      <c r="Q36" s="53">
        <v>10</v>
      </c>
      <c r="R36" s="54"/>
      <c r="S36" s="54"/>
      <c r="T36" s="54"/>
      <c r="U36" s="53">
        <f t="shared" si="7"/>
        <v>10</v>
      </c>
      <c r="V36" s="53">
        <f t="shared" si="8"/>
        <v>5</v>
      </c>
      <c r="W36" s="57">
        <f t="shared" si="9"/>
        <v>2</v>
      </c>
      <c r="Y36" s="734"/>
      <c r="Z36" s="735"/>
      <c r="AA36" s="735"/>
      <c r="AB36" s="735"/>
      <c r="AC36" s="735"/>
      <c r="AD36" s="735"/>
      <c r="AE36" s="735"/>
      <c r="AF36" s="736"/>
    </row>
    <row r="37" spans="1:32">
      <c r="A37" s="69"/>
      <c r="B37" s="44" t="s">
        <v>167</v>
      </c>
      <c r="C37" s="45" t="str">
        <f>IFERROR(IF(OR(COUNTIF(职业!$V$3:$V$11,$D37)=1,COUNTIF($AB$3:$AB$7,$D37)=1),"★",IF(COUNTIF(职业!$Y$3:$Z$3,$D37),"☆",IF(COUNTIF(职业!$Y$5:$Z$5,$D37),"⊙",IF(COUNTIF(职业!$Y$7:$Z$7,$D37),"※",IF(COUNTIF(职业!$Y$9:$AA$9,$D37),"×"," ")))))," ")</f>
        <v xml:space="preserve"> </v>
      </c>
      <c r="D37" s="66" t="s">
        <v>929</v>
      </c>
      <c r="E37" s="75" t="s">
        <v>1536</v>
      </c>
      <c r="F37" s="46">
        <f>IF(ISNA(LOOKUP(E37,分支技能!K4:K10,分支技能!L4:L10)),"0",LOOKUP(E37,分支技能!K4:K10,分支技能!L4:L10))</f>
        <v>15</v>
      </c>
      <c r="G37" s="47"/>
      <c r="H37" s="47"/>
      <c r="I37" s="47"/>
      <c r="J37" s="46">
        <f t="shared" si="4"/>
        <v>15</v>
      </c>
      <c r="K37" s="46">
        <f t="shared" si="5"/>
        <v>7</v>
      </c>
      <c r="L37" s="48">
        <f t="shared" si="6"/>
        <v>3</v>
      </c>
      <c r="M37" s="49" t="s">
        <v>167</v>
      </c>
      <c r="N37" s="45" t="str">
        <f>IFERROR(IF(OR(COUNTIF(职业!$V$3:$V$11,$O37)=1,COUNTIF($AB$3:$AB$7,$O37)=1),"★",IF(COUNTIF(职业!$Y$3:$Z$3,$O37),"☆",IF(COUNTIF(职业!$Y$5:$Z$5,$O37),"⊙",IF(COUNTIF(职业!$Y$7:$Z$7,$O37),"※",IF(COUNTIF(职业!$Y$9:$AA$9,$O37),"×"," ")))))," ")</f>
        <v xml:space="preserve"> </v>
      </c>
      <c r="O37" s="475" t="s">
        <v>93</v>
      </c>
      <c r="P37" s="475"/>
      <c r="Q37" s="46">
        <v>20</v>
      </c>
      <c r="R37" s="47"/>
      <c r="S37" s="47"/>
      <c r="T37" s="47"/>
      <c r="U37" s="46">
        <f t="shared" si="7"/>
        <v>20</v>
      </c>
      <c r="V37" s="46">
        <f t="shared" si="8"/>
        <v>10</v>
      </c>
      <c r="W37" s="50">
        <f t="shared" si="9"/>
        <v>4</v>
      </c>
    </row>
    <row r="38" spans="1:32" ht="16.5" customHeight="1">
      <c r="A38" s="69"/>
      <c r="B38" s="51" t="s">
        <v>167</v>
      </c>
      <c r="C38" s="52" t="str">
        <f>IFERROR(IF(OR(COUNTIF(职业!$V$3:$V$11,$D38)=1,COUNTIF($AB$3:$AB$7,$D38)=1),"★",IF(COUNTIF(职业!$Y$3:$Z$3,$D38),"☆",IF(COUNTIF(职业!$Y$5:$Z$5,$D38),"⊙",IF(COUNTIF(职业!$Y$7:$Z$7,$D38),"※",IF(COUNTIF(职业!$Y$9:$AA$9,$D38),"×"," ")))))," ")</f>
        <v xml:space="preserve"> </v>
      </c>
      <c r="D38" s="73" t="s">
        <v>930</v>
      </c>
      <c r="E38" s="62"/>
      <c r="F38" s="53" t="str">
        <f>IF(ISNA(LOOKUP(E38,分支技能!K4:K10,分支技能!L4:L10)),"0",LOOKUP(E38,分支技能!K4:K10,分支技能!L4:L10))</f>
        <v>0</v>
      </c>
      <c r="G38" s="54"/>
      <c r="H38" s="54"/>
      <c r="I38" s="54"/>
      <c r="J38" s="53">
        <f t="shared" si="4"/>
        <v>0</v>
      </c>
      <c r="K38" s="53">
        <f t="shared" si="5"/>
        <v>0</v>
      </c>
      <c r="L38" s="55">
        <f t="shared" si="6"/>
        <v>0</v>
      </c>
      <c r="M38" s="56" t="s">
        <v>167</v>
      </c>
      <c r="N38" s="52" t="str">
        <f>IFERROR(IF(OR(COUNTIF(职业!$V$3:$V$11,$O38)=1,COUNTIF($AB$3:$AB$7,$O38)=1),"★",IF(COUNTIF(职业!$Y$3:$Z$3,$O38),"☆",IF(COUNTIF(职业!$Y$5:$Z$5,$O38),"⊙",IF(COUNTIF(职业!$Y$7:$Z$7,$O38),"※",IF(COUNTIF(职业!$Y$9:$AA$9,$O38),"×"," ")))))," ")</f>
        <v xml:space="preserve"> </v>
      </c>
      <c r="O38" s="476" t="s">
        <v>1004</v>
      </c>
      <c r="P38" s="476"/>
      <c r="Q38" s="53">
        <v>5</v>
      </c>
      <c r="R38" s="54"/>
      <c r="S38" s="54"/>
      <c r="T38" s="54"/>
      <c r="U38" s="53">
        <f t="shared" ref="U38:U43" si="10">SUM(Q38:T38)</f>
        <v>5</v>
      </c>
      <c r="V38" s="53">
        <f t="shared" ref="V38:V43" si="11">INT(U38/2)</f>
        <v>2</v>
      </c>
      <c r="W38" s="57">
        <f t="shared" ref="W38:W43" si="12">INT(U38/5)</f>
        <v>1</v>
      </c>
      <c r="Y38" s="588" t="s">
        <v>233</v>
      </c>
      <c r="Z38" s="589"/>
      <c r="AA38" s="589"/>
      <c r="AB38" s="589"/>
      <c r="AC38" s="589"/>
      <c r="AD38" s="589"/>
      <c r="AE38" s="589"/>
      <c r="AF38" s="590"/>
    </row>
    <row r="39" spans="1:32">
      <c r="B39" s="44" t="s">
        <v>167</v>
      </c>
      <c r="C39" s="45" t="str">
        <f>IFERROR(IF(OR(COUNTIF(职业!$V$3:$V$11,$D39)=1,COUNTIF($AB$3:$AB$7,$D39)=1),"★",IF(COUNTIF(职业!$Y$3:$Z$3,$D39),"☆",IF(COUNTIF(职业!$Y$5:$Z$5,$D39),"⊙",IF(COUNTIF(职业!$Y$7:$Z$7,$D39),"※",IF(COUNTIF(职业!$Y$9:$AA$9,$D39),"×"," ")))))," ")</f>
        <v xml:space="preserve"> </v>
      </c>
      <c r="D39" s="514" t="s">
        <v>234</v>
      </c>
      <c r="E39" s="514"/>
      <c r="F39" s="46">
        <v>30</v>
      </c>
      <c r="G39" s="47"/>
      <c r="H39" s="47"/>
      <c r="I39" s="47"/>
      <c r="J39" s="46">
        <f t="shared" si="4"/>
        <v>30</v>
      </c>
      <c r="K39" s="46">
        <f t="shared" si="5"/>
        <v>15</v>
      </c>
      <c r="L39" s="48">
        <f t="shared" si="6"/>
        <v>6</v>
      </c>
      <c r="M39" s="49" t="s">
        <v>167</v>
      </c>
      <c r="N39" s="45" t="str">
        <f>IFERROR(IF(OR(COUNTIF(职业!$V$3:$V$11,$O39)=1,COUNTIF($AB$3:$AB$7,$O39)=1),"★",IF(COUNTIF(职业!$Y$3:$Z$3,$O39),"☆",IF(COUNTIF(职业!$Y$5:$Z$5,$O39),"⊙",IF(COUNTIF(职业!$Y$7:$Z$7,$O39),"※",IF(COUNTIF(职业!$Y$9:$AA$9,$O39),"×"," ")))))," ")</f>
        <v xml:space="preserve"> </v>
      </c>
      <c r="O39" s="475" t="s">
        <v>1393</v>
      </c>
      <c r="P39" s="475"/>
      <c r="Q39" s="46">
        <v>1</v>
      </c>
      <c r="R39" s="47"/>
      <c r="S39" s="47"/>
      <c r="T39" s="47"/>
      <c r="U39" s="46">
        <f t="shared" si="10"/>
        <v>1</v>
      </c>
      <c r="V39" s="46">
        <f t="shared" si="11"/>
        <v>0</v>
      </c>
      <c r="W39" s="50">
        <f t="shared" si="12"/>
        <v>0</v>
      </c>
      <c r="Y39" s="484" t="s">
        <v>1584</v>
      </c>
      <c r="Z39" s="485"/>
      <c r="AA39" s="485"/>
      <c r="AB39" s="485"/>
      <c r="AC39" s="485"/>
      <c r="AD39" s="485"/>
      <c r="AE39" s="485"/>
      <c r="AF39" s="486"/>
    </row>
    <row r="40" spans="1:32">
      <c r="B40" s="51" t="s">
        <v>167</v>
      </c>
      <c r="C40" s="52" t="str">
        <f>IFERROR(IF(OR(COUNTIF(职业!$V$3:$V$11,$D40)=1,COUNTIF($AB$3:$AB$7,$D40)=1),"★",IF(COUNTIF(职业!$Y$3:$Z$3,$D40),"☆",IF(COUNTIF(职业!$Y$5:$Z$5,$D40),"⊙",IF(COUNTIF(职业!$Y$7:$Z$7,$D40),"※",IF(COUNTIF(职业!$Y$9:$AA$9,$D40),"×"," ")))))," ")</f>
        <v xml:space="preserve"> </v>
      </c>
      <c r="D40" s="476" t="s">
        <v>191</v>
      </c>
      <c r="E40" s="476"/>
      <c r="F40" s="53">
        <v>5</v>
      </c>
      <c r="G40" s="54"/>
      <c r="H40" s="54">
        <v>45</v>
      </c>
      <c r="I40" s="54"/>
      <c r="J40" s="53">
        <f t="shared" si="4"/>
        <v>50</v>
      </c>
      <c r="K40" s="53">
        <f t="shared" si="5"/>
        <v>25</v>
      </c>
      <c r="L40" s="55">
        <f t="shared" si="6"/>
        <v>10</v>
      </c>
      <c r="M40" s="56" t="s">
        <v>167</v>
      </c>
      <c r="N40" s="52" t="str">
        <f>IFERROR(IF(OR(COUNTIF(职业!$V$3:$V$11,$O40)=1,COUNTIF($AB$3:$AB$7,$O40)=1),"★",IF(COUNTIF(职业!$Y$3:$Z$3,$O40),"☆",IF(COUNTIF(职业!$Y$5:$Z$5,$O40),"⊙",IF(COUNTIF(职业!$Y$7:$Z$7,$O40),"※",IF(COUNTIF(职业!$Y$9:$AA$9,$O40),"×"," ")))))," ")</f>
        <v xml:space="preserve"> </v>
      </c>
      <c r="O40" s="476" t="s">
        <v>1394</v>
      </c>
      <c r="P40" s="476"/>
      <c r="Q40" s="53">
        <v>1</v>
      </c>
      <c r="R40" s="54"/>
      <c r="S40" s="54"/>
      <c r="T40" s="54"/>
      <c r="U40" s="53">
        <f t="shared" si="10"/>
        <v>1</v>
      </c>
      <c r="V40" s="53">
        <f t="shared" si="11"/>
        <v>0</v>
      </c>
      <c r="W40" s="57">
        <f t="shared" si="12"/>
        <v>0</v>
      </c>
      <c r="Y40" s="481"/>
      <c r="Z40" s="482"/>
      <c r="AA40" s="482"/>
      <c r="AB40" s="482"/>
      <c r="AC40" s="482"/>
      <c r="AD40" s="482"/>
      <c r="AE40" s="482"/>
      <c r="AF40" s="483"/>
    </row>
    <row r="41" spans="1:32">
      <c r="B41" s="44" t="s">
        <v>167</v>
      </c>
      <c r="C41" s="45" t="str">
        <f>IFERROR(IF(OR(COUNTIF(职业!$V$3:$V$11,$D41)=1,COUNTIF($AB$3:$AB$7,$D41)=1),"★",IF(COUNTIF(职业!$Y$3:$Z$3,$D41),"☆",IF(COUNTIF(职业!$Y$5:$Z$5,$D41),"⊙",IF(COUNTIF(职业!$Y$7:$Z$7,$D41),"※",IF(COUNTIF(职业!$Y$9:$AA$9,$D41),"×"," ")))))," ")&amp;CHAR(10)&amp;IF($K$9=" "," ","☯")</f>
        <v xml:space="preserve"> 
 </v>
      </c>
      <c r="D41" s="514" t="s">
        <v>81</v>
      </c>
      <c r="E41" s="514"/>
      <c r="F41" s="46">
        <v>15</v>
      </c>
      <c r="G41" s="47"/>
      <c r="H41" s="47"/>
      <c r="I41" s="47"/>
      <c r="J41" s="46">
        <f t="shared" si="4"/>
        <v>15</v>
      </c>
      <c r="K41" s="46">
        <f t="shared" si="5"/>
        <v>7</v>
      </c>
      <c r="L41" s="48">
        <f t="shared" si="6"/>
        <v>3</v>
      </c>
      <c r="M41" s="49" t="s">
        <v>167</v>
      </c>
      <c r="N41" s="45" t="str">
        <f>IFERROR(IF(OR(COUNTIF(职业!$V$3:$V$11,$O41)=1,COUNTIF($AB$3:$AB$7,$O41)=1),"★",IF(COUNTIF(职业!$Y$3:$Z$3,$O41),"☆",IF(COUNTIF(职业!$Y$5:$Z$5,$O41),"⊙",IF(COUNTIF(职业!$Y$7:$Z$7,$O41),"※",IF(COUNTIF(职业!$Y$9:$AA$9,$O41),"×"," ")))))," ")</f>
        <v xml:space="preserve"> </v>
      </c>
      <c r="O41" s="475" t="s">
        <v>1395</v>
      </c>
      <c r="P41" s="475"/>
      <c r="Q41" s="46">
        <v>1</v>
      </c>
      <c r="R41" s="47"/>
      <c r="S41" s="47"/>
      <c r="T41" s="47"/>
      <c r="U41" s="46">
        <f t="shared" si="10"/>
        <v>1</v>
      </c>
      <c r="V41" s="46">
        <f t="shared" si="11"/>
        <v>0</v>
      </c>
      <c r="W41" s="50">
        <f t="shared" si="12"/>
        <v>0</v>
      </c>
      <c r="Y41" s="484"/>
      <c r="Z41" s="485"/>
      <c r="AA41" s="485"/>
      <c r="AB41" s="485"/>
      <c r="AC41" s="485"/>
      <c r="AD41" s="485"/>
      <c r="AE41" s="485"/>
      <c r="AF41" s="486"/>
    </row>
    <row r="42" spans="1:32">
      <c r="B42" s="51" t="s">
        <v>167</v>
      </c>
      <c r="C42" s="52" t="str">
        <f>IFERROR(IF(OR(COUNTIF(职业!$V$3:$V$11,$D42)=1,COUNTIF($AB$3:$AB$7,$D42)=1),"★",IF(COUNTIF(职业!$Y$3:$Z$3,$D42),"☆",IF(COUNTIF(职业!$Y$5:$Z$5,$D42),"⊙",IF(COUNTIF(职业!$Y$7:$Z$7,$D42),"※",IF(COUNTIF(职业!$Y$9:$AA$9,$D42),"×"," ")))))," ")</f>
        <v xml:space="preserve"> </v>
      </c>
      <c r="D42" s="476" t="s">
        <v>82</v>
      </c>
      <c r="E42" s="476"/>
      <c r="F42" s="53">
        <v>20</v>
      </c>
      <c r="G42" s="54"/>
      <c r="H42" s="54"/>
      <c r="I42" s="54"/>
      <c r="J42" s="53">
        <f t="shared" si="4"/>
        <v>20</v>
      </c>
      <c r="K42" s="53">
        <f t="shared" si="5"/>
        <v>10</v>
      </c>
      <c r="L42" s="55">
        <f t="shared" si="6"/>
        <v>4</v>
      </c>
      <c r="M42" s="56" t="s">
        <v>167</v>
      </c>
      <c r="N42" s="52" t="str">
        <f>IFERROR(IF(OR(COUNTIF(职业!$V$3:$V$11,$O42)=1,COUNTIF($AB$3:$AB$7,$O42)=1),"★",IF(COUNTIF(职业!$Y$3:$Z$3,$O42),"☆",IF(COUNTIF(职业!$Y$5:$Z$5,$O42),"⊙",IF(COUNTIF(职业!$Y$7:$Z$7,$O42),"※",IF(COUNTIF(职业!$Y$9:$AA$9,$O42),"×"," ")))))," ")</f>
        <v xml:space="preserve"> </v>
      </c>
      <c r="O42" s="476" t="s">
        <v>1396</v>
      </c>
      <c r="P42" s="476"/>
      <c r="Q42" s="53">
        <v>1</v>
      </c>
      <c r="R42" s="54"/>
      <c r="S42" s="54"/>
      <c r="T42" s="54"/>
      <c r="U42" s="53">
        <f t="shared" si="10"/>
        <v>1</v>
      </c>
      <c r="V42" s="53">
        <f t="shared" si="11"/>
        <v>0</v>
      </c>
      <c r="W42" s="57">
        <f t="shared" si="12"/>
        <v>0</v>
      </c>
      <c r="Y42" s="481"/>
      <c r="Z42" s="482"/>
      <c r="AA42" s="482"/>
      <c r="AB42" s="482"/>
      <c r="AC42" s="482"/>
      <c r="AD42" s="482"/>
      <c r="AE42" s="482"/>
      <c r="AF42" s="483"/>
    </row>
    <row r="43" spans="1:32" ht="16.5" customHeight="1">
      <c r="B43" s="44" t="s">
        <v>167</v>
      </c>
      <c r="C43" s="45" t="str">
        <f>IFERROR(IF(OR(COUNTIF(职业!$V$3:$V$11,$D43)=1,COUNTIF($AB$3:$AB$7,$D43)=1),"★",IF(COUNTIF(职业!$Y$3:$Z$3,$D43),"☆",IF(COUNTIF(职业!$Y$5:$Z$5,$D43),"⊙",IF(COUNTIF(职业!$Y$7:$Z$7,$D43),"※",IF(COUNTIF(职业!$Y$9:$AA$9,$D43),"×"," ")))))," ")</f>
        <v>☆</v>
      </c>
      <c r="D43" s="76" t="s">
        <v>932</v>
      </c>
      <c r="E43" s="449" t="s">
        <v>1664</v>
      </c>
      <c r="F43" s="46">
        <v>1</v>
      </c>
      <c r="G43" s="47"/>
      <c r="H43" s="47">
        <v>49</v>
      </c>
      <c r="I43" s="47"/>
      <c r="J43" s="46">
        <f t="shared" si="4"/>
        <v>50</v>
      </c>
      <c r="K43" s="46">
        <f t="shared" si="5"/>
        <v>25</v>
      </c>
      <c r="L43" s="48">
        <f t="shared" si="6"/>
        <v>10</v>
      </c>
      <c r="M43" s="49" t="s">
        <v>167</v>
      </c>
      <c r="N43" s="45" t="str">
        <f>IFERROR(IF(OR(COUNTIF(职业!$V$3:$V$11,$O43)=1,COUNTIF($AB$3:$AB$7,$O43)=1),"★",IF(COUNTIF(职业!$Y$3:$Z$3,$O43),"☆",IF(COUNTIF(职业!$Y$5:$Z$5,$O43),"⊙",IF(COUNTIF(职业!$Y$7:$Z$7,$O43),"※",IF(COUNTIF(职业!$Y$9:$AA$9,$O43),"×"," ")))))," ")</f>
        <v xml:space="preserve"> </v>
      </c>
      <c r="O43" s="475" t="s">
        <v>1397</v>
      </c>
      <c r="P43" s="475"/>
      <c r="Q43" s="46">
        <v>1</v>
      </c>
      <c r="R43" s="47"/>
      <c r="S43" s="47"/>
      <c r="T43" s="47"/>
      <c r="U43" s="46">
        <f t="shared" si="10"/>
        <v>1</v>
      </c>
      <c r="V43" s="46">
        <f t="shared" si="11"/>
        <v>0</v>
      </c>
      <c r="W43" s="50">
        <f t="shared" si="12"/>
        <v>0</v>
      </c>
      <c r="Y43" s="484"/>
      <c r="Z43" s="485"/>
      <c r="AA43" s="485"/>
      <c r="AB43" s="485"/>
      <c r="AC43" s="485"/>
      <c r="AD43" s="485"/>
      <c r="AE43" s="485"/>
      <c r="AF43" s="486"/>
    </row>
    <row r="44" spans="1:32">
      <c r="B44" s="51" t="s">
        <v>167</v>
      </c>
      <c r="C44" s="52" t="str">
        <f>IFERROR(IF(OR(COUNTIF(职业!$V$3:$V$11,$D44)=1,COUNTIF($AB$3:$AB$7,$D44)=1),"★",IF(COUNTIF(职业!$Y$3:$Z$3,$D44),"☆",IF(COUNTIF(职业!$Y$5:$Z$5,$D44),"⊙",IF(COUNTIF(职业!$Y$7:$Z$7,$D44),"※",IF(COUNTIF(职业!$Y$9:$AA$9,$D44),"×"," ")))))," ")</f>
        <v xml:space="preserve"> </v>
      </c>
      <c r="D44" s="63" t="s">
        <v>1398</v>
      </c>
      <c r="E44" s="64"/>
      <c r="F44" s="53">
        <v>1</v>
      </c>
      <c r="G44" s="54"/>
      <c r="H44" s="54"/>
      <c r="I44" s="54"/>
      <c r="J44" s="53">
        <f t="shared" si="4"/>
        <v>1</v>
      </c>
      <c r="K44" s="53">
        <f t="shared" si="5"/>
        <v>0</v>
      </c>
      <c r="L44" s="55">
        <f t="shared" si="6"/>
        <v>0</v>
      </c>
      <c r="M44" s="56" t="s">
        <v>167</v>
      </c>
      <c r="N44" s="52" t="str">
        <f>IFERROR(IF(OR(COUNTIF(职业!$V$3:$V$11,$O44)=1,COUNTIF($AB$3:$AB$7,$O44)=1),"★",IF(COUNTIF(职业!$Y$3:$Z$3,$O44),"☆",IF(COUNTIF(职业!$Y$5:$Z$5,$O44),"⊙",IF(COUNTIF(职业!$Y$7:$Z$7,$O44),"※",IF(COUNTIF(职业!$Y$9:$AA$9,$O44),"×"," ")))))," ")</f>
        <v xml:space="preserve"> </v>
      </c>
      <c r="O44" s="77" t="s">
        <v>1480</v>
      </c>
      <c r="P44" s="78"/>
      <c r="Q44" s="54">
        <v>1</v>
      </c>
      <c r="R44" s="54"/>
      <c r="S44" s="54"/>
      <c r="T44" s="54"/>
      <c r="U44" s="53">
        <f>IF(SUM(Q44:T44)&lt;&gt;0,SUM(Q44:T44),"")</f>
        <v>1</v>
      </c>
      <c r="V44" s="53">
        <f>IF(U44="","",INT(U44/2))</f>
        <v>0</v>
      </c>
      <c r="W44" s="57">
        <f>IF(U44="","",INT(U44/5))</f>
        <v>0</v>
      </c>
      <c r="Y44" s="481"/>
      <c r="Z44" s="482"/>
      <c r="AA44" s="482"/>
      <c r="AB44" s="482"/>
      <c r="AC44" s="482"/>
      <c r="AD44" s="482"/>
      <c r="AE44" s="482"/>
      <c r="AF44" s="483"/>
    </row>
    <row r="45" spans="1:32" ht="16.5" customHeight="1">
      <c r="B45" s="44" t="s">
        <v>167</v>
      </c>
      <c r="C45" s="45" t="str">
        <f>IFERROR(IF(OR(COUNTIF(职业!$V$3:$V$11,$D45)=1,COUNTIF($AB$3:$AB$7,$D45)=1),"★",IF(COUNTIF(职业!$Y$3:$Z$3,$D45),"☆",IF(COUNTIF(职业!$Y$5:$Z$5,$D45),"⊙",IF(COUNTIF(职业!$Y$7:$Z$7,$D45),"※",IF(COUNTIF(职业!$Y$9:$AA$9,$D45),"×"," ")))))," ")</f>
        <v xml:space="preserve"> </v>
      </c>
      <c r="D45" s="79" t="s">
        <v>934</v>
      </c>
      <c r="E45" s="80"/>
      <c r="F45" s="46">
        <v>1</v>
      </c>
      <c r="G45" s="47"/>
      <c r="H45" s="47"/>
      <c r="I45" s="47"/>
      <c r="J45" s="46">
        <f t="shared" si="4"/>
        <v>1</v>
      </c>
      <c r="K45" s="46">
        <f t="shared" si="5"/>
        <v>0</v>
      </c>
      <c r="L45" s="48">
        <f t="shared" si="6"/>
        <v>0</v>
      </c>
      <c r="M45" s="49" t="s">
        <v>167</v>
      </c>
      <c r="N45" s="81" t="str">
        <f>(IF(N44="","",IF(OR(O45="",O45="可自设"),"","自设")))</f>
        <v/>
      </c>
      <c r="O45" s="628" t="s">
        <v>1538</v>
      </c>
      <c r="P45" s="628"/>
      <c r="Q45" s="47"/>
      <c r="R45" s="47"/>
      <c r="S45" s="47"/>
      <c r="T45" s="47"/>
      <c r="U45" s="46" t="str">
        <f>IF(SUM(Q45:T45)&lt;&gt;0,SUM(Q45:T45),"")</f>
        <v/>
      </c>
      <c r="V45" s="46" t="str">
        <f>IF(U45="","",INT(U45/2))</f>
        <v/>
      </c>
      <c r="W45" s="50" t="str">
        <f>IF(U45="","",INT(U45/5))</f>
        <v/>
      </c>
      <c r="Y45" s="484"/>
      <c r="Z45" s="485"/>
      <c r="AA45" s="485"/>
      <c r="AB45" s="485"/>
      <c r="AC45" s="485"/>
      <c r="AD45" s="485"/>
      <c r="AE45" s="485"/>
      <c r="AF45" s="486"/>
    </row>
    <row r="46" spans="1:32">
      <c r="B46" s="51" t="s">
        <v>167</v>
      </c>
      <c r="C46" s="52" t="str">
        <f>IFERROR(IF(OR(COUNTIF(职业!$V$3:$V$11,$D46)=1,COUNTIF($AB$3:$AB$7,$D46)=1),"★",IF(COUNTIF(职业!$Y$3:$Z$3,$D46),"☆",IF(COUNTIF(职业!$Y$5:$Z$5,$D46),"⊙",IF(COUNTIF(职业!$Y$7:$Z$7,$D46),"※",IF(COUNTIF(职业!$Y$9:$AA$9,$D46),"×"," ")))))," ")</f>
        <v>☆</v>
      </c>
      <c r="D46" s="63" t="s">
        <v>1399</v>
      </c>
      <c r="E46" s="450"/>
      <c r="F46" s="53">
        <f>P5</f>
        <v>80</v>
      </c>
      <c r="G46" s="54"/>
      <c r="H46" s="54"/>
      <c r="I46" s="54"/>
      <c r="J46" s="53">
        <f t="shared" si="4"/>
        <v>80</v>
      </c>
      <c r="K46" s="53">
        <f t="shared" si="5"/>
        <v>40</v>
      </c>
      <c r="L46" s="55">
        <f t="shared" si="6"/>
        <v>16</v>
      </c>
      <c r="M46" s="56" t="s">
        <v>167</v>
      </c>
      <c r="N46" s="52" t="str">
        <f>(IF(N45="","",IF(OR(O46="",O46="可自设"),"","自设")))</f>
        <v/>
      </c>
      <c r="O46" s="476" t="str">
        <f>IF(OR(O45="",O45="可自设"),"","可自设")</f>
        <v/>
      </c>
      <c r="P46" s="476"/>
      <c r="Q46" s="54"/>
      <c r="R46" s="54"/>
      <c r="S46" s="54"/>
      <c r="T46" s="54"/>
      <c r="U46" s="53" t="str">
        <f>IF(SUM(Q46:T46)&lt;&gt;0,SUM(Q46:T46),"")</f>
        <v/>
      </c>
      <c r="V46" s="53" t="str">
        <f>IF(U46="","",INT(U46/2))</f>
        <v/>
      </c>
      <c r="W46" s="57" t="str">
        <f>IF(U46="","",INT(U46/5))</f>
        <v/>
      </c>
      <c r="Y46" s="481"/>
      <c r="Z46" s="482"/>
      <c r="AA46" s="482"/>
      <c r="AB46" s="482"/>
      <c r="AC46" s="482"/>
      <c r="AD46" s="482"/>
      <c r="AE46" s="482"/>
      <c r="AF46" s="483"/>
    </row>
    <row r="47" spans="1:32">
      <c r="B47" s="44" t="s">
        <v>167</v>
      </c>
      <c r="C47" s="45" t="str">
        <f>IFERROR(IF(OR(COUNTIF(职业!$V$3:$V$11,$D47)=1,COUNTIF($AB$3:$AB$7,$D47)=1),"★",IF(COUNTIF(职业!$Y$3:$Z$3,$D47),"☆",IF(COUNTIF(职业!$Y$5:$Z$5,$D47),"⊙",IF(COUNTIF(职业!$Y$7:$Z$7,$D47),"※",IF(COUNTIF(职业!$Y$9:$AA$9,$D47),"×"," ")))))," ")</f>
        <v xml:space="preserve"> </v>
      </c>
      <c r="D47" s="514" t="s">
        <v>94</v>
      </c>
      <c r="E47" s="514"/>
      <c r="F47" s="46">
        <v>20</v>
      </c>
      <c r="G47" s="47"/>
      <c r="H47" s="47"/>
      <c r="I47" s="47"/>
      <c r="J47" s="46">
        <f t="shared" si="4"/>
        <v>20</v>
      </c>
      <c r="K47" s="46">
        <f t="shared" si="5"/>
        <v>10</v>
      </c>
      <c r="L47" s="48">
        <f t="shared" si="6"/>
        <v>4</v>
      </c>
      <c r="M47" s="49" t="s">
        <v>167</v>
      </c>
      <c r="N47" s="81" t="str">
        <f>(IF(N46="","",IF(OR(O47="",O47="可自设"),"","自设")))</f>
        <v/>
      </c>
      <c r="O47" s="628" t="str">
        <f>IF(OR(O46="",O46="可自设"),"","可自设")</f>
        <v/>
      </c>
      <c r="P47" s="628"/>
      <c r="Q47" s="47"/>
      <c r="R47" s="47"/>
      <c r="S47" s="47"/>
      <c r="T47" s="47"/>
      <c r="U47" s="46" t="str">
        <f>IF(SUM(Q47:T47)&lt;&gt;0,SUM(Q47:T47),"")</f>
        <v/>
      </c>
      <c r="V47" s="46" t="str">
        <f>IF(U47="","",INT(U47/2))</f>
        <v/>
      </c>
      <c r="W47" s="50" t="str">
        <f>IF(U47="","",INT(U47/5))</f>
        <v/>
      </c>
      <c r="Y47" s="484"/>
      <c r="Z47" s="485"/>
      <c r="AA47" s="485"/>
      <c r="AB47" s="485"/>
      <c r="AC47" s="485"/>
      <c r="AD47" s="485"/>
      <c r="AE47" s="485"/>
      <c r="AF47" s="486"/>
    </row>
    <row r="48" spans="1:32">
      <c r="B48" s="82" t="s">
        <v>167</v>
      </c>
      <c r="C48" s="83" t="str">
        <f>IFERROR(IF(OR(COUNTIF(职业!$V$3:$V$11,$D48)=1,COUNTIF($AB$3:$AB$7,$D48)=1),"★",IF(COUNTIF(职业!$Y$3:$Z$3,$D48),"☆",IF(COUNTIF(职业!$Y$5:$Z$5,$D48),"⊙",IF(COUNTIF(职业!$Y$7:$Z$7,$D48),"※",IF(COUNTIF(职业!$Y$9:$AA$9,$D48),"×"," ")))))," ")</f>
        <v xml:space="preserve"> </v>
      </c>
      <c r="D48" s="490" t="s">
        <v>1400</v>
      </c>
      <c r="E48" s="490"/>
      <c r="F48" s="84">
        <v>10</v>
      </c>
      <c r="G48" s="85"/>
      <c r="H48" s="85"/>
      <c r="I48" s="85"/>
      <c r="J48" s="84">
        <f t="shared" si="4"/>
        <v>10</v>
      </c>
      <c r="K48" s="84">
        <f t="shared" si="5"/>
        <v>5</v>
      </c>
      <c r="L48" s="86">
        <f t="shared" si="6"/>
        <v>2</v>
      </c>
      <c r="M48" s="87" t="s">
        <v>167</v>
      </c>
      <c r="N48" s="83" t="str">
        <f>(IF(N47="","",IF(OR(O48="",O48="可自设"),"","自设")))</f>
        <v/>
      </c>
      <c r="O48" s="490" t="str">
        <f>IF(OR(O47="",O47="可自设"),"","可自设")</f>
        <v/>
      </c>
      <c r="P48" s="490"/>
      <c r="Q48" s="85"/>
      <c r="R48" s="85"/>
      <c r="S48" s="85"/>
      <c r="T48" s="85"/>
      <c r="U48" s="84" t="str">
        <f>IF(SUM(Q48:T48)&lt;&gt;0,SUM(Q48:T48),"")</f>
        <v/>
      </c>
      <c r="V48" s="84" t="str">
        <f>IF(U48="","",INT(U48/2))</f>
        <v/>
      </c>
      <c r="W48" s="88" t="str">
        <f>IF(U48="","",INT(U48/5))</f>
        <v/>
      </c>
      <c r="Y48" s="481"/>
      <c r="Z48" s="482"/>
      <c r="AA48" s="482"/>
      <c r="AB48" s="482"/>
      <c r="AC48" s="482"/>
      <c r="AD48" s="482"/>
      <c r="AE48" s="482"/>
      <c r="AF48" s="483"/>
    </row>
    <row r="49" spans="2:32">
      <c r="B49" s="89" t="str">
        <f>IF(F5=0," ","职业信用范围："&amp;LOOKUP(F5,职业及经历包!A2:A117,职业及经历包!D2:D117))</f>
        <v>职业信用范围：5-10</v>
      </c>
      <c r="C49" s="89"/>
      <c r="D49" s="89"/>
      <c r="E49" s="89"/>
      <c r="F49" s="89"/>
      <c r="G49" s="89" t="str">
        <f>IFERROR(IF(F5=0," ","剩余职业点="&amp;IF(AB8="是",LOOKUP(F5,职业及经历包!A2:A117,职业及经历包!F2:F117)+AD14-SUM(人物卡!H15:H48,人物卡!S15:S48)&amp;"   剩余兴趣点="&amp;M7*2-SUM(I15:I48,T15:T48),LOOKUP(F5,职业及经历包!A2:A117,职业及经历包!F2:F117)-SUM(人物卡!H15:H48,人物卡!S15:S48)&amp;"   剩余兴趣点="&amp;M7*2-SUM(I15:I48,T15:T48))),"")</f>
        <v>剩余职业点=81   剩余兴趣点=-10</v>
      </c>
      <c r="H49" s="89"/>
      <c r="I49" s="89"/>
      <c r="J49" s="89"/>
      <c r="K49" s="89"/>
      <c r="L49" s="90"/>
      <c r="M49" s="5"/>
      <c r="N49" s="5"/>
      <c r="O49" s="5"/>
      <c r="P49" s="5"/>
      <c r="Q49" s="5"/>
      <c r="R49" s="90"/>
      <c r="S49" s="90"/>
      <c r="T49" s="90"/>
      <c r="U49" s="90"/>
      <c r="V49" s="90"/>
      <c r="W49" s="5"/>
      <c r="Y49" s="484"/>
      <c r="Z49" s="485"/>
      <c r="AA49" s="485"/>
      <c r="AB49" s="485"/>
      <c r="AC49" s="485"/>
      <c r="AD49" s="485"/>
      <c r="AE49" s="485"/>
      <c r="AF49" s="486"/>
    </row>
    <row r="50" spans="2:32">
      <c r="B50" s="494" t="s">
        <v>184</v>
      </c>
      <c r="C50" s="495"/>
      <c r="D50" s="495"/>
      <c r="E50" s="495"/>
      <c r="F50" s="495"/>
      <c r="G50" s="495"/>
      <c r="H50" s="495"/>
      <c r="I50" s="495"/>
      <c r="J50" s="495"/>
      <c r="K50" s="495"/>
      <c r="L50" s="495"/>
      <c r="M50" s="495"/>
      <c r="N50" s="495"/>
      <c r="O50" s="495"/>
      <c r="P50" s="495"/>
      <c r="Q50" s="495"/>
      <c r="R50" s="496"/>
      <c r="T50" s="494" t="s">
        <v>10</v>
      </c>
      <c r="U50" s="495"/>
      <c r="V50" s="495"/>
      <c r="W50" s="496"/>
      <c r="Y50" s="481"/>
      <c r="Z50" s="482"/>
      <c r="AA50" s="482"/>
      <c r="AB50" s="482"/>
      <c r="AC50" s="482"/>
      <c r="AD50" s="482"/>
      <c r="AE50" s="482"/>
      <c r="AF50" s="483"/>
    </row>
    <row r="51" spans="2:32" ht="16.5" customHeight="1">
      <c r="B51" s="710" t="s">
        <v>224</v>
      </c>
      <c r="C51" s="612"/>
      <c r="D51" s="91" t="s">
        <v>227</v>
      </c>
      <c r="E51" s="92" t="s">
        <v>592</v>
      </c>
      <c r="F51" s="612" t="s">
        <v>188</v>
      </c>
      <c r="G51" s="612"/>
      <c r="H51" s="612"/>
      <c r="I51" s="612" t="s">
        <v>593</v>
      </c>
      <c r="J51" s="612"/>
      <c r="K51" s="502" t="s">
        <v>96</v>
      </c>
      <c r="L51" s="502"/>
      <c r="M51" s="93" t="s">
        <v>594</v>
      </c>
      <c r="N51" s="502" t="s">
        <v>596</v>
      </c>
      <c r="O51" s="502"/>
      <c r="P51" s="502" t="s">
        <v>595</v>
      </c>
      <c r="Q51" s="502"/>
      <c r="R51" s="94" t="s">
        <v>9</v>
      </c>
      <c r="S51" s="95"/>
      <c r="T51" s="613" t="s">
        <v>1559</v>
      </c>
      <c r="U51" s="614"/>
      <c r="V51" s="741" t="str">
        <f>LOOKUP(J3+J7,附表!A2:A32,附表!B2:B32)</f>
        <v>+1D4</v>
      </c>
      <c r="W51" s="742"/>
      <c r="Y51" s="759"/>
      <c r="Z51" s="760"/>
      <c r="AA51" s="760"/>
      <c r="AB51" s="760"/>
      <c r="AC51" s="760"/>
      <c r="AD51" s="760"/>
      <c r="AE51" s="760"/>
      <c r="AF51" s="761"/>
    </row>
    <row r="52" spans="2:32" ht="16.5" customHeight="1">
      <c r="B52" s="615" t="s">
        <v>225</v>
      </c>
      <c r="C52" s="557"/>
      <c r="D52" s="96" t="s">
        <v>226</v>
      </c>
      <c r="E52" s="97" t="s">
        <v>55</v>
      </c>
      <c r="F52" s="98">
        <f>J33</f>
        <v>30</v>
      </c>
      <c r="G52" s="99">
        <f>INT(F52/2)</f>
        <v>15</v>
      </c>
      <c r="H52" s="99">
        <f>INT(F52/5)</f>
        <v>6</v>
      </c>
      <c r="I52" s="557" t="s">
        <v>1034</v>
      </c>
      <c r="J52" s="557"/>
      <c r="K52" s="557" t="s">
        <v>1035</v>
      </c>
      <c r="L52" s="557"/>
      <c r="M52" s="99" t="s">
        <v>1037</v>
      </c>
      <c r="N52" s="557">
        <v>1</v>
      </c>
      <c r="O52" s="557"/>
      <c r="P52" s="557" t="s">
        <v>1038</v>
      </c>
      <c r="Q52" s="557"/>
      <c r="R52" s="100" t="s">
        <v>1039</v>
      </c>
      <c r="S52" s="101"/>
      <c r="T52" s="613"/>
      <c r="U52" s="614"/>
      <c r="V52" s="741"/>
      <c r="W52" s="742"/>
    </row>
    <row r="53" spans="2:32" ht="16.5" customHeight="1">
      <c r="B53" s="610"/>
      <c r="C53" s="611"/>
      <c r="D53" s="451" t="s">
        <v>1665</v>
      </c>
      <c r="E53" s="103" t="str">
        <f>IF($D53=0,"请选择类型",VLOOKUP($D53,武器列表!$B$3:$I$106,2,FALSE))</f>
        <v>斗殴</v>
      </c>
      <c r="F53" s="104">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30</v>
      </c>
      <c r="G53" s="104">
        <f>IF(F53="","",INT(F53/2))</f>
        <v>15</v>
      </c>
      <c r="H53" s="104">
        <f>IF(F53="","",INT(F53/5))</f>
        <v>6</v>
      </c>
      <c r="I53" s="695" t="str">
        <f>IF($D53=0,"",VLOOKUP($D53,武器列表!$B$3:$I$106,3,FALSE))</f>
        <v>1D4+DB</v>
      </c>
      <c r="J53" s="695"/>
      <c r="K53" s="467" t="str">
        <f>IF($D53=0,"",VLOOKUP($D53,武器列表!$B$3:$I$106,4,FALSE))</f>
        <v>接触</v>
      </c>
      <c r="L53" s="467"/>
      <c r="M53" s="104" t="str">
        <f>IF($D53=0,"",VLOOKUP($D53,武器列表!$B$3:$I$106,5,FALSE))</f>
        <v>√</v>
      </c>
      <c r="N53" s="467" t="str">
        <f>IF($D53=0,"",VLOOKUP($D53,武器列表!$B$3:$I$106,6,FALSE))</f>
        <v>1</v>
      </c>
      <c r="O53" s="467"/>
      <c r="P53" s="467" t="str">
        <f>IF($D53=0,"",VLOOKUP($D53,武器列表!$B$3:$I$106,7,FALSE))</f>
        <v>——</v>
      </c>
      <c r="Q53" s="467"/>
      <c r="R53" s="105" t="str">
        <f>IF($D53=0,"",VLOOKUP($D53,武器列表!$B$3:$I$106,8,FALSE))</f>
        <v>——</v>
      </c>
      <c r="S53" s="101"/>
      <c r="T53" s="645" t="s">
        <v>1560</v>
      </c>
      <c r="U53" s="646"/>
      <c r="V53" s="559">
        <f>LOOKUP(J3+J7,附表!A2:A32,附表!C2:C32)</f>
        <v>1</v>
      </c>
      <c r="W53" s="560"/>
      <c r="Y53" s="629" t="s">
        <v>1458</v>
      </c>
      <c r="Z53" s="630"/>
      <c r="AA53" s="630"/>
      <c r="AB53" s="630"/>
      <c r="AC53" s="630"/>
      <c r="AD53" s="630"/>
      <c r="AE53" s="630"/>
      <c r="AF53" s="631"/>
    </row>
    <row r="54" spans="2:32">
      <c r="B54" s="606" t="str">
        <f>IF(D54="","",D54)</f>
        <v/>
      </c>
      <c r="C54" s="607"/>
      <c r="D54" s="106"/>
      <c r="E54" s="97" t="str">
        <f>IF(E53="请选择类型","",IF($D54=0,"请选择类型",VLOOKUP($D54,武器列表!$B$3:$I$106,2,FALSE)))</f>
        <v>请选择类型</v>
      </c>
      <c r="F54" s="99"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99" t="str">
        <f>IF(F54="","",INT(F54/2))</f>
        <v/>
      </c>
      <c r="H54" s="99" t="str">
        <f>IF(F54="","",INT(F54/5))</f>
        <v/>
      </c>
      <c r="I54" s="519" t="str">
        <f>IF($D54=0,"",VLOOKUP($D54,武器列表!$B$3:$I$106,3,FALSE))</f>
        <v/>
      </c>
      <c r="J54" s="519"/>
      <c r="K54" s="557" t="str">
        <f>IF($D54=0,"",VLOOKUP($D54,武器列表!$B$3:$I$106,4,FALSE))</f>
        <v/>
      </c>
      <c r="L54" s="557"/>
      <c r="M54" s="99" t="str">
        <f>IF($D54=0,"",VLOOKUP($D54,武器列表!$B$3:$I$106,5,FALSE))</f>
        <v/>
      </c>
      <c r="N54" s="557" t="str">
        <f>IF($D54=0,"",VLOOKUP($D54,武器列表!$B$3:$I$106,6,FALSE))</f>
        <v/>
      </c>
      <c r="O54" s="557"/>
      <c r="P54" s="557" t="str">
        <f>IF($D54=0,"",VLOOKUP($D54,武器列表!$B$3:$I$106,7,FALSE))</f>
        <v/>
      </c>
      <c r="Q54" s="557"/>
      <c r="R54" s="100" t="str">
        <f>IF($D54=0,"",VLOOKUP($D54,武器列表!$B$3:$I$106,8,FALSE))</f>
        <v/>
      </c>
      <c r="S54" s="101"/>
      <c r="T54" s="645"/>
      <c r="U54" s="646"/>
      <c r="V54" s="559"/>
      <c r="W54" s="560"/>
      <c r="Y54" s="749" t="s">
        <v>1472</v>
      </c>
      <c r="Z54" s="750"/>
      <c r="AA54" s="751"/>
      <c r="AB54" s="488" t="s">
        <v>1459</v>
      </c>
      <c r="AC54" s="556"/>
      <c r="AD54" s="556"/>
      <c r="AE54" s="107" t="s">
        <v>1580</v>
      </c>
      <c r="AF54" s="108" t="s">
        <v>1581</v>
      </c>
    </row>
    <row r="55" spans="2:32" ht="16.5" customHeight="1">
      <c r="B55" s="610"/>
      <c r="C55" s="611"/>
      <c r="D55" s="102"/>
      <c r="E55" s="109" t="str">
        <f>IF(OR(E54="请选择类型",E54=""),"",IF($D55=0,"请选择类型",VLOOKUP($D55,武器列表!$B$3:$I$106,2,FALSE)))</f>
        <v/>
      </c>
      <c r="F55" s="104"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110" t="str">
        <f>IF(F55="","",INT(F55/2))</f>
        <v/>
      </c>
      <c r="H55" s="110" t="str">
        <f>IF(F55="","",INT(F55/5))</f>
        <v/>
      </c>
      <c r="I55" s="695" t="str">
        <f>IF($D55=0,"",VLOOKUP($D55,武器列表!$B$3:$I$106,3,FALSE))</f>
        <v/>
      </c>
      <c r="J55" s="695"/>
      <c r="K55" s="467" t="str">
        <f>IF($D55=0,"",VLOOKUP($D55,武器列表!$B$3:$I$106,4,FALSE))</f>
        <v/>
      </c>
      <c r="L55" s="467"/>
      <c r="M55" s="104" t="str">
        <f>IF($D55=0,"",VLOOKUP($D55,武器列表!$B$3:$I$106,5,FALSE))</f>
        <v/>
      </c>
      <c r="N55" s="467" t="str">
        <f>IF($D55=0,"",VLOOKUP($D55,武器列表!$B$3:$I$106,6,FALSE))</f>
        <v/>
      </c>
      <c r="O55" s="467"/>
      <c r="P55" s="467" t="str">
        <f>IF($D55=0,"",VLOOKUP($D55,武器列表!$B$3:$I$106,7,FALSE))</f>
        <v/>
      </c>
      <c r="Q55" s="467"/>
      <c r="R55" s="105" t="str">
        <f>IF($D55=0,"",VLOOKUP($D55,武器列表!$B$3:$I$106,8,FALSE))</f>
        <v/>
      </c>
      <c r="S55" s="101"/>
      <c r="T55" s="613" t="s">
        <v>1561</v>
      </c>
      <c r="U55" s="614"/>
      <c r="V55" s="587">
        <f>J28</f>
        <v>60</v>
      </c>
      <c r="W55" s="111">
        <f>K28</f>
        <v>30</v>
      </c>
      <c r="Y55" s="461"/>
      <c r="Z55" s="462"/>
      <c r="AA55" s="463"/>
      <c r="AB55" s="500"/>
      <c r="AC55" s="501"/>
      <c r="AD55" s="501"/>
      <c r="AE55" s="112"/>
      <c r="AF55" s="113"/>
    </row>
    <row r="56" spans="2:32">
      <c r="B56" s="712"/>
      <c r="C56" s="499"/>
      <c r="D56" s="106"/>
      <c r="E56" s="114"/>
      <c r="F56" s="115"/>
      <c r="G56" s="116" t="str">
        <f>IF(F56="","",INT(F56/2))</f>
        <v/>
      </c>
      <c r="H56" s="116" t="str">
        <f>IF(F56="","",INT(F56/5))</f>
        <v/>
      </c>
      <c r="I56" s="499"/>
      <c r="J56" s="499"/>
      <c r="K56" s="499"/>
      <c r="L56" s="499"/>
      <c r="M56" s="115"/>
      <c r="N56" s="499"/>
      <c r="O56" s="499"/>
      <c r="P56" s="499"/>
      <c r="Q56" s="499"/>
      <c r="R56" s="117"/>
      <c r="S56" s="101"/>
      <c r="T56" s="613"/>
      <c r="U56" s="614"/>
      <c r="V56" s="587"/>
      <c r="W56" s="111">
        <f>L28</f>
        <v>12</v>
      </c>
      <c r="Y56" s="472"/>
      <c r="Z56" s="473"/>
      <c r="AA56" s="474"/>
      <c r="AB56" s="473"/>
      <c r="AC56" s="473"/>
      <c r="AD56" s="593"/>
      <c r="AE56" s="118"/>
      <c r="AF56" s="119"/>
    </row>
    <row r="57" spans="2:32" ht="16.5" customHeight="1">
      <c r="B57" s="666"/>
      <c r="C57" s="503"/>
      <c r="D57" s="120"/>
      <c r="E57" s="121"/>
      <c r="F57" s="122"/>
      <c r="G57" s="123" t="str">
        <f>IF(F57="","",INT(F57/2))</f>
        <v/>
      </c>
      <c r="H57" s="123" t="str">
        <f>IF(F57="","",INT(F57/5))</f>
        <v/>
      </c>
      <c r="I57" s="503"/>
      <c r="J57" s="503"/>
      <c r="K57" s="503"/>
      <c r="L57" s="503"/>
      <c r="M57" s="122"/>
      <c r="N57" s="503"/>
      <c r="O57" s="503"/>
      <c r="P57" s="503"/>
      <c r="Q57" s="503"/>
      <c r="R57" s="124"/>
      <c r="S57" s="101"/>
      <c r="T57" s="743" t="s">
        <v>1562</v>
      </c>
      <c r="U57" s="744"/>
      <c r="V57" s="647">
        <v>0</v>
      </c>
      <c r="W57" s="648"/>
      <c r="Y57" s="461"/>
      <c r="Z57" s="462"/>
      <c r="AA57" s="463"/>
      <c r="AB57" s="500"/>
      <c r="AC57" s="501"/>
      <c r="AD57" s="501"/>
      <c r="AE57" s="112"/>
      <c r="AF57" s="113"/>
    </row>
    <row r="58" spans="2:32">
      <c r="B58" s="515" t="s">
        <v>1585</v>
      </c>
      <c r="C58" s="515"/>
      <c r="D58" s="515"/>
      <c r="E58" s="515"/>
      <c r="F58" s="515"/>
      <c r="G58" s="515"/>
      <c r="H58" s="515"/>
      <c r="I58" s="515"/>
      <c r="J58" s="515"/>
      <c r="K58" s="515"/>
      <c r="L58" s="515"/>
      <c r="M58" s="515"/>
      <c r="N58" s="515"/>
      <c r="O58" s="515"/>
      <c r="P58" s="515"/>
      <c r="Q58" s="515"/>
      <c r="R58" s="515"/>
      <c r="S58" s="515"/>
      <c r="T58" s="515"/>
      <c r="U58" s="515"/>
      <c r="V58" s="515"/>
      <c r="W58" s="515"/>
      <c r="Y58" s="472"/>
      <c r="Z58" s="473"/>
      <c r="AA58" s="474"/>
      <c r="AB58" s="473"/>
      <c r="AC58" s="473"/>
      <c r="AD58" s="593"/>
      <c r="AE58" s="118"/>
      <c r="AF58" s="119"/>
    </row>
    <row r="59" spans="2:32">
      <c r="B59" s="491" t="s">
        <v>1063</v>
      </c>
      <c r="C59" s="492"/>
      <c r="D59" s="492"/>
      <c r="E59" s="492"/>
      <c r="F59" s="492"/>
      <c r="G59" s="492"/>
      <c r="H59" s="492"/>
      <c r="I59" s="492"/>
      <c r="J59" s="492"/>
      <c r="K59" s="492"/>
      <c r="L59" s="492"/>
      <c r="M59" s="492"/>
      <c r="N59" s="492"/>
      <c r="O59" s="492"/>
      <c r="P59" s="492"/>
      <c r="Q59" s="492"/>
      <c r="R59" s="492"/>
      <c r="S59" s="492"/>
      <c r="T59" s="492"/>
      <c r="U59" s="492"/>
      <c r="V59" s="492"/>
      <c r="W59" s="493"/>
      <c r="Y59" s="461"/>
      <c r="Z59" s="462"/>
      <c r="AA59" s="463"/>
      <c r="AB59" s="500"/>
      <c r="AC59" s="501"/>
      <c r="AD59" s="501"/>
      <c r="AE59" s="112"/>
      <c r="AF59" s="113"/>
    </row>
    <row r="60" spans="2:32">
      <c r="B60" s="698" t="s">
        <v>1546</v>
      </c>
      <c r="C60" s="694"/>
      <c r="D60" s="692" t="s">
        <v>1547</v>
      </c>
      <c r="E60" s="693"/>
      <c r="F60" s="694"/>
      <c r="G60" s="125" t="s">
        <v>1544</v>
      </c>
      <c r="H60" s="694" t="s">
        <v>1549</v>
      </c>
      <c r="I60" s="713"/>
      <c r="J60" s="713"/>
      <c r="K60" s="713"/>
      <c r="L60" s="713"/>
      <c r="M60" s="713"/>
      <c r="N60" s="713"/>
      <c r="O60" s="713"/>
      <c r="P60" s="713"/>
      <c r="Q60" s="713"/>
      <c r="R60" s="713"/>
      <c r="S60" s="713"/>
      <c r="T60" s="713"/>
      <c r="U60" s="713"/>
      <c r="V60" s="713"/>
      <c r="W60" s="714"/>
      <c r="Y60" s="472"/>
      <c r="Z60" s="473"/>
      <c r="AA60" s="474"/>
      <c r="AB60" s="473"/>
      <c r="AC60" s="473"/>
      <c r="AD60" s="593"/>
      <c r="AE60" s="118"/>
      <c r="AF60" s="119"/>
    </row>
    <row r="61" spans="2:32" ht="16.5" customHeight="1">
      <c r="B61" s="468" t="s">
        <v>1059</v>
      </c>
      <c r="C61" s="469"/>
      <c r="D61" s="504" t="s">
        <v>1666</v>
      </c>
      <c r="E61" s="505"/>
      <c r="F61" s="506"/>
      <c r="G61" s="126"/>
      <c r="H61" s="452" t="s">
        <v>1672</v>
      </c>
      <c r="I61" s="453"/>
      <c r="J61" s="453"/>
      <c r="K61" s="453"/>
      <c r="L61" s="453"/>
      <c r="M61" s="453"/>
      <c r="N61" s="453"/>
      <c r="O61" s="453"/>
      <c r="P61" s="453"/>
      <c r="Q61" s="453"/>
      <c r="R61" s="453"/>
      <c r="S61" s="453"/>
      <c r="T61" s="453"/>
      <c r="U61" s="453"/>
      <c r="V61" s="453"/>
      <c r="W61" s="454"/>
      <c r="Y61" s="461"/>
      <c r="Z61" s="462"/>
      <c r="AA61" s="463"/>
      <c r="AB61" s="500"/>
      <c r="AC61" s="501"/>
      <c r="AD61" s="501"/>
      <c r="AE61" s="112"/>
      <c r="AF61" s="113"/>
    </row>
    <row r="62" spans="2:32" ht="16.5" customHeight="1">
      <c r="B62" s="659" t="s">
        <v>1437</v>
      </c>
      <c r="C62" s="660"/>
      <c r="D62" s="464" t="s">
        <v>1667</v>
      </c>
      <c r="E62" s="465"/>
      <c r="F62" s="466"/>
      <c r="G62" s="127"/>
      <c r="H62" s="455"/>
      <c r="I62" s="456"/>
      <c r="J62" s="456"/>
      <c r="K62" s="456"/>
      <c r="L62" s="456"/>
      <c r="M62" s="456"/>
      <c r="N62" s="456"/>
      <c r="O62" s="456"/>
      <c r="P62" s="456"/>
      <c r="Q62" s="456"/>
      <c r="R62" s="456"/>
      <c r="S62" s="456"/>
      <c r="T62" s="456"/>
      <c r="U62" s="456"/>
      <c r="V62" s="456"/>
      <c r="W62" s="457"/>
      <c r="Y62" s="472"/>
      <c r="Z62" s="473"/>
      <c r="AA62" s="474"/>
      <c r="AB62" s="473"/>
      <c r="AC62" s="473"/>
      <c r="AD62" s="593"/>
      <c r="AE62" s="118"/>
      <c r="AF62" s="119"/>
    </row>
    <row r="63" spans="2:32" ht="17.25" customHeight="1">
      <c r="B63" s="470" t="s">
        <v>1060</v>
      </c>
      <c r="C63" s="471"/>
      <c r="D63" s="504" t="s">
        <v>1668</v>
      </c>
      <c r="E63" s="505"/>
      <c r="F63" s="506"/>
      <c r="G63" s="126"/>
      <c r="H63" s="455"/>
      <c r="I63" s="456"/>
      <c r="J63" s="456"/>
      <c r="K63" s="456"/>
      <c r="L63" s="456"/>
      <c r="M63" s="456"/>
      <c r="N63" s="456"/>
      <c r="O63" s="456"/>
      <c r="P63" s="456"/>
      <c r="Q63" s="456"/>
      <c r="R63" s="456"/>
      <c r="S63" s="456"/>
      <c r="T63" s="456"/>
      <c r="U63" s="456"/>
      <c r="V63" s="456"/>
      <c r="W63" s="457"/>
      <c r="Y63" s="461"/>
      <c r="Z63" s="462"/>
      <c r="AA63" s="463"/>
      <c r="AB63" s="500"/>
      <c r="AC63" s="501"/>
      <c r="AD63" s="501"/>
      <c r="AE63" s="112"/>
      <c r="AF63" s="113"/>
    </row>
    <row r="64" spans="2:32" ht="17.25" customHeight="1">
      <c r="B64" s="659" t="s">
        <v>1061</v>
      </c>
      <c r="C64" s="660"/>
      <c r="D64" s="464" t="s">
        <v>1670</v>
      </c>
      <c r="E64" s="465"/>
      <c r="F64" s="466"/>
      <c r="G64" s="127"/>
      <c r="H64" s="455"/>
      <c r="I64" s="456"/>
      <c r="J64" s="456"/>
      <c r="K64" s="456"/>
      <c r="L64" s="456"/>
      <c r="M64" s="456"/>
      <c r="N64" s="456"/>
      <c r="O64" s="456"/>
      <c r="P64" s="456"/>
      <c r="Q64" s="456"/>
      <c r="R64" s="456"/>
      <c r="S64" s="456"/>
      <c r="T64" s="456"/>
      <c r="U64" s="456"/>
      <c r="V64" s="456"/>
      <c r="W64" s="457"/>
      <c r="Y64" s="472"/>
      <c r="Z64" s="473"/>
      <c r="AA64" s="474"/>
      <c r="AB64" s="473"/>
      <c r="AC64" s="473"/>
      <c r="AD64" s="593"/>
      <c r="AE64" s="118"/>
      <c r="AF64" s="119"/>
    </row>
    <row r="65" spans="2:32" ht="17.25" customHeight="1">
      <c r="B65" s="470" t="s">
        <v>1062</v>
      </c>
      <c r="C65" s="471"/>
      <c r="D65" s="504" t="s">
        <v>1670</v>
      </c>
      <c r="E65" s="505"/>
      <c r="F65" s="506"/>
      <c r="G65" s="126"/>
      <c r="H65" s="455"/>
      <c r="I65" s="456"/>
      <c r="J65" s="456"/>
      <c r="K65" s="456"/>
      <c r="L65" s="456"/>
      <c r="M65" s="456"/>
      <c r="N65" s="456"/>
      <c r="O65" s="456"/>
      <c r="P65" s="456"/>
      <c r="Q65" s="456"/>
      <c r="R65" s="456"/>
      <c r="S65" s="456"/>
      <c r="T65" s="456"/>
      <c r="U65" s="456"/>
      <c r="V65" s="456"/>
      <c r="W65" s="457"/>
      <c r="Y65" s="461"/>
      <c r="Z65" s="462"/>
      <c r="AA65" s="463"/>
      <c r="AB65" s="500"/>
      <c r="AC65" s="501"/>
      <c r="AD65" s="501"/>
      <c r="AE65" s="112"/>
      <c r="AF65" s="113"/>
    </row>
    <row r="66" spans="2:32" ht="16.5" customHeight="1">
      <c r="B66" s="659" t="s">
        <v>1438</v>
      </c>
      <c r="C66" s="660"/>
      <c r="D66" s="464" t="s">
        <v>1679</v>
      </c>
      <c r="E66" s="465"/>
      <c r="F66" s="466"/>
      <c r="G66" s="127"/>
      <c r="H66" s="455"/>
      <c r="I66" s="456"/>
      <c r="J66" s="456"/>
      <c r="K66" s="456"/>
      <c r="L66" s="456"/>
      <c r="M66" s="456"/>
      <c r="N66" s="456"/>
      <c r="O66" s="456"/>
      <c r="P66" s="456"/>
      <c r="Q66" s="456"/>
      <c r="R66" s="456"/>
      <c r="S66" s="456"/>
      <c r="T66" s="456"/>
      <c r="U66" s="456"/>
      <c r="V66" s="456"/>
      <c r="W66" s="457"/>
      <c r="Y66" s="472"/>
      <c r="Z66" s="473"/>
      <c r="AA66" s="474"/>
      <c r="AB66" s="473"/>
      <c r="AC66" s="473"/>
      <c r="AD66" s="593"/>
      <c r="AE66" s="118"/>
      <c r="AF66" s="119"/>
    </row>
    <row r="67" spans="2:32" ht="16.5" customHeight="1">
      <c r="B67" s="470" t="s">
        <v>1440</v>
      </c>
      <c r="C67" s="471"/>
      <c r="D67" s="516" t="s">
        <v>1671</v>
      </c>
      <c r="E67" s="517"/>
      <c r="F67" s="517"/>
      <c r="G67" s="518"/>
      <c r="H67" s="455"/>
      <c r="I67" s="456"/>
      <c r="J67" s="456"/>
      <c r="K67" s="456"/>
      <c r="L67" s="456"/>
      <c r="M67" s="456"/>
      <c r="N67" s="456"/>
      <c r="O67" s="456"/>
      <c r="P67" s="456"/>
      <c r="Q67" s="456"/>
      <c r="R67" s="456"/>
      <c r="S67" s="456"/>
      <c r="T67" s="456"/>
      <c r="U67" s="456"/>
      <c r="V67" s="456"/>
      <c r="W67" s="457"/>
      <c r="Y67" s="461"/>
      <c r="Z67" s="462"/>
      <c r="AA67" s="463"/>
      <c r="AB67" s="500"/>
      <c r="AC67" s="501"/>
      <c r="AD67" s="501"/>
      <c r="AE67" s="112"/>
      <c r="AF67" s="113"/>
    </row>
    <row r="68" spans="2:32" ht="16.5" customHeight="1">
      <c r="B68" s="636" t="s">
        <v>1439</v>
      </c>
      <c r="C68" s="637"/>
      <c r="D68" s="722" t="s">
        <v>1436</v>
      </c>
      <c r="E68" s="723"/>
      <c r="F68" s="723"/>
      <c r="G68" s="724"/>
      <c r="H68" s="458"/>
      <c r="I68" s="459"/>
      <c r="J68" s="459"/>
      <c r="K68" s="459"/>
      <c r="L68" s="459"/>
      <c r="M68" s="459"/>
      <c r="N68" s="459"/>
      <c r="O68" s="459"/>
      <c r="P68" s="459"/>
      <c r="Q68" s="459"/>
      <c r="R68" s="459"/>
      <c r="S68" s="459"/>
      <c r="T68" s="459"/>
      <c r="U68" s="459"/>
      <c r="V68" s="459"/>
      <c r="W68" s="460"/>
      <c r="Y68" s="507"/>
      <c r="Z68" s="497"/>
      <c r="AA68" s="508"/>
      <c r="AB68" s="497"/>
      <c r="AC68" s="497"/>
      <c r="AD68" s="498"/>
      <c r="AE68" s="128"/>
      <c r="AF68" s="129"/>
    </row>
    <row r="69" spans="2:32" ht="16.5" customHeight="1">
      <c r="H69" s="130"/>
      <c r="I69" s="130"/>
      <c r="J69" s="130"/>
      <c r="K69" s="130"/>
      <c r="L69" s="130"/>
      <c r="M69" s="130"/>
      <c r="N69" s="130"/>
      <c r="O69" s="130"/>
      <c r="P69" s="130"/>
      <c r="Q69" s="130"/>
      <c r="R69" s="130"/>
      <c r="S69" s="130"/>
      <c r="T69" s="130"/>
      <c r="U69" s="130"/>
      <c r="V69" s="130"/>
      <c r="W69" s="130"/>
    </row>
    <row r="70" spans="2:32" ht="16.5" customHeight="1">
      <c r="B70" s="594" t="s">
        <v>25</v>
      </c>
      <c r="C70" s="595"/>
      <c r="D70" s="595"/>
      <c r="E70" s="595"/>
      <c r="F70" s="595"/>
      <c r="G70" s="596"/>
      <c r="I70" s="594" t="s">
        <v>1064</v>
      </c>
      <c r="J70" s="595"/>
      <c r="K70" s="595"/>
      <c r="L70" s="595"/>
      <c r="M70" s="596"/>
      <c r="O70" s="594" t="s">
        <v>1419</v>
      </c>
      <c r="P70" s="595"/>
      <c r="Q70" s="595"/>
      <c r="R70" s="595"/>
      <c r="S70" s="595"/>
      <c r="T70" s="595"/>
      <c r="U70" s="595"/>
      <c r="V70" s="595"/>
      <c r="W70" s="596"/>
      <c r="Y70" s="600" t="s">
        <v>1563</v>
      </c>
      <c r="Z70" s="601"/>
      <c r="AA70" s="601"/>
      <c r="AB70" s="601"/>
      <c r="AC70" s="601"/>
      <c r="AD70" s="601"/>
      <c r="AE70" s="601"/>
      <c r="AF70" s="602"/>
    </row>
    <row r="71" spans="2:32" ht="16.5" customHeight="1">
      <c r="B71" s="661" t="s">
        <v>1673</v>
      </c>
      <c r="C71" s="662"/>
      <c r="D71" s="662"/>
      <c r="E71" s="662"/>
      <c r="F71" s="662"/>
      <c r="G71" s="663"/>
      <c r="I71" s="686"/>
      <c r="J71" s="687"/>
      <c r="K71" s="687"/>
      <c r="L71" s="687"/>
      <c r="M71" s="688"/>
      <c r="N71" s="131"/>
      <c r="O71" s="737" t="s">
        <v>70</v>
      </c>
      <c r="P71" s="738"/>
      <c r="Q71" s="649" t="s">
        <v>1058</v>
      </c>
      <c r="R71" s="650"/>
      <c r="S71" s="132" t="s">
        <v>26</v>
      </c>
      <c r="T71" s="132" t="s">
        <v>27</v>
      </c>
      <c r="U71" s="132" t="s">
        <v>28</v>
      </c>
      <c r="V71" s="132" t="s">
        <v>29</v>
      </c>
      <c r="W71" s="133" t="s">
        <v>30</v>
      </c>
      <c r="Y71" s="603"/>
      <c r="Z71" s="604"/>
      <c r="AA71" s="604"/>
      <c r="AB71" s="604"/>
      <c r="AC71" s="604"/>
      <c r="AD71" s="604"/>
      <c r="AE71" s="604"/>
      <c r="AF71" s="605"/>
    </row>
    <row r="72" spans="2:32" ht="16.5" customHeight="1">
      <c r="B72" s="638" t="s">
        <v>1660</v>
      </c>
      <c r="C72" s="473"/>
      <c r="D72" s="473"/>
      <c r="E72" s="473"/>
      <c r="F72" s="473"/>
      <c r="G72" s="639"/>
      <c r="I72" s="683"/>
      <c r="J72" s="684"/>
      <c r="K72" s="684"/>
      <c r="L72" s="684"/>
      <c r="M72" s="685"/>
      <c r="N72" s="131"/>
      <c r="O72" s="739"/>
      <c r="P72" s="740"/>
      <c r="Q72" s="664" t="s">
        <v>1418</v>
      </c>
      <c r="R72" s="665"/>
      <c r="S72" s="134" t="s">
        <v>32</v>
      </c>
      <c r="T72" s="134" t="s">
        <v>31</v>
      </c>
      <c r="U72" s="134" t="s">
        <v>33</v>
      </c>
      <c r="V72" s="134" t="s">
        <v>34</v>
      </c>
      <c r="W72" s="135">
        <v>1</v>
      </c>
      <c r="Y72" s="653" t="str">
        <f>输出!F14</f>
        <v xml:space="preserve">.st力量55 敏捷55 意志55 体质60 外貌70 教育80 体型70 智力65 理智55 幸运75 伪造30 艺术40 信用评级10 闪避60 斗殴30 历史50 英语50 图书馆使用65 聆听70 机械维修50 心理学52                  </v>
      </c>
      <c r="Z72" s="654"/>
      <c r="AA72" s="654"/>
      <c r="AB72" s="654"/>
      <c r="AC72" s="654"/>
      <c r="AD72" s="654"/>
      <c r="AE72" s="654"/>
      <c r="AF72" s="655"/>
    </row>
    <row r="73" spans="2:32" ht="16.5" customHeight="1">
      <c r="B73" s="643" t="s">
        <v>1674</v>
      </c>
      <c r="C73" s="462"/>
      <c r="D73" s="462"/>
      <c r="E73" s="462"/>
      <c r="F73" s="462"/>
      <c r="G73" s="644"/>
      <c r="I73" s="597"/>
      <c r="J73" s="598"/>
      <c r="K73" s="598"/>
      <c r="L73" s="598"/>
      <c r="M73" s="599"/>
      <c r="N73" s="131"/>
      <c r="O73" s="715" t="s">
        <v>110</v>
      </c>
      <c r="P73" s="716"/>
      <c r="Q73" s="716"/>
      <c r="R73" s="716"/>
      <c r="S73" s="716"/>
      <c r="T73" s="716"/>
      <c r="U73" s="716"/>
      <c r="V73" s="716"/>
      <c r="W73" s="717"/>
      <c r="Y73" s="653"/>
      <c r="Z73" s="654"/>
      <c r="AA73" s="654"/>
      <c r="AB73" s="654"/>
      <c r="AC73" s="654"/>
      <c r="AD73" s="654"/>
      <c r="AE73" s="654"/>
      <c r="AF73" s="655"/>
    </row>
    <row r="74" spans="2:32">
      <c r="B74" s="638" t="s">
        <v>1677</v>
      </c>
      <c r="C74" s="473"/>
      <c r="D74" s="473"/>
      <c r="E74" s="473"/>
      <c r="F74" s="473"/>
      <c r="G74" s="639"/>
      <c r="I74" s="683"/>
      <c r="J74" s="684"/>
      <c r="K74" s="684"/>
      <c r="L74" s="684"/>
      <c r="M74" s="685"/>
      <c r="N74" s="131"/>
      <c r="O74" s="718"/>
      <c r="P74" s="719"/>
      <c r="Q74" s="719"/>
      <c r="R74" s="719"/>
      <c r="S74" s="719"/>
      <c r="T74" s="719"/>
      <c r="U74" s="719"/>
      <c r="V74" s="719"/>
      <c r="W74" s="720"/>
      <c r="Y74" s="653"/>
      <c r="Z74" s="654"/>
      <c r="AA74" s="654"/>
      <c r="AB74" s="654"/>
      <c r="AC74" s="654"/>
      <c r="AD74" s="654"/>
      <c r="AE74" s="654"/>
      <c r="AF74" s="655"/>
    </row>
    <row r="75" spans="2:32" ht="16.5" customHeight="1">
      <c r="B75" s="643" t="s">
        <v>1675</v>
      </c>
      <c r="C75" s="462"/>
      <c r="D75" s="462"/>
      <c r="E75" s="462"/>
      <c r="F75" s="462"/>
      <c r="G75" s="644"/>
      <c r="I75" s="597"/>
      <c r="J75" s="598"/>
      <c r="K75" s="598"/>
      <c r="L75" s="598"/>
      <c r="M75" s="599"/>
      <c r="O75" s="667" t="s">
        <v>35</v>
      </c>
      <c r="P75" s="682"/>
      <c r="Q75" s="668"/>
      <c r="R75" s="696" t="s">
        <v>71</v>
      </c>
      <c r="S75" s="682"/>
      <c r="T75" s="682"/>
      <c r="U75" s="682"/>
      <c r="V75" s="682"/>
      <c r="W75" s="697"/>
      <c r="Y75" s="653"/>
      <c r="Z75" s="654"/>
      <c r="AA75" s="654"/>
      <c r="AB75" s="654"/>
      <c r="AC75" s="654"/>
      <c r="AD75" s="654"/>
      <c r="AE75" s="654"/>
      <c r="AF75" s="655"/>
    </row>
    <row r="76" spans="2:32" ht="17.25" customHeight="1">
      <c r="B76" s="638" t="s">
        <v>1676</v>
      </c>
      <c r="C76" s="473"/>
      <c r="D76" s="473"/>
      <c r="E76" s="473"/>
      <c r="F76" s="473"/>
      <c r="G76" s="639"/>
      <c r="I76" s="683"/>
      <c r="J76" s="684"/>
      <c r="K76" s="684"/>
      <c r="L76" s="684"/>
      <c r="M76" s="685"/>
      <c r="O76" s="667" t="s">
        <v>36</v>
      </c>
      <c r="P76" s="668"/>
      <c r="Q76" s="136" t="s">
        <v>39</v>
      </c>
      <c r="R76" s="136"/>
      <c r="S76" s="136"/>
      <c r="T76" s="136"/>
      <c r="U76" s="136"/>
      <c r="V76" s="136"/>
      <c r="W76" s="137"/>
      <c r="Y76" s="653"/>
      <c r="Z76" s="654"/>
      <c r="AA76" s="654"/>
      <c r="AB76" s="654"/>
      <c r="AC76" s="654"/>
      <c r="AD76" s="654"/>
      <c r="AE76" s="654"/>
      <c r="AF76" s="655"/>
    </row>
    <row r="77" spans="2:32">
      <c r="B77" s="643" t="s">
        <v>1678</v>
      </c>
      <c r="C77" s="462"/>
      <c r="D77" s="462"/>
      <c r="E77" s="462"/>
      <c r="F77" s="462"/>
      <c r="G77" s="644"/>
      <c r="I77" s="597"/>
      <c r="J77" s="598"/>
      <c r="K77" s="598"/>
      <c r="L77" s="598"/>
      <c r="M77" s="599"/>
      <c r="O77" s="667" t="s">
        <v>37</v>
      </c>
      <c r="P77" s="668"/>
      <c r="Q77" s="640" t="s">
        <v>40</v>
      </c>
      <c r="R77" s="641"/>
      <c r="S77" s="641"/>
      <c r="T77" s="641"/>
      <c r="U77" s="641"/>
      <c r="V77" s="641"/>
      <c r="W77" s="642"/>
      <c r="Y77" s="653"/>
      <c r="Z77" s="654"/>
      <c r="AA77" s="654"/>
      <c r="AB77" s="654"/>
      <c r="AC77" s="654"/>
      <c r="AD77" s="654"/>
      <c r="AE77" s="654"/>
      <c r="AF77" s="655"/>
    </row>
    <row r="78" spans="2:32" ht="16.5" customHeight="1">
      <c r="B78" s="472"/>
      <c r="C78" s="473"/>
      <c r="D78" s="473"/>
      <c r="E78" s="473"/>
      <c r="F78" s="473"/>
      <c r="G78" s="639"/>
      <c r="I78" s="683"/>
      <c r="J78" s="684"/>
      <c r="K78" s="684"/>
      <c r="L78" s="684"/>
      <c r="M78" s="685"/>
      <c r="O78" s="689" t="s">
        <v>38</v>
      </c>
      <c r="P78" s="650"/>
      <c r="Q78" s="581" t="s">
        <v>1066</v>
      </c>
      <c r="R78" s="582"/>
      <c r="S78" s="582"/>
      <c r="T78" s="582"/>
      <c r="U78" s="582"/>
      <c r="V78" s="582"/>
      <c r="W78" s="583"/>
      <c r="Y78" s="653"/>
      <c r="Z78" s="654"/>
      <c r="AA78" s="654"/>
      <c r="AB78" s="654"/>
      <c r="AC78" s="654"/>
      <c r="AD78" s="654"/>
      <c r="AE78" s="654"/>
      <c r="AF78" s="655"/>
    </row>
    <row r="79" spans="2:32" ht="16.5" customHeight="1">
      <c r="B79" s="461"/>
      <c r="C79" s="462"/>
      <c r="D79" s="462"/>
      <c r="E79" s="462"/>
      <c r="F79" s="462"/>
      <c r="G79" s="644"/>
      <c r="I79" s="597"/>
      <c r="J79" s="598"/>
      <c r="K79" s="598"/>
      <c r="L79" s="598"/>
      <c r="M79" s="599"/>
      <c r="O79" s="690"/>
      <c r="P79" s="691"/>
      <c r="Q79" s="584"/>
      <c r="R79" s="585"/>
      <c r="S79" s="585"/>
      <c r="T79" s="585"/>
      <c r="U79" s="585"/>
      <c r="V79" s="585"/>
      <c r="W79" s="586"/>
      <c r="Y79" s="653"/>
      <c r="Z79" s="654"/>
      <c r="AA79" s="654"/>
      <c r="AB79" s="654"/>
      <c r="AC79" s="654"/>
      <c r="AD79" s="654"/>
      <c r="AE79" s="654"/>
      <c r="AF79" s="655"/>
    </row>
    <row r="80" spans="2:32" ht="16.5" customHeight="1">
      <c r="B80" s="633"/>
      <c r="C80" s="634"/>
      <c r="D80" s="634"/>
      <c r="E80" s="634"/>
      <c r="F80" s="634"/>
      <c r="G80" s="635"/>
      <c r="I80" s="679"/>
      <c r="J80" s="680"/>
      <c r="K80" s="680"/>
      <c r="L80" s="680"/>
      <c r="M80" s="681"/>
      <c r="O80" s="745" t="s">
        <v>41</v>
      </c>
      <c r="P80" s="746"/>
      <c r="Q80" s="746"/>
      <c r="R80" s="747"/>
      <c r="S80" s="676" t="s">
        <v>42</v>
      </c>
      <c r="T80" s="677"/>
      <c r="U80" s="677"/>
      <c r="V80" s="677"/>
      <c r="W80" s="678"/>
      <c r="X80" s="138" t="str">
        <f>输出!F14</f>
        <v xml:space="preserve">.st力量55 敏捷55 意志55 体质60 外貌70 教育80 体型70 智力65 理智55 幸运75 伪造30 艺术40 信用评级10 闪避60 斗殴30 历史50 英语50 图书馆使用65 聆听70 机械维修50 心理学52                  </v>
      </c>
      <c r="Y80" s="656"/>
      <c r="Z80" s="657"/>
      <c r="AA80" s="657"/>
      <c r="AB80" s="657"/>
      <c r="AC80" s="657"/>
      <c r="AD80" s="657"/>
      <c r="AE80" s="657"/>
      <c r="AF80" s="658"/>
    </row>
    <row r="81" spans="15:53">
      <c r="O81" s="652" t="s">
        <v>1643</v>
      </c>
      <c r="P81" s="652"/>
      <c r="Q81" s="652"/>
      <c r="T81" s="725">
        <v>43586</v>
      </c>
      <c r="U81" s="725"/>
      <c r="V81" s="651" t="s">
        <v>1623</v>
      </c>
      <c r="W81" s="651"/>
      <c r="AC81" s="632" t="s">
        <v>1489</v>
      </c>
      <c r="AD81" s="632"/>
      <c r="AE81" s="632"/>
      <c r="AF81" s="632"/>
    </row>
    <row r="82" spans="15:53" ht="16.5" customHeight="1">
      <c r="Z82" s="2"/>
      <c r="AA82" s="2"/>
      <c r="AB82" s="2"/>
      <c r="AC82" s="2"/>
      <c r="AD82" s="2"/>
      <c r="AE82" s="2"/>
      <c r="AF82" s="2"/>
    </row>
    <row r="83" spans="15:53">
      <c r="Z83" s="2"/>
      <c r="AA83" s="2"/>
      <c r="AB83" s="2"/>
      <c r="AC83" s="2"/>
      <c r="AD83" s="2"/>
      <c r="AE83" s="2"/>
      <c r="AF83" s="2"/>
    </row>
    <row r="84" spans="15:53" ht="16.5" customHeight="1">
      <c r="AE84" s="2"/>
      <c r="AF84" s="2"/>
    </row>
    <row r="85" spans="15:53">
      <c r="AE85" s="2"/>
      <c r="AF85" s="2"/>
    </row>
    <row r="86" spans="15:53" ht="16.5" customHeight="1">
      <c r="AE86" s="2"/>
      <c r="AF86" s="2"/>
    </row>
    <row r="87" spans="15:53">
      <c r="AE87" s="2"/>
      <c r="AF87" s="2"/>
      <c r="AG87" s="2"/>
      <c r="AH87" s="2"/>
    </row>
    <row r="88" spans="15:53" ht="17.25" customHeight="1">
      <c r="AE88" s="2"/>
      <c r="AF88" s="2"/>
      <c r="AG88" s="2"/>
      <c r="AH88" s="2"/>
    </row>
    <row r="89" spans="15:53" ht="17.25" customHeight="1">
      <c r="AE89" s="2"/>
      <c r="AF89" s="2"/>
      <c r="AG89" s="2"/>
      <c r="AH89" s="2"/>
    </row>
    <row r="90" spans="15:53" ht="16.5" customHeight="1">
      <c r="AE90" s="2"/>
      <c r="AF90" s="2"/>
      <c r="AG90" s="2"/>
      <c r="AH90" s="2"/>
    </row>
    <row r="91" spans="15:53">
      <c r="AE91" s="2"/>
      <c r="AF91" s="2"/>
      <c r="AG91" s="2"/>
      <c r="AH91" s="2"/>
    </row>
    <row r="92" spans="15:53" ht="16.5" customHeight="1">
      <c r="AE92" s="2"/>
      <c r="AF92" s="2"/>
      <c r="AG92" s="2"/>
      <c r="AH92" s="2"/>
    </row>
    <row r="93" spans="15:53">
      <c r="Q93" s="139"/>
      <c r="X93" s="2"/>
      <c r="AE93" s="2"/>
      <c r="AF93" s="2"/>
      <c r="AG93" s="2"/>
      <c r="AH93" s="2"/>
    </row>
    <row r="94" spans="15:53" ht="16.5" customHeight="1">
      <c r="Q94" s="139"/>
      <c r="X94" s="2"/>
      <c r="AE94" s="2"/>
      <c r="AF94" s="2"/>
      <c r="AG94" s="2"/>
      <c r="AH94" s="2"/>
    </row>
    <row r="95" spans="15:53">
      <c r="Q95" s="139"/>
      <c r="X95" s="2"/>
      <c r="AE95" s="2"/>
      <c r="AF95" s="2"/>
      <c r="AG95" s="2"/>
      <c r="AH95" s="2"/>
      <c r="AI95" s="2"/>
      <c r="AJ95" s="2"/>
      <c r="AK95" s="2"/>
      <c r="AL95" s="2"/>
      <c r="AM95" s="2"/>
      <c r="AN95" s="2"/>
      <c r="AO95" s="2"/>
      <c r="AP95" s="2"/>
      <c r="AQ95" s="2"/>
      <c r="AR95" s="2"/>
      <c r="AS95" s="2"/>
      <c r="AT95" s="2"/>
      <c r="AU95" s="2"/>
      <c r="AV95" s="2"/>
      <c r="AW95" s="2"/>
      <c r="AX95" s="2"/>
      <c r="AY95" s="2"/>
      <c r="AZ95" s="2"/>
      <c r="BA95" s="2"/>
    </row>
    <row r="96" spans="15:53">
      <c r="Q96" s="139"/>
      <c r="X96" s="2"/>
      <c r="AE96" s="2"/>
      <c r="AF96" s="2"/>
      <c r="AG96" s="2"/>
      <c r="AH96" s="2"/>
      <c r="AI96" s="2"/>
      <c r="AJ96" s="2"/>
      <c r="AK96" s="2"/>
      <c r="AL96" s="2"/>
      <c r="AM96" s="2"/>
      <c r="AN96" s="2"/>
      <c r="AO96" s="2"/>
      <c r="AP96" s="2"/>
      <c r="AQ96" s="2"/>
      <c r="AR96" s="2"/>
      <c r="AS96" s="2"/>
      <c r="AT96" s="2"/>
      <c r="AU96" s="2"/>
      <c r="AV96" s="2"/>
      <c r="AW96" s="2"/>
      <c r="AX96" s="2"/>
      <c r="AY96" s="2"/>
      <c r="AZ96" s="2"/>
      <c r="BA96" s="2"/>
    </row>
    <row r="97" spans="17:53">
      <c r="Q97" s="139"/>
      <c r="X97" s="2"/>
      <c r="AE97" s="2"/>
      <c r="AF97" s="2"/>
      <c r="AG97" s="2"/>
      <c r="AH97" s="2"/>
      <c r="AI97" s="2"/>
      <c r="AJ97" s="2"/>
      <c r="AK97" s="2"/>
      <c r="AL97" s="2"/>
      <c r="AM97" s="2"/>
      <c r="AN97" s="2"/>
      <c r="AO97" s="2"/>
      <c r="AP97" s="2"/>
      <c r="AQ97" s="2"/>
      <c r="AR97" s="2"/>
      <c r="AS97" s="2"/>
      <c r="AT97" s="2"/>
      <c r="AU97" s="2"/>
      <c r="AV97" s="2"/>
      <c r="AW97" s="2"/>
      <c r="AX97" s="2"/>
      <c r="AY97" s="2"/>
      <c r="AZ97" s="2"/>
      <c r="BA97" s="2"/>
    </row>
    <row r="98" spans="17:53">
      <c r="Q98" s="139"/>
      <c r="X98" s="2"/>
      <c r="AE98" s="2"/>
      <c r="AF98" s="2"/>
      <c r="AG98" s="2"/>
      <c r="AH98" s="2"/>
    </row>
    <row r="99" spans="17:53" ht="16.5" customHeight="1">
      <c r="Q99" s="139"/>
      <c r="X99" s="2"/>
      <c r="Y99" s="2"/>
      <c r="Z99" s="2"/>
      <c r="AA99" s="2"/>
      <c r="AB99" s="2"/>
      <c r="AC99" s="2"/>
      <c r="AD99" s="2"/>
      <c r="AE99" s="2"/>
      <c r="AF99" s="2"/>
      <c r="AG99" s="2"/>
      <c r="AH99" s="2"/>
    </row>
    <row r="100" spans="17:53">
      <c r="Q100" s="139"/>
      <c r="X100" s="2"/>
      <c r="Y100" s="2"/>
      <c r="Z100" s="2"/>
      <c r="AA100" s="2"/>
      <c r="AB100" s="2"/>
      <c r="AC100" s="2"/>
      <c r="AD100" s="2"/>
      <c r="AE100" s="2"/>
      <c r="AF100" s="2"/>
      <c r="AG100" s="2"/>
      <c r="AH100" s="2"/>
    </row>
    <row r="101" spans="17:53">
      <c r="Q101" s="139"/>
      <c r="X101" s="2"/>
      <c r="Y101" s="2"/>
      <c r="Z101" s="2"/>
      <c r="AA101" s="2"/>
      <c r="AB101" s="2"/>
      <c r="AC101" s="2"/>
      <c r="AD101" s="2"/>
      <c r="AE101" s="2"/>
      <c r="AF101" s="2"/>
      <c r="AG101" s="2"/>
      <c r="AH101" s="2"/>
    </row>
    <row r="102" spans="17:53">
      <c r="X102" s="2"/>
      <c r="Y102" s="2"/>
      <c r="Z102" s="2"/>
      <c r="AA102" s="2"/>
      <c r="AB102" s="2"/>
      <c r="AC102" s="2"/>
      <c r="AD102" s="2"/>
      <c r="AE102" s="2"/>
      <c r="AF102" s="2"/>
      <c r="AG102" s="2"/>
      <c r="AH102" s="2"/>
    </row>
    <row r="103" spans="17:53">
      <c r="X103" s="2"/>
      <c r="Y103" s="2"/>
      <c r="Z103" s="2"/>
      <c r="AA103" s="2"/>
      <c r="AB103" s="2"/>
      <c r="AC103" s="2"/>
      <c r="AD103" s="2"/>
      <c r="AE103" s="2"/>
      <c r="AF103" s="2"/>
      <c r="AG103" s="2"/>
      <c r="AH103" s="2"/>
    </row>
    <row r="104" spans="17:53" ht="16.5" customHeight="1">
      <c r="X104" s="2"/>
      <c r="Y104" s="2"/>
      <c r="Z104" s="2"/>
      <c r="AA104" s="2"/>
      <c r="AB104" s="2"/>
      <c r="AC104" s="2"/>
      <c r="AD104" s="2"/>
      <c r="AE104" s="2"/>
      <c r="AF104" s="2"/>
      <c r="AG104" s="2"/>
      <c r="AH104" s="2"/>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B70 Y38 I70 AL33 B58:B59 AH31:AL31 Y24:AF24 Y25:Y26 AA25:AB25 B61:C68 AC81:AF81 T81:U81 Q71:Q72 S76:S80 S70:S74 O80 Q70:R70 P70:P80 O70:O78 Q73:R80 T70:T80 V70:W80 U70:U79 O81:Q81" name="技能表往下"/>
    <protectedRange sqref="X89:X101 AE89:AG101 Y99:AD101 Y55:AF68" name="区域1"/>
  </protectedRanges>
  <mergeCells count="319">
    <mergeCell ref="AF3:AG3"/>
    <mergeCell ref="Y50:AF50"/>
    <mergeCell ref="D42:E42"/>
    <mergeCell ref="H3:H4"/>
    <mergeCell ref="AB4:AD4"/>
    <mergeCell ref="D17:E17"/>
    <mergeCell ref="C3:G3"/>
    <mergeCell ref="L3:L4"/>
    <mergeCell ref="P3:P4"/>
    <mergeCell ref="O3:O4"/>
    <mergeCell ref="J3:J4"/>
    <mergeCell ref="O29:P29"/>
    <mergeCell ref="Z3:AA3"/>
    <mergeCell ref="D10:D11"/>
    <mergeCell ref="AA11:AD11"/>
    <mergeCell ref="Y10:AF10"/>
    <mergeCell ref="AE25:AF25"/>
    <mergeCell ref="Z7:AA7"/>
    <mergeCell ref="AE26:AF26"/>
    <mergeCell ref="Y26:Z26"/>
    <mergeCell ref="AA15:AF16"/>
    <mergeCell ref="P55:Q55"/>
    <mergeCell ref="Y29:Z30"/>
    <mergeCell ref="Y12:Z12"/>
    <mergeCell ref="Y14:Z14"/>
    <mergeCell ref="Y20:Z22"/>
    <mergeCell ref="Y42:AF42"/>
    <mergeCell ref="Y51:AF51"/>
    <mergeCell ref="P51:Q51"/>
    <mergeCell ref="Y43:AF43"/>
    <mergeCell ref="Y24:AF24"/>
    <mergeCell ref="T11:U11"/>
    <mergeCell ref="O23:P23"/>
    <mergeCell ref="S9:T9"/>
    <mergeCell ref="O21:P21"/>
    <mergeCell ref="O47:P47"/>
    <mergeCell ref="AA25:AB25"/>
    <mergeCell ref="O7:O8"/>
    <mergeCell ref="O14:P14"/>
    <mergeCell ref="P7:P8"/>
    <mergeCell ref="T81:U81"/>
    <mergeCell ref="I53:J53"/>
    <mergeCell ref="O43:P43"/>
    <mergeCell ref="Y13:Z13"/>
    <mergeCell ref="M10:M11"/>
    <mergeCell ref="Y33:AF36"/>
    <mergeCell ref="Y58:AA58"/>
    <mergeCell ref="AB58:AD58"/>
    <mergeCell ref="AB59:AD59"/>
    <mergeCell ref="O71:P72"/>
    <mergeCell ref="Y17:Z19"/>
    <mergeCell ref="AB62:AD62"/>
    <mergeCell ref="Y66:AA66"/>
    <mergeCell ref="I74:M74"/>
    <mergeCell ref="V51:W52"/>
    <mergeCell ref="AB63:AD63"/>
    <mergeCell ref="T57:U57"/>
    <mergeCell ref="Y46:AF46"/>
    <mergeCell ref="O80:R80"/>
    <mergeCell ref="O40:P40"/>
    <mergeCell ref="AC25:AD25"/>
    <mergeCell ref="Y54:AA54"/>
    <mergeCell ref="N10:N11"/>
    <mergeCell ref="C5:D5"/>
    <mergeCell ref="C4:D4"/>
    <mergeCell ref="B56:C56"/>
    <mergeCell ref="O48:P48"/>
    <mergeCell ref="K54:L54"/>
    <mergeCell ref="D65:F65"/>
    <mergeCell ref="H60:W60"/>
    <mergeCell ref="O73:W74"/>
    <mergeCell ref="O17:P17"/>
    <mergeCell ref="O35:P35"/>
    <mergeCell ref="H5:H6"/>
    <mergeCell ref="I3:I4"/>
    <mergeCell ref="K53:L53"/>
    <mergeCell ref="D68:G68"/>
    <mergeCell ref="O39:P39"/>
    <mergeCell ref="C6:D6"/>
    <mergeCell ref="D30:E30"/>
    <mergeCell ref="Y2:AE2"/>
    <mergeCell ref="B13:W13"/>
    <mergeCell ref="D29:E29"/>
    <mergeCell ref="L5:L6"/>
    <mergeCell ref="I5:I6"/>
    <mergeCell ref="D15:E15"/>
    <mergeCell ref="D31:E31"/>
    <mergeCell ref="D23:E23"/>
    <mergeCell ref="B2:G2"/>
    <mergeCell ref="F10:G11"/>
    <mergeCell ref="AA20:AF22"/>
    <mergeCell ref="O25:P25"/>
    <mergeCell ref="O22:P22"/>
    <mergeCell ref="AA14:AC14"/>
    <mergeCell ref="D24:E24"/>
    <mergeCell ref="Y8:AA8"/>
    <mergeCell ref="U14:W14"/>
    <mergeCell ref="L7:L8"/>
    <mergeCell ref="AC8:AF8"/>
    <mergeCell ref="P5:P6"/>
    <mergeCell ref="Z5:AA5"/>
    <mergeCell ref="AF5:AG5"/>
    <mergeCell ref="AF4:AG4"/>
    <mergeCell ref="Y31:Z32"/>
    <mergeCell ref="S80:W80"/>
    <mergeCell ref="I80:M80"/>
    <mergeCell ref="O75:Q75"/>
    <mergeCell ref="B66:C66"/>
    <mergeCell ref="B79:G79"/>
    <mergeCell ref="N57:O57"/>
    <mergeCell ref="I52:J52"/>
    <mergeCell ref="I72:M72"/>
    <mergeCell ref="B64:C64"/>
    <mergeCell ref="I71:M71"/>
    <mergeCell ref="O78:P79"/>
    <mergeCell ref="D63:F63"/>
    <mergeCell ref="I77:M77"/>
    <mergeCell ref="D60:F60"/>
    <mergeCell ref="I55:J55"/>
    <mergeCell ref="R75:W75"/>
    <mergeCell ref="B60:C60"/>
    <mergeCell ref="K52:L52"/>
    <mergeCell ref="N56:O56"/>
    <mergeCell ref="T55:U56"/>
    <mergeCell ref="P56:Q56"/>
    <mergeCell ref="B67:C67"/>
    <mergeCell ref="I76:M76"/>
    <mergeCell ref="I78:M78"/>
    <mergeCell ref="B70:G70"/>
    <mergeCell ref="E9:J9"/>
    <mergeCell ref="O27:P27"/>
    <mergeCell ref="D16:E16"/>
    <mergeCell ref="O16:P16"/>
    <mergeCell ref="J10:J11"/>
    <mergeCell ref="J14:L14"/>
    <mergeCell ref="O20:P20"/>
    <mergeCell ref="O76:P76"/>
    <mergeCell ref="B65:C65"/>
    <mergeCell ref="O46:P46"/>
    <mergeCell ref="B10:C11"/>
    <mergeCell ref="O37:P37"/>
    <mergeCell ref="B9:C9"/>
    <mergeCell ref="D14:E14"/>
    <mergeCell ref="O19:P19"/>
    <mergeCell ref="B76:G76"/>
    <mergeCell ref="P53:Q53"/>
    <mergeCell ref="B74:G74"/>
    <mergeCell ref="B50:R50"/>
    <mergeCell ref="D62:F62"/>
    <mergeCell ref="K55:L55"/>
    <mergeCell ref="N52:O52"/>
    <mergeCell ref="K51:L51"/>
    <mergeCell ref="AC81:AF81"/>
    <mergeCell ref="B80:G80"/>
    <mergeCell ref="P57:Q57"/>
    <mergeCell ref="B68:C68"/>
    <mergeCell ref="B72:G72"/>
    <mergeCell ref="Q77:W77"/>
    <mergeCell ref="I73:M73"/>
    <mergeCell ref="B75:G75"/>
    <mergeCell ref="O70:W70"/>
    <mergeCell ref="Y63:AA63"/>
    <mergeCell ref="V57:W57"/>
    <mergeCell ref="Q71:R71"/>
    <mergeCell ref="V81:W81"/>
    <mergeCell ref="O81:Q81"/>
    <mergeCell ref="B77:G77"/>
    <mergeCell ref="AB61:AD61"/>
    <mergeCell ref="Y72:AF80"/>
    <mergeCell ref="B78:G78"/>
    <mergeCell ref="B62:C62"/>
    <mergeCell ref="B71:G71"/>
    <mergeCell ref="B73:G73"/>
    <mergeCell ref="Q72:R72"/>
    <mergeCell ref="B57:C57"/>
    <mergeCell ref="I79:M79"/>
    <mergeCell ref="T10:U10"/>
    <mergeCell ref="D47:E47"/>
    <mergeCell ref="Y60:AA60"/>
    <mergeCell ref="B55:C55"/>
    <mergeCell ref="I51:J51"/>
    <mergeCell ref="T51:U52"/>
    <mergeCell ref="B52:C52"/>
    <mergeCell ref="AA29:AF30"/>
    <mergeCell ref="AA31:AF32"/>
    <mergeCell ref="D39:E39"/>
    <mergeCell ref="D32:E32"/>
    <mergeCell ref="D40:E40"/>
    <mergeCell ref="O45:P45"/>
    <mergeCell ref="B53:C53"/>
    <mergeCell ref="Y53:AF53"/>
    <mergeCell ref="N55:O55"/>
    <mergeCell ref="Y47:AF47"/>
    <mergeCell ref="F51:H51"/>
    <mergeCell ref="I56:J56"/>
    <mergeCell ref="T53:U54"/>
    <mergeCell ref="P54:Q54"/>
    <mergeCell ref="AB55:AD55"/>
    <mergeCell ref="Y48:AF48"/>
    <mergeCell ref="AB60:AD60"/>
    <mergeCell ref="Q78:W79"/>
    <mergeCell ref="Y56:AA56"/>
    <mergeCell ref="V55:V56"/>
    <mergeCell ref="Y38:AF38"/>
    <mergeCell ref="AA26:AB26"/>
    <mergeCell ref="D18:E18"/>
    <mergeCell ref="AE14:AF14"/>
    <mergeCell ref="AB66:AD66"/>
    <mergeCell ref="P52:Q52"/>
    <mergeCell ref="D66:F66"/>
    <mergeCell ref="I70:M70"/>
    <mergeCell ref="AB67:AD67"/>
    <mergeCell ref="I75:M75"/>
    <mergeCell ref="Y55:AA55"/>
    <mergeCell ref="Y70:AF71"/>
    <mergeCell ref="AC26:AD26"/>
    <mergeCell ref="O42:P42"/>
    <mergeCell ref="D28:E28"/>
    <mergeCell ref="O34:P34"/>
    <mergeCell ref="Y65:AA65"/>
    <mergeCell ref="O41:P41"/>
    <mergeCell ref="D22:E22"/>
    <mergeCell ref="AB64:AD64"/>
    <mergeCell ref="O77:P77"/>
    <mergeCell ref="AE13:AF13"/>
    <mergeCell ref="D27:E27"/>
    <mergeCell ref="F4:G4"/>
    <mergeCell ref="AB54:AD54"/>
    <mergeCell ref="N54:O54"/>
    <mergeCell ref="AF7:AG7"/>
    <mergeCell ref="M3:M4"/>
    <mergeCell ref="V53:W54"/>
    <mergeCell ref="R10:R11"/>
    <mergeCell ref="Y11:Z11"/>
    <mergeCell ref="O24:P24"/>
    <mergeCell ref="F6:G6"/>
    <mergeCell ref="M7:M8"/>
    <mergeCell ref="E10:E11"/>
    <mergeCell ref="AB5:AD5"/>
    <mergeCell ref="I7:I8"/>
    <mergeCell ref="Z4:AA4"/>
    <mergeCell ref="H7:H8"/>
    <mergeCell ref="Y15:Z16"/>
    <mergeCell ref="AB6:AD6"/>
    <mergeCell ref="AA27:AF28"/>
    <mergeCell ref="AF6:AG6"/>
    <mergeCell ref="C8:G8"/>
    <mergeCell ref="D25:E25"/>
    <mergeCell ref="F5:G5"/>
    <mergeCell ref="O18:P18"/>
    <mergeCell ref="AB7:AD7"/>
    <mergeCell ref="AA13:AC13"/>
    <mergeCell ref="I10:I11"/>
    <mergeCell ref="J5:J6"/>
    <mergeCell ref="V11:W11"/>
    <mergeCell ref="B12:W12"/>
    <mergeCell ref="S2:W8"/>
    <mergeCell ref="I2:Q2"/>
    <mergeCell ref="O10:P11"/>
    <mergeCell ref="S10:S11"/>
    <mergeCell ref="Q10:Q11"/>
    <mergeCell ref="J7:J8"/>
    <mergeCell ref="O5:O6"/>
    <mergeCell ref="H10:H11"/>
    <mergeCell ref="K10:L11"/>
    <mergeCell ref="M5:M6"/>
    <mergeCell ref="P9:Q9"/>
    <mergeCell ref="M9:N9"/>
    <mergeCell ref="V9:W9"/>
    <mergeCell ref="AB3:AD3"/>
    <mergeCell ref="V10:W10"/>
    <mergeCell ref="AA17:AF19"/>
    <mergeCell ref="B1:W1"/>
    <mergeCell ref="D48:E48"/>
    <mergeCell ref="Y67:AA67"/>
    <mergeCell ref="Y49:AF49"/>
    <mergeCell ref="B59:W59"/>
    <mergeCell ref="T50:W50"/>
    <mergeCell ref="AB68:AD68"/>
    <mergeCell ref="K56:L56"/>
    <mergeCell ref="O38:P38"/>
    <mergeCell ref="Y61:AA61"/>
    <mergeCell ref="AB57:AD57"/>
    <mergeCell ref="AB65:AD65"/>
    <mergeCell ref="N51:O51"/>
    <mergeCell ref="I57:J57"/>
    <mergeCell ref="D61:F61"/>
    <mergeCell ref="K57:L57"/>
    <mergeCell ref="Y68:AA68"/>
    <mergeCell ref="AA12:AF12"/>
    <mergeCell ref="C7:G7"/>
    <mergeCell ref="Z6:AA6"/>
    <mergeCell ref="D41:E41"/>
    <mergeCell ref="B58:W58"/>
    <mergeCell ref="D67:G67"/>
    <mergeCell ref="I54:J54"/>
    <mergeCell ref="H61:W68"/>
    <mergeCell ref="Y59:AA59"/>
    <mergeCell ref="D64:F64"/>
    <mergeCell ref="N53:O53"/>
    <mergeCell ref="B61:C61"/>
    <mergeCell ref="B63:C63"/>
    <mergeCell ref="Y57:AA57"/>
    <mergeCell ref="Y62:AA62"/>
    <mergeCell ref="O15:P15"/>
    <mergeCell ref="D26:E26"/>
    <mergeCell ref="O33:P33"/>
    <mergeCell ref="Y27:Z28"/>
    <mergeCell ref="Y44:AF44"/>
    <mergeCell ref="Y41:AF41"/>
    <mergeCell ref="Y25:Z25"/>
    <mergeCell ref="O28:P28"/>
    <mergeCell ref="Y39:AF39"/>
    <mergeCell ref="Y40:AF40"/>
    <mergeCell ref="Y45:AF45"/>
    <mergeCell ref="B54:C54"/>
    <mergeCell ref="Y64:AA64"/>
    <mergeCell ref="AB56:AD56"/>
    <mergeCell ref="B51:C51"/>
  </mergeCells>
  <phoneticPr fontId="71" type="noConversion"/>
  <conditionalFormatting sqref="C15:C48 N15:N44">
    <cfRule type="cellIs" dxfId="10" priority="19" operator="equal">
      <formula>"★"</formula>
    </cfRule>
    <cfRule type="cellIs" dxfId="9" priority="16" operator="equal">
      <formula>"⊙"</formula>
    </cfRule>
    <cfRule type="cellIs" dxfId="8" priority="15" operator="equal">
      <formula>"※"</formula>
    </cfRule>
    <cfRule type="cellIs" dxfId="7" priority="18" operator="equal">
      <formula>"☆"</formula>
    </cfRule>
    <cfRule type="cellIs" dxfId="6" priority="17" operator="equal">
      <formula>"×"</formula>
    </cfRule>
    <cfRule type="cellIs" dxfId="5" priority="14" operator="equal">
      <formula>"☯"</formula>
    </cfRule>
  </conditionalFormatting>
  <conditionalFormatting sqref="Y10:AF10">
    <cfRule type="notContainsBlanks" dxfId="4" priority="7">
      <formula>LEN(TRIM(Y10))&gt;0</formula>
    </cfRule>
  </conditionalFormatting>
  <conditionalFormatting sqref="Y13:AF13 Y15:AF16 Y20:AF22 Y11 AA11 AE11:AF11">
    <cfRule type="notContainsBlanks" dxfId="3" priority="529">
      <formula>LEN(TRIM(Y11))&gt;0</formula>
    </cfRule>
  </conditionalFormatting>
  <conditionalFormatting sqref="Y10:AF10 Y12:AF22 Y11 AA11 AE11:AF11">
    <cfRule type="notContainsBlanks" dxfId="2" priority="528">
      <formula>LEN(TRIM(Y10))&gt;0</formula>
    </cfRule>
  </conditionalFormatting>
  <conditionalFormatting sqref="G49 R49:V49">
    <cfRule type="cellIs" dxfId="1" priority="525" operator="equal">
      <formula>"剩余职业点=0   剩余兴趣点=0"</formula>
    </cfRule>
  </conditionalFormatting>
  <hyperlinks>
    <hyperlink ref="AC81:AF81" r:id="rId1" display="快速车卡教程（误）"/>
  </hyperlinks>
  <pageMargins left="0.7" right="0.7" top="0.75" bottom="0.75" header="0.3" footer="0.3"/>
  <pageSetup paperSize="9" scale="62"/>
  <drawing r:id="rId2"/>
  <legacyDrawing r:id="rId3"/>
  <extLst>
    <ext xmlns:x14="http://schemas.microsoft.com/office/spreadsheetml/2009/9/main" uri="{CCE6A557-97BC-4b89-ADB6-D9C93CAAB3DF}">
      <x14:dataValidations xmlns:xm="http://schemas.microsoft.com/office/excel/2006/main" count="8">
        <x14:dataValidation allowBlank="1" type="list" errorStyle="stop" showInputMessage="1" showErrorMessage="1">
          <x14:formula1>
            <xm:f>职业及经历包!$A$121:$A$128</xm:f>
          </x14:formula1>
          <xm:sqref>AF11</xm:sqref>
        </x14:dataValidation>
        <x14:dataValidation allowBlank="1" type="list" errorStyle="stop" showInputMessage="1" showErrorMessage="1">
          <x14:formula1>
            <xm:f>职业及经历包!$M$2:$M$66</xm:f>
          </x14:formula1>
          <xm:sqref>AB3:AB7</xm:sqref>
        </x14:dataValidation>
        <x14:dataValidation type="custom" errorStyle="stop" showInputMessage="1" showErrorMessage="1">
          <x14:formula1>
            <xm:f>IF(F5=0," ","["&amp;LOOKUP(F5,职业及经历包!A2:A117,职业及经历包!B2:B117)&amp;"]的本职技能："&amp;LOOKUP(F5,职业及经历包!A2:A117,职业及经历包!G2:G117))</xm:f>
          </x14:formula1>
          <xm:sqref>X12</xm:sqref>
        </x14:dataValidation>
        <x14:dataValidation allowBlank="1" type="list" errorStyle="stop" showInputMessage="1" showErrorMessage="1">
          <x14:formula1>
            <xm:f>分支技能!$B$4:$B$28</xm:f>
          </x14:formula1>
          <xm:sqref>E19:E20</xm:sqref>
        </x14:dataValidation>
        <x14:dataValidation allowBlank="1" type="list" errorStyle="stop" showInputMessage="1" showErrorMessage="1">
          <x14:formula1>
            <xm:f>职业及经历包!$A$2:$A$117</xm:f>
          </x14:formula1>
          <xm:sqref>F5:G5</xm:sqref>
        </x14:dataValidation>
        <x14:dataValidation allowBlank="1" type="list" errorStyle="stop" showInputMessage="1" showErrorMessage="1">
          <x14:formula1>
            <xm:f>分支技能!$E$4:$E$16</xm:f>
          </x14:formula1>
          <xm:sqref>P30:P32</xm:sqref>
        </x14:dataValidation>
        <x14:dataValidation allowBlank="1" type="list" errorStyle="stop">
          <x14:formula1>
            <xm:f>武器列表!$B$3:$B$106</xm:f>
          </x14:formula1>
          <xm:sqref>D53</xm:sqref>
        </x14:dataValidation>
        <x14:dataValidation allowBlank="1" type="list" errorStyle="stop" showInputMessage="1" showErrorMessage="1">
          <x14:formula1>
            <xm:f>武器列表!$B$3:$B$106</xm:f>
          </x14:formula1>
          <xm:sqref>D54:D55</xm:sqref>
        </x14:dataValidation>
      </x14:dataValidations>
    </ext>
  </extLst>
</worksheet>
</file>

<file path=xl/worksheets/sheet2.xml><?xml version="1.0" encoding="utf-8"?>
<worksheet xmlns="http://schemas.openxmlformats.org/spreadsheetml/2006/main" xmlns:r="http://schemas.openxmlformats.org/officeDocument/2006/relationships">
  <dimension ref="A1:P31"/>
  <sheetViews>
    <sheetView showGridLines="0" topLeftCell="C1" zoomScale="73" workbookViewId="0">
      <selection activeCell="B39" sqref="B39"/>
    </sheetView>
  </sheetViews>
  <sheetFormatPr defaultColWidth="8.25" defaultRowHeight="16.5"/>
  <cols>
    <col min="1" max="1" width="8.25" style="140" customWidth="1"/>
    <col min="2" max="2" width="13" style="140" customWidth="1"/>
    <col min="3" max="10" width="8.25" style="140" customWidth="1"/>
    <col min="11" max="11" width="11.25" style="140" customWidth="1"/>
    <col min="12" max="13" width="8.25" style="140" customWidth="1"/>
    <col min="14" max="16384" width="8.25" style="140"/>
  </cols>
  <sheetData>
    <row r="1" spans="1:16">
      <c r="A1" s="513" t="s">
        <v>1514</v>
      </c>
      <c r="B1" s="513"/>
      <c r="C1" s="513"/>
      <c r="D1" s="513"/>
      <c r="E1" s="513"/>
      <c r="F1" s="513"/>
      <c r="G1" s="513"/>
      <c r="H1" s="513"/>
      <c r="I1" s="513"/>
      <c r="J1" s="513"/>
      <c r="K1" s="513"/>
      <c r="L1" s="513"/>
      <c r="M1" s="513"/>
      <c r="N1" s="513"/>
      <c r="O1" s="513"/>
      <c r="P1" s="513"/>
    </row>
    <row r="2" spans="1:16" s="141" customFormat="1">
      <c r="B2" s="784" t="s">
        <v>1464</v>
      </c>
      <c r="C2" s="785"/>
      <c r="D2" s="9"/>
      <c r="E2" s="784" t="s">
        <v>7</v>
      </c>
      <c r="F2" s="785"/>
      <c r="G2" s="9"/>
      <c r="H2" s="784" t="s">
        <v>10</v>
      </c>
      <c r="I2" s="785"/>
      <c r="J2" s="9"/>
      <c r="K2" s="784" t="s">
        <v>54</v>
      </c>
      <c r="L2" s="785"/>
      <c r="M2" s="140"/>
      <c r="N2" s="141" t="s">
        <v>1275</v>
      </c>
      <c r="P2" s="140"/>
    </row>
    <row r="3" spans="1:16">
      <c r="B3" s="142" t="s">
        <v>19</v>
      </c>
      <c r="C3" s="143" t="s">
        <v>20</v>
      </c>
      <c r="D3" s="5"/>
      <c r="E3" s="142" t="s">
        <v>174</v>
      </c>
      <c r="F3" s="143" t="s">
        <v>175</v>
      </c>
      <c r="G3" s="5"/>
      <c r="H3" s="142" t="s">
        <v>176</v>
      </c>
      <c r="I3" s="143" t="s">
        <v>177</v>
      </c>
      <c r="J3" s="5"/>
      <c r="K3" s="142" t="s">
        <v>174</v>
      </c>
      <c r="L3" s="143" t="s">
        <v>175</v>
      </c>
      <c r="N3" s="141" t="s">
        <v>19</v>
      </c>
      <c r="O3" s="141"/>
    </row>
    <row r="4" spans="1:16">
      <c r="A4" s="781" t="s">
        <v>1413</v>
      </c>
      <c r="B4" s="144" t="s">
        <v>11</v>
      </c>
      <c r="C4" s="145">
        <v>5</v>
      </c>
      <c r="D4" s="146"/>
      <c r="E4" s="144" t="s">
        <v>13</v>
      </c>
      <c r="F4" s="145">
        <v>1</v>
      </c>
      <c r="G4" s="146"/>
      <c r="H4" s="144" t="s">
        <v>63</v>
      </c>
      <c r="I4" s="145">
        <v>5</v>
      </c>
      <c r="J4" s="146"/>
      <c r="K4" s="144" t="s">
        <v>98</v>
      </c>
      <c r="L4" s="145">
        <v>25</v>
      </c>
      <c r="N4" s="141" t="s">
        <v>94</v>
      </c>
      <c r="O4" s="141">
        <f>人物卡!J47</f>
        <v>20</v>
      </c>
    </row>
    <row r="5" spans="1:16">
      <c r="A5" s="782"/>
      <c r="B5" s="147" t="s">
        <v>1403</v>
      </c>
      <c r="C5" s="148">
        <v>5</v>
      </c>
      <c r="D5" s="146"/>
      <c r="E5" s="147" t="s">
        <v>49</v>
      </c>
      <c r="F5" s="148">
        <v>1</v>
      </c>
      <c r="G5" s="146"/>
      <c r="H5" s="147" t="s">
        <v>64</v>
      </c>
      <c r="I5" s="148">
        <v>10</v>
      </c>
      <c r="J5" s="146"/>
      <c r="K5" s="147" t="s">
        <v>45</v>
      </c>
      <c r="L5" s="148">
        <v>15</v>
      </c>
      <c r="N5" s="141" t="s">
        <v>79</v>
      </c>
      <c r="O5" s="9">
        <f>人物卡!J30</f>
        <v>10</v>
      </c>
    </row>
    <row r="6" spans="1:16">
      <c r="A6" s="782"/>
      <c r="B6" s="144" t="s">
        <v>172</v>
      </c>
      <c r="C6" s="145">
        <v>5</v>
      </c>
      <c r="D6" s="146"/>
      <c r="E6" s="144" t="s">
        <v>43</v>
      </c>
      <c r="F6" s="145">
        <v>1</v>
      </c>
      <c r="G6" s="146"/>
      <c r="H6" s="144" t="s">
        <v>1056</v>
      </c>
      <c r="I6" s="145">
        <v>25</v>
      </c>
      <c r="J6" s="146"/>
      <c r="K6" s="144" t="s">
        <v>189</v>
      </c>
      <c r="L6" s="145">
        <v>15</v>
      </c>
      <c r="N6" s="141" t="s">
        <v>884</v>
      </c>
      <c r="O6" s="9">
        <f>人物卡!U43</f>
        <v>1</v>
      </c>
    </row>
    <row r="7" spans="1:16">
      <c r="A7" s="782"/>
      <c r="B7" s="147" t="s">
        <v>1404</v>
      </c>
      <c r="C7" s="148">
        <v>5</v>
      </c>
      <c r="D7" s="146"/>
      <c r="E7" s="147" t="s">
        <v>50</v>
      </c>
      <c r="F7" s="148">
        <v>1</v>
      </c>
      <c r="G7" s="146"/>
      <c r="H7" s="147" t="s">
        <v>66</v>
      </c>
      <c r="I7" s="148">
        <v>15</v>
      </c>
      <c r="J7" s="146"/>
      <c r="K7" s="147" t="s">
        <v>46</v>
      </c>
      <c r="L7" s="148">
        <v>10</v>
      </c>
      <c r="N7" s="141"/>
      <c r="O7" s="141"/>
    </row>
    <row r="8" spans="1:16">
      <c r="A8" s="782"/>
      <c r="B8" s="144" t="s">
        <v>168</v>
      </c>
      <c r="C8" s="145">
        <v>5</v>
      </c>
      <c r="D8" s="146"/>
      <c r="E8" s="144" t="s">
        <v>44</v>
      </c>
      <c r="F8" s="145">
        <v>1</v>
      </c>
      <c r="G8" s="146"/>
      <c r="H8" s="144" t="s">
        <v>22</v>
      </c>
      <c r="I8" s="145">
        <v>20</v>
      </c>
      <c r="J8" s="146"/>
      <c r="K8" s="144" t="s">
        <v>65</v>
      </c>
      <c r="L8" s="145">
        <v>10</v>
      </c>
    </row>
    <row r="9" spans="1:16">
      <c r="A9" s="782"/>
      <c r="B9" s="147" t="s">
        <v>1405</v>
      </c>
      <c r="C9" s="148">
        <v>5</v>
      </c>
      <c r="D9" s="146"/>
      <c r="E9" s="147" t="s">
        <v>51</v>
      </c>
      <c r="F9" s="148">
        <v>1</v>
      </c>
      <c r="G9" s="146"/>
      <c r="H9" s="147" t="s">
        <v>1276</v>
      </c>
      <c r="I9" s="148">
        <v>15</v>
      </c>
      <c r="J9" s="146"/>
      <c r="K9" s="147" t="s">
        <v>47</v>
      </c>
      <c r="L9" s="148">
        <v>20</v>
      </c>
    </row>
    <row r="10" spans="1:16">
      <c r="A10" s="782"/>
      <c r="B10" s="144" t="s">
        <v>228</v>
      </c>
      <c r="C10" s="145">
        <v>5</v>
      </c>
      <c r="D10" s="146"/>
      <c r="E10" s="144" t="s">
        <v>171</v>
      </c>
      <c r="F10" s="145">
        <v>1</v>
      </c>
      <c r="G10" s="146"/>
      <c r="H10" s="144" t="s">
        <v>56</v>
      </c>
      <c r="I10" s="145">
        <v>10</v>
      </c>
      <c r="J10" s="146"/>
      <c r="K10" s="149" t="s">
        <v>48</v>
      </c>
      <c r="L10" s="150">
        <v>10</v>
      </c>
    </row>
    <row r="11" spans="1:16">
      <c r="A11" s="782"/>
      <c r="B11" s="147" t="s">
        <v>1406</v>
      </c>
      <c r="C11" s="148">
        <v>5</v>
      </c>
      <c r="D11" s="146"/>
      <c r="E11" s="147" t="s">
        <v>52</v>
      </c>
      <c r="F11" s="148">
        <v>1</v>
      </c>
      <c r="G11" s="146"/>
      <c r="H11" s="151" t="s">
        <v>21</v>
      </c>
      <c r="I11" s="152">
        <v>20</v>
      </c>
      <c r="J11" s="146"/>
      <c r="K11" s="146"/>
      <c r="L11" s="146"/>
    </row>
    <row r="12" spans="1:16">
      <c r="A12" s="782"/>
      <c r="B12" s="144" t="s">
        <v>1402</v>
      </c>
      <c r="C12" s="145">
        <v>5</v>
      </c>
      <c r="D12" s="146"/>
      <c r="E12" s="144" t="s">
        <v>14</v>
      </c>
      <c r="F12" s="145">
        <v>1</v>
      </c>
      <c r="G12" s="146"/>
      <c r="H12" s="146"/>
      <c r="I12" s="146"/>
      <c r="J12" s="146"/>
      <c r="K12" s="146"/>
      <c r="L12" s="146"/>
    </row>
    <row r="13" spans="1:16">
      <c r="A13" s="782"/>
      <c r="B13" s="147" t="s">
        <v>1407</v>
      </c>
      <c r="C13" s="148">
        <v>5</v>
      </c>
      <c r="D13" s="146"/>
      <c r="E13" s="147" t="s">
        <v>15</v>
      </c>
      <c r="F13" s="148">
        <v>1</v>
      </c>
      <c r="G13" s="146"/>
      <c r="H13" s="146"/>
      <c r="I13" s="146"/>
      <c r="J13" s="146"/>
      <c r="K13" s="146"/>
      <c r="L13" s="146"/>
    </row>
    <row r="14" spans="1:16">
      <c r="A14" s="782"/>
      <c r="B14" s="144" t="s">
        <v>12</v>
      </c>
      <c r="C14" s="145">
        <v>5</v>
      </c>
      <c r="D14" s="146"/>
      <c r="E14" s="144" t="s">
        <v>16</v>
      </c>
      <c r="F14" s="145">
        <v>1</v>
      </c>
      <c r="G14" s="146"/>
      <c r="H14" s="146"/>
      <c r="I14" s="146"/>
      <c r="J14" s="146"/>
      <c r="K14" s="146"/>
      <c r="L14" s="146"/>
    </row>
    <row r="15" spans="1:16">
      <c r="A15" s="782"/>
      <c r="B15" s="147" t="s">
        <v>1408</v>
      </c>
      <c r="C15" s="148">
        <v>5</v>
      </c>
      <c r="D15" s="146"/>
      <c r="E15" s="147" t="s">
        <v>53</v>
      </c>
      <c r="F15" s="148">
        <v>1</v>
      </c>
      <c r="G15" s="146"/>
      <c r="H15" s="146"/>
      <c r="I15" s="146"/>
      <c r="J15" s="146"/>
      <c r="K15" s="146"/>
      <c r="L15" s="146"/>
    </row>
    <row r="16" spans="1:16">
      <c r="A16" s="782"/>
      <c r="B16" s="144" t="s">
        <v>1401</v>
      </c>
      <c r="C16" s="145">
        <v>5</v>
      </c>
      <c r="D16" s="146"/>
      <c r="E16" s="149" t="s">
        <v>178</v>
      </c>
      <c r="F16" s="150">
        <v>1</v>
      </c>
      <c r="G16" s="146"/>
      <c r="H16" s="146"/>
      <c r="I16" s="146"/>
      <c r="J16" s="146"/>
      <c r="K16" s="146"/>
      <c r="L16" s="146"/>
    </row>
    <row r="17" spans="1:12">
      <c r="A17" s="782"/>
      <c r="B17" s="147" t="s">
        <v>1409</v>
      </c>
      <c r="C17" s="148">
        <v>5</v>
      </c>
      <c r="D17" s="146"/>
      <c r="E17" s="146"/>
      <c r="F17" s="146"/>
      <c r="G17" s="146"/>
      <c r="H17" s="146"/>
      <c r="I17" s="146"/>
      <c r="J17" s="146"/>
      <c r="K17" s="146"/>
      <c r="L17" s="146"/>
    </row>
    <row r="18" spans="1:12">
      <c r="A18" s="782"/>
      <c r="B18" s="144" t="s">
        <v>173</v>
      </c>
      <c r="C18" s="145">
        <v>5</v>
      </c>
      <c r="D18" s="146"/>
      <c r="E18" s="146"/>
      <c r="F18" s="146"/>
      <c r="G18" s="146"/>
      <c r="H18" s="146"/>
      <c r="I18" s="146"/>
      <c r="J18" s="146"/>
      <c r="K18" s="146"/>
      <c r="L18" s="146"/>
    </row>
    <row r="19" spans="1:12">
      <c r="A19" s="782"/>
      <c r="B19" s="147" t="s">
        <v>1410</v>
      </c>
      <c r="C19" s="148">
        <v>5</v>
      </c>
      <c r="D19" s="146"/>
      <c r="E19" s="146"/>
      <c r="F19" s="146"/>
      <c r="G19" s="146"/>
      <c r="H19" s="146"/>
      <c r="I19" s="146"/>
      <c r="J19" s="146"/>
      <c r="K19" s="146"/>
      <c r="L19" s="146"/>
    </row>
    <row r="20" spans="1:12">
      <c r="A20" s="782"/>
      <c r="B20" s="144" t="s">
        <v>579</v>
      </c>
      <c r="C20" s="145">
        <v>5</v>
      </c>
      <c r="D20" s="146"/>
      <c r="E20" s="146"/>
      <c r="F20" s="146"/>
      <c r="G20" s="146"/>
      <c r="H20" s="146"/>
      <c r="I20" s="146"/>
      <c r="J20" s="146"/>
      <c r="K20" s="146"/>
      <c r="L20" s="146"/>
    </row>
    <row r="21" spans="1:12">
      <c r="A21" s="782"/>
      <c r="B21" s="147" t="s">
        <v>1411</v>
      </c>
      <c r="C21" s="148">
        <v>5</v>
      </c>
      <c r="D21" s="146"/>
      <c r="E21" s="146"/>
      <c r="F21" s="146"/>
      <c r="G21" s="146"/>
      <c r="J21" s="146"/>
      <c r="K21" s="146"/>
      <c r="L21" s="146"/>
    </row>
    <row r="22" spans="1:12">
      <c r="A22" s="782"/>
      <c r="B22" s="144" t="s">
        <v>1412</v>
      </c>
      <c r="C22" s="145">
        <v>5</v>
      </c>
      <c r="D22" s="146"/>
      <c r="E22" s="146"/>
      <c r="F22" s="146"/>
      <c r="G22" s="146"/>
      <c r="J22" s="146"/>
      <c r="K22" s="146"/>
      <c r="L22" s="146"/>
    </row>
    <row r="23" spans="1:12">
      <c r="A23" s="783"/>
      <c r="B23" s="153" t="s">
        <v>1470</v>
      </c>
      <c r="C23" s="154">
        <v>5</v>
      </c>
      <c r="D23" s="146"/>
      <c r="E23" s="146"/>
      <c r="F23" s="146"/>
      <c r="G23" s="146"/>
      <c r="J23" s="146"/>
      <c r="K23" s="146"/>
      <c r="L23" s="146"/>
    </row>
    <row r="24" spans="1:12" ht="17.25" customHeight="1">
      <c r="A24" s="781" t="s">
        <v>1414</v>
      </c>
      <c r="B24" s="147" t="s">
        <v>1509</v>
      </c>
      <c r="C24" s="148">
        <v>5</v>
      </c>
      <c r="D24" s="146"/>
      <c r="E24" s="146"/>
      <c r="F24" s="146"/>
      <c r="G24" s="146"/>
      <c r="J24" s="146"/>
      <c r="K24" s="146"/>
      <c r="L24" s="146"/>
    </row>
    <row r="25" spans="1:12">
      <c r="A25" s="782"/>
      <c r="B25" s="144" t="s">
        <v>1510</v>
      </c>
      <c r="C25" s="145">
        <v>5</v>
      </c>
      <c r="D25" s="146"/>
      <c r="E25" s="146"/>
      <c r="F25" s="146"/>
      <c r="G25" s="146"/>
      <c r="J25" s="146"/>
      <c r="K25" s="146"/>
      <c r="L25" s="146"/>
    </row>
    <row r="26" spans="1:12">
      <c r="A26" s="782"/>
      <c r="B26" s="147" t="s">
        <v>1511</v>
      </c>
      <c r="C26" s="148">
        <v>5</v>
      </c>
      <c r="D26" s="146"/>
      <c r="E26" s="146"/>
      <c r="F26" s="146"/>
      <c r="G26" s="146"/>
      <c r="J26" s="146"/>
      <c r="K26" s="146"/>
      <c r="L26" s="146"/>
    </row>
    <row r="27" spans="1:12">
      <c r="A27" s="782"/>
      <c r="B27" s="144" t="s">
        <v>1512</v>
      </c>
      <c r="C27" s="145">
        <v>5</v>
      </c>
      <c r="D27" s="146"/>
      <c r="E27" s="146"/>
      <c r="F27" s="146"/>
      <c r="G27" s="146"/>
      <c r="J27" s="146"/>
      <c r="K27" s="146"/>
      <c r="L27" s="146"/>
    </row>
    <row r="28" spans="1:12">
      <c r="A28" s="783"/>
      <c r="B28" s="151" t="s">
        <v>1513</v>
      </c>
      <c r="C28" s="152">
        <v>5</v>
      </c>
    </row>
    <row r="29" spans="1:12">
      <c r="A29" s="155"/>
      <c r="B29" s="155"/>
    </row>
    <row r="30" spans="1:12">
      <c r="A30" s="155"/>
      <c r="B30" s="155"/>
    </row>
    <row r="31" spans="1:12">
      <c r="A31" s="155"/>
      <c r="B31" s="155"/>
    </row>
  </sheetData>
  <sheetProtection formatCells="0" selectLockedCells="1"/>
  <protectedRanges>
    <protectedRange password="DCD7" sqref="N4" name="技能表以上"/>
    <protectedRange password="DCD7" sqref="N5:O5" name="技能表以上_1"/>
    <protectedRange password="DCD7" sqref="N6:O6" name="技能表以上_2"/>
  </protectedRanges>
  <mergeCells count="7">
    <mergeCell ref="A24:A28"/>
    <mergeCell ref="A4:A23"/>
    <mergeCell ref="A1:P1"/>
    <mergeCell ref="K2:L2"/>
    <mergeCell ref="B2:C2"/>
    <mergeCell ref="E2:F2"/>
    <mergeCell ref="H2:I2"/>
  </mergeCells>
  <phoneticPr fontId="7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P130"/>
  <sheetViews>
    <sheetView showGridLines="0" workbookViewId="0">
      <pane ySplit="1" topLeftCell="A86" activePane="bottomLeft" state="frozen"/>
      <selection pane="bottomLeft" activeCell="B108" sqref="B108:C108"/>
    </sheetView>
  </sheetViews>
  <sheetFormatPr defaultColWidth="9" defaultRowHeight="13.5"/>
  <cols>
    <col min="1" max="1" width="4.625" style="156" customWidth="1"/>
    <col min="2" max="2" width="10.5" style="157" customWidth="1"/>
    <col min="3" max="3" width="11.375" style="157" customWidth="1"/>
    <col min="4" max="4" width="8.875" style="158" customWidth="1"/>
    <col min="5" max="5" width="23.875" style="156" customWidth="1"/>
    <col min="6" max="6" width="7.375" style="156" customWidth="1"/>
    <col min="7" max="7" width="120" style="156" customWidth="1"/>
    <col min="8" max="8" width="23.875" style="157" customWidth="1"/>
    <col min="9" max="10" width="9.875" style="159" customWidth="1"/>
    <col min="11" max="11" width="13.125" style="160" customWidth="1"/>
    <col min="12" max="12" width="13.75" style="161" customWidth="1"/>
    <col min="13" max="13" width="17.625" style="161" customWidth="1"/>
    <col min="14" max="14" width="17.125" style="161" customWidth="1"/>
    <col min="15" max="15" width="10.625" style="161" customWidth="1"/>
    <col min="16" max="16" width="8.5" style="161" customWidth="1"/>
    <col min="17" max="17" width="14.375" style="161" customWidth="1"/>
    <col min="18" max="18" width="18.75" style="161" customWidth="1"/>
    <col min="19" max="20" width="9" style="161" customWidth="1"/>
    <col min="21" max="21" width="11.375" style="161" customWidth="1"/>
    <col min="22" max="23" width="9" style="161" customWidth="1"/>
    <col min="24" max="16384" width="9" style="161"/>
  </cols>
  <sheetData>
    <row r="1" spans="1:172">
      <c r="A1" s="162" t="s">
        <v>18</v>
      </c>
      <c r="B1" s="787" t="s">
        <v>1</v>
      </c>
      <c r="C1" s="787"/>
      <c r="D1" s="163" t="s">
        <v>1545</v>
      </c>
      <c r="E1" s="164" t="s">
        <v>61</v>
      </c>
      <c r="F1" s="164" t="s">
        <v>23</v>
      </c>
      <c r="G1" s="165" t="s">
        <v>17</v>
      </c>
      <c r="H1" s="166"/>
      <c r="I1" s="166"/>
      <c r="J1" s="166"/>
      <c r="K1" s="167"/>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68"/>
      <c r="AK1" s="168"/>
      <c r="AL1" s="168"/>
      <c r="AM1" s="168"/>
      <c r="AN1" s="168"/>
      <c r="AO1" s="168"/>
      <c r="AP1" s="168"/>
      <c r="AQ1" s="168"/>
      <c r="AR1" s="168"/>
      <c r="AS1" s="168"/>
      <c r="AT1" s="168"/>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68"/>
      <c r="BX1" s="168"/>
      <c r="BY1" s="168"/>
      <c r="BZ1" s="168"/>
      <c r="CA1" s="168"/>
      <c r="CB1" s="168"/>
      <c r="CC1" s="168"/>
      <c r="CD1" s="168"/>
      <c r="CE1" s="168"/>
      <c r="CF1" s="168"/>
      <c r="CG1" s="168"/>
      <c r="CH1" s="168"/>
      <c r="CI1" s="168"/>
      <c r="CJ1" s="168"/>
      <c r="CK1" s="168"/>
      <c r="CL1" s="168"/>
      <c r="CM1" s="168"/>
      <c r="CN1" s="168"/>
      <c r="CO1" s="168"/>
      <c r="CP1" s="168"/>
      <c r="CQ1" s="168"/>
      <c r="CR1" s="168"/>
      <c r="CS1" s="168"/>
      <c r="CT1" s="168"/>
      <c r="CU1" s="168"/>
      <c r="CV1" s="168"/>
      <c r="CW1" s="168"/>
      <c r="CX1" s="168"/>
      <c r="CY1" s="168"/>
      <c r="CZ1" s="168"/>
      <c r="DA1" s="168"/>
      <c r="DB1" s="168"/>
      <c r="DC1" s="168"/>
      <c r="DD1" s="168"/>
      <c r="DE1" s="168"/>
      <c r="DF1" s="168"/>
      <c r="DG1" s="168"/>
      <c r="DH1" s="168"/>
      <c r="DI1" s="168"/>
      <c r="DJ1" s="168"/>
      <c r="DK1" s="168"/>
      <c r="DL1" s="168"/>
      <c r="DM1" s="168"/>
      <c r="DN1" s="168"/>
      <c r="DO1" s="168"/>
      <c r="DP1" s="168"/>
      <c r="DQ1" s="168"/>
      <c r="DR1" s="168"/>
      <c r="DS1" s="168"/>
      <c r="DT1" s="168"/>
      <c r="DU1" s="168"/>
      <c r="DV1" s="168"/>
      <c r="DW1" s="168"/>
      <c r="DX1" s="168"/>
      <c r="DY1" s="168"/>
      <c r="DZ1" s="168"/>
      <c r="EA1" s="168"/>
      <c r="EB1" s="168"/>
      <c r="EC1" s="168"/>
      <c r="ED1" s="168"/>
      <c r="EE1" s="168"/>
      <c r="EF1" s="168"/>
      <c r="EG1" s="168"/>
      <c r="EH1" s="168"/>
      <c r="EI1" s="168"/>
      <c r="EJ1" s="168"/>
      <c r="EK1" s="168"/>
      <c r="EL1" s="168"/>
      <c r="EM1" s="168"/>
      <c r="EN1" s="168"/>
      <c r="EO1" s="168"/>
      <c r="EP1" s="168"/>
      <c r="EQ1" s="168"/>
      <c r="ER1" s="168"/>
      <c r="ES1" s="168"/>
      <c r="ET1" s="168"/>
      <c r="EU1" s="168"/>
      <c r="EV1" s="168"/>
      <c r="EW1" s="168"/>
      <c r="EX1" s="168"/>
      <c r="EY1" s="168"/>
      <c r="EZ1" s="168"/>
      <c r="FA1" s="168"/>
      <c r="FB1" s="168"/>
      <c r="FC1" s="168"/>
      <c r="FD1" s="168"/>
      <c r="FE1" s="168"/>
      <c r="FF1" s="168"/>
      <c r="FG1" s="168"/>
      <c r="FH1" s="168"/>
      <c r="FI1" s="168"/>
      <c r="FJ1" s="168"/>
      <c r="FK1" s="168"/>
      <c r="FL1" s="168"/>
      <c r="FM1" s="168"/>
      <c r="FN1" s="168"/>
      <c r="FO1" s="168"/>
      <c r="FP1" s="168"/>
    </row>
    <row r="2" spans="1:172">
      <c r="A2" s="169">
        <v>0</v>
      </c>
      <c r="B2" s="796" t="s">
        <v>100</v>
      </c>
      <c r="C2" s="796"/>
      <c r="D2" s="796"/>
      <c r="E2" s="796"/>
      <c r="F2" s="796"/>
      <c r="G2" s="797"/>
      <c r="H2" s="802" t="s">
        <v>1422</v>
      </c>
      <c r="I2" s="790" t="s">
        <v>1272</v>
      </c>
      <c r="J2" s="791"/>
      <c r="K2" s="167"/>
      <c r="L2" s="168"/>
      <c r="M2" s="170" t="s">
        <v>245</v>
      </c>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c r="CE2" s="168"/>
      <c r="CF2" s="168"/>
      <c r="CG2" s="168"/>
      <c r="CH2" s="168"/>
      <c r="CI2" s="168"/>
      <c r="CJ2" s="168"/>
      <c r="CK2" s="168"/>
      <c r="CL2" s="168"/>
      <c r="CM2" s="168"/>
      <c r="CN2" s="168"/>
      <c r="CO2" s="168"/>
      <c r="CP2" s="168"/>
      <c r="CQ2" s="168"/>
      <c r="CR2" s="168"/>
      <c r="CS2" s="168"/>
      <c r="CT2" s="168"/>
      <c r="CU2" s="168"/>
      <c r="CV2" s="168"/>
      <c r="CW2" s="168"/>
      <c r="CX2" s="168"/>
      <c r="CY2" s="168"/>
      <c r="CZ2" s="168"/>
      <c r="DA2" s="168"/>
      <c r="DB2" s="168"/>
      <c r="DC2" s="168"/>
      <c r="DD2" s="168"/>
      <c r="DE2" s="168"/>
      <c r="DF2" s="168"/>
      <c r="DG2" s="168"/>
      <c r="DH2" s="168"/>
      <c r="DI2" s="168"/>
      <c r="DJ2" s="168"/>
      <c r="DK2" s="168"/>
      <c r="DL2" s="168"/>
      <c r="DM2" s="168"/>
      <c r="DN2" s="168"/>
      <c r="DO2" s="168"/>
      <c r="DP2" s="168"/>
      <c r="DQ2" s="168"/>
      <c r="DR2" s="168"/>
      <c r="DS2" s="168"/>
      <c r="DT2" s="168"/>
      <c r="DU2" s="168"/>
      <c r="DV2" s="168"/>
      <c r="DW2" s="168"/>
      <c r="DX2" s="168"/>
      <c r="DY2" s="168"/>
      <c r="DZ2" s="168"/>
      <c r="EA2" s="168"/>
      <c r="EB2" s="168"/>
      <c r="EC2" s="168"/>
      <c r="ED2" s="168"/>
      <c r="EE2" s="168"/>
      <c r="EF2" s="168"/>
      <c r="EG2" s="168"/>
      <c r="EH2" s="168"/>
      <c r="EI2" s="168"/>
      <c r="EJ2" s="168"/>
      <c r="EK2" s="168"/>
      <c r="EL2" s="168"/>
      <c r="EM2" s="168"/>
      <c r="EN2" s="168"/>
      <c r="EO2" s="168"/>
      <c r="EP2" s="168"/>
      <c r="EQ2" s="168"/>
      <c r="ER2" s="168"/>
      <c r="ES2" s="168"/>
      <c r="ET2" s="168"/>
      <c r="EU2" s="168"/>
      <c r="EV2" s="168"/>
      <c r="EW2" s="168"/>
      <c r="EX2" s="168"/>
      <c r="EY2" s="168"/>
      <c r="EZ2" s="168"/>
      <c r="FA2" s="168"/>
      <c r="FB2" s="168"/>
      <c r="FC2" s="168"/>
      <c r="FD2" s="168"/>
      <c r="FE2" s="168"/>
      <c r="FF2" s="168"/>
      <c r="FG2" s="168"/>
      <c r="FH2" s="168"/>
      <c r="FI2" s="168"/>
      <c r="FJ2" s="168"/>
      <c r="FK2" s="168"/>
      <c r="FL2" s="168"/>
      <c r="FM2" s="168"/>
      <c r="FN2" s="168"/>
      <c r="FO2" s="168"/>
      <c r="FP2" s="168"/>
    </row>
    <row r="3" spans="1:172" ht="17.25" customHeight="1">
      <c r="A3" s="171">
        <v>1</v>
      </c>
      <c r="B3" s="172" t="str">
        <f>IF(C3="","自定义职业",C3)</f>
        <v>自定义职业</v>
      </c>
      <c r="C3" s="173"/>
      <c r="D3" s="174" t="s">
        <v>1543</v>
      </c>
      <c r="E3" s="175"/>
      <c r="F3" s="176">
        <f>IF(E3=0,EDU*4,EDU*2+职业及经历包!E3*2)</f>
        <v>320</v>
      </c>
      <c r="G3" s="17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802"/>
      <c r="I3" s="800" t="s">
        <v>1540</v>
      </c>
      <c r="J3" s="801"/>
      <c r="K3" s="167"/>
      <c r="L3" s="168"/>
      <c r="M3" s="170" t="s">
        <v>72</v>
      </c>
      <c r="N3" s="168"/>
      <c r="O3" s="168"/>
      <c r="P3" s="168"/>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c r="BC3" s="168"/>
      <c r="BD3" s="168"/>
      <c r="BE3" s="168"/>
      <c r="BF3" s="168"/>
      <c r="BG3" s="168"/>
      <c r="BH3" s="168"/>
      <c r="BI3" s="168"/>
      <c r="BJ3" s="168"/>
      <c r="BK3" s="168"/>
      <c r="BL3" s="168"/>
      <c r="BM3" s="168"/>
      <c r="BN3" s="168"/>
      <c r="BO3" s="168"/>
      <c r="BP3" s="168"/>
      <c r="BQ3" s="168"/>
      <c r="BR3" s="168"/>
      <c r="BS3" s="168"/>
      <c r="BT3" s="168"/>
      <c r="BU3" s="168"/>
      <c r="BV3" s="168"/>
      <c r="BW3" s="168"/>
      <c r="BX3" s="168"/>
      <c r="BY3" s="168"/>
      <c r="BZ3" s="168"/>
      <c r="CA3" s="168"/>
      <c r="CB3" s="168"/>
      <c r="CC3" s="168"/>
      <c r="CD3" s="168"/>
      <c r="CE3" s="168"/>
      <c r="CF3" s="168"/>
      <c r="CG3" s="168"/>
      <c r="CH3" s="168"/>
      <c r="CI3" s="168"/>
      <c r="CJ3" s="168"/>
      <c r="CK3" s="168"/>
      <c r="CL3" s="168"/>
      <c r="CM3" s="168"/>
      <c r="CN3" s="168"/>
      <c r="CO3" s="168"/>
      <c r="CP3" s="168"/>
      <c r="CQ3" s="168"/>
      <c r="CR3" s="168"/>
      <c r="CS3" s="168"/>
      <c r="CT3" s="168"/>
      <c r="CU3" s="168"/>
      <c r="CV3" s="168"/>
      <c r="CW3" s="168"/>
      <c r="CX3" s="168"/>
      <c r="CY3" s="168"/>
      <c r="CZ3" s="168"/>
      <c r="DA3" s="168"/>
      <c r="DB3" s="168"/>
      <c r="DC3" s="168"/>
      <c r="DD3" s="168"/>
      <c r="DE3" s="168"/>
      <c r="DF3" s="168"/>
      <c r="DG3" s="168"/>
      <c r="DH3" s="168"/>
      <c r="DI3" s="168"/>
      <c r="DJ3" s="168"/>
      <c r="DK3" s="168"/>
      <c r="DL3" s="168"/>
      <c r="DM3" s="168"/>
      <c r="DN3" s="168"/>
      <c r="DO3" s="168"/>
      <c r="DP3" s="168"/>
      <c r="DQ3" s="168"/>
      <c r="DR3" s="168"/>
      <c r="DS3" s="168"/>
      <c r="DT3" s="168"/>
      <c r="DU3" s="168"/>
      <c r="DV3" s="168"/>
      <c r="DW3" s="168"/>
      <c r="DX3" s="168"/>
      <c r="DY3" s="168"/>
      <c r="DZ3" s="168"/>
      <c r="EA3" s="168"/>
      <c r="EB3" s="168"/>
      <c r="EC3" s="168"/>
      <c r="ED3" s="168"/>
      <c r="EE3" s="168"/>
      <c r="EF3" s="168"/>
      <c r="EG3" s="168"/>
      <c r="EH3" s="168"/>
      <c r="EI3" s="168"/>
      <c r="EJ3" s="168"/>
      <c r="EK3" s="168"/>
      <c r="EL3" s="168"/>
      <c r="EM3" s="168"/>
      <c r="EN3" s="168"/>
      <c r="EO3" s="168"/>
      <c r="EP3" s="168"/>
      <c r="EQ3" s="168"/>
      <c r="ER3" s="168"/>
      <c r="ES3" s="168"/>
      <c r="ET3" s="168"/>
      <c r="EU3" s="168"/>
      <c r="EV3" s="168"/>
      <c r="EW3" s="168"/>
      <c r="EX3" s="168"/>
      <c r="EY3" s="168"/>
      <c r="EZ3" s="168"/>
      <c r="FA3" s="168"/>
      <c r="FB3" s="168"/>
      <c r="FC3" s="168"/>
      <c r="FD3" s="168"/>
      <c r="FE3" s="168"/>
      <c r="FF3" s="168"/>
      <c r="FG3" s="168"/>
      <c r="FH3" s="168"/>
      <c r="FI3" s="168"/>
      <c r="FJ3" s="168"/>
      <c r="FK3" s="168"/>
      <c r="FL3" s="168"/>
      <c r="FM3" s="168"/>
      <c r="FN3" s="168"/>
      <c r="FO3" s="168"/>
      <c r="FP3" s="168"/>
    </row>
    <row r="4" spans="1:172">
      <c r="A4" s="169">
        <v>2</v>
      </c>
      <c r="B4" s="788" t="s">
        <v>58</v>
      </c>
      <c r="C4" s="788"/>
      <c r="D4" s="178" t="s">
        <v>59</v>
      </c>
      <c r="E4" s="178" t="s">
        <v>1500</v>
      </c>
      <c r="F4" s="179">
        <f>EDU*4</f>
        <v>320</v>
      </c>
      <c r="G4" s="180" t="s">
        <v>597</v>
      </c>
      <c r="H4" s="802"/>
      <c r="I4" s="794" t="s">
        <v>1540</v>
      </c>
      <c r="J4" s="795"/>
      <c r="K4" s="167"/>
      <c r="L4" s="168"/>
      <c r="M4" s="170" t="s">
        <v>192</v>
      </c>
      <c r="N4" s="168"/>
      <c r="O4" s="168"/>
      <c r="P4" s="168"/>
      <c r="Q4" s="168"/>
      <c r="R4" s="168"/>
      <c r="S4" s="168"/>
      <c r="T4" s="168"/>
      <c r="U4" s="168"/>
      <c r="V4" s="168"/>
      <c r="W4" s="168"/>
      <c r="X4" s="168"/>
      <c r="Y4" s="168"/>
      <c r="Z4" s="168"/>
      <c r="AA4" s="168"/>
      <c r="AB4" s="168"/>
      <c r="AC4" s="168"/>
      <c r="AD4" s="168"/>
      <c r="AE4" s="168"/>
      <c r="AF4" s="168"/>
      <c r="AG4" s="168"/>
      <c r="AH4" s="168"/>
      <c r="AI4" s="168"/>
      <c r="AJ4" s="168"/>
      <c r="AK4" s="168"/>
      <c r="AL4" s="168"/>
      <c r="AM4" s="168"/>
      <c r="AN4" s="168"/>
      <c r="AO4" s="168"/>
      <c r="AP4" s="168"/>
      <c r="AQ4" s="168"/>
      <c r="AR4" s="168"/>
      <c r="AS4" s="168"/>
      <c r="AT4" s="168"/>
      <c r="AU4" s="168"/>
      <c r="AV4" s="168"/>
      <c r="AW4" s="168"/>
      <c r="AX4" s="168"/>
      <c r="AY4" s="168"/>
      <c r="AZ4" s="168"/>
      <c r="BA4" s="168"/>
      <c r="BB4" s="168"/>
      <c r="BC4" s="168"/>
      <c r="BD4" s="168"/>
      <c r="BE4" s="168"/>
      <c r="BF4" s="168"/>
      <c r="BG4" s="168"/>
      <c r="BH4" s="168"/>
      <c r="BI4" s="168"/>
      <c r="BJ4" s="168"/>
      <c r="BK4" s="168"/>
      <c r="BL4" s="168"/>
      <c r="BM4" s="168"/>
      <c r="BN4" s="168"/>
      <c r="BO4" s="168"/>
      <c r="BP4" s="168"/>
      <c r="BQ4" s="168"/>
      <c r="BR4" s="168"/>
      <c r="BS4" s="168"/>
      <c r="BT4" s="168"/>
      <c r="BU4" s="168"/>
      <c r="BV4" s="168"/>
      <c r="BW4" s="168"/>
      <c r="BX4" s="168"/>
      <c r="BY4" s="168"/>
      <c r="BZ4" s="168"/>
      <c r="CA4" s="168"/>
      <c r="CB4" s="168"/>
      <c r="CC4" s="168"/>
      <c r="CD4" s="168"/>
      <c r="CE4" s="168"/>
      <c r="CF4" s="168"/>
      <c r="CG4" s="168"/>
      <c r="CH4" s="168"/>
      <c r="CI4" s="168"/>
      <c r="CJ4" s="168"/>
      <c r="CK4" s="168"/>
      <c r="CL4" s="168"/>
      <c r="CM4" s="168"/>
      <c r="CN4" s="168"/>
      <c r="CO4" s="168"/>
      <c r="CP4" s="168"/>
      <c r="CQ4" s="168"/>
      <c r="CR4" s="168"/>
      <c r="CS4" s="168"/>
      <c r="CT4" s="168"/>
      <c r="CU4" s="168"/>
      <c r="CV4" s="168"/>
      <c r="CW4" s="168"/>
      <c r="CX4" s="168"/>
      <c r="CY4" s="168"/>
      <c r="CZ4" s="168"/>
      <c r="DA4" s="168"/>
      <c r="DB4" s="168"/>
      <c r="DC4" s="168"/>
      <c r="DD4" s="168"/>
      <c r="DE4" s="168"/>
      <c r="DF4" s="168"/>
      <c r="DG4" s="168"/>
      <c r="DH4" s="168"/>
      <c r="DI4" s="168"/>
      <c r="DJ4" s="168"/>
      <c r="DK4" s="168"/>
      <c r="DL4" s="168"/>
      <c r="DM4" s="168"/>
      <c r="DN4" s="168"/>
      <c r="DO4" s="168"/>
      <c r="DP4" s="168"/>
      <c r="DQ4" s="168"/>
      <c r="DR4" s="168"/>
      <c r="DS4" s="168"/>
      <c r="DT4" s="168"/>
      <c r="DU4" s="168"/>
      <c r="DV4" s="168"/>
      <c r="DW4" s="168"/>
      <c r="DX4" s="168"/>
      <c r="DY4" s="168"/>
      <c r="DZ4" s="168"/>
      <c r="EA4" s="168"/>
      <c r="EB4" s="168"/>
      <c r="EC4" s="168"/>
      <c r="ED4" s="168"/>
      <c r="EE4" s="168"/>
      <c r="EF4" s="168"/>
      <c r="EG4" s="168"/>
      <c r="EH4" s="168"/>
      <c r="EI4" s="168"/>
      <c r="EJ4" s="168"/>
      <c r="EK4" s="168"/>
      <c r="EL4" s="168"/>
      <c r="EM4" s="168"/>
      <c r="EN4" s="168"/>
      <c r="EO4" s="168"/>
      <c r="EP4" s="168"/>
      <c r="EQ4" s="168"/>
      <c r="ER4" s="168"/>
      <c r="ES4" s="168"/>
      <c r="ET4" s="168"/>
      <c r="EU4" s="168"/>
      <c r="EV4" s="168"/>
      <c r="EW4" s="168"/>
      <c r="EX4" s="168"/>
      <c r="EY4" s="168"/>
      <c r="EZ4" s="168"/>
      <c r="FA4" s="168"/>
      <c r="FB4" s="168"/>
      <c r="FC4" s="168"/>
      <c r="FD4" s="168"/>
      <c r="FE4" s="168"/>
      <c r="FF4" s="168"/>
      <c r="FG4" s="168"/>
      <c r="FH4" s="168"/>
      <c r="FI4" s="168"/>
      <c r="FJ4" s="168"/>
      <c r="FK4" s="168"/>
      <c r="FL4" s="168"/>
      <c r="FM4" s="168"/>
      <c r="FN4" s="168"/>
      <c r="FO4" s="168"/>
      <c r="FP4" s="168"/>
    </row>
    <row r="5" spans="1:172">
      <c r="A5" s="171">
        <v>3</v>
      </c>
      <c r="B5" s="786" t="s">
        <v>62</v>
      </c>
      <c r="C5" s="786"/>
      <c r="D5" s="181" t="s">
        <v>60</v>
      </c>
      <c r="E5" s="182" t="s">
        <v>1501</v>
      </c>
      <c r="F5" s="176">
        <f>EDU*2+DEX*2</f>
        <v>270</v>
      </c>
      <c r="G5" s="177" t="s">
        <v>598</v>
      </c>
      <c r="H5" s="802"/>
      <c r="I5" s="794" t="s">
        <v>1540</v>
      </c>
      <c r="J5" s="795"/>
      <c r="K5" s="167"/>
      <c r="L5" s="168"/>
      <c r="M5" s="170" t="s">
        <v>73</v>
      </c>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c r="BG5" s="168"/>
      <c r="BH5" s="168"/>
      <c r="BI5" s="168"/>
      <c r="BJ5" s="168"/>
      <c r="BK5" s="168"/>
      <c r="BL5" s="168"/>
      <c r="BM5" s="168"/>
      <c r="BN5" s="168"/>
      <c r="BO5" s="168"/>
      <c r="BP5" s="168"/>
      <c r="BQ5" s="168"/>
      <c r="BR5" s="168"/>
      <c r="BS5" s="168"/>
      <c r="BT5" s="168"/>
      <c r="BU5" s="168"/>
      <c r="BV5" s="168"/>
      <c r="BW5" s="168"/>
      <c r="BX5" s="168"/>
      <c r="BY5" s="168"/>
      <c r="BZ5" s="168"/>
      <c r="CA5" s="168"/>
      <c r="CB5" s="168"/>
      <c r="CC5" s="168"/>
      <c r="CD5" s="168"/>
      <c r="CE5" s="168"/>
      <c r="CF5" s="168"/>
      <c r="CG5" s="168"/>
      <c r="CH5" s="168"/>
      <c r="CI5" s="168"/>
      <c r="CJ5" s="168"/>
      <c r="CK5" s="168"/>
      <c r="CL5" s="168"/>
      <c r="CM5" s="168"/>
      <c r="CN5" s="168"/>
      <c r="CO5" s="168"/>
      <c r="CP5" s="168"/>
      <c r="CQ5" s="168"/>
      <c r="CR5" s="168"/>
      <c r="CS5" s="168"/>
      <c r="CT5" s="168"/>
      <c r="CU5" s="168"/>
      <c r="CV5" s="168"/>
      <c r="CW5" s="168"/>
      <c r="CX5" s="168"/>
      <c r="CY5" s="168"/>
      <c r="CZ5" s="168"/>
      <c r="DA5" s="168"/>
      <c r="DB5" s="168"/>
      <c r="DC5" s="168"/>
      <c r="DD5" s="168"/>
      <c r="DE5" s="168"/>
      <c r="DF5" s="168"/>
      <c r="DG5" s="168"/>
      <c r="DH5" s="168"/>
      <c r="DI5" s="168"/>
      <c r="DJ5" s="168"/>
      <c r="DK5" s="168"/>
      <c r="DL5" s="168"/>
      <c r="DM5" s="168"/>
      <c r="DN5" s="168"/>
      <c r="DO5" s="168"/>
      <c r="DP5" s="168"/>
      <c r="DQ5" s="168"/>
      <c r="DR5" s="168"/>
      <c r="DS5" s="168"/>
      <c r="DT5" s="168"/>
      <c r="DU5" s="168"/>
      <c r="DV5" s="168"/>
      <c r="DW5" s="168"/>
      <c r="DX5" s="168"/>
      <c r="DY5" s="168"/>
      <c r="DZ5" s="168"/>
      <c r="EA5" s="168"/>
      <c r="EB5" s="168"/>
      <c r="EC5" s="168"/>
      <c r="ED5" s="168"/>
      <c r="EE5" s="168"/>
      <c r="EF5" s="168"/>
      <c r="EG5" s="168"/>
      <c r="EH5" s="168"/>
      <c r="EI5" s="168"/>
      <c r="EJ5" s="168"/>
      <c r="EK5" s="168"/>
      <c r="EL5" s="168"/>
      <c r="EM5" s="168"/>
      <c r="EN5" s="168"/>
      <c r="EO5" s="168"/>
      <c r="EP5" s="168"/>
      <c r="EQ5" s="168"/>
      <c r="ER5" s="168"/>
      <c r="ES5" s="168"/>
      <c r="ET5" s="168"/>
      <c r="EU5" s="168"/>
      <c r="EV5" s="168"/>
      <c r="EW5" s="168"/>
      <c r="EX5" s="168"/>
      <c r="EY5" s="168"/>
      <c r="EZ5" s="168"/>
      <c r="FA5" s="168"/>
      <c r="FB5" s="168"/>
      <c r="FC5" s="168"/>
      <c r="FD5" s="168"/>
      <c r="FE5" s="168"/>
      <c r="FF5" s="168"/>
      <c r="FG5" s="168"/>
      <c r="FH5" s="168"/>
      <c r="FI5" s="168"/>
      <c r="FJ5" s="168"/>
      <c r="FK5" s="168"/>
      <c r="FL5" s="168"/>
      <c r="FM5" s="168"/>
      <c r="FN5" s="168"/>
      <c r="FO5" s="168"/>
      <c r="FP5" s="168"/>
    </row>
    <row r="6" spans="1:172">
      <c r="A6" s="169">
        <v>4</v>
      </c>
      <c r="B6" s="788" t="s">
        <v>1278</v>
      </c>
      <c r="C6" s="788"/>
      <c r="D6" s="178" t="s">
        <v>1124</v>
      </c>
      <c r="E6" s="178" t="s">
        <v>1125</v>
      </c>
      <c r="F6" s="179">
        <f>APP*2+EDU*2</f>
        <v>300</v>
      </c>
      <c r="G6" s="180" t="s">
        <v>1126</v>
      </c>
      <c r="H6" s="802"/>
      <c r="I6" s="794" t="s">
        <v>1542</v>
      </c>
      <c r="J6" s="795"/>
      <c r="K6" s="167"/>
      <c r="L6" s="168"/>
      <c r="M6" s="170" t="s">
        <v>921</v>
      </c>
      <c r="N6" s="168"/>
      <c r="O6" s="168"/>
      <c r="P6" s="168"/>
      <c r="Q6" s="168"/>
      <c r="R6" s="168"/>
      <c r="S6" s="168"/>
      <c r="T6" s="168"/>
      <c r="U6" s="168"/>
      <c r="V6" s="168"/>
      <c r="W6" s="168"/>
      <c r="X6" s="168"/>
      <c r="Y6" s="168"/>
      <c r="Z6" s="168"/>
      <c r="AA6" s="168"/>
      <c r="AB6" s="168"/>
      <c r="AC6" s="168"/>
      <c r="AD6" s="168"/>
      <c r="AE6" s="168"/>
      <c r="AF6" s="168"/>
      <c r="AG6" s="168"/>
      <c r="AH6" s="168"/>
      <c r="AI6" s="168"/>
      <c r="AJ6" s="168"/>
      <c r="AK6" s="168"/>
      <c r="AL6" s="168"/>
      <c r="AM6" s="168"/>
      <c r="AN6" s="168"/>
      <c r="AO6" s="168"/>
      <c r="AP6" s="168"/>
      <c r="AQ6" s="168"/>
      <c r="AR6" s="168"/>
      <c r="AS6" s="168"/>
      <c r="AT6" s="168"/>
      <c r="AU6" s="168"/>
      <c r="AV6" s="168"/>
      <c r="AW6" s="168"/>
      <c r="AX6" s="168"/>
      <c r="AY6" s="168"/>
      <c r="AZ6" s="168"/>
      <c r="BA6" s="168"/>
      <c r="BB6" s="168"/>
      <c r="BC6" s="168"/>
      <c r="BD6" s="168"/>
      <c r="BE6" s="168"/>
      <c r="BF6" s="168"/>
      <c r="BG6" s="168"/>
      <c r="BH6" s="168"/>
      <c r="BI6" s="168"/>
      <c r="BJ6" s="168"/>
      <c r="BK6" s="168"/>
      <c r="BL6" s="168"/>
      <c r="BM6" s="168"/>
      <c r="BN6" s="168"/>
      <c r="BO6" s="168"/>
      <c r="BP6" s="168"/>
      <c r="BQ6" s="168"/>
      <c r="BR6" s="168"/>
      <c r="BS6" s="168"/>
      <c r="BT6" s="168"/>
      <c r="BU6" s="168"/>
      <c r="BV6" s="168"/>
      <c r="BW6" s="168"/>
      <c r="BX6" s="168"/>
      <c r="BY6" s="168"/>
      <c r="BZ6" s="168"/>
      <c r="CA6" s="168"/>
      <c r="CB6" s="168"/>
      <c r="CC6" s="168"/>
      <c r="CD6" s="168"/>
      <c r="CE6" s="168"/>
      <c r="CF6" s="168"/>
      <c r="CG6" s="168"/>
      <c r="CH6" s="168"/>
      <c r="CI6" s="168"/>
      <c r="CJ6" s="168"/>
      <c r="CK6" s="168"/>
      <c r="CL6" s="168"/>
      <c r="CM6" s="168"/>
      <c r="CN6" s="168"/>
      <c r="CO6" s="168"/>
      <c r="CP6" s="168"/>
      <c r="CQ6" s="168"/>
      <c r="CR6" s="168"/>
      <c r="CS6" s="168"/>
      <c r="CT6" s="168"/>
      <c r="CU6" s="168"/>
      <c r="CV6" s="168"/>
      <c r="CW6" s="168"/>
      <c r="CX6" s="168"/>
      <c r="CY6" s="168"/>
      <c r="CZ6" s="168"/>
      <c r="DA6" s="168"/>
      <c r="DB6" s="168"/>
      <c r="DC6" s="168"/>
      <c r="DD6" s="168"/>
      <c r="DE6" s="168"/>
      <c r="DF6" s="168"/>
      <c r="DG6" s="168"/>
      <c r="DH6" s="168"/>
      <c r="DI6" s="168"/>
      <c r="DJ6" s="168"/>
      <c r="DK6" s="168"/>
      <c r="DL6" s="168"/>
      <c r="DM6" s="168"/>
      <c r="DN6" s="168"/>
      <c r="DO6" s="168"/>
      <c r="DP6" s="168"/>
      <c r="DQ6" s="168"/>
      <c r="DR6" s="168"/>
      <c r="DS6" s="168"/>
      <c r="DT6" s="168"/>
      <c r="DU6" s="168"/>
      <c r="DV6" s="168"/>
      <c r="DW6" s="168"/>
      <c r="DX6" s="168"/>
      <c r="DY6" s="168"/>
      <c r="DZ6" s="168"/>
      <c r="EA6" s="168"/>
      <c r="EB6" s="168"/>
      <c r="EC6" s="168"/>
      <c r="ED6" s="168"/>
      <c r="EE6" s="168"/>
      <c r="EF6" s="168"/>
      <c r="EG6" s="168"/>
      <c r="EH6" s="168"/>
      <c r="EI6" s="168"/>
      <c r="EJ6" s="168"/>
      <c r="EK6" s="168"/>
      <c r="EL6" s="168"/>
      <c r="EM6" s="168"/>
      <c r="EN6" s="168"/>
      <c r="EO6" s="168"/>
      <c r="EP6" s="168"/>
      <c r="EQ6" s="168"/>
      <c r="ER6" s="168"/>
      <c r="ES6" s="168"/>
      <c r="ET6" s="168"/>
      <c r="EU6" s="168"/>
      <c r="EV6" s="168"/>
      <c r="EW6" s="168"/>
      <c r="EX6" s="168"/>
      <c r="EY6" s="168"/>
      <c r="EZ6" s="168"/>
      <c r="FA6" s="168"/>
      <c r="FB6" s="168"/>
      <c r="FC6" s="168"/>
      <c r="FD6" s="168"/>
      <c r="FE6" s="168"/>
      <c r="FF6" s="168"/>
      <c r="FG6" s="168"/>
      <c r="FH6" s="168"/>
      <c r="FI6" s="168"/>
      <c r="FJ6" s="168"/>
      <c r="FK6" s="168"/>
      <c r="FL6" s="168"/>
      <c r="FM6" s="168"/>
      <c r="FN6" s="168"/>
      <c r="FO6" s="168"/>
      <c r="FP6" s="168"/>
    </row>
    <row r="7" spans="1:172" ht="16.5" customHeight="1">
      <c r="A7" s="171">
        <v>5</v>
      </c>
      <c r="B7" s="786" t="s">
        <v>1279</v>
      </c>
      <c r="C7" s="786"/>
      <c r="D7" s="181" t="s">
        <v>1127</v>
      </c>
      <c r="E7" s="182" t="s">
        <v>1128</v>
      </c>
      <c r="F7" s="176">
        <f>APP*2+EDU*2</f>
        <v>300</v>
      </c>
      <c r="G7" s="177" t="s">
        <v>1129</v>
      </c>
      <c r="H7" s="802"/>
      <c r="I7" s="794" t="s">
        <v>1542</v>
      </c>
      <c r="J7" s="795"/>
      <c r="K7" s="167"/>
      <c r="L7" s="168"/>
      <c r="M7" s="170" t="s">
        <v>922</v>
      </c>
      <c r="N7" s="168"/>
      <c r="O7" s="168"/>
      <c r="P7" s="168"/>
      <c r="Q7" s="168"/>
      <c r="R7" s="168"/>
      <c r="S7" s="168"/>
      <c r="T7" s="168"/>
      <c r="U7" s="168"/>
      <c r="V7" s="168"/>
      <c r="W7" s="168"/>
      <c r="X7" s="168"/>
      <c r="Y7" s="168"/>
      <c r="Z7" s="168"/>
      <c r="AA7" s="168"/>
      <c r="AB7" s="168"/>
      <c r="AC7" s="168"/>
      <c r="AD7" s="168"/>
      <c r="AE7" s="168"/>
      <c r="AF7" s="168"/>
      <c r="AG7" s="168"/>
      <c r="AH7" s="168"/>
      <c r="AI7" s="168"/>
      <c r="AJ7" s="168"/>
      <c r="AK7" s="168"/>
      <c r="AL7" s="168"/>
      <c r="AM7" s="168"/>
      <c r="AN7" s="168"/>
      <c r="AO7" s="168"/>
      <c r="AP7" s="168"/>
      <c r="AQ7" s="168"/>
      <c r="AR7" s="168"/>
      <c r="AS7" s="168"/>
      <c r="AT7" s="168"/>
      <c r="AU7" s="168"/>
      <c r="AV7" s="168"/>
      <c r="AW7" s="168"/>
      <c r="AX7" s="168"/>
      <c r="AY7" s="168"/>
      <c r="AZ7" s="168"/>
      <c r="BA7" s="168"/>
      <c r="BB7" s="168"/>
      <c r="BC7" s="168"/>
      <c r="BD7" s="168"/>
      <c r="BE7" s="168"/>
      <c r="BF7" s="168"/>
      <c r="BG7" s="168"/>
      <c r="BH7" s="168"/>
      <c r="BI7" s="168"/>
      <c r="BJ7" s="168"/>
      <c r="BK7" s="168"/>
      <c r="BL7" s="168"/>
      <c r="BM7" s="168"/>
      <c r="BN7" s="168"/>
      <c r="BO7" s="168"/>
      <c r="BP7" s="168"/>
      <c r="BQ7" s="168"/>
      <c r="BR7" s="168"/>
      <c r="BS7" s="168"/>
      <c r="BT7" s="168"/>
      <c r="BU7" s="168"/>
      <c r="BV7" s="168"/>
      <c r="BW7" s="168"/>
      <c r="BX7" s="168"/>
      <c r="BY7" s="168"/>
      <c r="BZ7" s="168"/>
      <c r="CA7" s="168"/>
      <c r="CB7" s="168"/>
      <c r="CC7" s="168"/>
      <c r="CD7" s="168"/>
      <c r="CE7" s="168"/>
      <c r="CF7" s="168"/>
      <c r="CG7" s="168"/>
      <c r="CH7" s="168"/>
      <c r="CI7" s="168"/>
      <c r="CJ7" s="168"/>
      <c r="CK7" s="168"/>
      <c r="CL7" s="168"/>
      <c r="CM7" s="168"/>
      <c r="CN7" s="168"/>
      <c r="CO7" s="168"/>
      <c r="CP7" s="168"/>
      <c r="CQ7" s="168"/>
      <c r="CR7" s="168"/>
      <c r="CS7" s="168"/>
      <c r="CT7" s="168"/>
      <c r="CU7" s="168"/>
      <c r="CV7" s="168"/>
      <c r="CW7" s="168"/>
      <c r="CX7" s="168"/>
      <c r="CY7" s="168"/>
      <c r="CZ7" s="168"/>
      <c r="DA7" s="168"/>
      <c r="DB7" s="168"/>
      <c r="DC7" s="168"/>
      <c r="DD7" s="168"/>
      <c r="DE7" s="168"/>
      <c r="DF7" s="168"/>
      <c r="DG7" s="168"/>
      <c r="DH7" s="168"/>
      <c r="DI7" s="168"/>
      <c r="DJ7" s="168"/>
      <c r="DK7" s="168"/>
      <c r="DL7" s="168"/>
      <c r="DM7" s="168"/>
      <c r="DN7" s="168"/>
      <c r="DO7" s="168"/>
      <c r="DP7" s="168"/>
      <c r="DQ7" s="168"/>
      <c r="DR7" s="168"/>
      <c r="DS7" s="168"/>
      <c r="DT7" s="168"/>
      <c r="DU7" s="168"/>
      <c r="DV7" s="168"/>
      <c r="DW7" s="168"/>
      <c r="DX7" s="168"/>
      <c r="DY7" s="168"/>
      <c r="DZ7" s="168"/>
      <c r="EA7" s="168"/>
      <c r="EB7" s="168"/>
      <c r="EC7" s="168"/>
      <c r="ED7" s="168"/>
      <c r="EE7" s="168"/>
      <c r="EF7" s="168"/>
      <c r="EG7" s="168"/>
      <c r="EH7" s="168"/>
      <c r="EI7" s="168"/>
      <c r="EJ7" s="168"/>
      <c r="EK7" s="168"/>
      <c r="EL7" s="168"/>
      <c r="EM7" s="168"/>
      <c r="EN7" s="168"/>
      <c r="EO7" s="168"/>
      <c r="EP7" s="168"/>
      <c r="EQ7" s="168"/>
      <c r="ER7" s="168"/>
      <c r="ES7" s="168"/>
      <c r="ET7" s="168"/>
      <c r="EU7" s="168"/>
      <c r="EV7" s="168"/>
      <c r="EW7" s="168"/>
      <c r="EX7" s="168"/>
      <c r="EY7" s="168"/>
      <c r="EZ7" s="168"/>
      <c r="FA7" s="168"/>
      <c r="FB7" s="168"/>
      <c r="FC7" s="168"/>
      <c r="FD7" s="168"/>
      <c r="FE7" s="168"/>
      <c r="FF7" s="168"/>
      <c r="FG7" s="168"/>
      <c r="FH7" s="168"/>
      <c r="FI7" s="168"/>
      <c r="FJ7" s="168"/>
      <c r="FK7" s="168"/>
      <c r="FL7" s="168"/>
      <c r="FM7" s="168"/>
      <c r="FN7" s="168"/>
      <c r="FO7" s="168"/>
      <c r="FP7" s="168"/>
    </row>
    <row r="8" spans="1:172">
      <c r="A8" s="169">
        <v>6</v>
      </c>
      <c r="B8" s="788" t="s">
        <v>1280</v>
      </c>
      <c r="C8" s="788"/>
      <c r="D8" s="178" t="s">
        <v>1130</v>
      </c>
      <c r="E8" s="178" t="s">
        <v>1131</v>
      </c>
      <c r="F8" s="179">
        <f>EDU*2+MAX(STR,DEX)*2</f>
        <v>270</v>
      </c>
      <c r="G8" s="180" t="s">
        <v>1132</v>
      </c>
      <c r="H8" s="802"/>
      <c r="I8" s="794" t="s">
        <v>1542</v>
      </c>
      <c r="J8" s="795"/>
      <c r="M8" s="170" t="s">
        <v>923</v>
      </c>
      <c r="N8" s="168"/>
    </row>
    <row r="9" spans="1:172">
      <c r="A9" s="171">
        <v>7</v>
      </c>
      <c r="B9" s="786" t="s">
        <v>1281</v>
      </c>
      <c r="C9" s="786"/>
      <c r="D9" s="181" t="s">
        <v>1133</v>
      </c>
      <c r="E9" s="182" t="s">
        <v>1077</v>
      </c>
      <c r="F9" s="176">
        <f>EDU*4</f>
        <v>320</v>
      </c>
      <c r="G9" s="177" t="s">
        <v>1134</v>
      </c>
      <c r="H9" s="802"/>
      <c r="I9" s="794" t="s">
        <v>1542</v>
      </c>
      <c r="J9" s="795"/>
      <c r="M9" s="170" t="s">
        <v>190</v>
      </c>
      <c r="N9" s="168"/>
    </row>
    <row r="10" spans="1:172">
      <c r="A10" s="169">
        <v>8</v>
      </c>
      <c r="B10" s="788" t="s">
        <v>1282</v>
      </c>
      <c r="C10" s="788"/>
      <c r="D10" s="178" t="s">
        <v>1135</v>
      </c>
      <c r="E10" s="178" t="s">
        <v>1136</v>
      </c>
      <c r="F10" s="179">
        <f>EDU*2+MAX(APP,POW)*2</f>
        <v>300</v>
      </c>
      <c r="G10" s="180" t="s">
        <v>1137</v>
      </c>
      <c r="H10" s="802"/>
      <c r="I10" s="792" t="s">
        <v>1542</v>
      </c>
      <c r="J10" s="793"/>
      <c r="M10" s="170" t="s">
        <v>74</v>
      </c>
      <c r="N10" s="168"/>
    </row>
    <row r="11" spans="1:172" ht="17.25" customHeight="1">
      <c r="A11" s="171">
        <v>9</v>
      </c>
      <c r="B11" s="786" t="s">
        <v>1283</v>
      </c>
      <c r="C11" s="786"/>
      <c r="D11" s="181" t="s">
        <v>1138</v>
      </c>
      <c r="E11" s="182" t="s">
        <v>1077</v>
      </c>
      <c r="F11" s="176">
        <f>EDU*4</f>
        <v>320</v>
      </c>
      <c r="G11" s="177" t="s">
        <v>1139</v>
      </c>
      <c r="I11" s="789"/>
      <c r="J11" s="789"/>
      <c r="M11" s="170" t="s">
        <v>943</v>
      </c>
      <c r="N11" s="168"/>
    </row>
    <row r="12" spans="1:172">
      <c r="A12" s="169">
        <v>10</v>
      </c>
      <c r="B12" s="788" t="s">
        <v>1284</v>
      </c>
      <c r="C12" s="788"/>
      <c r="D12" s="178" t="s">
        <v>1140</v>
      </c>
      <c r="E12" s="178" t="s">
        <v>1141</v>
      </c>
      <c r="F12" s="179">
        <f>EDU*4</f>
        <v>320</v>
      </c>
      <c r="G12" s="180" t="s">
        <v>1142</v>
      </c>
      <c r="M12" s="170" t="s">
        <v>154</v>
      </c>
      <c r="N12" s="168"/>
    </row>
    <row r="13" spans="1:172">
      <c r="A13" s="171">
        <v>11</v>
      </c>
      <c r="B13" s="786" t="s">
        <v>1285</v>
      </c>
      <c r="C13" s="786"/>
      <c r="D13" s="181" t="s">
        <v>1096</v>
      </c>
      <c r="E13" s="182" t="s">
        <v>1141</v>
      </c>
      <c r="F13" s="176">
        <f>EDU*4</f>
        <v>320</v>
      </c>
      <c r="G13" s="177" t="s">
        <v>1143</v>
      </c>
      <c r="M13" s="170" t="s">
        <v>75</v>
      </c>
      <c r="N13" s="168"/>
    </row>
    <row r="14" spans="1:172">
      <c r="A14" s="169">
        <v>12</v>
      </c>
      <c r="B14" s="788" t="s">
        <v>1286</v>
      </c>
      <c r="C14" s="788"/>
      <c r="D14" s="178" t="s">
        <v>1144</v>
      </c>
      <c r="E14" s="178" t="s">
        <v>1141</v>
      </c>
      <c r="F14" s="179">
        <f>EDU*4</f>
        <v>320</v>
      </c>
      <c r="G14" s="180" t="s">
        <v>1145</v>
      </c>
      <c r="M14" s="170" t="s">
        <v>76</v>
      </c>
      <c r="N14" s="168"/>
    </row>
    <row r="15" spans="1:172" ht="17.25" customHeight="1">
      <c r="A15" s="171">
        <v>13</v>
      </c>
      <c r="B15" s="786" t="s">
        <v>1287</v>
      </c>
      <c r="C15" s="786"/>
      <c r="D15" s="181" t="s">
        <v>1146</v>
      </c>
      <c r="E15" s="182" t="s">
        <v>1147</v>
      </c>
      <c r="F15" s="176">
        <f>EDU*2+MAX(DEX,POW)*2</f>
        <v>270</v>
      </c>
      <c r="G15" s="177" t="s">
        <v>1148</v>
      </c>
      <c r="M15" s="170" t="s">
        <v>77</v>
      </c>
      <c r="N15" s="168"/>
    </row>
    <row r="16" spans="1:172" ht="17.25" customHeight="1">
      <c r="A16" s="169">
        <v>14</v>
      </c>
      <c r="B16" s="788" t="s">
        <v>1288</v>
      </c>
      <c r="C16" s="788"/>
      <c r="D16" s="178" t="s">
        <v>1149</v>
      </c>
      <c r="E16" s="178" t="s">
        <v>1502</v>
      </c>
      <c r="F16" s="179">
        <f>EDU*2+MAX(STR,DEX)*2</f>
        <v>270</v>
      </c>
      <c r="G16" s="180" t="s">
        <v>1150</v>
      </c>
      <c r="M16" s="170" t="s">
        <v>78</v>
      </c>
      <c r="N16" s="168"/>
    </row>
    <row r="17" spans="1:14" ht="16.5" customHeight="1">
      <c r="A17" s="171">
        <v>15</v>
      </c>
      <c r="B17" s="786" t="s">
        <v>1289</v>
      </c>
      <c r="C17" s="786"/>
      <c r="D17" s="181" t="s">
        <v>1151</v>
      </c>
      <c r="E17" s="182" t="s">
        <v>1094</v>
      </c>
      <c r="F17" s="176">
        <f>EDU*2+MAX(STR,DEX)*2</f>
        <v>270</v>
      </c>
      <c r="G17" s="177" t="s">
        <v>1152</v>
      </c>
      <c r="M17" s="170" t="s">
        <v>79</v>
      </c>
      <c r="N17" s="168"/>
    </row>
    <row r="18" spans="1:14">
      <c r="A18" s="169">
        <v>16</v>
      </c>
      <c r="B18" s="788" t="s">
        <v>1290</v>
      </c>
      <c r="C18" s="788"/>
      <c r="D18" s="178" t="s">
        <v>1083</v>
      </c>
      <c r="E18" s="178" t="s">
        <v>1077</v>
      </c>
      <c r="F18" s="179">
        <f>EDU*4</f>
        <v>320</v>
      </c>
      <c r="G18" s="180" t="s">
        <v>1153</v>
      </c>
      <c r="M18" s="170" t="s">
        <v>913</v>
      </c>
      <c r="N18" s="168"/>
    </row>
    <row r="19" spans="1:14" ht="16.5" customHeight="1">
      <c r="A19" s="171">
        <v>17</v>
      </c>
      <c r="B19" s="786" t="s">
        <v>1291</v>
      </c>
      <c r="C19" s="786"/>
      <c r="D19" s="181" t="s">
        <v>1154</v>
      </c>
      <c r="E19" s="182" t="s">
        <v>1128</v>
      </c>
      <c r="F19" s="176">
        <f>EDU*2+APP*2</f>
        <v>300</v>
      </c>
      <c r="G19" s="177" t="s">
        <v>1155</v>
      </c>
      <c r="M19" s="170" t="s">
        <v>80</v>
      </c>
      <c r="N19" s="168"/>
    </row>
    <row r="20" spans="1:14" ht="16.5" customHeight="1">
      <c r="A20" s="169">
        <v>18</v>
      </c>
      <c r="B20" s="788" t="s">
        <v>1292</v>
      </c>
      <c r="C20" s="788"/>
      <c r="D20" s="178" t="s">
        <v>1093</v>
      </c>
      <c r="E20" s="178" t="s">
        <v>1094</v>
      </c>
      <c r="F20" s="179">
        <f>EDU*2+MAX(STR,DEX)*2</f>
        <v>270</v>
      </c>
      <c r="G20" s="180" t="s">
        <v>1156</v>
      </c>
      <c r="M20" s="170" t="s">
        <v>1030</v>
      </c>
      <c r="N20" s="168"/>
    </row>
    <row r="21" spans="1:14">
      <c r="A21" s="171">
        <v>19</v>
      </c>
      <c r="B21" s="786" t="s">
        <v>1293</v>
      </c>
      <c r="C21" s="786"/>
      <c r="D21" s="181" t="s">
        <v>1102</v>
      </c>
      <c r="E21" s="182" t="s">
        <v>1077</v>
      </c>
      <c r="F21" s="176">
        <f>EDU*4</f>
        <v>320</v>
      </c>
      <c r="G21" s="177" t="s">
        <v>1157</v>
      </c>
      <c r="M21" s="170" t="s">
        <v>927</v>
      </c>
      <c r="N21" s="168"/>
    </row>
    <row r="22" spans="1:14" ht="16.5" customHeight="1">
      <c r="A22" s="169">
        <v>20</v>
      </c>
      <c r="B22" s="788" t="s">
        <v>1294</v>
      </c>
      <c r="C22" s="788"/>
      <c r="D22" s="178" t="s">
        <v>1083</v>
      </c>
      <c r="E22" s="178" t="s">
        <v>1094</v>
      </c>
      <c r="F22" s="179">
        <f>EDU*2+MAX(STR,DEX)*2</f>
        <v>270</v>
      </c>
      <c r="G22" s="180" t="s">
        <v>1158</v>
      </c>
      <c r="M22" s="170" t="s">
        <v>928</v>
      </c>
      <c r="N22" s="168"/>
    </row>
    <row r="23" spans="1:14" ht="16.5" customHeight="1">
      <c r="A23" s="171">
        <v>21</v>
      </c>
      <c r="B23" s="786" t="s">
        <v>1295</v>
      </c>
      <c r="C23" s="786"/>
      <c r="D23" s="181" t="s">
        <v>1159</v>
      </c>
      <c r="E23" s="182" t="s">
        <v>1160</v>
      </c>
      <c r="F23" s="176">
        <f>EDU*2+STR*2</f>
        <v>270</v>
      </c>
      <c r="G23" s="177" t="s">
        <v>1161</v>
      </c>
      <c r="M23" s="170" t="s">
        <v>1044</v>
      </c>
      <c r="N23" s="168"/>
    </row>
    <row r="24" spans="1:14">
      <c r="A24" s="169">
        <v>22</v>
      </c>
      <c r="B24" s="788" t="s">
        <v>1296</v>
      </c>
      <c r="C24" s="788"/>
      <c r="D24" s="178" t="s">
        <v>1099</v>
      </c>
      <c r="E24" s="178" t="s">
        <v>1077</v>
      </c>
      <c r="F24" s="179">
        <f>EDU*4</f>
        <v>320</v>
      </c>
      <c r="G24" s="180" t="s">
        <v>1162</v>
      </c>
      <c r="M24" s="170" t="s">
        <v>929</v>
      </c>
      <c r="N24" s="168"/>
    </row>
    <row r="25" spans="1:14">
      <c r="A25" s="171">
        <v>23</v>
      </c>
      <c r="B25" s="786" t="s">
        <v>1297</v>
      </c>
      <c r="C25" s="786"/>
      <c r="D25" s="181" t="s">
        <v>1159</v>
      </c>
      <c r="E25" s="182" t="s">
        <v>1077</v>
      </c>
      <c r="F25" s="176">
        <f>EDU*4</f>
        <v>320</v>
      </c>
      <c r="G25" s="177" t="s">
        <v>1163</v>
      </c>
      <c r="M25" s="170" t="s">
        <v>930</v>
      </c>
      <c r="N25" s="168"/>
    </row>
    <row r="26" spans="1:14">
      <c r="A26" s="169">
        <v>24</v>
      </c>
      <c r="B26" s="788" t="s">
        <v>1298</v>
      </c>
      <c r="C26" s="788"/>
      <c r="D26" s="178" t="s">
        <v>1164</v>
      </c>
      <c r="E26" s="178" t="s">
        <v>1077</v>
      </c>
      <c r="F26" s="179">
        <f>EDU*4</f>
        <v>320</v>
      </c>
      <c r="G26" s="180" t="s">
        <v>1165</v>
      </c>
      <c r="M26" s="170" t="s">
        <v>234</v>
      </c>
      <c r="N26" s="168"/>
    </row>
    <row r="27" spans="1:14">
      <c r="A27" s="171">
        <v>25</v>
      </c>
      <c r="B27" s="786" t="s">
        <v>1299</v>
      </c>
      <c r="C27" s="786"/>
      <c r="D27" s="181" t="s">
        <v>1164</v>
      </c>
      <c r="E27" s="182" t="s">
        <v>1077</v>
      </c>
      <c r="F27" s="176">
        <f>EDU*4</f>
        <v>320</v>
      </c>
      <c r="G27" s="177" t="s">
        <v>1166</v>
      </c>
      <c r="M27" s="170" t="s">
        <v>191</v>
      </c>
      <c r="N27" s="168"/>
    </row>
    <row r="28" spans="1:14" ht="17.25" customHeight="1">
      <c r="A28" s="169">
        <v>26</v>
      </c>
      <c r="B28" s="788" t="s">
        <v>1300</v>
      </c>
      <c r="C28" s="788"/>
      <c r="D28" s="178" t="s">
        <v>1111</v>
      </c>
      <c r="E28" s="178" t="s">
        <v>1503</v>
      </c>
      <c r="F28" s="179">
        <f>EDU*2+MAX(STR,DEX)*2</f>
        <v>270</v>
      </c>
      <c r="G28" s="180" t="s">
        <v>1167</v>
      </c>
      <c r="M28" s="170" t="s">
        <v>81</v>
      </c>
      <c r="N28" s="168"/>
    </row>
    <row r="29" spans="1:14" ht="16.5" customHeight="1">
      <c r="A29" s="171">
        <v>27</v>
      </c>
      <c r="B29" s="786" t="s">
        <v>1301</v>
      </c>
      <c r="C29" s="786"/>
      <c r="D29" s="181" t="s">
        <v>1135</v>
      </c>
      <c r="E29" s="182" t="s">
        <v>1092</v>
      </c>
      <c r="F29" s="176">
        <f>EDU*2+DEX*2</f>
        <v>270</v>
      </c>
      <c r="G29" s="177" t="s">
        <v>1168</v>
      </c>
      <c r="M29" s="170" t="s">
        <v>82</v>
      </c>
      <c r="N29" s="168"/>
    </row>
    <row r="30" spans="1:14" ht="17.25" customHeight="1">
      <c r="A30" s="169">
        <v>28</v>
      </c>
      <c r="B30" s="788" t="s">
        <v>1302</v>
      </c>
      <c r="C30" s="788"/>
      <c r="D30" s="178" t="s">
        <v>1080</v>
      </c>
      <c r="E30" s="178" t="s">
        <v>1504</v>
      </c>
      <c r="F30" s="179">
        <f>EDU*2+MAX(STR,DEX)*2</f>
        <v>270</v>
      </c>
      <c r="G30" s="180" t="s">
        <v>1169</v>
      </c>
      <c r="M30" s="170" t="s">
        <v>932</v>
      </c>
      <c r="N30" s="168"/>
    </row>
    <row r="31" spans="1:14" ht="17.25" customHeight="1">
      <c r="A31" s="171">
        <v>29</v>
      </c>
      <c r="B31" s="786" t="s">
        <v>1303</v>
      </c>
      <c r="C31" s="786"/>
      <c r="D31" s="181" t="s">
        <v>1170</v>
      </c>
      <c r="E31" s="182" t="s">
        <v>1502</v>
      </c>
      <c r="F31" s="176">
        <f>EDU*2+MAX(STR,DEX)*2</f>
        <v>270</v>
      </c>
      <c r="G31" s="177" t="s">
        <v>1171</v>
      </c>
      <c r="M31" s="170" t="s">
        <v>933</v>
      </c>
      <c r="N31" s="168"/>
    </row>
    <row r="32" spans="1:14" ht="17.25" customHeight="1">
      <c r="A32" s="169">
        <v>30</v>
      </c>
      <c r="B32" s="788" t="s">
        <v>1304</v>
      </c>
      <c r="C32" s="788"/>
      <c r="D32" s="178" t="s">
        <v>1172</v>
      </c>
      <c r="E32" s="178" t="s">
        <v>1505</v>
      </c>
      <c r="F32" s="179">
        <f>EDU*2+STR*2</f>
        <v>270</v>
      </c>
      <c r="G32" s="180" t="s">
        <v>1173</v>
      </c>
      <c r="M32" s="170" t="s">
        <v>934</v>
      </c>
      <c r="N32" s="168"/>
    </row>
    <row r="33" spans="1:14" ht="17.25" customHeight="1">
      <c r="A33" s="171">
        <v>31</v>
      </c>
      <c r="B33" s="786" t="s">
        <v>1305</v>
      </c>
      <c r="C33" s="786"/>
      <c r="D33" s="181" t="s">
        <v>1174</v>
      </c>
      <c r="E33" s="182" t="s">
        <v>1501</v>
      </c>
      <c r="F33" s="176">
        <f>EDU*2+DEX*2</f>
        <v>270</v>
      </c>
      <c r="G33" s="177" t="s">
        <v>1175</v>
      </c>
      <c r="M33" s="170" t="s">
        <v>519</v>
      </c>
      <c r="N33" s="168"/>
    </row>
    <row r="34" spans="1:14" ht="17.25" customHeight="1">
      <c r="A34" s="169">
        <v>32</v>
      </c>
      <c r="B34" s="788" t="s">
        <v>1306</v>
      </c>
      <c r="C34" s="788"/>
      <c r="D34" s="178" t="s">
        <v>1176</v>
      </c>
      <c r="E34" s="178" t="s">
        <v>1506</v>
      </c>
      <c r="F34" s="179">
        <f>APP*2+EDU*2</f>
        <v>300</v>
      </c>
      <c r="G34" s="180" t="s">
        <v>1177</v>
      </c>
      <c r="M34" s="170" t="s">
        <v>6</v>
      </c>
      <c r="N34" s="168"/>
    </row>
    <row r="35" spans="1:14" ht="17.25" customHeight="1">
      <c r="A35" s="171">
        <v>33</v>
      </c>
      <c r="B35" s="786" t="s">
        <v>1307</v>
      </c>
      <c r="C35" s="786"/>
      <c r="D35" s="181" t="s">
        <v>1178</v>
      </c>
      <c r="E35" s="182" t="s">
        <v>1507</v>
      </c>
      <c r="F35" s="176">
        <f>EDU*2+MAX(APP,DEX)*2</f>
        <v>300</v>
      </c>
      <c r="G35" s="177" t="s">
        <v>1179</v>
      </c>
      <c r="M35" s="170" t="s">
        <v>155</v>
      </c>
      <c r="N35" s="168"/>
    </row>
    <row r="36" spans="1:14" ht="17.25" customHeight="1">
      <c r="A36" s="169">
        <v>34</v>
      </c>
      <c r="B36" s="788" t="s">
        <v>1308</v>
      </c>
      <c r="C36" s="788"/>
      <c r="D36" s="178" t="s">
        <v>1180</v>
      </c>
      <c r="E36" s="178" t="s">
        <v>1506</v>
      </c>
      <c r="F36" s="179">
        <f>APP*2+EDU*2</f>
        <v>300</v>
      </c>
      <c r="G36" s="180" t="s">
        <v>1181</v>
      </c>
      <c r="M36" s="170" t="s">
        <v>83</v>
      </c>
      <c r="N36" s="168"/>
    </row>
    <row r="37" spans="1:14" ht="17.25" customHeight="1">
      <c r="A37" s="171">
        <v>35</v>
      </c>
      <c r="B37" s="786" t="s">
        <v>1309</v>
      </c>
      <c r="C37" s="786"/>
      <c r="D37" s="181" t="s">
        <v>1102</v>
      </c>
      <c r="E37" s="182" t="s">
        <v>1506</v>
      </c>
      <c r="F37" s="176">
        <f>APP*2+EDU*2</f>
        <v>300</v>
      </c>
      <c r="G37" s="177" t="s">
        <v>1182</v>
      </c>
      <c r="M37" s="170" t="s">
        <v>84</v>
      </c>
      <c r="N37" s="168"/>
    </row>
    <row r="38" spans="1:14">
      <c r="A38" s="169">
        <v>36</v>
      </c>
      <c r="B38" s="788" t="s">
        <v>1310</v>
      </c>
      <c r="C38" s="788"/>
      <c r="D38" s="178" t="s">
        <v>1104</v>
      </c>
      <c r="E38" s="178" t="s">
        <v>1077</v>
      </c>
      <c r="F38" s="179">
        <f>EDU*4</f>
        <v>320</v>
      </c>
      <c r="G38" s="180" t="s">
        <v>1183</v>
      </c>
      <c r="M38" s="170" t="s">
        <v>85</v>
      </c>
      <c r="N38" s="168"/>
    </row>
    <row r="39" spans="1:14" ht="17.25" customHeight="1">
      <c r="A39" s="171">
        <v>37</v>
      </c>
      <c r="B39" s="786" t="s">
        <v>1311</v>
      </c>
      <c r="C39" s="786"/>
      <c r="D39" s="181" t="s">
        <v>1104</v>
      </c>
      <c r="E39" s="182" t="s">
        <v>1508</v>
      </c>
      <c r="F39" s="176">
        <f>EDU*2+MAX(APP,DEX)*2</f>
        <v>300</v>
      </c>
      <c r="G39" s="177" t="s">
        <v>1184</v>
      </c>
      <c r="M39" s="170" t="s">
        <v>193</v>
      </c>
      <c r="N39" s="168"/>
    </row>
    <row r="40" spans="1:14" ht="17.25" customHeight="1">
      <c r="A40" s="169">
        <v>38</v>
      </c>
      <c r="B40" s="788" t="s">
        <v>1312</v>
      </c>
      <c r="C40" s="788"/>
      <c r="D40" s="178" t="s">
        <v>1185</v>
      </c>
      <c r="E40" s="178" t="s">
        <v>1504</v>
      </c>
      <c r="F40" s="179">
        <f>EDU*2+MAX(STR,DEX)*2</f>
        <v>270</v>
      </c>
      <c r="G40" s="180" t="s">
        <v>1186</v>
      </c>
      <c r="M40" s="170" t="s">
        <v>229</v>
      </c>
      <c r="N40" s="168"/>
    </row>
    <row r="41" spans="1:14">
      <c r="A41" s="171">
        <v>39</v>
      </c>
      <c r="B41" s="786" t="s">
        <v>1313</v>
      </c>
      <c r="C41" s="786"/>
      <c r="D41" s="181" t="s">
        <v>1080</v>
      </c>
      <c r="E41" s="182" t="s">
        <v>1077</v>
      </c>
      <c r="F41" s="176">
        <f>EDU*4</f>
        <v>320</v>
      </c>
      <c r="G41" s="177" t="s">
        <v>1187</v>
      </c>
      <c r="M41" s="170" t="s">
        <v>230</v>
      </c>
      <c r="N41" s="168"/>
    </row>
    <row r="42" spans="1:14">
      <c r="A42" s="169">
        <v>40</v>
      </c>
      <c r="B42" s="788" t="s">
        <v>1314</v>
      </c>
      <c r="C42" s="788"/>
      <c r="D42" s="178" t="s">
        <v>1093</v>
      </c>
      <c r="E42" s="178" t="s">
        <v>1077</v>
      </c>
      <c r="F42" s="179">
        <f>EDU*4</f>
        <v>320</v>
      </c>
      <c r="G42" s="180" t="s">
        <v>1188</v>
      </c>
      <c r="M42" s="170" t="s">
        <v>86</v>
      </c>
      <c r="N42" s="168"/>
    </row>
    <row r="43" spans="1:14">
      <c r="A43" s="171">
        <v>41</v>
      </c>
      <c r="B43" s="786" t="s">
        <v>1315</v>
      </c>
      <c r="C43" s="786"/>
      <c r="D43" s="181" t="s">
        <v>1104</v>
      </c>
      <c r="E43" s="182" t="s">
        <v>1077</v>
      </c>
      <c r="F43" s="176">
        <f>EDU*4</f>
        <v>320</v>
      </c>
      <c r="G43" s="177" t="s">
        <v>1189</v>
      </c>
      <c r="M43" s="170" t="s">
        <v>87</v>
      </c>
      <c r="N43" s="168"/>
    </row>
    <row r="44" spans="1:14" ht="17.25" customHeight="1">
      <c r="A44" s="169">
        <v>42</v>
      </c>
      <c r="B44" s="788" t="s">
        <v>1316</v>
      </c>
      <c r="C44" s="788"/>
      <c r="D44" s="178" t="s">
        <v>1190</v>
      </c>
      <c r="E44" s="178" t="s">
        <v>1128</v>
      </c>
      <c r="F44" s="179">
        <f>APP*2+EDU*2</f>
        <v>300</v>
      </c>
      <c r="G44" s="180" t="s">
        <v>1191</v>
      </c>
      <c r="M44" s="170" t="s">
        <v>57</v>
      </c>
      <c r="N44" s="168"/>
    </row>
    <row r="45" spans="1:14" ht="17.25" customHeight="1">
      <c r="A45" s="171">
        <v>43</v>
      </c>
      <c r="B45" s="786" t="s">
        <v>1317</v>
      </c>
      <c r="C45" s="786"/>
      <c r="D45" s="181" t="s">
        <v>1083</v>
      </c>
      <c r="E45" s="182" t="s">
        <v>1501</v>
      </c>
      <c r="F45" s="176">
        <f>EDU*2+DEX*2</f>
        <v>270</v>
      </c>
      <c r="G45" s="177" t="s">
        <v>1192</v>
      </c>
      <c r="M45" s="170" t="s">
        <v>958</v>
      </c>
      <c r="N45" s="168"/>
    </row>
    <row r="46" spans="1:14">
      <c r="A46" s="169">
        <v>44</v>
      </c>
      <c r="B46" s="788" t="s">
        <v>1318</v>
      </c>
      <c r="C46" s="788"/>
      <c r="D46" s="178" t="s">
        <v>1193</v>
      </c>
      <c r="E46" s="178" t="s">
        <v>1077</v>
      </c>
      <c r="F46" s="179">
        <f>EDU*4</f>
        <v>320</v>
      </c>
      <c r="G46" s="180" t="s">
        <v>1194</v>
      </c>
      <c r="M46" s="170" t="s">
        <v>88</v>
      </c>
      <c r="N46" s="168"/>
    </row>
    <row r="47" spans="1:14" ht="17.25" customHeight="1">
      <c r="A47" s="171">
        <v>45</v>
      </c>
      <c r="B47" s="786" t="s">
        <v>1319</v>
      </c>
      <c r="C47" s="786"/>
      <c r="D47" s="181" t="s">
        <v>1195</v>
      </c>
      <c r="E47" s="182" t="s">
        <v>1196</v>
      </c>
      <c r="F47" s="176">
        <f>(MAX(APP,STR,DEX))*2+EDU*2</f>
        <v>300</v>
      </c>
      <c r="G47" s="177" t="s">
        <v>1197</v>
      </c>
      <c r="M47" s="170" t="s">
        <v>89</v>
      </c>
      <c r="N47" s="168"/>
    </row>
    <row r="48" spans="1:14" ht="17.25" customHeight="1">
      <c r="A48" s="169">
        <v>46</v>
      </c>
      <c r="B48" s="788" t="s">
        <v>1320</v>
      </c>
      <c r="C48" s="788"/>
      <c r="D48" s="178" t="s">
        <v>1135</v>
      </c>
      <c r="E48" s="178" t="s">
        <v>1501</v>
      </c>
      <c r="F48" s="179">
        <f>EDU*2+DEX*2</f>
        <v>270</v>
      </c>
      <c r="G48" s="180" t="s">
        <v>1198</v>
      </c>
      <c r="M48" s="170" t="s">
        <v>521</v>
      </c>
      <c r="N48" s="168"/>
    </row>
    <row r="49" spans="1:14" ht="17.25" customHeight="1">
      <c r="A49" s="171">
        <v>47</v>
      </c>
      <c r="B49" s="786" t="s">
        <v>1321</v>
      </c>
      <c r="C49" s="786"/>
      <c r="D49" s="181" t="s">
        <v>1111</v>
      </c>
      <c r="E49" s="182" t="s">
        <v>1504</v>
      </c>
      <c r="F49" s="176">
        <f>EDU*2+MAX(STR,DEX)*2</f>
        <v>270</v>
      </c>
      <c r="G49" s="177" t="s">
        <v>1199</v>
      </c>
      <c r="M49" s="170" t="s">
        <v>925</v>
      </c>
      <c r="N49" s="168"/>
    </row>
    <row r="50" spans="1:14" ht="17.25" customHeight="1">
      <c r="A50" s="169">
        <v>48</v>
      </c>
      <c r="B50" s="788" t="s">
        <v>1322</v>
      </c>
      <c r="C50" s="788"/>
      <c r="D50" s="178" t="s">
        <v>1083</v>
      </c>
      <c r="E50" s="178" t="s">
        <v>1501</v>
      </c>
      <c r="F50" s="179">
        <f>EDU*2+DEX*2</f>
        <v>270</v>
      </c>
      <c r="G50" s="180" t="s">
        <v>1200</v>
      </c>
      <c r="M50" s="170" t="s">
        <v>926</v>
      </c>
      <c r="N50" s="168"/>
    </row>
    <row r="51" spans="1:14">
      <c r="A51" s="171">
        <v>49</v>
      </c>
      <c r="B51" s="786" t="s">
        <v>1323</v>
      </c>
      <c r="C51" s="786"/>
      <c r="D51" s="181" t="s">
        <v>1082</v>
      </c>
      <c r="E51" s="182" t="s">
        <v>1077</v>
      </c>
      <c r="F51" s="176">
        <f>EDU*4</f>
        <v>320</v>
      </c>
      <c r="G51" s="177" t="s">
        <v>1201</v>
      </c>
      <c r="M51" s="170" t="s">
        <v>939</v>
      </c>
      <c r="N51" s="168"/>
    </row>
    <row r="52" spans="1:14" ht="17.25" customHeight="1">
      <c r="A52" s="169">
        <v>50</v>
      </c>
      <c r="B52" s="788" t="s">
        <v>1324</v>
      </c>
      <c r="C52" s="788"/>
      <c r="D52" s="178" t="s">
        <v>1202</v>
      </c>
      <c r="E52" s="178" t="s">
        <v>1506</v>
      </c>
      <c r="F52" s="179">
        <f>APP*2+EDU*2</f>
        <v>300</v>
      </c>
      <c r="G52" s="180" t="s">
        <v>1203</v>
      </c>
      <c r="M52" s="170" t="s">
        <v>91</v>
      </c>
      <c r="N52" s="168"/>
    </row>
    <row r="53" spans="1:14">
      <c r="A53" s="171">
        <v>51</v>
      </c>
      <c r="B53" s="786" t="s">
        <v>1325</v>
      </c>
      <c r="C53" s="786"/>
      <c r="D53" s="181" t="s">
        <v>1080</v>
      </c>
      <c r="E53" s="182" t="s">
        <v>1077</v>
      </c>
      <c r="F53" s="176">
        <f>EDU*4</f>
        <v>320</v>
      </c>
      <c r="G53" s="177" t="s">
        <v>1204</v>
      </c>
      <c r="M53" s="170" t="s">
        <v>231</v>
      </c>
      <c r="N53" s="168"/>
    </row>
    <row r="54" spans="1:14" ht="16.5" customHeight="1">
      <c r="A54" s="169">
        <v>52</v>
      </c>
      <c r="B54" s="788" t="s">
        <v>1326</v>
      </c>
      <c r="C54" s="788"/>
      <c r="D54" s="178" t="s">
        <v>1151</v>
      </c>
      <c r="E54" s="178" t="s">
        <v>1128</v>
      </c>
      <c r="F54" s="179">
        <f>APP*2+EDU*2</f>
        <v>300</v>
      </c>
      <c r="G54" s="180" t="s">
        <v>1205</v>
      </c>
      <c r="M54" s="170" t="s">
        <v>92</v>
      </c>
      <c r="N54" s="168"/>
    </row>
    <row r="55" spans="1:14" ht="17.25" customHeight="1">
      <c r="A55" s="171">
        <v>53</v>
      </c>
      <c r="B55" s="786" t="s">
        <v>1327</v>
      </c>
      <c r="C55" s="786"/>
      <c r="D55" s="181" t="s">
        <v>1206</v>
      </c>
      <c r="E55" s="182" t="s">
        <v>1207</v>
      </c>
      <c r="F55" s="176">
        <f>(MAX(APP,STR,DEX))*2+EDU*2</f>
        <v>300</v>
      </c>
      <c r="G55" s="177" t="s">
        <v>1208</v>
      </c>
      <c r="M55" s="170" t="s">
        <v>950</v>
      </c>
      <c r="N55" s="168"/>
    </row>
    <row r="56" spans="1:14" ht="16.5" customHeight="1">
      <c r="A56" s="169">
        <v>54</v>
      </c>
      <c r="B56" s="788" t="s">
        <v>1328</v>
      </c>
      <c r="C56" s="788"/>
      <c r="D56" s="178" t="s">
        <v>1209</v>
      </c>
      <c r="E56" s="178" t="s">
        <v>1210</v>
      </c>
      <c r="F56" s="179">
        <f>EDU*2+MAX(STR,DEX)*2</f>
        <v>270</v>
      </c>
      <c r="G56" s="180" t="s">
        <v>1211</v>
      </c>
      <c r="M56" s="170" t="s">
        <v>93</v>
      </c>
      <c r="N56" s="168"/>
    </row>
    <row r="57" spans="1:14">
      <c r="A57" s="171">
        <v>55</v>
      </c>
      <c r="B57" s="786" t="s">
        <v>1329</v>
      </c>
      <c r="C57" s="786"/>
      <c r="D57" s="181" t="s">
        <v>1212</v>
      </c>
      <c r="E57" s="182" t="s">
        <v>1213</v>
      </c>
      <c r="F57" s="176">
        <f>EDU*4</f>
        <v>320</v>
      </c>
      <c r="G57" s="177" t="s">
        <v>1214</v>
      </c>
      <c r="H57" s="159"/>
      <c r="M57" s="170" t="s">
        <v>94</v>
      </c>
      <c r="N57" s="168"/>
    </row>
    <row r="58" spans="1:14" ht="16.5" customHeight="1">
      <c r="A58" s="169">
        <v>56</v>
      </c>
      <c r="B58" s="788" t="s">
        <v>1330</v>
      </c>
      <c r="C58" s="788"/>
      <c r="D58" s="178" t="s">
        <v>1209</v>
      </c>
      <c r="E58" s="178" t="s">
        <v>1210</v>
      </c>
      <c r="F58" s="179">
        <f>EDU*2+MAX(STR,DEX)*2</f>
        <v>270</v>
      </c>
      <c r="G58" s="180" t="s">
        <v>1215</v>
      </c>
      <c r="H58" s="159"/>
      <c r="M58" s="170" t="s">
        <v>90</v>
      </c>
      <c r="N58" s="168"/>
    </row>
    <row r="59" spans="1:14">
      <c r="A59" s="171">
        <v>57</v>
      </c>
      <c r="B59" s="786" t="s">
        <v>1331</v>
      </c>
      <c r="C59" s="786"/>
      <c r="D59" s="181" t="s">
        <v>1216</v>
      </c>
      <c r="E59" s="182" t="s">
        <v>1213</v>
      </c>
      <c r="F59" s="176">
        <f>EDU*4</f>
        <v>320</v>
      </c>
      <c r="G59" s="177" t="s">
        <v>1217</v>
      </c>
      <c r="H59" s="159"/>
      <c r="M59" s="170" t="s">
        <v>1004</v>
      </c>
      <c r="N59" s="168"/>
    </row>
    <row r="60" spans="1:14">
      <c r="A60" s="169">
        <v>58</v>
      </c>
      <c r="B60" s="788" t="s">
        <v>1332</v>
      </c>
      <c r="C60" s="788"/>
      <c r="D60" s="178" t="s">
        <v>1218</v>
      </c>
      <c r="E60" s="178" t="s">
        <v>1213</v>
      </c>
      <c r="F60" s="179">
        <f>EDU*4</f>
        <v>320</v>
      </c>
      <c r="G60" s="180" t="s">
        <v>1482</v>
      </c>
      <c r="H60" s="159"/>
      <c r="M60" s="170" t="s">
        <v>498</v>
      </c>
      <c r="N60" s="168"/>
    </row>
    <row r="61" spans="1:14">
      <c r="A61" s="171">
        <v>59</v>
      </c>
      <c r="B61" s="786" t="s">
        <v>1333</v>
      </c>
      <c r="C61" s="786"/>
      <c r="D61" s="181" t="s">
        <v>1219</v>
      </c>
      <c r="E61" s="182" t="s">
        <v>1508</v>
      </c>
      <c r="F61" s="176">
        <f>EDU*2+MAX(APP,DEX)*2</f>
        <v>300</v>
      </c>
      <c r="G61" s="177" t="s">
        <v>1220</v>
      </c>
      <c r="H61" s="159"/>
      <c r="M61" s="170" t="s">
        <v>180</v>
      </c>
      <c r="N61" s="168"/>
    </row>
    <row r="62" spans="1:14">
      <c r="A62" s="169">
        <v>60</v>
      </c>
      <c r="B62" s="788" t="s">
        <v>1334</v>
      </c>
      <c r="C62" s="788"/>
      <c r="D62" s="178" t="s">
        <v>1221</v>
      </c>
      <c r="E62" s="178" t="s">
        <v>1128</v>
      </c>
      <c r="F62" s="179">
        <f>APP*2+EDU*2</f>
        <v>300</v>
      </c>
      <c r="G62" s="180" t="s">
        <v>1222</v>
      </c>
      <c r="H62" s="159"/>
      <c r="M62" s="170" t="s">
        <v>1065</v>
      </c>
      <c r="N62" s="168"/>
    </row>
    <row r="63" spans="1:14">
      <c r="A63" s="171">
        <v>61</v>
      </c>
      <c r="B63" s="786" t="s">
        <v>1335</v>
      </c>
      <c r="C63" s="786"/>
      <c r="D63" s="181" t="s">
        <v>1111</v>
      </c>
      <c r="E63" s="182" t="s">
        <v>1094</v>
      </c>
      <c r="F63" s="176">
        <f>EDU*2+MAX(STR,DEX)*2</f>
        <v>270</v>
      </c>
      <c r="G63" s="177" t="s">
        <v>1223</v>
      </c>
      <c r="H63" s="159"/>
      <c r="M63" s="170" t="s">
        <v>179</v>
      </c>
      <c r="N63" s="168"/>
    </row>
    <row r="64" spans="1:14">
      <c r="A64" s="169">
        <v>62</v>
      </c>
      <c r="B64" s="788" t="s">
        <v>1336</v>
      </c>
      <c r="C64" s="788"/>
      <c r="D64" s="178" t="s">
        <v>1224</v>
      </c>
      <c r="E64" s="178" t="s">
        <v>1506</v>
      </c>
      <c r="F64" s="179">
        <f>APP*2+EDU*2</f>
        <v>300</v>
      </c>
      <c r="G64" s="180" t="s">
        <v>1225</v>
      </c>
      <c r="H64" s="159"/>
      <c r="M64" s="170" t="s">
        <v>884</v>
      </c>
      <c r="N64" s="168"/>
    </row>
    <row r="65" spans="1:14">
      <c r="A65" s="171">
        <v>63</v>
      </c>
      <c r="B65" s="786" t="s">
        <v>1337</v>
      </c>
      <c r="C65" s="786"/>
      <c r="D65" s="181" t="s">
        <v>1195</v>
      </c>
      <c r="E65" s="182" t="s">
        <v>1112</v>
      </c>
      <c r="F65" s="176">
        <f>EDU*2+MAX(APP,DEX)*2</f>
        <v>300</v>
      </c>
      <c r="G65" s="177" t="s">
        <v>1226</v>
      </c>
      <c r="H65" s="159"/>
      <c r="M65" s="170" t="s">
        <v>1273</v>
      </c>
      <c r="N65" s="168"/>
    </row>
    <row r="66" spans="1:14">
      <c r="A66" s="169">
        <v>64</v>
      </c>
      <c r="B66" s="788" t="s">
        <v>1338</v>
      </c>
      <c r="C66" s="788"/>
      <c r="D66" s="178" t="s">
        <v>1227</v>
      </c>
      <c r="E66" s="178" t="s">
        <v>1505</v>
      </c>
      <c r="F66" s="179">
        <f>EDU*2+STR*2</f>
        <v>270</v>
      </c>
      <c r="G66" s="180" t="s">
        <v>1228</v>
      </c>
      <c r="H66" s="159"/>
      <c r="M66" s="170" t="s">
        <v>1443</v>
      </c>
      <c r="N66" s="168"/>
    </row>
    <row r="67" spans="1:14">
      <c r="A67" s="171">
        <v>65</v>
      </c>
      <c r="B67" s="786" t="s">
        <v>1339</v>
      </c>
      <c r="C67" s="786"/>
      <c r="D67" s="181" t="s">
        <v>1083</v>
      </c>
      <c r="E67" s="182" t="s">
        <v>1077</v>
      </c>
      <c r="F67" s="176">
        <f>EDU*4</f>
        <v>320</v>
      </c>
      <c r="G67" s="177" t="s">
        <v>1229</v>
      </c>
      <c r="H67" s="159"/>
      <c r="M67" s="183"/>
      <c r="N67" s="168"/>
    </row>
    <row r="68" spans="1:14">
      <c r="A68" s="169">
        <v>66</v>
      </c>
      <c r="B68" s="788" t="s">
        <v>1340</v>
      </c>
      <c r="C68" s="788"/>
      <c r="D68" s="178" t="s">
        <v>1083</v>
      </c>
      <c r="E68" s="178" t="s">
        <v>1213</v>
      </c>
      <c r="F68" s="179">
        <f>EDU*4</f>
        <v>320</v>
      </c>
      <c r="G68" s="180" t="s">
        <v>1230</v>
      </c>
      <c r="H68" s="159"/>
      <c r="M68" s="168"/>
      <c r="N68" s="168"/>
    </row>
    <row r="69" spans="1:14">
      <c r="A69" s="171">
        <v>67</v>
      </c>
      <c r="B69" s="786" t="s">
        <v>1341</v>
      </c>
      <c r="C69" s="786"/>
      <c r="D69" s="181" t="s">
        <v>1231</v>
      </c>
      <c r="E69" s="182" t="s">
        <v>1077</v>
      </c>
      <c r="F69" s="176">
        <f>EDU*4</f>
        <v>320</v>
      </c>
      <c r="G69" s="177" t="s">
        <v>1232</v>
      </c>
      <c r="H69" s="159"/>
      <c r="M69" s="168"/>
      <c r="N69" s="168"/>
    </row>
    <row r="70" spans="1:14">
      <c r="A70" s="169">
        <v>68</v>
      </c>
      <c r="B70" s="788" t="s">
        <v>1342</v>
      </c>
      <c r="C70" s="788"/>
      <c r="D70" s="178" t="s">
        <v>1082</v>
      </c>
      <c r="E70" s="178" t="s">
        <v>1213</v>
      </c>
      <c r="F70" s="179">
        <f>EDU*4</f>
        <v>320</v>
      </c>
      <c r="G70" s="180" t="s">
        <v>1233</v>
      </c>
      <c r="H70" s="159"/>
      <c r="M70" s="168"/>
      <c r="N70" s="168"/>
    </row>
    <row r="71" spans="1:14">
      <c r="A71" s="171">
        <v>69</v>
      </c>
      <c r="B71" s="786" t="s">
        <v>1343</v>
      </c>
      <c r="C71" s="786"/>
      <c r="D71" s="181" t="s">
        <v>1083</v>
      </c>
      <c r="E71" s="182" t="s">
        <v>1094</v>
      </c>
      <c r="F71" s="176">
        <f>EDU*2+MAX(STR,DEX)*2</f>
        <v>270</v>
      </c>
      <c r="G71" s="177" t="s">
        <v>1234</v>
      </c>
      <c r="H71" s="159"/>
      <c r="M71" s="168"/>
      <c r="N71" s="168"/>
    </row>
    <row r="72" spans="1:14" ht="16.5" customHeight="1">
      <c r="A72" s="169">
        <v>70</v>
      </c>
      <c r="B72" s="788" t="s">
        <v>1344</v>
      </c>
      <c r="C72" s="788"/>
      <c r="D72" s="178" t="s">
        <v>1083</v>
      </c>
      <c r="E72" s="178" t="s">
        <v>1094</v>
      </c>
      <c r="F72" s="179">
        <f>EDU*2+MAX(STR,DEX)*2</f>
        <v>270</v>
      </c>
      <c r="G72" s="180" t="s">
        <v>1235</v>
      </c>
      <c r="H72" s="159"/>
      <c r="M72" s="168"/>
      <c r="N72" s="168"/>
    </row>
    <row r="73" spans="1:14" ht="16.5" customHeight="1">
      <c r="A73" s="171">
        <v>71</v>
      </c>
      <c r="B73" s="786" t="s">
        <v>1345</v>
      </c>
      <c r="C73" s="786"/>
      <c r="D73" s="181" t="s">
        <v>1083</v>
      </c>
      <c r="E73" s="182" t="s">
        <v>1094</v>
      </c>
      <c r="F73" s="176">
        <f>EDU*2+MAX(STR,DEX)*2</f>
        <v>270</v>
      </c>
      <c r="G73" s="177" t="s">
        <v>1236</v>
      </c>
      <c r="H73" s="159"/>
      <c r="M73" s="168"/>
      <c r="N73" s="168"/>
    </row>
    <row r="74" spans="1:14">
      <c r="A74" s="169">
        <v>72</v>
      </c>
      <c r="B74" s="788" t="s">
        <v>1346</v>
      </c>
      <c r="C74" s="788"/>
      <c r="D74" s="178" t="s">
        <v>1193</v>
      </c>
      <c r="E74" s="178" t="s">
        <v>1077</v>
      </c>
      <c r="F74" s="179">
        <f>EDU*4</f>
        <v>320</v>
      </c>
      <c r="G74" s="180" t="s">
        <v>1237</v>
      </c>
      <c r="H74" s="159"/>
      <c r="M74" s="168"/>
      <c r="N74" s="168"/>
    </row>
    <row r="75" spans="1:14">
      <c r="A75" s="171">
        <v>73</v>
      </c>
      <c r="B75" s="786" t="s">
        <v>1347</v>
      </c>
      <c r="C75" s="786"/>
      <c r="D75" s="181" t="s">
        <v>1238</v>
      </c>
      <c r="E75" s="182" t="s">
        <v>1077</v>
      </c>
      <c r="F75" s="176">
        <f>EDU*4</f>
        <v>320</v>
      </c>
      <c r="G75" s="177" t="s">
        <v>1078</v>
      </c>
      <c r="H75" s="159"/>
      <c r="M75" s="168"/>
      <c r="N75" s="168"/>
    </row>
    <row r="76" spans="1:14">
      <c r="A76" s="169">
        <v>74</v>
      </c>
      <c r="B76" s="788" t="s">
        <v>1348</v>
      </c>
      <c r="C76" s="788"/>
      <c r="D76" s="178" t="s">
        <v>1099</v>
      </c>
      <c r="E76" s="178" t="s">
        <v>1077</v>
      </c>
      <c r="F76" s="179">
        <f>EDU*4</f>
        <v>320</v>
      </c>
      <c r="G76" s="180" t="s">
        <v>1239</v>
      </c>
      <c r="H76" s="159"/>
      <c r="M76" s="168"/>
      <c r="N76" s="168"/>
    </row>
    <row r="77" spans="1:14" ht="16.5" customHeight="1">
      <c r="A77" s="171">
        <v>75</v>
      </c>
      <c r="B77" s="786" t="s">
        <v>1349</v>
      </c>
      <c r="C77" s="786"/>
      <c r="D77" s="181" t="s">
        <v>1091</v>
      </c>
      <c r="E77" s="182" t="s">
        <v>1094</v>
      </c>
      <c r="F77" s="176">
        <f>EDU*2+MAX(STR,DEX)*2</f>
        <v>270</v>
      </c>
      <c r="G77" s="177" t="s">
        <v>1079</v>
      </c>
      <c r="H77" s="159"/>
      <c r="M77" s="168"/>
      <c r="N77" s="168"/>
    </row>
    <row r="78" spans="1:14" ht="17.25" customHeight="1">
      <c r="A78" s="169">
        <v>76</v>
      </c>
      <c r="B78" s="788" t="s">
        <v>1350</v>
      </c>
      <c r="C78" s="788"/>
      <c r="D78" s="178" t="s">
        <v>1114</v>
      </c>
      <c r="E78" s="178" t="s">
        <v>1128</v>
      </c>
      <c r="F78" s="179">
        <f>EDU*2+APP*2</f>
        <v>300</v>
      </c>
      <c r="G78" s="180" t="s">
        <v>1240</v>
      </c>
      <c r="H78" s="159"/>
      <c r="M78" s="168"/>
      <c r="N78" s="168"/>
    </row>
    <row r="79" spans="1:14" ht="17.25" customHeight="1">
      <c r="A79" s="171">
        <v>77</v>
      </c>
      <c r="B79" s="786" t="s">
        <v>1351</v>
      </c>
      <c r="C79" s="786"/>
      <c r="D79" s="181" t="s">
        <v>1080</v>
      </c>
      <c r="E79" s="182" t="s">
        <v>1504</v>
      </c>
      <c r="F79" s="176">
        <f>EDU*2+MAX(STR,DEX)*2</f>
        <v>270</v>
      </c>
      <c r="G79" s="177" t="s">
        <v>1081</v>
      </c>
      <c r="H79" s="159"/>
      <c r="M79" s="168"/>
      <c r="N79" s="168"/>
    </row>
    <row r="80" spans="1:14">
      <c r="A80" s="169">
        <v>78</v>
      </c>
      <c r="B80" s="788" t="s">
        <v>1352</v>
      </c>
      <c r="C80" s="788"/>
      <c r="D80" s="178" t="s">
        <v>1082</v>
      </c>
      <c r="E80" s="178" t="s">
        <v>1077</v>
      </c>
      <c r="F80" s="179">
        <f>EDU*4</f>
        <v>320</v>
      </c>
      <c r="G80" s="180" t="s">
        <v>1241</v>
      </c>
      <c r="H80" s="159"/>
    </row>
    <row r="81" spans="1:8" ht="16.5" customHeight="1">
      <c r="A81" s="171">
        <v>79</v>
      </c>
      <c r="B81" s="786" t="s">
        <v>1353</v>
      </c>
      <c r="C81" s="786"/>
      <c r="D81" s="181" t="s">
        <v>1083</v>
      </c>
      <c r="E81" s="182" t="s">
        <v>1084</v>
      </c>
      <c r="F81" s="176">
        <f>EDU*2+MAX(POW,DEX)*2</f>
        <v>270</v>
      </c>
      <c r="G81" s="177" t="s">
        <v>1085</v>
      </c>
      <c r="H81" s="159"/>
    </row>
    <row r="82" spans="1:8">
      <c r="A82" s="169">
        <v>80</v>
      </c>
      <c r="B82" s="788" t="s">
        <v>1354</v>
      </c>
      <c r="C82" s="788"/>
      <c r="D82" s="178" t="s">
        <v>1083</v>
      </c>
      <c r="E82" s="178" t="s">
        <v>1077</v>
      </c>
      <c r="F82" s="179">
        <f>EDU*4</f>
        <v>320</v>
      </c>
      <c r="G82" s="180" t="s">
        <v>1242</v>
      </c>
      <c r="H82" s="159"/>
    </row>
    <row r="83" spans="1:8">
      <c r="A83" s="171">
        <v>81</v>
      </c>
      <c r="B83" s="786" t="s">
        <v>1355</v>
      </c>
      <c r="C83" s="786"/>
      <c r="D83" s="181" t="s">
        <v>1086</v>
      </c>
      <c r="E83" s="182" t="s">
        <v>1077</v>
      </c>
      <c r="F83" s="176">
        <f>EDU*4</f>
        <v>320</v>
      </c>
      <c r="G83" s="177" t="s">
        <v>1271</v>
      </c>
      <c r="H83" s="159"/>
    </row>
    <row r="84" spans="1:8" ht="16.5" customHeight="1">
      <c r="A84" s="169">
        <v>82</v>
      </c>
      <c r="B84" s="788" t="s">
        <v>1356</v>
      </c>
      <c r="C84" s="788"/>
      <c r="D84" s="178" t="s">
        <v>1087</v>
      </c>
      <c r="E84" s="178" t="s">
        <v>1094</v>
      </c>
      <c r="F84" s="179">
        <f>EDU*2+MAX(STR,DEX)*2</f>
        <v>270</v>
      </c>
      <c r="G84" s="180" t="s">
        <v>1243</v>
      </c>
    </row>
    <row r="85" spans="1:8">
      <c r="A85" s="171">
        <v>83</v>
      </c>
      <c r="B85" s="786" t="s">
        <v>1357</v>
      </c>
      <c r="C85" s="786"/>
      <c r="D85" s="181" t="s">
        <v>1083</v>
      </c>
      <c r="E85" s="182" t="s">
        <v>1077</v>
      </c>
      <c r="F85" s="176">
        <f>EDU*4</f>
        <v>320</v>
      </c>
      <c r="G85" s="177" t="s">
        <v>1088</v>
      </c>
    </row>
    <row r="86" spans="1:8">
      <c r="A86" s="169">
        <v>84</v>
      </c>
      <c r="B86" s="788" t="s">
        <v>1358</v>
      </c>
      <c r="C86" s="788"/>
      <c r="D86" s="178" t="s">
        <v>1089</v>
      </c>
      <c r="E86" s="178" t="s">
        <v>1077</v>
      </c>
      <c r="F86" s="179">
        <f>EDU*4</f>
        <v>320</v>
      </c>
      <c r="G86" s="180" t="s">
        <v>1244</v>
      </c>
    </row>
    <row r="87" spans="1:8">
      <c r="A87" s="171">
        <v>85</v>
      </c>
      <c r="B87" s="786" t="s">
        <v>1359</v>
      </c>
      <c r="C87" s="786"/>
      <c r="D87" s="181" t="s">
        <v>1083</v>
      </c>
      <c r="E87" s="182" t="s">
        <v>1077</v>
      </c>
      <c r="F87" s="176">
        <f>EDU*4</f>
        <v>320</v>
      </c>
      <c r="G87" s="177" t="s">
        <v>1090</v>
      </c>
    </row>
    <row r="88" spans="1:8">
      <c r="A88" s="169">
        <v>86</v>
      </c>
      <c r="B88" s="788" t="s">
        <v>1360</v>
      </c>
      <c r="C88" s="788"/>
      <c r="D88" s="178" t="s">
        <v>1082</v>
      </c>
      <c r="E88" s="178" t="s">
        <v>1077</v>
      </c>
      <c r="F88" s="179">
        <f>EDU*4</f>
        <v>320</v>
      </c>
      <c r="G88" s="180" t="s">
        <v>1245</v>
      </c>
    </row>
    <row r="89" spans="1:8" ht="16.5" customHeight="1">
      <c r="A89" s="171">
        <v>87</v>
      </c>
      <c r="B89" s="786" t="s">
        <v>1361</v>
      </c>
      <c r="C89" s="786"/>
      <c r="D89" s="181" t="s">
        <v>1091</v>
      </c>
      <c r="E89" s="182" t="s">
        <v>1092</v>
      </c>
      <c r="F89" s="176">
        <f>EDU*2+DEX*2</f>
        <v>270</v>
      </c>
      <c r="G89" s="177" t="s">
        <v>1246</v>
      </c>
    </row>
    <row r="90" spans="1:8">
      <c r="A90" s="169">
        <v>88</v>
      </c>
      <c r="B90" s="788" t="s">
        <v>1362</v>
      </c>
      <c r="C90" s="788"/>
      <c r="D90" s="178" t="s">
        <v>1080</v>
      </c>
      <c r="E90" s="178" t="s">
        <v>1077</v>
      </c>
      <c r="F90" s="179">
        <f>EDU*4</f>
        <v>320</v>
      </c>
      <c r="G90" s="180" t="s">
        <v>1247</v>
      </c>
    </row>
    <row r="91" spans="1:8" ht="16.5" customHeight="1">
      <c r="A91" s="171">
        <v>89</v>
      </c>
      <c r="B91" s="786" t="s">
        <v>1457</v>
      </c>
      <c r="C91" s="786"/>
      <c r="D91" s="181" t="s">
        <v>1093</v>
      </c>
      <c r="E91" s="182" t="s">
        <v>1094</v>
      </c>
      <c r="F91" s="176">
        <f>EDU*2+MAX(STR,DEX)*2</f>
        <v>270</v>
      </c>
      <c r="G91" s="177" t="s">
        <v>1248</v>
      </c>
    </row>
    <row r="92" spans="1:8" ht="16.5" customHeight="1">
      <c r="A92" s="169">
        <v>90</v>
      </c>
      <c r="B92" s="788" t="s">
        <v>1363</v>
      </c>
      <c r="C92" s="788"/>
      <c r="D92" s="178" t="s">
        <v>1083</v>
      </c>
      <c r="E92" s="178" t="s">
        <v>1094</v>
      </c>
      <c r="F92" s="179">
        <f>EDU*2+MAX(STR,DEX)*2</f>
        <v>270</v>
      </c>
      <c r="G92" s="180" t="s">
        <v>1249</v>
      </c>
    </row>
    <row r="93" spans="1:8" ht="16.5" customHeight="1">
      <c r="A93" s="171">
        <v>91</v>
      </c>
      <c r="B93" s="786" t="s">
        <v>1364</v>
      </c>
      <c r="C93" s="786"/>
      <c r="D93" s="181" t="s">
        <v>1083</v>
      </c>
      <c r="E93" s="182" t="s">
        <v>1094</v>
      </c>
      <c r="F93" s="176">
        <f>EDU*2+MAX(STR,DEX)*2</f>
        <v>270</v>
      </c>
      <c r="G93" s="177" t="s">
        <v>1250</v>
      </c>
    </row>
    <row r="94" spans="1:8">
      <c r="A94" s="169">
        <v>92</v>
      </c>
      <c r="B94" s="788" t="s">
        <v>1365</v>
      </c>
      <c r="C94" s="788"/>
      <c r="D94" s="178" t="s">
        <v>1091</v>
      </c>
      <c r="E94" s="178" t="s">
        <v>1077</v>
      </c>
      <c r="F94" s="179">
        <f>EDU*4</f>
        <v>320</v>
      </c>
      <c r="G94" s="180" t="s">
        <v>1251</v>
      </c>
    </row>
    <row r="95" spans="1:8" ht="16.5" customHeight="1">
      <c r="A95" s="171">
        <v>93</v>
      </c>
      <c r="B95" s="786" t="s">
        <v>1366</v>
      </c>
      <c r="C95" s="786"/>
      <c r="D95" s="181" t="s">
        <v>1252</v>
      </c>
      <c r="E95" s="182" t="s">
        <v>1094</v>
      </c>
      <c r="F95" s="176">
        <f>EDU*2+MAX(STR,DEX)*2</f>
        <v>270</v>
      </c>
      <c r="G95" s="177" t="s">
        <v>1095</v>
      </c>
    </row>
    <row r="96" spans="1:8" ht="17.25" customHeight="1">
      <c r="A96" s="169">
        <v>94</v>
      </c>
      <c r="B96" s="788" t="s">
        <v>1367</v>
      </c>
      <c r="C96" s="788"/>
      <c r="D96" s="178" t="s">
        <v>1110</v>
      </c>
      <c r="E96" s="178" t="s">
        <v>1128</v>
      </c>
      <c r="F96" s="179">
        <f>EDU*2+APP*2</f>
        <v>300</v>
      </c>
      <c r="G96" s="180" t="s">
        <v>1253</v>
      </c>
    </row>
    <row r="97" spans="1:7">
      <c r="A97" s="171">
        <v>95</v>
      </c>
      <c r="B97" s="786" t="s">
        <v>1368</v>
      </c>
      <c r="C97" s="786"/>
      <c r="D97" s="181" t="s">
        <v>1193</v>
      </c>
      <c r="E97" s="182" t="s">
        <v>1077</v>
      </c>
      <c r="F97" s="176">
        <f>EDU*4</f>
        <v>320</v>
      </c>
      <c r="G97" s="177" t="s">
        <v>1254</v>
      </c>
    </row>
    <row r="98" spans="1:7">
      <c r="A98" s="169">
        <v>96</v>
      </c>
      <c r="B98" s="788" t="s">
        <v>1369</v>
      </c>
      <c r="C98" s="788"/>
      <c r="D98" s="178" t="s">
        <v>1135</v>
      </c>
      <c r="E98" s="178" t="s">
        <v>1077</v>
      </c>
      <c r="F98" s="179">
        <f>EDU*4</f>
        <v>320</v>
      </c>
      <c r="G98" s="180" t="s">
        <v>1255</v>
      </c>
    </row>
    <row r="99" spans="1:7">
      <c r="A99" s="171">
        <v>97</v>
      </c>
      <c r="B99" s="786" t="s">
        <v>1370</v>
      </c>
      <c r="C99" s="786"/>
      <c r="D99" s="181" t="s">
        <v>1083</v>
      </c>
      <c r="E99" s="182" t="s">
        <v>1077</v>
      </c>
      <c r="F99" s="176">
        <f>EDU*4</f>
        <v>320</v>
      </c>
      <c r="G99" s="177" t="s">
        <v>1097</v>
      </c>
    </row>
    <row r="100" spans="1:7">
      <c r="A100" s="169">
        <v>98</v>
      </c>
      <c r="B100" s="788" t="s">
        <v>1371</v>
      </c>
      <c r="C100" s="788"/>
      <c r="D100" s="178" t="s">
        <v>1083</v>
      </c>
      <c r="E100" s="178" t="s">
        <v>1077</v>
      </c>
      <c r="F100" s="179">
        <f>EDU*4</f>
        <v>320</v>
      </c>
      <c r="G100" s="180" t="s">
        <v>1256</v>
      </c>
    </row>
    <row r="101" spans="1:7">
      <c r="A101" s="171">
        <v>99</v>
      </c>
      <c r="B101" s="786" t="s">
        <v>1372</v>
      </c>
      <c r="C101" s="786"/>
      <c r="D101" s="181" t="s">
        <v>1102</v>
      </c>
      <c r="E101" s="182" t="s">
        <v>1077</v>
      </c>
      <c r="F101" s="176">
        <f>EDU*4</f>
        <v>320</v>
      </c>
      <c r="G101" s="177" t="s">
        <v>1098</v>
      </c>
    </row>
    <row r="102" spans="1:7" ht="17.25" customHeight="1">
      <c r="A102" s="169">
        <v>100</v>
      </c>
      <c r="B102" s="788" t="s">
        <v>1373</v>
      </c>
      <c r="C102" s="788"/>
      <c r="D102" s="178" t="s">
        <v>1099</v>
      </c>
      <c r="E102" s="178" t="s">
        <v>1506</v>
      </c>
      <c r="F102" s="179">
        <f>EDU*2+APP*2</f>
        <v>300</v>
      </c>
      <c r="G102" s="180" t="s">
        <v>1257</v>
      </c>
    </row>
    <row r="103" spans="1:7">
      <c r="A103" s="171">
        <v>101</v>
      </c>
      <c r="B103" s="786" t="s">
        <v>1374</v>
      </c>
      <c r="C103" s="786"/>
      <c r="D103" s="181" t="s">
        <v>1100</v>
      </c>
      <c r="E103" s="182" t="s">
        <v>1077</v>
      </c>
      <c r="F103" s="176">
        <f>EDU*4</f>
        <v>320</v>
      </c>
      <c r="G103" s="177" t="s">
        <v>1101</v>
      </c>
    </row>
    <row r="104" spans="1:7" ht="17.25" customHeight="1">
      <c r="A104" s="169">
        <v>102</v>
      </c>
      <c r="B104" s="788" t="s">
        <v>1375</v>
      </c>
      <c r="C104" s="788"/>
      <c r="D104" s="178" t="s">
        <v>1083</v>
      </c>
      <c r="E104" s="178" t="s">
        <v>1507</v>
      </c>
      <c r="F104" s="179">
        <f>EDU*2+MAX(APP,DEX)*2</f>
        <v>300</v>
      </c>
      <c r="G104" s="180" t="s">
        <v>1258</v>
      </c>
    </row>
    <row r="105" spans="1:7" ht="17.25" customHeight="1">
      <c r="A105" s="171">
        <v>103</v>
      </c>
      <c r="B105" s="786" t="s">
        <v>1376</v>
      </c>
      <c r="C105" s="786"/>
      <c r="D105" s="181" t="s">
        <v>1102</v>
      </c>
      <c r="E105" s="182" t="s">
        <v>1508</v>
      </c>
      <c r="F105" s="176">
        <f>EDU*2+MAX(APP,DEX)*2</f>
        <v>300</v>
      </c>
      <c r="G105" s="177" t="s">
        <v>1103</v>
      </c>
    </row>
    <row r="106" spans="1:7" ht="16.5" customHeight="1">
      <c r="A106" s="169">
        <v>104</v>
      </c>
      <c r="B106" s="788" t="s">
        <v>1377</v>
      </c>
      <c r="C106" s="788"/>
      <c r="D106" s="178" t="s">
        <v>1083</v>
      </c>
      <c r="E106" s="178" t="s">
        <v>1094</v>
      </c>
      <c r="F106" s="179">
        <f>EDU*2+MAX(STR,DEX)*2</f>
        <v>270</v>
      </c>
      <c r="G106" s="180" t="s">
        <v>1259</v>
      </c>
    </row>
    <row r="107" spans="1:7" ht="17.25" customHeight="1">
      <c r="A107" s="171">
        <v>105</v>
      </c>
      <c r="B107" s="786" t="s">
        <v>1378</v>
      </c>
      <c r="C107" s="786"/>
      <c r="D107" s="181" t="s">
        <v>1104</v>
      </c>
      <c r="E107" s="182" t="s">
        <v>1508</v>
      </c>
      <c r="F107" s="176">
        <f>EDU*2+MAX(APP,DEX)*2</f>
        <v>300</v>
      </c>
      <c r="G107" s="177" t="s">
        <v>1105</v>
      </c>
    </row>
    <row r="108" spans="1:7">
      <c r="A108" s="169">
        <v>106</v>
      </c>
      <c r="B108" s="788" t="s">
        <v>1379</v>
      </c>
      <c r="C108" s="788"/>
      <c r="D108" s="178" t="s">
        <v>1106</v>
      </c>
      <c r="E108" s="178" t="s">
        <v>1077</v>
      </c>
      <c r="F108" s="179">
        <f>EDU*4</f>
        <v>320</v>
      </c>
      <c r="G108" s="180" t="s">
        <v>1260</v>
      </c>
    </row>
    <row r="109" spans="1:7" ht="16.5" customHeight="1">
      <c r="A109" s="171">
        <v>107</v>
      </c>
      <c r="B109" s="786" t="s">
        <v>1380</v>
      </c>
      <c r="C109" s="786"/>
      <c r="D109" s="181" t="s">
        <v>1107</v>
      </c>
      <c r="E109" s="182" t="s">
        <v>1094</v>
      </c>
      <c r="F109" s="176">
        <f>EDU*2+MAX(STR,DEX)*2</f>
        <v>270</v>
      </c>
      <c r="G109" s="177" t="s">
        <v>1521</v>
      </c>
    </row>
    <row r="110" spans="1:7" ht="16.5" customHeight="1">
      <c r="A110" s="169">
        <v>108</v>
      </c>
      <c r="B110" s="788" t="s">
        <v>1381</v>
      </c>
      <c r="C110" s="788"/>
      <c r="D110" s="178" t="s">
        <v>1108</v>
      </c>
      <c r="E110" s="178" t="s">
        <v>1094</v>
      </c>
      <c r="F110" s="179">
        <f>EDU*2+MAX(STR,DEX)*2</f>
        <v>270</v>
      </c>
      <c r="G110" s="180" t="s">
        <v>1261</v>
      </c>
    </row>
    <row r="111" spans="1:7">
      <c r="A111" s="171">
        <v>109</v>
      </c>
      <c r="B111" s="786" t="s">
        <v>1382</v>
      </c>
      <c r="C111" s="786"/>
      <c r="D111" s="181" t="s">
        <v>1102</v>
      </c>
      <c r="E111" s="182" t="s">
        <v>1077</v>
      </c>
      <c r="F111" s="176">
        <f>EDU*4</f>
        <v>320</v>
      </c>
      <c r="G111" s="177" t="s">
        <v>1109</v>
      </c>
    </row>
    <row r="112" spans="1:7">
      <c r="A112" s="169">
        <v>110</v>
      </c>
      <c r="B112" s="788" t="s">
        <v>1383</v>
      </c>
      <c r="C112" s="788"/>
      <c r="D112" s="178" t="s">
        <v>1110</v>
      </c>
      <c r="E112" s="178" t="s">
        <v>1077</v>
      </c>
      <c r="F112" s="179">
        <f>EDU*4</f>
        <v>320</v>
      </c>
      <c r="G112" s="180" t="s">
        <v>1262</v>
      </c>
    </row>
    <row r="113" spans="1:11" ht="17.25" customHeight="1">
      <c r="A113" s="171">
        <v>111</v>
      </c>
      <c r="B113" s="786" t="s">
        <v>1384</v>
      </c>
      <c r="C113" s="786"/>
      <c r="D113" s="181" t="s">
        <v>1111</v>
      </c>
      <c r="E113" s="182" t="s">
        <v>1112</v>
      </c>
      <c r="F113" s="176">
        <f>EDU*2+MAX(APP,DEX)*2</f>
        <v>300</v>
      </c>
      <c r="G113" s="177" t="s">
        <v>1113</v>
      </c>
    </row>
    <row r="114" spans="1:11">
      <c r="A114" s="169">
        <v>112</v>
      </c>
      <c r="B114" s="788" t="s">
        <v>1385</v>
      </c>
      <c r="C114" s="788"/>
      <c r="D114" s="178" t="s">
        <v>1111</v>
      </c>
      <c r="E114" s="178" t="s">
        <v>1077</v>
      </c>
      <c r="F114" s="179">
        <f>EDU*4</f>
        <v>320</v>
      </c>
      <c r="G114" s="180" t="s">
        <v>1263</v>
      </c>
    </row>
    <row r="115" spans="1:11">
      <c r="A115" s="171">
        <v>113</v>
      </c>
      <c r="B115" s="786" t="s">
        <v>1386</v>
      </c>
      <c r="C115" s="786"/>
      <c r="D115" s="181" t="s">
        <v>1264</v>
      </c>
      <c r="E115" s="182" t="s">
        <v>1213</v>
      </c>
      <c r="F115" s="176">
        <f>EDU*4</f>
        <v>320</v>
      </c>
      <c r="G115" s="177" t="s">
        <v>1265</v>
      </c>
    </row>
    <row r="116" spans="1:11" ht="16.5" customHeight="1">
      <c r="A116" s="169">
        <v>114</v>
      </c>
      <c r="B116" s="788" t="s">
        <v>1387</v>
      </c>
      <c r="C116" s="788"/>
      <c r="D116" s="178" t="s">
        <v>1266</v>
      </c>
      <c r="E116" s="178" t="s">
        <v>1267</v>
      </c>
      <c r="F116" s="179">
        <f>EDU*2+MAX(APP,POW)*2</f>
        <v>300</v>
      </c>
      <c r="G116" s="180" t="s">
        <v>1268</v>
      </c>
    </row>
    <row r="117" spans="1:11">
      <c r="A117" s="184">
        <v>115</v>
      </c>
      <c r="B117" s="803" t="s">
        <v>1388</v>
      </c>
      <c r="C117" s="803"/>
      <c r="D117" s="185" t="s">
        <v>1269</v>
      </c>
      <c r="E117" s="186" t="s">
        <v>1213</v>
      </c>
      <c r="F117" s="187">
        <f>EDU*4</f>
        <v>320</v>
      </c>
      <c r="G117" s="188" t="s">
        <v>1270</v>
      </c>
    </row>
    <row r="118" spans="1:11">
      <c r="A118" s="189"/>
      <c r="B118" s="190"/>
      <c r="C118" s="190"/>
      <c r="D118" s="191"/>
      <c r="E118" s="189"/>
      <c r="F118" s="189"/>
      <c r="G118" s="189"/>
      <c r="H118" s="190"/>
      <c r="I118" s="192"/>
      <c r="J118" s="192"/>
    </row>
    <row r="119" spans="1:11" ht="18" customHeight="1">
      <c r="A119" s="798" t="s">
        <v>1587</v>
      </c>
      <c r="B119" s="787"/>
      <c r="C119" s="787"/>
      <c r="D119" s="787"/>
      <c r="E119" s="787"/>
      <c r="F119" s="787"/>
      <c r="G119" s="787"/>
      <c r="H119" s="799"/>
      <c r="I119" s="804"/>
      <c r="J119" s="192"/>
    </row>
    <row r="120" spans="1:11">
      <c r="A120" s="193" t="s">
        <v>1528</v>
      </c>
      <c r="B120" s="194" t="s">
        <v>1529</v>
      </c>
      <c r="C120" s="194" t="s">
        <v>1571</v>
      </c>
      <c r="D120" s="195" t="s">
        <v>1570</v>
      </c>
      <c r="E120" s="196" t="s">
        <v>1572</v>
      </c>
      <c r="F120" s="196" t="s">
        <v>1573</v>
      </c>
      <c r="G120" s="196" t="s">
        <v>1574</v>
      </c>
      <c r="H120" s="197" t="s">
        <v>1575</v>
      </c>
      <c r="I120" s="804"/>
      <c r="J120" s="192"/>
    </row>
    <row r="121" spans="1:11" ht="24">
      <c r="A121" s="169">
        <v>1</v>
      </c>
      <c r="B121" s="178" t="s">
        <v>1530</v>
      </c>
      <c r="C121" s="198" t="s">
        <v>1578</v>
      </c>
      <c r="D121" s="167" t="s">
        <v>1534</v>
      </c>
      <c r="E121" s="199" t="s">
        <v>1576</v>
      </c>
      <c r="F121" s="178">
        <v>70</v>
      </c>
      <c r="G121" s="198" t="s">
        <v>1569</v>
      </c>
      <c r="H121" s="200" t="s">
        <v>1533</v>
      </c>
      <c r="I121" s="804"/>
      <c r="J121" s="192"/>
      <c r="K121" s="201"/>
    </row>
    <row r="122" spans="1:11" ht="24">
      <c r="A122" s="171">
        <v>2</v>
      </c>
      <c r="B122" s="182" t="s">
        <v>1531</v>
      </c>
      <c r="C122" s="202" t="s">
        <v>1579</v>
      </c>
      <c r="D122" s="203" t="s">
        <v>1534</v>
      </c>
      <c r="E122" s="181" t="s">
        <v>1576</v>
      </c>
      <c r="F122" s="182">
        <v>70</v>
      </c>
      <c r="G122" s="202" t="s">
        <v>1532</v>
      </c>
      <c r="H122" s="204" t="s">
        <v>1535</v>
      </c>
      <c r="I122" s="804"/>
      <c r="J122" s="192"/>
      <c r="K122" s="201"/>
    </row>
    <row r="123" spans="1:11" ht="24">
      <c r="A123" s="169">
        <v>3</v>
      </c>
      <c r="B123" s="178" t="s">
        <v>1588</v>
      </c>
      <c r="C123" s="198" t="s">
        <v>1589</v>
      </c>
      <c r="D123" s="167" t="s">
        <v>1590</v>
      </c>
      <c r="E123" s="199" t="s">
        <v>1591</v>
      </c>
      <c r="F123" s="178">
        <v>60</v>
      </c>
      <c r="G123" s="198" t="s">
        <v>1592</v>
      </c>
      <c r="H123" s="200" t="s">
        <v>1593</v>
      </c>
      <c r="I123" s="804"/>
      <c r="J123" s="192"/>
      <c r="K123" s="201"/>
    </row>
    <row r="124" spans="1:11" ht="36">
      <c r="A124" s="171">
        <v>4</v>
      </c>
      <c r="B124" s="182" t="s">
        <v>1594</v>
      </c>
      <c r="C124" s="202" t="s">
        <v>1589</v>
      </c>
      <c r="D124" s="203" t="s">
        <v>1595</v>
      </c>
      <c r="E124" s="181" t="s">
        <v>1596</v>
      </c>
      <c r="F124" s="182">
        <v>60</v>
      </c>
      <c r="G124" s="202" t="s">
        <v>1597</v>
      </c>
      <c r="H124" s="204" t="s">
        <v>1598</v>
      </c>
      <c r="I124" s="804"/>
      <c r="J124" s="192"/>
      <c r="K124" s="201"/>
    </row>
    <row r="125" spans="1:11" ht="24">
      <c r="A125" s="169">
        <v>5</v>
      </c>
      <c r="B125" s="178" t="s">
        <v>1599</v>
      </c>
      <c r="C125" s="198" t="s">
        <v>1589</v>
      </c>
      <c r="D125" s="167" t="s">
        <v>1600</v>
      </c>
      <c r="E125" s="199" t="s">
        <v>1601</v>
      </c>
      <c r="F125" s="178">
        <v>60</v>
      </c>
      <c r="G125" s="198" t="s">
        <v>1602</v>
      </c>
      <c r="H125" s="200" t="s">
        <v>1603</v>
      </c>
      <c r="I125" s="804"/>
      <c r="J125" s="192"/>
      <c r="K125" s="201"/>
    </row>
    <row r="126" spans="1:11" ht="48">
      <c r="A126" s="171">
        <v>6</v>
      </c>
      <c r="B126" s="182" t="s">
        <v>1604</v>
      </c>
      <c r="C126" s="202" t="s">
        <v>1605</v>
      </c>
      <c r="D126" s="203" t="s">
        <v>1606</v>
      </c>
      <c r="E126" s="181" t="s">
        <v>1607</v>
      </c>
      <c r="F126" s="182" t="s">
        <v>1568</v>
      </c>
      <c r="G126" s="202" t="s">
        <v>1608</v>
      </c>
      <c r="H126" s="204" t="s">
        <v>1609</v>
      </c>
      <c r="I126" s="804"/>
      <c r="J126" s="161"/>
      <c r="K126" s="161"/>
    </row>
    <row r="127" spans="1:11" ht="44.25" customHeight="1">
      <c r="A127" s="205">
        <v>7</v>
      </c>
      <c r="B127" s="206" t="s">
        <v>1624</v>
      </c>
      <c r="C127" s="207" t="s">
        <v>1610</v>
      </c>
      <c r="D127" s="208" t="s">
        <v>1610</v>
      </c>
      <c r="E127" s="209" t="s">
        <v>1610</v>
      </c>
      <c r="F127" s="210" t="s">
        <v>1577</v>
      </c>
      <c r="G127" s="211" t="s">
        <v>1610</v>
      </c>
      <c r="H127" s="212" t="s">
        <v>1610</v>
      </c>
      <c r="I127" s="213"/>
      <c r="J127" s="161"/>
      <c r="K127" s="161"/>
    </row>
    <row r="128" spans="1:11">
      <c r="A128" s="189"/>
      <c r="B128" s="190"/>
      <c r="C128" s="190"/>
      <c r="D128" s="191"/>
      <c r="E128" s="189"/>
      <c r="F128" s="189"/>
      <c r="G128" s="189"/>
      <c r="H128" s="190"/>
      <c r="I128" s="192"/>
      <c r="J128" s="161"/>
      <c r="K128" s="161"/>
    </row>
    <row r="129" spans="1:10">
      <c r="A129" s="189"/>
      <c r="B129" s="190"/>
      <c r="C129" s="190"/>
      <c r="D129" s="191"/>
      <c r="E129" s="189"/>
      <c r="F129" s="189"/>
      <c r="G129" s="189"/>
      <c r="H129" s="190"/>
      <c r="I129" s="192"/>
      <c r="J129" s="192"/>
    </row>
    <row r="130" spans="1:10">
      <c r="A130" s="189"/>
      <c r="B130" s="190"/>
      <c r="C130" s="190"/>
      <c r="D130" s="191"/>
      <c r="E130" s="189"/>
      <c r="F130" s="189"/>
      <c r="G130" s="189"/>
      <c r="H130" s="190"/>
      <c r="I130" s="192"/>
      <c r="J130" s="192"/>
    </row>
  </sheetData>
  <sheetProtection selectLockedCells="1"/>
  <protectedRanges>
    <protectedRange password="C71F" sqref="N30:N33 M20 N8 M23 N21:N22 N24:N25" name="区域1"/>
    <protectedRange password="C71F" sqref="N49:N51 N45 N55 M60" name="区域1_1"/>
    <protectedRange password="C71F" sqref="M61:N61" name="区域2"/>
  </protectedRanges>
  <mergeCells count="129">
    <mergeCell ref="B109:C109"/>
    <mergeCell ref="B117:C117"/>
    <mergeCell ref="B116:C116"/>
    <mergeCell ref="B113:C113"/>
    <mergeCell ref="I119:I126"/>
    <mergeCell ref="B8:C8"/>
    <mergeCell ref="B86:C86"/>
    <mergeCell ref="B102:C102"/>
    <mergeCell ref="B11:C11"/>
    <mergeCell ref="B97:C97"/>
    <mergeCell ref="B32:C32"/>
    <mergeCell ref="B31:C31"/>
    <mergeCell ref="B76:C76"/>
    <mergeCell ref="B57:C57"/>
    <mergeCell ref="B58:C58"/>
    <mergeCell ref="B80:C80"/>
    <mergeCell ref="B34:C34"/>
    <mergeCell ref="B79:C79"/>
    <mergeCell ref="B36:C36"/>
    <mergeCell ref="B92:C92"/>
    <mergeCell ref="B77:C77"/>
    <mergeCell ref="B61:C61"/>
    <mergeCell ref="B95:C95"/>
    <mergeCell ref="B38:C38"/>
    <mergeCell ref="B94:C94"/>
    <mergeCell ref="B115:C115"/>
    <mergeCell ref="B7:C7"/>
    <mergeCell ref="B82:C82"/>
    <mergeCell ref="B22:C22"/>
    <mergeCell ref="B62:C62"/>
    <mergeCell ref="B30:C30"/>
    <mergeCell ref="B110:C110"/>
    <mergeCell ref="B35:C35"/>
    <mergeCell ref="B111:C111"/>
    <mergeCell ref="B114:C114"/>
    <mergeCell ref="B107:C107"/>
    <mergeCell ref="B108:C108"/>
    <mergeCell ref="B39:C39"/>
    <mergeCell ref="B91:C91"/>
    <mergeCell ref="B99:C99"/>
    <mergeCell ref="B98:C98"/>
    <mergeCell ref="B101:C101"/>
    <mergeCell ref="B73:C73"/>
    <mergeCell ref="B46:C46"/>
    <mergeCell ref="B112:C112"/>
    <mergeCell ref="B21:C21"/>
    <mergeCell ref="B27:C27"/>
    <mergeCell ref="B90:C90"/>
    <mergeCell ref="A119:H119"/>
    <mergeCell ref="B13:C13"/>
    <mergeCell ref="B103:C103"/>
    <mergeCell ref="B12:C12"/>
    <mergeCell ref="I3:J3"/>
    <mergeCell ref="B69:C69"/>
    <mergeCell ref="B42:C42"/>
    <mergeCell ref="B47:C47"/>
    <mergeCell ref="B50:C50"/>
    <mergeCell ref="B45:C45"/>
    <mergeCell ref="B96:C96"/>
    <mergeCell ref="B106:C106"/>
    <mergeCell ref="B68:C68"/>
    <mergeCell ref="I4:J4"/>
    <mergeCell ref="H2:H10"/>
    <mergeCell ref="B100:C100"/>
    <mergeCell ref="B104:C104"/>
    <mergeCell ref="B16:C16"/>
    <mergeCell ref="B20:C20"/>
    <mergeCell ref="B28:C28"/>
    <mergeCell ref="B67:C67"/>
    <mergeCell ref="B25:C25"/>
    <mergeCell ref="B23:C23"/>
    <mergeCell ref="B105:C105"/>
    <mergeCell ref="I11:J11"/>
    <mergeCell ref="B5:C5"/>
    <mergeCell ref="I2:J2"/>
    <mergeCell ref="B4:C4"/>
    <mergeCell ref="I10:J10"/>
    <mergeCell ref="I7:J7"/>
    <mergeCell ref="I8:J8"/>
    <mergeCell ref="I9:J9"/>
    <mergeCell ref="I6:J6"/>
    <mergeCell ref="B2:G2"/>
    <mergeCell ref="B9:C9"/>
    <mergeCell ref="I5:J5"/>
    <mergeCell ref="B74:C74"/>
    <mergeCell ref="B26:C26"/>
    <mergeCell ref="B18:C18"/>
    <mergeCell ref="B54:C54"/>
    <mergeCell ref="B33:C33"/>
    <mergeCell ref="B81:C81"/>
    <mergeCell ref="B84:C84"/>
    <mergeCell ref="B37:C37"/>
    <mergeCell ref="B64:C64"/>
    <mergeCell ref="B51:C51"/>
    <mergeCell ref="B48:C48"/>
    <mergeCell ref="B49:C49"/>
    <mergeCell ref="B52:C52"/>
    <mergeCell ref="B24:C24"/>
    <mergeCell ref="B56:C56"/>
    <mergeCell ref="B59:C59"/>
    <mergeCell ref="B70:C70"/>
    <mergeCell ref="B72:C72"/>
    <mergeCell ref="B55:C55"/>
    <mergeCell ref="B40:C40"/>
    <mergeCell ref="B53:C53"/>
    <mergeCell ref="B17:C17"/>
    <mergeCell ref="B75:C75"/>
    <mergeCell ref="B93:C93"/>
    <mergeCell ref="B43:C43"/>
    <mergeCell ref="B89:C89"/>
    <mergeCell ref="B71:C71"/>
    <mergeCell ref="B63:C63"/>
    <mergeCell ref="B65:C65"/>
    <mergeCell ref="B1:C1"/>
    <mergeCell ref="B66:C66"/>
    <mergeCell ref="B10:C10"/>
    <mergeCell ref="B6:C6"/>
    <mergeCell ref="B14:C14"/>
    <mergeCell ref="B15:C15"/>
    <mergeCell ref="B41:C41"/>
    <mergeCell ref="B88:C88"/>
    <mergeCell ref="B87:C87"/>
    <mergeCell ref="B60:C60"/>
    <mergeCell ref="B85:C85"/>
    <mergeCell ref="B29:C29"/>
    <mergeCell ref="B44:C44"/>
    <mergeCell ref="B83:C83"/>
    <mergeCell ref="B19:C19"/>
    <mergeCell ref="B78:C78"/>
  </mergeCells>
  <phoneticPr fontId="71" type="noConversion"/>
  <conditionalFormatting sqref="I2:J10">
    <cfRule type="expression" dxfId="0" priority="1">
      <formula>"人物卡!$F$5=1"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allowBlank="1" type="list" errorStyle="stop" showInputMessage="1" promptTitle="Diving (01%)" prompt="使用者接受过在深海游泳的使用以及维持潜水设备的训练，水下导航，合适的下潜配重，以及应对紧急情况的方法。" showErrorMessage="1">
          <x14:formula1>
            <xm:f>分支技能!$N$4:$N$8</xm:f>
          </x14:formula1>
          <xm:sqref>M60:N60</xm:sqref>
        </x14:dataValidation>
        <x14:dataValidation allowBlank="1" type="list"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x14:formula1>
            <xm:f>分支技能!$N$4:$N$8</xm:f>
          </x14:formula1>
          <xm:sqref>M61:N61</xm:sqref>
        </x14:dataValidation>
        <x14:dataValidation allowBlank="1" type="list" errorStyle="stop" showInputMessage="1" showErrorMessage="1">
          <x14:formula1>
            <xm:f>分支技能!$E$4:$E$16</xm:f>
          </x14:formula1>
          <xm:sqref>N49:N50</xm:sqref>
        </x14:dataValidation>
        <x14:dataValidation allowBlank="1" type="list" errorStyle="stop" showInputMessage="1" showErrorMessage="1">
          <x14:formula1>
            <xm:f>分支技能!$B$4:$B$28</xm:f>
          </x14:formula1>
          <xm:sqref>N6:N7</xm:sqref>
        </x14:dataValidation>
        <x14:dataValidation allowBlank="1" type="list" errorStyle="stop" showInputMessage="1" showErrorMessage="1">
          <x14:formula1>
            <xm:f>分支技能!$K$4:$K$10</xm:f>
          </x14:formula1>
          <xm:sqref>N24:N25</xm:sqref>
        </x14:dataValidation>
        <x14:dataValidation allowBlank="1" type="list" errorStyle="stop" showInputMessage="1" showErrorMessage="1">
          <x14:formula1>
            <xm:f>分支技能!$H$4:$H$11</xm:f>
          </x14:formula1>
          <xm:sqref>N21:N22</xm:sqref>
        </x14:dataValidation>
      </x14:dataValidations>
    </ext>
  </extLst>
</worksheet>
</file>

<file path=xl/worksheets/sheet4.xml><?xml version="1.0" encoding="utf-8"?>
<worksheet xmlns="http://schemas.openxmlformats.org/spreadsheetml/2006/main" xmlns:r="http://schemas.openxmlformats.org/officeDocument/2006/relationships">
  <dimension ref="A1:AR29"/>
  <sheetViews>
    <sheetView showGridLines="0" showRowColHeaders="0" zoomScale="85" workbookViewId="0">
      <selection activeCell="J5" sqref="J5:K6"/>
    </sheetView>
  </sheetViews>
  <sheetFormatPr defaultColWidth="4" defaultRowHeight="14.25"/>
  <cols>
    <col min="1" max="1" width="4" style="214" customWidth="1"/>
    <col min="2" max="3" width="4" style="215" customWidth="1"/>
    <col min="4" max="16384" width="4" style="215"/>
  </cols>
  <sheetData>
    <row r="1" spans="1:44">
      <c r="A1" s="216"/>
      <c r="W1" s="217"/>
      <c r="X1" s="217"/>
      <c r="Y1" s="217"/>
      <c r="Z1" s="217"/>
    </row>
    <row r="2" spans="1:44" ht="16.5">
      <c r="A2" s="216">
        <f ca="1">RANDBETWEEN(1,6)</f>
        <v>4</v>
      </c>
      <c r="B2" s="830" t="s">
        <v>67</v>
      </c>
      <c r="C2" s="831"/>
      <c r="D2" s="831"/>
      <c r="E2" s="831"/>
      <c r="F2" s="831"/>
      <c r="G2" s="831"/>
      <c r="H2" s="831"/>
      <c r="I2" s="831"/>
      <c r="J2" s="831"/>
      <c r="K2" s="831"/>
      <c r="L2" s="831"/>
      <c r="M2" s="831"/>
      <c r="N2" s="831"/>
      <c r="O2" s="831"/>
      <c r="P2" s="831"/>
      <c r="Q2" s="831"/>
      <c r="R2" s="831"/>
      <c r="S2" s="832"/>
      <c r="U2" s="834" t="s">
        <v>182</v>
      </c>
      <c r="V2" s="835"/>
      <c r="W2" s="217"/>
      <c r="X2" s="217"/>
      <c r="Y2" s="217"/>
      <c r="Z2" s="217"/>
      <c r="AA2" s="819" t="s">
        <v>181</v>
      </c>
      <c r="AB2" s="820"/>
      <c r="AC2" s="820"/>
      <c r="AD2" s="820"/>
      <c r="AE2" s="820"/>
      <c r="AF2" s="820"/>
      <c r="AG2" s="820"/>
      <c r="AH2" s="820"/>
      <c r="AI2" s="820"/>
      <c r="AJ2" s="820"/>
      <c r="AK2" s="820"/>
      <c r="AL2" s="820"/>
      <c r="AM2" s="820"/>
      <c r="AN2" s="820"/>
      <c r="AO2" s="820"/>
      <c r="AP2" s="820"/>
      <c r="AQ2" s="820"/>
      <c r="AR2" s="821"/>
    </row>
    <row r="3" spans="1:44" ht="17.25" customHeight="1">
      <c r="A3" s="216">
        <f ca="1">RANDBETWEEN(1,6)</f>
        <v>4</v>
      </c>
      <c r="B3" s="838" t="s">
        <v>104</v>
      </c>
      <c r="C3" s="822"/>
      <c r="D3" s="867">
        <f ca="1">SUM(A2:A4)*5</f>
        <v>65</v>
      </c>
      <c r="E3" s="867"/>
      <c r="F3" s="812">
        <f ca="1">INT(D3/2)</f>
        <v>32</v>
      </c>
      <c r="G3" s="812"/>
      <c r="H3" s="816" t="s">
        <v>105</v>
      </c>
      <c r="I3" s="816"/>
      <c r="J3" s="815">
        <f ca="1">SUM(A8:A10)*5</f>
        <v>45</v>
      </c>
      <c r="K3" s="815"/>
      <c r="L3" s="814">
        <f ca="1">INT(J3/2)</f>
        <v>22</v>
      </c>
      <c r="M3" s="814"/>
      <c r="N3" s="822" t="s">
        <v>103</v>
      </c>
      <c r="O3" s="822"/>
      <c r="P3" s="842">
        <f ca="1">SUM(A14:A16)*5</f>
        <v>40</v>
      </c>
      <c r="Q3" s="842"/>
      <c r="R3" s="812">
        <f ca="1">INT(P3/2)</f>
        <v>20</v>
      </c>
      <c r="S3" s="813"/>
      <c r="U3" s="855">
        <f ca="1">SUM(A24:A26)*5</f>
        <v>65</v>
      </c>
      <c r="V3" s="856"/>
      <c r="W3" s="217"/>
      <c r="X3" s="217"/>
      <c r="Y3" s="217"/>
      <c r="Z3" s="217"/>
      <c r="AA3" s="849" t="str">
        <f ca="1">IF(D3&lt;=20,"弱者，虚弱",IF(D3&lt;=40,"手无缚鸡之力",IF(D3&lt;=60,"普通人左右的力量",IF(D3&lt;=80,"搏击手的水准",IF(D3&lt;=90,"一拳一个小朋友")))))</f>
        <v>搏击手的水准</v>
      </c>
      <c r="AB3" s="850"/>
      <c r="AC3" s="850"/>
      <c r="AD3" s="850"/>
      <c r="AE3" s="850"/>
      <c r="AF3" s="850"/>
      <c r="AG3" s="836" t="str">
        <f ca="1">IF(J3&lt;=20,"无法行动自如",IF(J3&lt;=40,"腿脚不灵活",IF(J3&lt;=60,"普通人水平",IF(J3&lt;=80,"运动健将",IF(J3&lt;=90,"跑得比香港记者还快")))))</f>
        <v>普通人水平</v>
      </c>
      <c r="AH3" s="836"/>
      <c r="AI3" s="836"/>
      <c r="AJ3" s="836"/>
      <c r="AK3" s="836"/>
      <c r="AL3" s="836"/>
      <c r="AM3" s="850" t="str">
        <f ca="1">IF(P3&lt;=20,"经常成为高智力或高意志人士的人偶或玩物",IF(P3&lt;=40,"些许主见，但仍盲从",IF(P3&lt;=60,"如常人一般会有一定自制力",IF(P3&lt;=80,"我心如铁，心坚石穿",IF(P3&lt;=90,"坚强的心,对沟通不可视之物和魔法有着高潜质")))))</f>
        <v>些许主见，但仍盲从</v>
      </c>
      <c r="AN3" s="850"/>
      <c r="AO3" s="850"/>
      <c r="AP3" s="850"/>
      <c r="AQ3" s="850"/>
      <c r="AR3" s="863"/>
    </row>
    <row r="4" spans="1:44">
      <c r="A4" s="216">
        <f t="shared" ref="A4:A22" ca="1" si="0">RANDBETWEEN(1,6)</f>
        <v>5</v>
      </c>
      <c r="B4" s="838"/>
      <c r="C4" s="822"/>
      <c r="D4" s="867"/>
      <c r="E4" s="867"/>
      <c r="F4" s="866">
        <f ca="1">INT(D3/5)</f>
        <v>13</v>
      </c>
      <c r="G4" s="866"/>
      <c r="H4" s="816"/>
      <c r="I4" s="816"/>
      <c r="J4" s="815"/>
      <c r="K4" s="815"/>
      <c r="L4" s="814">
        <f ca="1">INT(J3/5)</f>
        <v>9</v>
      </c>
      <c r="M4" s="814"/>
      <c r="N4" s="822"/>
      <c r="O4" s="822"/>
      <c r="P4" s="842"/>
      <c r="Q4" s="842"/>
      <c r="R4" s="812">
        <f ca="1">INT(P3/5)</f>
        <v>8</v>
      </c>
      <c r="S4" s="813"/>
      <c r="U4" s="857"/>
      <c r="V4" s="858"/>
      <c r="W4" s="217"/>
      <c r="X4" s="217"/>
      <c r="Y4" s="217"/>
      <c r="Z4" s="217"/>
      <c r="AA4" s="849"/>
      <c r="AB4" s="850"/>
      <c r="AC4" s="850"/>
      <c r="AD4" s="850"/>
      <c r="AE4" s="850"/>
      <c r="AF4" s="850"/>
      <c r="AG4" s="836"/>
      <c r="AH4" s="836"/>
      <c r="AI4" s="836"/>
      <c r="AJ4" s="836"/>
      <c r="AK4" s="836"/>
      <c r="AL4" s="836"/>
      <c r="AM4" s="850"/>
      <c r="AN4" s="850"/>
      <c r="AO4" s="850"/>
      <c r="AP4" s="850"/>
      <c r="AQ4" s="850"/>
      <c r="AR4" s="863"/>
    </row>
    <row r="5" spans="1:44" ht="18" customHeight="1">
      <c r="A5" s="216">
        <f t="shared" ca="1" si="0"/>
        <v>4</v>
      </c>
      <c r="B5" s="841" t="s">
        <v>106</v>
      </c>
      <c r="C5" s="816"/>
      <c r="D5" s="815">
        <f ca="1">SUM(A5:A7)*5</f>
        <v>65</v>
      </c>
      <c r="E5" s="815"/>
      <c r="F5" s="814">
        <f ca="1">INT(D5/2)</f>
        <v>32</v>
      </c>
      <c r="G5" s="814"/>
      <c r="H5" s="822" t="s">
        <v>169</v>
      </c>
      <c r="I5" s="822"/>
      <c r="J5" s="815">
        <f ca="1">SUM(A11:A13)*5</f>
        <v>55</v>
      </c>
      <c r="K5" s="815"/>
      <c r="L5" s="812">
        <f ca="1">INT(J5/2)</f>
        <v>27</v>
      </c>
      <c r="M5" s="812"/>
      <c r="N5" s="816" t="s">
        <v>107</v>
      </c>
      <c r="O5" s="816"/>
      <c r="P5" s="815">
        <f ca="1">(SUM(A21:A22)+6)*5</f>
        <v>65</v>
      </c>
      <c r="Q5" s="815"/>
      <c r="R5" s="814">
        <f ca="1">INT(P5/2)</f>
        <v>32</v>
      </c>
      <c r="S5" s="859"/>
      <c r="W5" s="217"/>
      <c r="X5" s="217"/>
      <c r="Y5" s="217"/>
      <c r="Z5" s="217"/>
      <c r="AA5" s="853" t="str">
        <f ca="1">IF(D5&lt;=20,"常年患病在身",IF(D5&lt;=40,"体弱易风寒",IF(D5&lt;=60,"健康",IF(D5&lt;=80,"健硕，基本不会生病",IF(D5&lt;=90,"病痛是什么？能吃吗")))))</f>
        <v>健硕，基本不会生病</v>
      </c>
      <c r="AB5" s="836"/>
      <c r="AC5" s="836"/>
      <c r="AD5" s="836"/>
      <c r="AE5" s="836"/>
      <c r="AF5" s="836"/>
      <c r="AG5" s="850" t="str">
        <f ca="1">IF(J5&lt;=20,"挫｡估计是因为受伤事故或先天如此",IF(J5&lt;=40,"堪堪入目",IF(J5&lt;=60,"普通至极或些许清秀",IF(J5&lt;=80,"柳眉丹凤，仪表堂堂",IF(J5&lt;=90,"沉鱼落雁，闭月羞花")))))</f>
        <v>普通至极或些许清秀</v>
      </c>
      <c r="AH5" s="850"/>
      <c r="AI5" s="850"/>
      <c r="AJ5" s="850"/>
      <c r="AK5" s="850"/>
      <c r="AL5" s="850"/>
      <c r="AM5" s="836" t="str">
        <f ca="1">IF(P5&lt;=20,"任何方面都没有受过教育",IF(P5&lt;=40,"小学毕业",IF(P5&lt;=60,"高中毕业",IF(P5&lt;=80,"是重点大学的学生，或是普通大学的研究生",IF(P5&lt;=90,"博士学位,教授")))))</f>
        <v>是重点大学的学生，或是普通大学的研究生</v>
      </c>
      <c r="AN5" s="836"/>
      <c r="AO5" s="836"/>
      <c r="AP5" s="836"/>
      <c r="AQ5" s="836"/>
      <c r="AR5" s="837"/>
    </row>
    <row r="6" spans="1:44">
      <c r="A6" s="216">
        <f t="shared" ca="1" si="0"/>
        <v>5</v>
      </c>
      <c r="B6" s="841"/>
      <c r="C6" s="816"/>
      <c r="D6" s="815"/>
      <c r="E6" s="815"/>
      <c r="F6" s="811">
        <f ca="1">INT(D5/5)</f>
        <v>13</v>
      </c>
      <c r="G6" s="811"/>
      <c r="H6" s="822"/>
      <c r="I6" s="822"/>
      <c r="J6" s="815"/>
      <c r="K6" s="815"/>
      <c r="L6" s="812">
        <f ca="1">INT(J5/5)</f>
        <v>11</v>
      </c>
      <c r="M6" s="812"/>
      <c r="N6" s="816"/>
      <c r="O6" s="816"/>
      <c r="P6" s="815"/>
      <c r="Q6" s="815"/>
      <c r="R6" s="814">
        <f ca="1">INT(P5/5)</f>
        <v>13</v>
      </c>
      <c r="S6" s="859"/>
      <c r="U6" s="851" t="s">
        <v>183</v>
      </c>
      <c r="V6" s="852"/>
      <c r="W6" s="217"/>
      <c r="X6" s="217"/>
      <c r="Y6" s="217"/>
      <c r="Z6" s="217"/>
      <c r="AA6" s="853"/>
      <c r="AB6" s="836"/>
      <c r="AC6" s="836"/>
      <c r="AD6" s="836"/>
      <c r="AE6" s="836"/>
      <c r="AF6" s="836"/>
      <c r="AG6" s="850"/>
      <c r="AH6" s="850"/>
      <c r="AI6" s="850"/>
      <c r="AJ6" s="850"/>
      <c r="AK6" s="850"/>
      <c r="AL6" s="850"/>
      <c r="AM6" s="836"/>
      <c r="AN6" s="836"/>
      <c r="AO6" s="836"/>
      <c r="AP6" s="836"/>
      <c r="AQ6" s="836"/>
      <c r="AR6" s="837"/>
    </row>
    <row r="7" spans="1:44" ht="17.25" customHeight="1">
      <c r="A7" s="216">
        <f t="shared" ca="1" si="0"/>
        <v>4</v>
      </c>
      <c r="B7" s="838" t="s">
        <v>108</v>
      </c>
      <c r="C7" s="822"/>
      <c r="D7" s="842">
        <f ca="1">(SUM(A17:A18)+6)*5</f>
        <v>65</v>
      </c>
      <c r="E7" s="842"/>
      <c r="F7" s="812">
        <f ca="1">INT(D7/2)</f>
        <v>32</v>
      </c>
      <c r="G7" s="812"/>
      <c r="H7" s="816" t="s">
        <v>170</v>
      </c>
      <c r="I7" s="816"/>
      <c r="J7" s="815">
        <f ca="1">(SUM(A19:A20)+6)*5</f>
        <v>50</v>
      </c>
      <c r="K7" s="815"/>
      <c r="L7" s="814">
        <f ca="1">INT(J7/2)</f>
        <v>25</v>
      </c>
      <c r="M7" s="814"/>
      <c r="N7" s="805" t="str">
        <f ca="1">"所有属性之和="&amp;SUM(D3:E8,J3:K8,P3:Q6)</f>
        <v>所有属性之和=450</v>
      </c>
      <c r="O7" s="806"/>
      <c r="P7" s="806"/>
      <c r="Q7" s="806"/>
      <c r="R7" s="806"/>
      <c r="S7" s="807"/>
      <c r="U7" s="855">
        <f ca="1">SUM(A27:A29)*5</f>
        <v>70</v>
      </c>
      <c r="V7" s="856"/>
      <c r="W7" s="217"/>
      <c r="X7" s="217"/>
      <c r="Y7" s="217"/>
      <c r="Z7" s="217"/>
      <c r="AA7" s="849" t="str">
        <f ca="1">IF(D7&lt;=20,"孩童，身短体瘦",IF(D7&lt;=40,"乙女身材",IF(D7&lt;=60,"普通身高或偏瘦",IF(D7&lt;=80,"不是高就是胖",IF(D7&lt;=90,"体型堪比姚明")))))</f>
        <v>不是高就是胖</v>
      </c>
      <c r="AB7" s="850"/>
      <c r="AC7" s="850"/>
      <c r="AD7" s="850"/>
      <c r="AE7" s="850"/>
      <c r="AF7" s="850"/>
      <c r="AG7" s="836" t="str">
        <f ca="1">IF(J7&lt;=20,"只能理解最常用的数字",IF(J7&lt;=40,"思维比别人慢一拍",IF(J7&lt;=60,"有着普通人的灵光一现",IF(J7&lt;=80,"可以进行简单的发明",IF(J7&lt;=90,"超凡之脑,可以理解多门语言或法则")))))</f>
        <v>有着普通人的灵光一现</v>
      </c>
      <c r="AH7" s="836"/>
      <c r="AI7" s="836"/>
      <c r="AJ7" s="836"/>
      <c r="AK7" s="836"/>
      <c r="AL7" s="836"/>
      <c r="AM7" s="845" t="str">
        <f ca="1">IF(U3&lt;=20,"克夫克妻",IF(U3&lt;=40,"霉运连连",IF(U3&lt;=60,"命格平庸",IF(U3&lt;=80,"升职加薪顺风顺水",IF(U3&lt;=90,"会被彩票店拒之门外")))))</f>
        <v>升职加薪顺风顺水</v>
      </c>
      <c r="AN7" s="845"/>
      <c r="AO7" s="845"/>
      <c r="AP7" s="845"/>
      <c r="AQ7" s="845"/>
      <c r="AR7" s="846"/>
    </row>
    <row r="8" spans="1:44">
      <c r="A8" s="216">
        <f t="shared" ca="1" si="0"/>
        <v>4</v>
      </c>
      <c r="B8" s="839"/>
      <c r="C8" s="840"/>
      <c r="D8" s="865"/>
      <c r="E8" s="865"/>
      <c r="F8" s="824">
        <f ca="1">INT(D7/5)</f>
        <v>13</v>
      </c>
      <c r="G8" s="824"/>
      <c r="H8" s="817"/>
      <c r="I8" s="817"/>
      <c r="J8" s="823"/>
      <c r="K8" s="823"/>
      <c r="L8" s="818">
        <f ca="1">INT(J7/5)</f>
        <v>10</v>
      </c>
      <c r="M8" s="818"/>
      <c r="N8" s="808"/>
      <c r="O8" s="809"/>
      <c r="P8" s="809"/>
      <c r="Q8" s="809"/>
      <c r="R8" s="809"/>
      <c r="S8" s="810"/>
      <c r="U8" s="857"/>
      <c r="V8" s="858"/>
      <c r="W8" s="217"/>
      <c r="X8" s="217"/>
      <c r="Y8" s="217"/>
      <c r="Z8" s="217"/>
      <c r="AA8" s="861"/>
      <c r="AB8" s="862"/>
      <c r="AC8" s="862"/>
      <c r="AD8" s="862"/>
      <c r="AE8" s="862"/>
      <c r="AF8" s="862"/>
      <c r="AG8" s="854"/>
      <c r="AH8" s="854"/>
      <c r="AI8" s="854"/>
      <c r="AJ8" s="854"/>
      <c r="AK8" s="854"/>
      <c r="AL8" s="854"/>
      <c r="AM8" s="847"/>
      <c r="AN8" s="847"/>
      <c r="AO8" s="847"/>
      <c r="AP8" s="847"/>
      <c r="AQ8" s="847"/>
      <c r="AR8" s="848"/>
    </row>
    <row r="9" spans="1:44">
      <c r="A9" s="216">
        <f t="shared" ca="1" si="0"/>
        <v>3</v>
      </c>
      <c r="W9" s="217"/>
      <c r="X9" s="217"/>
      <c r="Y9" s="217"/>
      <c r="Z9" s="217"/>
    </row>
    <row r="10" spans="1:44">
      <c r="A10" s="216">
        <f t="shared" ca="1" si="0"/>
        <v>2</v>
      </c>
      <c r="B10" s="827" t="s">
        <v>1481</v>
      </c>
      <c r="C10" s="828"/>
      <c r="D10" s="828"/>
      <c r="E10" s="828"/>
      <c r="F10" s="828"/>
      <c r="G10" s="828"/>
      <c r="H10" s="828"/>
      <c r="I10" s="828"/>
      <c r="J10" s="828"/>
      <c r="K10" s="828"/>
      <c r="L10" s="828"/>
      <c r="M10" s="828"/>
      <c r="N10" s="828"/>
      <c r="O10" s="828"/>
      <c r="P10" s="828"/>
      <c r="Q10" s="828"/>
      <c r="R10" s="828"/>
      <c r="S10" s="828"/>
      <c r="T10" s="828"/>
      <c r="U10" s="828"/>
      <c r="V10" s="829"/>
      <c r="W10" s="217"/>
      <c r="X10" s="217"/>
      <c r="Y10" s="217"/>
      <c r="Z10" s="217"/>
    </row>
    <row r="11" spans="1:44">
      <c r="A11" s="216">
        <f t="shared" ca="1" si="0"/>
        <v>5</v>
      </c>
      <c r="W11" s="217"/>
      <c r="X11" s="217"/>
      <c r="Y11" s="217"/>
      <c r="Z11" s="217"/>
    </row>
    <row r="12" spans="1:44">
      <c r="A12" s="216">
        <f t="shared" ca="1" si="0"/>
        <v>1</v>
      </c>
      <c r="B12" s="830" t="s">
        <v>116</v>
      </c>
      <c r="C12" s="831"/>
      <c r="D12" s="831"/>
      <c r="E12" s="831"/>
      <c r="F12" s="831"/>
      <c r="G12" s="831"/>
      <c r="H12" s="831"/>
      <c r="I12" s="831"/>
      <c r="J12" s="831"/>
      <c r="K12" s="831"/>
      <c r="L12" s="831"/>
      <c r="M12" s="831"/>
      <c r="N12" s="831"/>
      <c r="O12" s="831"/>
      <c r="P12" s="831"/>
      <c r="Q12" s="831"/>
      <c r="R12" s="831"/>
      <c r="S12" s="831"/>
      <c r="T12" s="831"/>
      <c r="U12" s="831"/>
      <c r="V12" s="832"/>
      <c r="W12" s="217"/>
      <c r="X12" s="217"/>
      <c r="Y12" s="217"/>
      <c r="Z12" s="217"/>
    </row>
    <row r="13" spans="1:44" ht="16.5">
      <c r="A13" s="216">
        <f t="shared" ca="1" si="0"/>
        <v>5</v>
      </c>
      <c r="B13" s="864" t="s">
        <v>117</v>
      </c>
      <c r="C13" s="833"/>
      <c r="D13" s="833"/>
      <c r="E13" s="833" t="s">
        <v>111</v>
      </c>
      <c r="F13" s="833"/>
      <c r="G13" s="833"/>
      <c r="H13" s="833" t="s">
        <v>112</v>
      </c>
      <c r="I13" s="833"/>
      <c r="J13" s="833"/>
      <c r="K13" s="833" t="s">
        <v>118</v>
      </c>
      <c r="L13" s="833"/>
      <c r="M13" s="833"/>
      <c r="N13" s="833" t="s">
        <v>113</v>
      </c>
      <c r="O13" s="833"/>
      <c r="P13" s="833"/>
      <c r="Q13" s="833" t="s">
        <v>115</v>
      </c>
      <c r="R13" s="833"/>
      <c r="S13" s="833"/>
      <c r="T13" s="833" t="s">
        <v>114</v>
      </c>
      <c r="U13" s="833"/>
      <c r="V13" s="860"/>
      <c r="W13" s="217"/>
      <c r="X13" s="217"/>
      <c r="Y13" s="217"/>
      <c r="Z13" s="217"/>
    </row>
    <row r="14" spans="1:44">
      <c r="A14" s="216">
        <f t="shared" ca="1" si="0"/>
        <v>3</v>
      </c>
      <c r="B14" s="843">
        <f ca="1">RANDBETWEEN(1,2)</f>
        <v>2</v>
      </c>
      <c r="C14" s="815"/>
      <c r="D14" s="815"/>
      <c r="E14" s="815">
        <f ca="1">RANDBETWEEN(1,4)</f>
        <v>3</v>
      </c>
      <c r="F14" s="815"/>
      <c r="G14" s="815"/>
      <c r="H14" s="815">
        <f ca="1">RANDBETWEEN(1,6)</f>
        <v>1</v>
      </c>
      <c r="I14" s="815"/>
      <c r="J14" s="815"/>
      <c r="K14" s="815">
        <f ca="1">RANDBETWEEN(1,8)</f>
        <v>4</v>
      </c>
      <c r="L14" s="815"/>
      <c r="M14" s="815"/>
      <c r="N14" s="815">
        <f ca="1">RANDBETWEEN(1,10)</f>
        <v>5</v>
      </c>
      <c r="O14" s="815"/>
      <c r="P14" s="815"/>
      <c r="Q14" s="815">
        <f ca="1">RANDBETWEEN(1,20)</f>
        <v>18</v>
      </c>
      <c r="R14" s="815"/>
      <c r="S14" s="815"/>
      <c r="T14" s="815">
        <f ca="1">RANDBETWEEN(1,100)</f>
        <v>23</v>
      </c>
      <c r="U14" s="815"/>
      <c r="V14" s="825"/>
      <c r="W14" s="217"/>
      <c r="X14" s="217"/>
      <c r="Y14" s="217"/>
      <c r="Z14" s="217"/>
    </row>
    <row r="15" spans="1:44">
      <c r="A15" s="216">
        <f t="shared" ca="1" si="0"/>
        <v>3</v>
      </c>
      <c r="B15" s="844"/>
      <c r="C15" s="823"/>
      <c r="D15" s="823"/>
      <c r="E15" s="823"/>
      <c r="F15" s="823"/>
      <c r="G15" s="823"/>
      <c r="H15" s="823"/>
      <c r="I15" s="823"/>
      <c r="J15" s="823"/>
      <c r="K15" s="823"/>
      <c r="L15" s="823"/>
      <c r="M15" s="823"/>
      <c r="N15" s="823"/>
      <c r="O15" s="823"/>
      <c r="P15" s="823"/>
      <c r="Q15" s="823"/>
      <c r="R15" s="823"/>
      <c r="S15" s="823"/>
      <c r="T15" s="823"/>
      <c r="U15" s="823"/>
      <c r="V15" s="826"/>
      <c r="W15" s="217"/>
      <c r="X15" s="217"/>
      <c r="Y15" s="217"/>
      <c r="Z15" s="217"/>
    </row>
    <row r="16" spans="1:44">
      <c r="A16" s="216">
        <f t="shared" ca="1" si="0"/>
        <v>2</v>
      </c>
      <c r="W16" s="217"/>
      <c r="X16" s="217"/>
      <c r="Y16" s="217"/>
      <c r="Z16" s="217"/>
    </row>
    <row r="17" spans="1:26">
      <c r="A17" s="216">
        <f t="shared" ca="1" si="0"/>
        <v>3</v>
      </c>
      <c r="W17" s="217"/>
      <c r="X17" s="217"/>
      <c r="Y17" s="217"/>
      <c r="Z17" s="217"/>
    </row>
    <row r="18" spans="1:26">
      <c r="A18" s="216">
        <f t="shared" ca="1" si="0"/>
        <v>4</v>
      </c>
      <c r="W18" s="217"/>
      <c r="X18" s="217"/>
      <c r="Y18" s="217"/>
      <c r="Z18" s="217"/>
    </row>
    <row r="19" spans="1:26">
      <c r="A19" s="216">
        <f t="shared" ca="1" si="0"/>
        <v>3</v>
      </c>
    </row>
    <row r="20" spans="1:26">
      <c r="A20" s="216">
        <f t="shared" ca="1" si="0"/>
        <v>1</v>
      </c>
    </row>
    <row r="21" spans="1:26">
      <c r="A21" s="216">
        <f t="shared" ca="1" si="0"/>
        <v>4</v>
      </c>
    </row>
    <row r="22" spans="1:26">
      <c r="A22" s="216">
        <f t="shared" ca="1" si="0"/>
        <v>3</v>
      </c>
    </row>
    <row r="23" spans="1:26">
      <c r="A23" s="216"/>
    </row>
    <row r="24" spans="1:26">
      <c r="A24" s="216">
        <f t="shared" ref="A24:A29" ca="1" si="1">RANDBETWEEN(1,6)</f>
        <v>3</v>
      </c>
    </row>
    <row r="25" spans="1:26">
      <c r="A25" s="216">
        <f t="shared" ca="1" si="1"/>
        <v>4</v>
      </c>
    </row>
    <row r="26" spans="1:26">
      <c r="A26" s="216">
        <f t="shared" ca="1" si="1"/>
        <v>6</v>
      </c>
    </row>
    <row r="27" spans="1:26">
      <c r="A27" s="216">
        <f t="shared" ca="1" si="1"/>
        <v>5</v>
      </c>
    </row>
    <row r="28" spans="1:26">
      <c r="A28" s="216">
        <f t="shared" ca="1" si="1"/>
        <v>4</v>
      </c>
    </row>
    <row r="29" spans="1:26">
      <c r="A29" s="216">
        <f t="shared" ca="1" si="1"/>
        <v>5</v>
      </c>
    </row>
  </sheetData>
  <sheetProtection formatCells="0" selectLockedCells="1"/>
  <mergeCells count="64">
    <mergeCell ref="B13:D13"/>
    <mergeCell ref="E14:G15"/>
    <mergeCell ref="F3:G3"/>
    <mergeCell ref="B3:C4"/>
    <mergeCell ref="D7:E8"/>
    <mergeCell ref="F4:G4"/>
    <mergeCell ref="D3:E4"/>
    <mergeCell ref="AM7:AR8"/>
    <mergeCell ref="AA3:AF4"/>
    <mergeCell ref="U6:V6"/>
    <mergeCell ref="AA5:AF6"/>
    <mergeCell ref="N14:P15"/>
    <mergeCell ref="AG7:AL8"/>
    <mergeCell ref="U7:V8"/>
    <mergeCell ref="R6:S6"/>
    <mergeCell ref="R4:S4"/>
    <mergeCell ref="R5:S5"/>
    <mergeCell ref="T13:V13"/>
    <mergeCell ref="U3:V4"/>
    <mergeCell ref="AG5:AL6"/>
    <mergeCell ref="AA7:AF8"/>
    <mergeCell ref="AM3:AR4"/>
    <mergeCell ref="AG3:AL4"/>
    <mergeCell ref="B2:S2"/>
    <mergeCell ref="L4:M4"/>
    <mergeCell ref="H14:J15"/>
    <mergeCell ref="B7:C8"/>
    <mergeCell ref="B5:C6"/>
    <mergeCell ref="H13:J13"/>
    <mergeCell ref="P3:Q4"/>
    <mergeCell ref="B14:D15"/>
    <mergeCell ref="E13:G13"/>
    <mergeCell ref="L5:M5"/>
    <mergeCell ref="Q14:S15"/>
    <mergeCell ref="Q13:S13"/>
    <mergeCell ref="J3:K4"/>
    <mergeCell ref="F7:G7"/>
    <mergeCell ref="F5:G5"/>
    <mergeCell ref="N13:P13"/>
    <mergeCell ref="AA2:AR2"/>
    <mergeCell ref="N3:O4"/>
    <mergeCell ref="K14:M15"/>
    <mergeCell ref="F8:G8"/>
    <mergeCell ref="P5:Q6"/>
    <mergeCell ref="T14:V15"/>
    <mergeCell ref="L6:M6"/>
    <mergeCell ref="B10:V10"/>
    <mergeCell ref="D5:E6"/>
    <mergeCell ref="N5:O6"/>
    <mergeCell ref="B12:V12"/>
    <mergeCell ref="K13:M13"/>
    <mergeCell ref="J7:K8"/>
    <mergeCell ref="H5:I6"/>
    <mergeCell ref="U2:V2"/>
    <mergeCell ref="AM5:AR6"/>
    <mergeCell ref="N7:S8"/>
    <mergeCell ref="F6:G6"/>
    <mergeCell ref="R3:S3"/>
    <mergeCell ref="L7:M7"/>
    <mergeCell ref="J5:K6"/>
    <mergeCell ref="L3:M3"/>
    <mergeCell ref="H7:I8"/>
    <mergeCell ref="L8:M8"/>
    <mergeCell ref="H3:I4"/>
  </mergeCells>
  <phoneticPr fontId="7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61"/>
  <sheetViews>
    <sheetView showGridLines="0" zoomScale="87" workbookViewId="0">
      <selection activeCell="B16" sqref="B16"/>
    </sheetView>
  </sheetViews>
  <sheetFormatPr defaultColWidth="8.875" defaultRowHeight="14.25"/>
  <cols>
    <col min="1" max="1" width="3.375" style="218" customWidth="1"/>
    <col min="2" max="2" width="30" style="218" customWidth="1"/>
    <col min="3" max="3" width="12.125" style="218" customWidth="1"/>
    <col min="4" max="4" width="14.75" style="218" customWidth="1"/>
    <col min="5" max="5" width="8.75" style="218" customWidth="1"/>
    <col min="6" max="6" width="4.625" style="218" customWidth="1"/>
    <col min="7" max="7" width="10.75" style="218" customWidth="1"/>
    <col min="8" max="8" width="8" style="218" customWidth="1"/>
    <col min="9" max="9" width="7.75" style="218" customWidth="1"/>
    <col min="10" max="10" width="9.625" style="218" customWidth="1"/>
    <col min="11" max="11" width="12.5" style="219" customWidth="1"/>
    <col min="12" max="13" width="8.875" style="219" customWidth="1"/>
    <col min="14" max="16384" width="8.875" style="219"/>
  </cols>
  <sheetData>
    <row r="1" spans="2:11" ht="16.899999999999999" customHeight="1">
      <c r="B1" s="868" t="s">
        <v>1274</v>
      </c>
      <c r="C1" s="868"/>
      <c r="D1" s="868"/>
      <c r="E1" s="868"/>
      <c r="F1" s="868"/>
      <c r="G1" s="868"/>
      <c r="H1" s="868"/>
      <c r="I1" s="868"/>
      <c r="J1" s="868"/>
      <c r="K1" s="868"/>
    </row>
    <row r="2" spans="2:11" ht="14.25" customHeight="1">
      <c r="B2" s="220" t="s">
        <v>1042</v>
      </c>
      <c r="C2" s="221" t="s">
        <v>1041</v>
      </c>
      <c r="D2" s="221" t="s">
        <v>187</v>
      </c>
      <c r="E2" s="221" t="s">
        <v>491</v>
      </c>
      <c r="F2" s="221" t="s">
        <v>186</v>
      </c>
      <c r="G2" s="221" t="s">
        <v>492</v>
      </c>
      <c r="H2" s="221" t="s">
        <v>185</v>
      </c>
      <c r="I2" s="221" t="s">
        <v>493</v>
      </c>
      <c r="J2" s="221" t="s">
        <v>494</v>
      </c>
      <c r="K2" s="222" t="s">
        <v>495</v>
      </c>
    </row>
    <row r="3" spans="2:11" ht="14.25" customHeight="1">
      <c r="B3" s="223" t="s">
        <v>601</v>
      </c>
      <c r="C3" s="224" t="s">
        <v>1040</v>
      </c>
      <c r="D3" s="225" t="s">
        <v>602</v>
      </c>
      <c r="E3" s="225" t="s">
        <v>603</v>
      </c>
      <c r="F3" s="225" t="s">
        <v>1036</v>
      </c>
      <c r="G3" s="225" t="s">
        <v>604</v>
      </c>
      <c r="H3" s="225" t="s">
        <v>605</v>
      </c>
      <c r="I3" s="225" t="s">
        <v>606</v>
      </c>
      <c r="J3" s="225" t="s">
        <v>607</v>
      </c>
      <c r="K3" s="226" t="s">
        <v>608</v>
      </c>
    </row>
    <row r="4" spans="2:11" ht="14.25" customHeight="1">
      <c r="B4" s="227" t="s">
        <v>609</v>
      </c>
      <c r="C4" s="228" t="s">
        <v>1030</v>
      </c>
      <c r="D4" s="229" t="s">
        <v>610</v>
      </c>
      <c r="E4" s="229" t="s">
        <v>611</v>
      </c>
      <c r="F4" s="229" t="s">
        <v>1036</v>
      </c>
      <c r="G4" s="229" t="s">
        <v>605</v>
      </c>
      <c r="H4" s="229" t="s">
        <v>1007</v>
      </c>
      <c r="I4" s="229" t="s">
        <v>1007</v>
      </c>
      <c r="J4" s="229" t="s">
        <v>607</v>
      </c>
      <c r="K4" s="230" t="s">
        <v>612</v>
      </c>
    </row>
    <row r="5" spans="2:11" ht="14.25" customHeight="1">
      <c r="B5" s="223" t="s">
        <v>613</v>
      </c>
      <c r="C5" s="224" t="s">
        <v>614</v>
      </c>
      <c r="D5" s="225" t="s">
        <v>615</v>
      </c>
      <c r="E5" s="225" t="s">
        <v>616</v>
      </c>
      <c r="F5" s="225" t="s">
        <v>1036</v>
      </c>
      <c r="G5" s="225" t="s">
        <v>605</v>
      </c>
      <c r="H5" s="225" t="s">
        <v>1007</v>
      </c>
      <c r="I5" s="225" t="s">
        <v>1007</v>
      </c>
      <c r="J5" s="225" t="s">
        <v>617</v>
      </c>
      <c r="K5" s="226" t="s">
        <v>618</v>
      </c>
    </row>
    <row r="6" spans="2:11" ht="14.25" customHeight="1">
      <c r="B6" s="227" t="s">
        <v>619</v>
      </c>
      <c r="C6" s="228" t="s">
        <v>1030</v>
      </c>
      <c r="D6" s="229" t="s">
        <v>620</v>
      </c>
      <c r="E6" s="229" t="s">
        <v>611</v>
      </c>
      <c r="F6" s="229" t="s">
        <v>1036</v>
      </c>
      <c r="G6" s="229" t="s">
        <v>605</v>
      </c>
      <c r="H6" s="229" t="s">
        <v>1007</v>
      </c>
      <c r="I6" s="229" t="s">
        <v>1007</v>
      </c>
      <c r="J6" s="229" t="s">
        <v>607</v>
      </c>
      <c r="K6" s="230" t="s">
        <v>621</v>
      </c>
    </row>
    <row r="7" spans="2:11" ht="14.25" customHeight="1">
      <c r="B7" s="223" t="s">
        <v>622</v>
      </c>
      <c r="C7" s="224" t="s">
        <v>622</v>
      </c>
      <c r="D7" s="225" t="s">
        <v>623</v>
      </c>
      <c r="E7" s="225" t="s">
        <v>611</v>
      </c>
      <c r="F7" s="225" t="s">
        <v>624</v>
      </c>
      <c r="G7" s="225" t="s">
        <v>605</v>
      </c>
      <c r="H7" s="225" t="s">
        <v>1007</v>
      </c>
      <c r="I7" s="225" t="s">
        <v>625</v>
      </c>
      <c r="J7" s="225" t="s">
        <v>626</v>
      </c>
      <c r="K7" s="226" t="s">
        <v>1008</v>
      </c>
    </row>
    <row r="8" spans="2:11" ht="14.25" customHeight="1">
      <c r="B8" s="227" t="s">
        <v>627</v>
      </c>
      <c r="C8" s="228" t="s">
        <v>1030</v>
      </c>
      <c r="D8" s="229" t="s">
        <v>628</v>
      </c>
      <c r="E8" s="229" t="s">
        <v>611</v>
      </c>
      <c r="F8" s="229" t="s">
        <v>1036</v>
      </c>
      <c r="G8" s="229" t="s">
        <v>605</v>
      </c>
      <c r="H8" s="229" t="s">
        <v>1007</v>
      </c>
      <c r="I8" s="229" t="s">
        <v>1007</v>
      </c>
      <c r="J8" s="229" t="s">
        <v>607</v>
      </c>
      <c r="K8" s="230" t="s">
        <v>629</v>
      </c>
    </row>
    <row r="9" spans="2:11" ht="14.25" customHeight="1">
      <c r="B9" s="223" t="s">
        <v>630</v>
      </c>
      <c r="C9" s="224" t="s">
        <v>1030</v>
      </c>
      <c r="D9" s="225" t="s">
        <v>628</v>
      </c>
      <c r="E9" s="225" t="s">
        <v>611</v>
      </c>
      <c r="F9" s="225" t="s">
        <v>1036</v>
      </c>
      <c r="G9" s="225" t="s">
        <v>605</v>
      </c>
      <c r="H9" s="225" t="s">
        <v>1007</v>
      </c>
      <c r="I9" s="225" t="s">
        <v>1007</v>
      </c>
      <c r="J9" s="225" t="s">
        <v>607</v>
      </c>
      <c r="K9" s="226" t="s">
        <v>631</v>
      </c>
    </row>
    <row r="10" spans="2:11" ht="14.25" customHeight="1">
      <c r="B10" s="227" t="s">
        <v>632</v>
      </c>
      <c r="C10" s="228" t="s">
        <v>1030</v>
      </c>
      <c r="D10" s="229" t="s">
        <v>633</v>
      </c>
      <c r="E10" s="229" t="s">
        <v>634</v>
      </c>
      <c r="F10" s="229" t="s">
        <v>1036</v>
      </c>
      <c r="G10" s="229" t="s">
        <v>635</v>
      </c>
      <c r="H10" s="229" t="s">
        <v>1007</v>
      </c>
      <c r="I10" s="229" t="s">
        <v>1007</v>
      </c>
      <c r="J10" s="229" t="s">
        <v>636</v>
      </c>
      <c r="K10" s="230" t="s">
        <v>637</v>
      </c>
    </row>
    <row r="11" spans="2:11" ht="14.25" customHeight="1">
      <c r="B11" s="223" t="s">
        <v>638</v>
      </c>
      <c r="C11" s="224" t="s">
        <v>639</v>
      </c>
      <c r="D11" s="225" t="s">
        <v>640</v>
      </c>
      <c r="E11" s="225" t="s">
        <v>641</v>
      </c>
      <c r="F11" s="225" t="s">
        <v>624</v>
      </c>
      <c r="G11" s="225" t="s">
        <v>642</v>
      </c>
      <c r="H11" s="225" t="s">
        <v>605</v>
      </c>
      <c r="I11" s="225" t="s">
        <v>643</v>
      </c>
      <c r="J11" s="225" t="s">
        <v>607</v>
      </c>
      <c r="K11" s="226" t="s">
        <v>644</v>
      </c>
    </row>
    <row r="12" spans="2:11" ht="14.25" customHeight="1">
      <c r="B12" s="227" t="s">
        <v>645</v>
      </c>
      <c r="C12" s="228" t="s">
        <v>645</v>
      </c>
      <c r="D12" s="229" t="s">
        <v>633</v>
      </c>
      <c r="E12" s="229" t="s">
        <v>611</v>
      </c>
      <c r="F12" s="229" t="s">
        <v>624</v>
      </c>
      <c r="G12" s="229" t="s">
        <v>605</v>
      </c>
      <c r="H12" s="229" t="s">
        <v>1007</v>
      </c>
      <c r="I12" s="229" t="s">
        <v>1007</v>
      </c>
      <c r="J12" s="229" t="s">
        <v>607</v>
      </c>
      <c r="K12" s="230" t="s">
        <v>646</v>
      </c>
    </row>
    <row r="13" spans="2:11" ht="14.25" customHeight="1">
      <c r="B13" s="223" t="s">
        <v>647</v>
      </c>
      <c r="C13" s="224" t="s">
        <v>648</v>
      </c>
      <c r="D13" s="225" t="s">
        <v>649</v>
      </c>
      <c r="E13" s="225" t="s">
        <v>611</v>
      </c>
      <c r="F13" s="225" t="s">
        <v>624</v>
      </c>
      <c r="G13" s="225" t="s">
        <v>605</v>
      </c>
      <c r="H13" s="225" t="s">
        <v>1007</v>
      </c>
      <c r="I13" s="225" t="s">
        <v>1007</v>
      </c>
      <c r="J13" s="225" t="s">
        <v>607</v>
      </c>
      <c r="K13" s="226" t="s">
        <v>650</v>
      </c>
    </row>
    <row r="14" spans="2:11" ht="14.25" customHeight="1">
      <c r="B14" s="227" t="s">
        <v>651</v>
      </c>
      <c r="C14" s="228" t="s">
        <v>1030</v>
      </c>
      <c r="D14" s="229" t="s">
        <v>628</v>
      </c>
      <c r="E14" s="229" t="s">
        <v>611</v>
      </c>
      <c r="F14" s="229" t="s">
        <v>624</v>
      </c>
      <c r="G14" s="229" t="s">
        <v>605</v>
      </c>
      <c r="H14" s="229" t="s">
        <v>1007</v>
      </c>
      <c r="I14" s="229" t="s">
        <v>1007</v>
      </c>
      <c r="J14" s="229" t="s">
        <v>607</v>
      </c>
      <c r="K14" s="230" t="s">
        <v>652</v>
      </c>
    </row>
    <row r="15" spans="2:11" ht="14.25" customHeight="1">
      <c r="B15" s="223" t="s">
        <v>653</v>
      </c>
      <c r="C15" s="224" t="s">
        <v>1030</v>
      </c>
      <c r="D15" s="225" t="s">
        <v>654</v>
      </c>
      <c r="E15" s="225" t="s">
        <v>611</v>
      </c>
      <c r="F15" s="225" t="s">
        <v>624</v>
      </c>
      <c r="G15" s="225" t="s">
        <v>605</v>
      </c>
      <c r="H15" s="225" t="s">
        <v>1007</v>
      </c>
      <c r="I15" s="225" t="s">
        <v>1007</v>
      </c>
      <c r="J15" s="225" t="s">
        <v>607</v>
      </c>
      <c r="K15" s="226" t="s">
        <v>629</v>
      </c>
    </row>
    <row r="16" spans="2:11" ht="14.25" customHeight="1">
      <c r="B16" s="227" t="s">
        <v>655</v>
      </c>
      <c r="C16" s="228" t="s">
        <v>1030</v>
      </c>
      <c r="D16" s="229" t="s">
        <v>656</v>
      </c>
      <c r="E16" s="229" t="s">
        <v>611</v>
      </c>
      <c r="F16" s="229" t="s">
        <v>624</v>
      </c>
      <c r="G16" s="229" t="s">
        <v>605</v>
      </c>
      <c r="H16" s="229" t="s">
        <v>1007</v>
      </c>
      <c r="I16" s="229" t="s">
        <v>1007</v>
      </c>
      <c r="J16" s="229" t="s">
        <v>607</v>
      </c>
      <c r="K16" s="230" t="s">
        <v>657</v>
      </c>
    </row>
    <row r="17" spans="2:11" ht="14.25" customHeight="1">
      <c r="B17" s="223" t="s">
        <v>658</v>
      </c>
      <c r="C17" s="224" t="s">
        <v>1030</v>
      </c>
      <c r="D17" s="225" t="s">
        <v>659</v>
      </c>
      <c r="E17" s="225" t="s">
        <v>611</v>
      </c>
      <c r="F17" s="225" t="s">
        <v>1036</v>
      </c>
      <c r="G17" s="225" t="s">
        <v>605</v>
      </c>
      <c r="H17" s="225" t="s">
        <v>1007</v>
      </c>
      <c r="I17" s="225" t="s">
        <v>625</v>
      </c>
      <c r="J17" s="225" t="s">
        <v>626</v>
      </c>
      <c r="K17" s="226" t="s">
        <v>1007</v>
      </c>
    </row>
    <row r="18" spans="2:11" ht="14.25" customHeight="1">
      <c r="B18" s="227" t="s">
        <v>660</v>
      </c>
      <c r="C18" s="228" t="s">
        <v>1030</v>
      </c>
      <c r="D18" s="229" t="s">
        <v>661</v>
      </c>
      <c r="E18" s="229" t="s">
        <v>662</v>
      </c>
      <c r="F18" s="229" t="s">
        <v>1036</v>
      </c>
      <c r="G18" s="229" t="s">
        <v>605</v>
      </c>
      <c r="H18" s="229" t="s">
        <v>663</v>
      </c>
      <c r="I18" s="229" t="s">
        <v>625</v>
      </c>
      <c r="J18" s="229" t="s">
        <v>607</v>
      </c>
      <c r="K18" s="230" t="s">
        <v>1009</v>
      </c>
    </row>
    <row r="19" spans="2:11" ht="14.25" customHeight="1">
      <c r="B19" s="223" t="s">
        <v>664</v>
      </c>
      <c r="C19" s="224" t="s">
        <v>665</v>
      </c>
      <c r="D19" s="225" t="s">
        <v>628</v>
      </c>
      <c r="E19" s="225" t="s">
        <v>611</v>
      </c>
      <c r="F19" s="225" t="s">
        <v>1036</v>
      </c>
      <c r="G19" s="225" t="s">
        <v>605</v>
      </c>
      <c r="H19" s="225" t="s">
        <v>1007</v>
      </c>
      <c r="I19" s="225" t="s">
        <v>1007</v>
      </c>
      <c r="J19" s="225" t="s">
        <v>607</v>
      </c>
      <c r="K19" s="226" t="s">
        <v>612</v>
      </c>
    </row>
    <row r="20" spans="2:11" ht="14.25" customHeight="1">
      <c r="B20" s="227" t="s">
        <v>666</v>
      </c>
      <c r="C20" s="228" t="s">
        <v>667</v>
      </c>
      <c r="D20" s="229" t="s">
        <v>668</v>
      </c>
      <c r="E20" s="229" t="s">
        <v>669</v>
      </c>
      <c r="F20" s="229" t="s">
        <v>1036</v>
      </c>
      <c r="G20" s="229" t="s">
        <v>605</v>
      </c>
      <c r="H20" s="229" t="s">
        <v>1007</v>
      </c>
      <c r="I20" s="229" t="s">
        <v>1007</v>
      </c>
      <c r="J20" s="229" t="s">
        <v>607</v>
      </c>
      <c r="K20" s="230" t="s">
        <v>1007</v>
      </c>
    </row>
    <row r="21" spans="2:11" ht="14.25" customHeight="1">
      <c r="B21" s="223" t="s">
        <v>670</v>
      </c>
      <c r="C21" s="224" t="s">
        <v>667</v>
      </c>
      <c r="D21" s="225" t="s">
        <v>615</v>
      </c>
      <c r="E21" s="225" t="s">
        <v>671</v>
      </c>
      <c r="F21" s="225" t="s">
        <v>624</v>
      </c>
      <c r="G21" s="225" t="s">
        <v>672</v>
      </c>
      <c r="H21" s="225" t="s">
        <v>673</v>
      </c>
      <c r="I21" s="225" t="s">
        <v>674</v>
      </c>
      <c r="J21" s="225" t="s">
        <v>607</v>
      </c>
      <c r="K21" s="226" t="s">
        <v>646</v>
      </c>
    </row>
    <row r="22" spans="2:11" ht="14.25" customHeight="1">
      <c r="B22" s="227" t="s">
        <v>675</v>
      </c>
      <c r="C22" s="228" t="s">
        <v>676</v>
      </c>
      <c r="D22" s="229" t="s">
        <v>677</v>
      </c>
      <c r="E22" s="229" t="s">
        <v>611</v>
      </c>
      <c r="F22" s="229" t="s">
        <v>624</v>
      </c>
      <c r="G22" s="229" t="s">
        <v>605</v>
      </c>
      <c r="H22" s="229" t="s">
        <v>1007</v>
      </c>
      <c r="I22" s="229" t="s">
        <v>1007</v>
      </c>
      <c r="J22" s="229" t="s">
        <v>607</v>
      </c>
      <c r="K22" s="230" t="s">
        <v>678</v>
      </c>
    </row>
    <row r="23" spans="2:11" ht="14.25" customHeight="1">
      <c r="B23" s="223" t="s">
        <v>679</v>
      </c>
      <c r="C23" s="224" t="s">
        <v>667</v>
      </c>
      <c r="D23" s="225" t="s">
        <v>680</v>
      </c>
      <c r="E23" s="225" t="s">
        <v>681</v>
      </c>
      <c r="F23" s="225" t="s">
        <v>624</v>
      </c>
      <c r="G23" s="225" t="s">
        <v>605</v>
      </c>
      <c r="H23" s="225" t="s">
        <v>1007</v>
      </c>
      <c r="I23" s="225" t="s">
        <v>1007</v>
      </c>
      <c r="J23" s="225" t="s">
        <v>682</v>
      </c>
      <c r="K23" s="226" t="s">
        <v>683</v>
      </c>
    </row>
    <row r="24" spans="2:11" ht="14.25" customHeight="1">
      <c r="B24" s="227" t="s">
        <v>684</v>
      </c>
      <c r="C24" s="228" t="s">
        <v>685</v>
      </c>
      <c r="D24" s="229" t="s">
        <v>686</v>
      </c>
      <c r="E24" s="229" t="s">
        <v>611</v>
      </c>
      <c r="F24" s="229" t="s">
        <v>1036</v>
      </c>
      <c r="G24" s="229" t="s">
        <v>605</v>
      </c>
      <c r="H24" s="229" t="s">
        <v>1007</v>
      </c>
      <c r="I24" s="229" t="s">
        <v>1007</v>
      </c>
      <c r="J24" s="229" t="s">
        <v>607</v>
      </c>
      <c r="K24" s="230" t="s">
        <v>687</v>
      </c>
    </row>
    <row r="25" spans="2:11" ht="14.25" customHeight="1">
      <c r="B25" s="223" t="s">
        <v>688</v>
      </c>
      <c r="C25" s="224" t="s">
        <v>685</v>
      </c>
      <c r="D25" s="225" t="s">
        <v>649</v>
      </c>
      <c r="E25" s="225" t="s">
        <v>611</v>
      </c>
      <c r="F25" s="225" t="s">
        <v>624</v>
      </c>
      <c r="G25" s="225" t="s">
        <v>605</v>
      </c>
      <c r="H25" s="225" t="s">
        <v>1007</v>
      </c>
      <c r="I25" s="225" t="s">
        <v>1007</v>
      </c>
      <c r="J25" s="225" t="s">
        <v>607</v>
      </c>
      <c r="K25" s="226" t="s">
        <v>689</v>
      </c>
    </row>
    <row r="26" spans="2:11" ht="14.25" customHeight="1">
      <c r="B26" s="227" t="s">
        <v>690</v>
      </c>
      <c r="C26" s="228" t="s">
        <v>685</v>
      </c>
      <c r="D26" s="229" t="s">
        <v>633</v>
      </c>
      <c r="E26" s="229" t="s">
        <v>611</v>
      </c>
      <c r="F26" s="229" t="s">
        <v>624</v>
      </c>
      <c r="G26" s="229" t="s">
        <v>605</v>
      </c>
      <c r="H26" s="229" t="s">
        <v>1007</v>
      </c>
      <c r="I26" s="229" t="s">
        <v>1007</v>
      </c>
      <c r="J26" s="229" t="s">
        <v>607</v>
      </c>
      <c r="K26" s="230" t="s">
        <v>691</v>
      </c>
    </row>
    <row r="27" spans="2:11" ht="14.25" customHeight="1">
      <c r="B27" s="223" t="s">
        <v>692</v>
      </c>
      <c r="C27" s="224" t="s">
        <v>1030</v>
      </c>
      <c r="D27" s="225" t="s">
        <v>693</v>
      </c>
      <c r="E27" s="225" t="s">
        <v>611</v>
      </c>
      <c r="F27" s="225" t="s">
        <v>1036</v>
      </c>
      <c r="G27" s="225" t="s">
        <v>605</v>
      </c>
      <c r="H27" s="225" t="s">
        <v>694</v>
      </c>
      <c r="I27" s="225" t="s">
        <v>606</v>
      </c>
      <c r="J27" s="225" t="s">
        <v>626</v>
      </c>
      <c r="K27" s="226" t="s">
        <v>1010</v>
      </c>
    </row>
    <row r="28" spans="2:11" ht="14.25" customHeight="1">
      <c r="B28" s="227" t="s">
        <v>695</v>
      </c>
      <c r="C28" s="228" t="s">
        <v>1044</v>
      </c>
      <c r="D28" s="229" t="s">
        <v>693</v>
      </c>
      <c r="E28" s="229" t="s">
        <v>696</v>
      </c>
      <c r="F28" s="229" t="s">
        <v>1036</v>
      </c>
      <c r="G28" s="229" t="s">
        <v>605</v>
      </c>
      <c r="H28" s="229" t="s">
        <v>697</v>
      </c>
      <c r="I28" s="229" t="s">
        <v>625</v>
      </c>
      <c r="J28" s="229" t="s">
        <v>626</v>
      </c>
      <c r="K28" s="230" t="s">
        <v>1011</v>
      </c>
    </row>
    <row r="29" spans="2:11" ht="14.25" customHeight="1">
      <c r="B29" s="223" t="s">
        <v>698</v>
      </c>
      <c r="C29" s="224" t="s">
        <v>667</v>
      </c>
      <c r="D29" s="225" t="s">
        <v>680</v>
      </c>
      <c r="E29" s="225" t="s">
        <v>671</v>
      </c>
      <c r="F29" s="225" t="s">
        <v>1036</v>
      </c>
      <c r="G29" s="225" t="s">
        <v>605</v>
      </c>
      <c r="H29" s="225" t="s">
        <v>1007</v>
      </c>
      <c r="I29" s="225" t="s">
        <v>1007</v>
      </c>
      <c r="J29" s="225" t="s">
        <v>682</v>
      </c>
      <c r="K29" s="226" t="s">
        <v>699</v>
      </c>
    </row>
    <row r="30" spans="2:11" ht="14.25" customHeight="1">
      <c r="B30" s="227" t="s">
        <v>700</v>
      </c>
      <c r="C30" s="228" t="s">
        <v>648</v>
      </c>
      <c r="D30" s="229" t="s">
        <v>701</v>
      </c>
      <c r="E30" s="229" t="s">
        <v>611</v>
      </c>
      <c r="F30" s="229" t="s">
        <v>624</v>
      </c>
      <c r="G30" s="229" t="s">
        <v>605</v>
      </c>
      <c r="H30" s="229" t="s">
        <v>1007</v>
      </c>
      <c r="I30" s="229" t="s">
        <v>1007</v>
      </c>
      <c r="J30" s="229" t="s">
        <v>607</v>
      </c>
      <c r="K30" s="230" t="s">
        <v>702</v>
      </c>
    </row>
    <row r="31" spans="2:11" ht="14.25" customHeight="1">
      <c r="B31" s="223" t="s">
        <v>703</v>
      </c>
      <c r="C31" s="224" t="s">
        <v>1044</v>
      </c>
      <c r="D31" s="225" t="s">
        <v>704</v>
      </c>
      <c r="E31" s="225" t="s">
        <v>705</v>
      </c>
      <c r="F31" s="225" t="s">
        <v>624</v>
      </c>
      <c r="G31" s="225" t="s">
        <v>706</v>
      </c>
      <c r="H31" s="225" t="s">
        <v>605</v>
      </c>
      <c r="I31" s="225" t="s">
        <v>625</v>
      </c>
      <c r="J31" s="225" t="s">
        <v>682</v>
      </c>
      <c r="K31" s="226" t="s">
        <v>707</v>
      </c>
    </row>
    <row r="32" spans="2:11" ht="14.25" customHeight="1">
      <c r="B32" s="227" t="s">
        <v>1045</v>
      </c>
      <c r="C32" s="228" t="s">
        <v>1044</v>
      </c>
      <c r="D32" s="229" t="s">
        <v>708</v>
      </c>
      <c r="E32" s="229" t="s">
        <v>705</v>
      </c>
      <c r="F32" s="229" t="s">
        <v>624</v>
      </c>
      <c r="G32" s="229" t="s">
        <v>709</v>
      </c>
      <c r="H32" s="229" t="s">
        <v>710</v>
      </c>
      <c r="I32" s="229" t="s">
        <v>674</v>
      </c>
      <c r="J32" s="229" t="s">
        <v>607</v>
      </c>
      <c r="K32" s="230" t="s">
        <v>711</v>
      </c>
    </row>
    <row r="33" spans="2:14" ht="14.25" customHeight="1">
      <c r="B33" s="223" t="s">
        <v>1046</v>
      </c>
      <c r="C33" s="224" t="s">
        <v>1044</v>
      </c>
      <c r="D33" s="225" t="s">
        <v>708</v>
      </c>
      <c r="E33" s="225" t="s">
        <v>697</v>
      </c>
      <c r="F33" s="225" t="s">
        <v>624</v>
      </c>
      <c r="G33" s="225" t="s">
        <v>605</v>
      </c>
      <c r="H33" s="225" t="s">
        <v>605</v>
      </c>
      <c r="I33" s="225" t="s">
        <v>674</v>
      </c>
      <c r="J33" s="225" t="s">
        <v>617</v>
      </c>
      <c r="K33" s="226" t="s">
        <v>712</v>
      </c>
    </row>
    <row r="34" spans="2:14" ht="14.25" customHeight="1">
      <c r="B34" s="227" t="s">
        <v>1047</v>
      </c>
      <c r="C34" s="228" t="s">
        <v>1044</v>
      </c>
      <c r="D34" s="229" t="s">
        <v>713</v>
      </c>
      <c r="E34" s="229" t="s">
        <v>714</v>
      </c>
      <c r="F34" s="229" t="s">
        <v>624</v>
      </c>
      <c r="G34" s="229" t="s">
        <v>709</v>
      </c>
      <c r="H34" s="229" t="s">
        <v>710</v>
      </c>
      <c r="I34" s="229" t="s">
        <v>674</v>
      </c>
      <c r="J34" s="229" t="s">
        <v>607</v>
      </c>
      <c r="K34" s="230" t="s">
        <v>715</v>
      </c>
    </row>
    <row r="35" spans="2:14" ht="14.25" customHeight="1">
      <c r="B35" s="223" t="s">
        <v>1048</v>
      </c>
      <c r="C35" s="224" t="s">
        <v>1044</v>
      </c>
      <c r="D35" s="225" t="s">
        <v>713</v>
      </c>
      <c r="E35" s="225" t="s">
        <v>714</v>
      </c>
      <c r="F35" s="225" t="s">
        <v>624</v>
      </c>
      <c r="G35" s="225" t="s">
        <v>709</v>
      </c>
      <c r="H35" s="225" t="s">
        <v>716</v>
      </c>
      <c r="I35" s="225" t="s">
        <v>717</v>
      </c>
      <c r="J35" s="225" t="s">
        <v>607</v>
      </c>
      <c r="K35" s="226" t="s">
        <v>718</v>
      </c>
    </row>
    <row r="36" spans="2:14" ht="14.25" customHeight="1">
      <c r="B36" s="227" t="s">
        <v>1049</v>
      </c>
      <c r="C36" s="228" t="s">
        <v>1044</v>
      </c>
      <c r="D36" s="229" t="s">
        <v>719</v>
      </c>
      <c r="E36" s="229" t="s">
        <v>714</v>
      </c>
      <c r="F36" s="229" t="s">
        <v>624</v>
      </c>
      <c r="G36" s="229" t="s">
        <v>709</v>
      </c>
      <c r="H36" s="229" t="s">
        <v>710</v>
      </c>
      <c r="I36" s="229" t="s">
        <v>674</v>
      </c>
      <c r="J36" s="229" t="s">
        <v>626</v>
      </c>
      <c r="K36" s="230" t="s">
        <v>720</v>
      </c>
    </row>
    <row r="37" spans="2:14" ht="14.25" customHeight="1">
      <c r="B37" s="223" t="s">
        <v>1050</v>
      </c>
      <c r="C37" s="224" t="s">
        <v>1044</v>
      </c>
      <c r="D37" s="225" t="s">
        <v>721</v>
      </c>
      <c r="E37" s="225" t="s">
        <v>714</v>
      </c>
      <c r="F37" s="225" t="s">
        <v>624</v>
      </c>
      <c r="G37" s="225" t="s">
        <v>709</v>
      </c>
      <c r="H37" s="225" t="s">
        <v>710</v>
      </c>
      <c r="I37" s="225" t="s">
        <v>674</v>
      </c>
      <c r="J37" s="225" t="s">
        <v>607</v>
      </c>
      <c r="K37" s="226" t="s">
        <v>722</v>
      </c>
    </row>
    <row r="38" spans="2:14" ht="14.25" customHeight="1">
      <c r="B38" s="227" t="s">
        <v>1051</v>
      </c>
      <c r="C38" s="228" t="s">
        <v>1044</v>
      </c>
      <c r="D38" s="229" t="s">
        <v>721</v>
      </c>
      <c r="E38" s="229" t="s">
        <v>714</v>
      </c>
      <c r="F38" s="229" t="s">
        <v>624</v>
      </c>
      <c r="G38" s="229" t="s">
        <v>709</v>
      </c>
      <c r="H38" s="229" t="s">
        <v>716</v>
      </c>
      <c r="I38" s="229" t="s">
        <v>717</v>
      </c>
      <c r="J38" s="229" t="s">
        <v>607</v>
      </c>
      <c r="K38" s="230" t="s">
        <v>723</v>
      </c>
      <c r="L38" s="231"/>
      <c r="M38" s="231"/>
      <c r="N38" s="231"/>
    </row>
    <row r="39" spans="2:14" ht="14.25" customHeight="1">
      <c r="B39" s="223" t="s">
        <v>724</v>
      </c>
      <c r="C39" s="224" t="s">
        <v>1044</v>
      </c>
      <c r="D39" s="225" t="s">
        <v>721</v>
      </c>
      <c r="E39" s="225" t="s">
        <v>714</v>
      </c>
      <c r="F39" s="225" t="s">
        <v>624</v>
      </c>
      <c r="G39" s="225" t="s">
        <v>709</v>
      </c>
      <c r="H39" s="225" t="s">
        <v>714</v>
      </c>
      <c r="I39" s="225" t="s">
        <v>725</v>
      </c>
      <c r="J39" s="225" t="s">
        <v>626</v>
      </c>
      <c r="K39" s="226" t="s">
        <v>1012</v>
      </c>
      <c r="L39" s="232"/>
      <c r="M39" s="232"/>
      <c r="N39" s="232"/>
    </row>
    <row r="40" spans="2:14" ht="14.25" customHeight="1">
      <c r="B40" s="227" t="s">
        <v>1052</v>
      </c>
      <c r="C40" s="228" t="s">
        <v>1044</v>
      </c>
      <c r="D40" s="229" t="s">
        <v>721</v>
      </c>
      <c r="E40" s="229" t="s">
        <v>714</v>
      </c>
      <c r="F40" s="229" t="s">
        <v>624</v>
      </c>
      <c r="G40" s="229" t="s">
        <v>709</v>
      </c>
      <c r="H40" s="229" t="s">
        <v>726</v>
      </c>
      <c r="I40" s="229" t="s">
        <v>725</v>
      </c>
      <c r="J40" s="229" t="s">
        <v>626</v>
      </c>
      <c r="K40" s="230" t="s">
        <v>1012</v>
      </c>
    </row>
    <row r="41" spans="2:14" ht="14.25" customHeight="1">
      <c r="B41" s="223" t="s">
        <v>727</v>
      </c>
      <c r="C41" s="224" t="s">
        <v>1044</v>
      </c>
      <c r="D41" s="225" t="s">
        <v>721</v>
      </c>
      <c r="E41" s="225" t="s">
        <v>714</v>
      </c>
      <c r="F41" s="225" t="s">
        <v>624</v>
      </c>
      <c r="G41" s="225" t="s">
        <v>709</v>
      </c>
      <c r="H41" s="225" t="s">
        <v>716</v>
      </c>
      <c r="I41" s="225" t="s">
        <v>717</v>
      </c>
      <c r="J41" s="225" t="s">
        <v>607</v>
      </c>
      <c r="K41" s="226" t="s">
        <v>728</v>
      </c>
    </row>
    <row r="42" spans="2:14" ht="14.25" customHeight="1">
      <c r="B42" s="227" t="s">
        <v>1053</v>
      </c>
      <c r="C42" s="228" t="s">
        <v>1044</v>
      </c>
      <c r="D42" s="229" t="s">
        <v>721</v>
      </c>
      <c r="E42" s="229" t="s">
        <v>714</v>
      </c>
      <c r="F42" s="229" t="s">
        <v>624</v>
      </c>
      <c r="G42" s="229" t="s">
        <v>709</v>
      </c>
      <c r="H42" s="229" t="s">
        <v>716</v>
      </c>
      <c r="I42" s="229" t="s">
        <v>674</v>
      </c>
      <c r="J42" s="229" t="s">
        <v>729</v>
      </c>
      <c r="K42" s="230" t="s">
        <v>1013</v>
      </c>
    </row>
    <row r="43" spans="2:14" ht="14.25" customHeight="1">
      <c r="B43" s="223" t="s">
        <v>1054</v>
      </c>
      <c r="C43" s="224" t="s">
        <v>1044</v>
      </c>
      <c r="D43" s="225" t="s">
        <v>730</v>
      </c>
      <c r="E43" s="225" t="s">
        <v>714</v>
      </c>
      <c r="F43" s="225" t="s">
        <v>624</v>
      </c>
      <c r="G43" s="225" t="s">
        <v>709</v>
      </c>
      <c r="H43" s="225" t="s">
        <v>710</v>
      </c>
      <c r="I43" s="225" t="s">
        <v>674</v>
      </c>
      <c r="J43" s="225" t="s">
        <v>626</v>
      </c>
      <c r="K43" s="226" t="s">
        <v>731</v>
      </c>
    </row>
    <row r="44" spans="2:14" ht="14.25" customHeight="1">
      <c r="B44" s="227" t="s">
        <v>1043</v>
      </c>
      <c r="C44" s="228" t="s">
        <v>1044</v>
      </c>
      <c r="D44" s="229" t="s">
        <v>732</v>
      </c>
      <c r="E44" s="229" t="s">
        <v>714</v>
      </c>
      <c r="F44" s="229" t="s">
        <v>624</v>
      </c>
      <c r="G44" s="229" t="s">
        <v>709</v>
      </c>
      <c r="H44" s="229" t="s">
        <v>710</v>
      </c>
      <c r="I44" s="229" t="s">
        <v>674</v>
      </c>
      <c r="J44" s="229" t="s">
        <v>607</v>
      </c>
      <c r="K44" s="230" t="s">
        <v>707</v>
      </c>
    </row>
    <row r="45" spans="2:14" ht="14.25" customHeight="1">
      <c r="B45" s="223" t="s">
        <v>1055</v>
      </c>
      <c r="C45" s="224" t="s">
        <v>1044</v>
      </c>
      <c r="D45" s="225" t="s">
        <v>732</v>
      </c>
      <c r="E45" s="225" t="s">
        <v>714</v>
      </c>
      <c r="F45" s="225" t="s">
        <v>624</v>
      </c>
      <c r="G45" s="225" t="s">
        <v>709</v>
      </c>
      <c r="H45" s="225" t="s">
        <v>733</v>
      </c>
      <c r="I45" s="225" t="s">
        <v>674</v>
      </c>
      <c r="J45" s="225" t="s">
        <v>607</v>
      </c>
      <c r="K45" s="226" t="s">
        <v>734</v>
      </c>
    </row>
    <row r="46" spans="2:14" ht="14.25" customHeight="1">
      <c r="B46" s="227" t="s">
        <v>735</v>
      </c>
      <c r="C46" s="228" t="s">
        <v>1044</v>
      </c>
      <c r="D46" s="229" t="s">
        <v>736</v>
      </c>
      <c r="E46" s="229" t="s">
        <v>737</v>
      </c>
      <c r="F46" s="229" t="s">
        <v>738</v>
      </c>
      <c r="G46" s="229" t="s">
        <v>739</v>
      </c>
      <c r="H46" s="229" t="s">
        <v>740</v>
      </c>
      <c r="I46" s="229" t="s">
        <v>741</v>
      </c>
      <c r="J46" s="229" t="s">
        <v>742</v>
      </c>
      <c r="K46" s="230" t="s">
        <v>1014</v>
      </c>
    </row>
    <row r="47" spans="2:14" ht="14.25" customHeight="1">
      <c r="B47" s="223" t="s">
        <v>743</v>
      </c>
      <c r="C47" s="224" t="s">
        <v>744</v>
      </c>
      <c r="D47" s="225" t="s">
        <v>745</v>
      </c>
      <c r="E47" s="225" t="s">
        <v>746</v>
      </c>
      <c r="F47" s="225" t="s">
        <v>738</v>
      </c>
      <c r="G47" s="225" t="s">
        <v>747</v>
      </c>
      <c r="H47" s="225" t="s">
        <v>635</v>
      </c>
      <c r="I47" s="225" t="s">
        <v>748</v>
      </c>
      <c r="J47" s="225" t="s">
        <v>749</v>
      </c>
      <c r="K47" s="226" t="s">
        <v>750</v>
      </c>
    </row>
    <row r="48" spans="2:14" ht="14.25" customHeight="1">
      <c r="B48" s="227" t="s">
        <v>751</v>
      </c>
      <c r="C48" s="228" t="s">
        <v>744</v>
      </c>
      <c r="D48" s="229" t="s">
        <v>752</v>
      </c>
      <c r="E48" s="229" t="s">
        <v>753</v>
      </c>
      <c r="F48" s="229" t="s">
        <v>738</v>
      </c>
      <c r="G48" s="229" t="s">
        <v>635</v>
      </c>
      <c r="H48" s="229" t="s">
        <v>754</v>
      </c>
      <c r="I48" s="229" t="s">
        <v>755</v>
      </c>
      <c r="J48" s="229" t="s">
        <v>636</v>
      </c>
      <c r="K48" s="230" t="s">
        <v>756</v>
      </c>
    </row>
    <row r="49" spans="2:11" ht="14.25" customHeight="1">
      <c r="B49" s="223" t="s">
        <v>757</v>
      </c>
      <c r="C49" s="224" t="s">
        <v>744</v>
      </c>
      <c r="D49" s="225" t="s">
        <v>758</v>
      </c>
      <c r="E49" s="225" t="s">
        <v>759</v>
      </c>
      <c r="F49" s="225" t="s">
        <v>624</v>
      </c>
      <c r="G49" s="225" t="s">
        <v>605</v>
      </c>
      <c r="H49" s="225" t="s">
        <v>710</v>
      </c>
      <c r="I49" s="225" t="s">
        <v>725</v>
      </c>
      <c r="J49" s="225" t="s">
        <v>607</v>
      </c>
      <c r="K49" s="226" t="s">
        <v>760</v>
      </c>
    </row>
    <row r="50" spans="2:11" ht="14.25" customHeight="1">
      <c r="B50" s="227" t="s">
        <v>761</v>
      </c>
      <c r="C50" s="228" t="s">
        <v>762</v>
      </c>
      <c r="D50" s="229" t="s">
        <v>763</v>
      </c>
      <c r="E50" s="229" t="s">
        <v>764</v>
      </c>
      <c r="F50" s="229" t="s">
        <v>624</v>
      </c>
      <c r="G50" s="229" t="s">
        <v>765</v>
      </c>
      <c r="H50" s="229" t="s">
        <v>605</v>
      </c>
      <c r="I50" s="229" t="s">
        <v>674</v>
      </c>
      <c r="J50" s="229" t="s">
        <v>617</v>
      </c>
      <c r="K50" s="230" t="s">
        <v>766</v>
      </c>
    </row>
    <row r="51" spans="2:11" ht="14.25" customHeight="1">
      <c r="B51" s="223" t="s">
        <v>767</v>
      </c>
      <c r="C51" s="224" t="s">
        <v>762</v>
      </c>
      <c r="D51" s="225" t="s">
        <v>768</v>
      </c>
      <c r="E51" s="225" t="s">
        <v>769</v>
      </c>
      <c r="F51" s="225" t="s">
        <v>624</v>
      </c>
      <c r="G51" s="225" t="s">
        <v>765</v>
      </c>
      <c r="H51" s="225" t="s">
        <v>605</v>
      </c>
      <c r="I51" s="225" t="s">
        <v>770</v>
      </c>
      <c r="J51" s="225" t="s">
        <v>617</v>
      </c>
      <c r="K51" s="226" t="s">
        <v>771</v>
      </c>
    </row>
    <row r="52" spans="2:11" ht="14.25" customHeight="1">
      <c r="B52" s="227" t="s">
        <v>772</v>
      </c>
      <c r="C52" s="228" t="s">
        <v>762</v>
      </c>
      <c r="D52" s="229" t="s">
        <v>773</v>
      </c>
      <c r="E52" s="229" t="s">
        <v>774</v>
      </c>
      <c r="F52" s="229" t="s">
        <v>624</v>
      </c>
      <c r="G52" s="229" t="s">
        <v>605</v>
      </c>
      <c r="H52" s="229" t="s">
        <v>716</v>
      </c>
      <c r="I52" s="229" t="s">
        <v>674</v>
      </c>
      <c r="J52" s="229" t="s">
        <v>775</v>
      </c>
      <c r="K52" s="230" t="s">
        <v>776</v>
      </c>
    </row>
    <row r="53" spans="2:11" ht="14.25" customHeight="1">
      <c r="B53" s="223" t="s">
        <v>777</v>
      </c>
      <c r="C53" s="224" t="s">
        <v>762</v>
      </c>
      <c r="D53" s="225" t="s">
        <v>768</v>
      </c>
      <c r="E53" s="225" t="s">
        <v>778</v>
      </c>
      <c r="F53" s="225" t="s">
        <v>624</v>
      </c>
      <c r="G53" s="225" t="s">
        <v>779</v>
      </c>
      <c r="H53" s="225" t="s">
        <v>705</v>
      </c>
      <c r="I53" s="225" t="s">
        <v>606</v>
      </c>
      <c r="J53" s="225" t="s">
        <v>626</v>
      </c>
      <c r="K53" s="226" t="s">
        <v>780</v>
      </c>
    </row>
    <row r="54" spans="2:11" ht="14.25" customHeight="1">
      <c r="B54" s="227" t="s">
        <v>781</v>
      </c>
      <c r="C54" s="228" t="s">
        <v>762</v>
      </c>
      <c r="D54" s="229" t="s">
        <v>773</v>
      </c>
      <c r="E54" s="229" t="s">
        <v>774</v>
      </c>
      <c r="F54" s="229" t="s">
        <v>624</v>
      </c>
      <c r="G54" s="229" t="s">
        <v>605</v>
      </c>
      <c r="H54" s="229" t="s">
        <v>782</v>
      </c>
      <c r="I54" s="229" t="s">
        <v>674</v>
      </c>
      <c r="J54" s="229" t="s">
        <v>607</v>
      </c>
      <c r="K54" s="230" t="s">
        <v>783</v>
      </c>
    </row>
    <row r="55" spans="2:11" ht="14.25" customHeight="1">
      <c r="B55" s="223" t="s">
        <v>1015</v>
      </c>
      <c r="C55" s="224" t="s">
        <v>762</v>
      </c>
      <c r="D55" s="225" t="s">
        <v>773</v>
      </c>
      <c r="E55" s="225" t="s">
        <v>774</v>
      </c>
      <c r="F55" s="225" t="s">
        <v>624</v>
      </c>
      <c r="G55" s="225" t="s">
        <v>605</v>
      </c>
      <c r="H55" s="225" t="s">
        <v>782</v>
      </c>
      <c r="I55" s="225" t="s">
        <v>674</v>
      </c>
      <c r="J55" s="225" t="s">
        <v>607</v>
      </c>
      <c r="K55" s="226" t="s">
        <v>784</v>
      </c>
    </row>
    <row r="56" spans="2:11" ht="14.25" customHeight="1">
      <c r="B56" s="227" t="s">
        <v>1016</v>
      </c>
      <c r="C56" s="228" t="s">
        <v>762</v>
      </c>
      <c r="D56" s="229" t="s">
        <v>773</v>
      </c>
      <c r="E56" s="229" t="s">
        <v>774</v>
      </c>
      <c r="F56" s="229" t="s">
        <v>624</v>
      </c>
      <c r="G56" s="229" t="s">
        <v>605</v>
      </c>
      <c r="H56" s="229" t="s">
        <v>782</v>
      </c>
      <c r="I56" s="229" t="s">
        <v>674</v>
      </c>
      <c r="J56" s="229" t="s">
        <v>626</v>
      </c>
      <c r="K56" s="230" t="s">
        <v>785</v>
      </c>
    </row>
    <row r="57" spans="2:11" ht="14.25" customHeight="1">
      <c r="B57" s="223" t="s">
        <v>786</v>
      </c>
      <c r="C57" s="224" t="s">
        <v>762</v>
      </c>
      <c r="D57" s="225" t="s">
        <v>787</v>
      </c>
      <c r="E57" s="225" t="s">
        <v>774</v>
      </c>
      <c r="F57" s="225" t="s">
        <v>624</v>
      </c>
      <c r="G57" s="225" t="s">
        <v>605</v>
      </c>
      <c r="H57" s="225" t="s">
        <v>782</v>
      </c>
      <c r="I57" s="225" t="s">
        <v>725</v>
      </c>
      <c r="J57" s="225" t="s">
        <v>626</v>
      </c>
      <c r="K57" s="226" t="s">
        <v>776</v>
      </c>
    </row>
    <row r="58" spans="2:11" ht="14.25" customHeight="1">
      <c r="B58" s="227" t="s">
        <v>788</v>
      </c>
      <c r="C58" s="228" t="s">
        <v>762</v>
      </c>
      <c r="D58" s="229" t="s">
        <v>789</v>
      </c>
      <c r="E58" s="229" t="s">
        <v>674</v>
      </c>
      <c r="F58" s="229" t="s">
        <v>624</v>
      </c>
      <c r="G58" s="229" t="s">
        <v>790</v>
      </c>
      <c r="H58" s="229" t="s">
        <v>672</v>
      </c>
      <c r="I58" s="229" t="s">
        <v>674</v>
      </c>
      <c r="J58" s="229" t="s">
        <v>607</v>
      </c>
      <c r="K58" s="230" t="s">
        <v>791</v>
      </c>
    </row>
    <row r="59" spans="2:11" ht="14.25" customHeight="1">
      <c r="B59" s="223" t="s">
        <v>792</v>
      </c>
      <c r="C59" s="224" t="s">
        <v>762</v>
      </c>
      <c r="D59" s="225" t="s">
        <v>793</v>
      </c>
      <c r="E59" s="225" t="s">
        <v>794</v>
      </c>
      <c r="F59" s="225" t="s">
        <v>1036</v>
      </c>
      <c r="G59" s="225" t="s">
        <v>790</v>
      </c>
      <c r="H59" s="225" t="s">
        <v>672</v>
      </c>
      <c r="I59" s="225" t="s">
        <v>674</v>
      </c>
      <c r="J59" s="225" t="s">
        <v>617</v>
      </c>
      <c r="K59" s="226" t="s">
        <v>795</v>
      </c>
    </row>
    <row r="60" spans="2:11" ht="14.25" customHeight="1">
      <c r="B60" s="227" t="s">
        <v>796</v>
      </c>
      <c r="C60" s="228" t="s">
        <v>762</v>
      </c>
      <c r="D60" s="229" t="s">
        <v>797</v>
      </c>
      <c r="E60" s="229" t="s">
        <v>794</v>
      </c>
      <c r="F60" s="229" t="s">
        <v>1036</v>
      </c>
      <c r="G60" s="229" t="s">
        <v>790</v>
      </c>
      <c r="H60" s="229" t="s">
        <v>672</v>
      </c>
      <c r="I60" s="229" t="s">
        <v>674</v>
      </c>
      <c r="J60" s="229" t="s">
        <v>617</v>
      </c>
      <c r="K60" s="230" t="s">
        <v>798</v>
      </c>
    </row>
    <row r="61" spans="2:11" ht="14.25" customHeight="1">
      <c r="B61" s="223" t="s">
        <v>1539</v>
      </c>
      <c r="C61" s="224" t="s">
        <v>762</v>
      </c>
      <c r="D61" s="225" t="s">
        <v>799</v>
      </c>
      <c r="E61" s="225" t="s">
        <v>794</v>
      </c>
      <c r="F61" s="225" t="s">
        <v>1036</v>
      </c>
      <c r="G61" s="225" t="s">
        <v>790</v>
      </c>
      <c r="H61" s="225" t="s">
        <v>672</v>
      </c>
      <c r="I61" s="225" t="s">
        <v>674</v>
      </c>
      <c r="J61" s="225" t="s">
        <v>607</v>
      </c>
      <c r="K61" s="226" t="s">
        <v>800</v>
      </c>
    </row>
    <row r="62" spans="2:11" ht="14.25" customHeight="1">
      <c r="B62" s="227" t="s">
        <v>801</v>
      </c>
      <c r="C62" s="228" t="s">
        <v>762</v>
      </c>
      <c r="D62" s="229" t="s">
        <v>799</v>
      </c>
      <c r="E62" s="229" t="s">
        <v>794</v>
      </c>
      <c r="F62" s="229" t="s">
        <v>1036</v>
      </c>
      <c r="G62" s="229" t="s">
        <v>605</v>
      </c>
      <c r="H62" s="229" t="s">
        <v>782</v>
      </c>
      <c r="I62" s="229" t="s">
        <v>674</v>
      </c>
      <c r="J62" s="229" t="s">
        <v>626</v>
      </c>
      <c r="K62" s="230" t="s">
        <v>802</v>
      </c>
    </row>
    <row r="63" spans="2:11" ht="14.25" customHeight="1">
      <c r="B63" s="223" t="s">
        <v>803</v>
      </c>
      <c r="C63" s="224" t="s">
        <v>762</v>
      </c>
      <c r="D63" s="225" t="s">
        <v>799</v>
      </c>
      <c r="E63" s="225" t="s">
        <v>794</v>
      </c>
      <c r="F63" s="225" t="s">
        <v>1036</v>
      </c>
      <c r="G63" s="225" t="s">
        <v>672</v>
      </c>
      <c r="H63" s="225" t="s">
        <v>782</v>
      </c>
      <c r="I63" s="225" t="s">
        <v>674</v>
      </c>
      <c r="J63" s="225" t="s">
        <v>626</v>
      </c>
      <c r="K63" s="226" t="s">
        <v>802</v>
      </c>
    </row>
    <row r="64" spans="2:11" ht="14.25" customHeight="1">
      <c r="B64" s="227" t="s">
        <v>804</v>
      </c>
      <c r="C64" s="228" t="s">
        <v>762</v>
      </c>
      <c r="D64" s="229" t="s">
        <v>805</v>
      </c>
      <c r="E64" s="229" t="s">
        <v>702</v>
      </c>
      <c r="F64" s="229" t="s">
        <v>1036</v>
      </c>
      <c r="G64" s="229" t="s">
        <v>790</v>
      </c>
      <c r="H64" s="229" t="s">
        <v>672</v>
      </c>
      <c r="I64" s="229" t="s">
        <v>674</v>
      </c>
      <c r="J64" s="229" t="s">
        <v>617</v>
      </c>
      <c r="K64" s="230" t="s">
        <v>806</v>
      </c>
    </row>
    <row r="65" spans="2:11" ht="14.25" customHeight="1">
      <c r="B65" s="223" t="s">
        <v>807</v>
      </c>
      <c r="C65" s="224" t="s">
        <v>762</v>
      </c>
      <c r="D65" s="225" t="s">
        <v>808</v>
      </c>
      <c r="E65" s="225" t="s">
        <v>794</v>
      </c>
      <c r="F65" s="225" t="s">
        <v>1036</v>
      </c>
      <c r="G65" s="225" t="s">
        <v>790</v>
      </c>
      <c r="H65" s="225" t="s">
        <v>672</v>
      </c>
      <c r="I65" s="225" t="s">
        <v>674</v>
      </c>
      <c r="J65" s="225" t="s">
        <v>809</v>
      </c>
      <c r="K65" s="226" t="s">
        <v>810</v>
      </c>
    </row>
    <row r="66" spans="2:11" ht="14.25" customHeight="1">
      <c r="B66" s="227" t="s">
        <v>811</v>
      </c>
      <c r="C66" s="228" t="s">
        <v>762</v>
      </c>
      <c r="D66" s="229" t="s">
        <v>799</v>
      </c>
      <c r="E66" s="229" t="s">
        <v>794</v>
      </c>
      <c r="F66" s="229" t="s">
        <v>1036</v>
      </c>
      <c r="G66" s="229" t="s">
        <v>790</v>
      </c>
      <c r="H66" s="229" t="s">
        <v>733</v>
      </c>
      <c r="I66" s="229" t="s">
        <v>674</v>
      </c>
      <c r="J66" s="229" t="s">
        <v>626</v>
      </c>
      <c r="K66" s="230" t="s">
        <v>1017</v>
      </c>
    </row>
    <row r="67" spans="2:11" ht="14.25" customHeight="1">
      <c r="B67" s="223" t="s">
        <v>812</v>
      </c>
      <c r="C67" s="224" t="s">
        <v>762</v>
      </c>
      <c r="D67" s="225" t="s">
        <v>799</v>
      </c>
      <c r="E67" s="225" t="s">
        <v>794</v>
      </c>
      <c r="F67" s="225" t="s">
        <v>1036</v>
      </c>
      <c r="G67" s="225" t="s">
        <v>605</v>
      </c>
      <c r="H67" s="225" t="s">
        <v>716</v>
      </c>
      <c r="I67" s="225" t="s">
        <v>725</v>
      </c>
      <c r="J67" s="225" t="s">
        <v>626</v>
      </c>
      <c r="K67" s="226" t="s">
        <v>1018</v>
      </c>
    </row>
    <row r="68" spans="2:11" ht="14.25" customHeight="1">
      <c r="B68" s="227" t="s">
        <v>1019</v>
      </c>
      <c r="C68" s="228" t="s">
        <v>762</v>
      </c>
      <c r="D68" s="229" t="s">
        <v>768</v>
      </c>
      <c r="E68" s="229" t="s">
        <v>674</v>
      </c>
      <c r="F68" s="229" t="s">
        <v>624</v>
      </c>
      <c r="G68" s="229" t="s">
        <v>813</v>
      </c>
      <c r="H68" s="229" t="s">
        <v>814</v>
      </c>
      <c r="I68" s="229" t="s">
        <v>674</v>
      </c>
      <c r="J68" s="229" t="s">
        <v>626</v>
      </c>
      <c r="K68" s="230" t="s">
        <v>1010</v>
      </c>
    </row>
    <row r="69" spans="2:11" ht="14.25" customHeight="1">
      <c r="B69" s="223" t="s">
        <v>1020</v>
      </c>
      <c r="C69" s="224" t="s">
        <v>762</v>
      </c>
      <c r="D69" s="225" t="s">
        <v>815</v>
      </c>
      <c r="E69" s="225" t="s">
        <v>774</v>
      </c>
      <c r="F69" s="225" t="s">
        <v>624</v>
      </c>
      <c r="G69" s="225" t="s">
        <v>813</v>
      </c>
      <c r="H69" s="225" t="s">
        <v>814</v>
      </c>
      <c r="I69" s="225" t="s">
        <v>606</v>
      </c>
      <c r="J69" s="225" t="s">
        <v>626</v>
      </c>
      <c r="K69" s="226" t="s">
        <v>1021</v>
      </c>
    </row>
    <row r="70" spans="2:11" ht="14.25" customHeight="1">
      <c r="B70" s="227" t="s">
        <v>816</v>
      </c>
      <c r="C70" s="228" t="s">
        <v>762</v>
      </c>
      <c r="D70" s="229" t="s">
        <v>817</v>
      </c>
      <c r="E70" s="229" t="s">
        <v>818</v>
      </c>
      <c r="F70" s="229" t="s">
        <v>624</v>
      </c>
      <c r="G70" s="229" t="s">
        <v>605</v>
      </c>
      <c r="H70" s="229" t="s">
        <v>819</v>
      </c>
      <c r="I70" s="229" t="s">
        <v>643</v>
      </c>
      <c r="J70" s="229" t="s">
        <v>626</v>
      </c>
      <c r="K70" s="230" t="s">
        <v>1022</v>
      </c>
    </row>
    <row r="71" spans="2:11" ht="14.25" customHeight="1">
      <c r="B71" s="223" t="s">
        <v>820</v>
      </c>
      <c r="C71" s="224" t="s">
        <v>762</v>
      </c>
      <c r="D71" s="225" t="s">
        <v>773</v>
      </c>
      <c r="E71" s="225" t="s">
        <v>774</v>
      </c>
      <c r="F71" s="225" t="s">
        <v>624</v>
      </c>
      <c r="G71" s="225" t="s">
        <v>821</v>
      </c>
      <c r="H71" s="225" t="s">
        <v>769</v>
      </c>
      <c r="I71" s="225" t="s">
        <v>606</v>
      </c>
      <c r="J71" s="225" t="s">
        <v>626</v>
      </c>
      <c r="K71" s="226" t="s">
        <v>1023</v>
      </c>
    </row>
    <row r="72" spans="2:11" ht="14.25" customHeight="1">
      <c r="B72" s="227" t="s">
        <v>822</v>
      </c>
      <c r="C72" s="228" t="s">
        <v>762</v>
      </c>
      <c r="D72" s="229" t="s">
        <v>815</v>
      </c>
      <c r="E72" s="229" t="s">
        <v>774</v>
      </c>
      <c r="F72" s="229" t="s">
        <v>624</v>
      </c>
      <c r="G72" s="229" t="s">
        <v>821</v>
      </c>
      <c r="H72" s="229" t="s">
        <v>769</v>
      </c>
      <c r="I72" s="229" t="s">
        <v>725</v>
      </c>
      <c r="J72" s="229" t="s">
        <v>626</v>
      </c>
      <c r="K72" s="230" t="s">
        <v>1024</v>
      </c>
    </row>
    <row r="73" spans="2:11" ht="14.25" customHeight="1">
      <c r="B73" s="223" t="s">
        <v>823</v>
      </c>
      <c r="C73" s="224" t="s">
        <v>762</v>
      </c>
      <c r="D73" s="225" t="s">
        <v>815</v>
      </c>
      <c r="E73" s="225" t="s">
        <v>774</v>
      </c>
      <c r="F73" s="225" t="s">
        <v>624</v>
      </c>
      <c r="G73" s="225" t="s">
        <v>821</v>
      </c>
      <c r="H73" s="225" t="s">
        <v>814</v>
      </c>
      <c r="I73" s="225" t="s">
        <v>606</v>
      </c>
      <c r="J73" s="225" t="s">
        <v>626</v>
      </c>
      <c r="K73" s="226" t="s">
        <v>806</v>
      </c>
    </row>
    <row r="74" spans="2:11" ht="14.25" customHeight="1">
      <c r="B74" s="227" t="s">
        <v>824</v>
      </c>
      <c r="C74" s="228" t="s">
        <v>762</v>
      </c>
      <c r="D74" s="229" t="s">
        <v>815</v>
      </c>
      <c r="E74" s="229" t="s">
        <v>778</v>
      </c>
      <c r="F74" s="229" t="s">
        <v>624</v>
      </c>
      <c r="G74" s="229" t="s">
        <v>821</v>
      </c>
      <c r="H74" s="229" t="s">
        <v>814</v>
      </c>
      <c r="I74" s="229" t="s">
        <v>606</v>
      </c>
      <c r="J74" s="229" t="s">
        <v>626</v>
      </c>
      <c r="K74" s="230" t="s">
        <v>806</v>
      </c>
    </row>
    <row r="75" spans="2:11" ht="14.25" customHeight="1">
      <c r="B75" s="223" t="s">
        <v>825</v>
      </c>
      <c r="C75" s="224" t="s">
        <v>762</v>
      </c>
      <c r="D75" s="225" t="s">
        <v>815</v>
      </c>
      <c r="E75" s="225" t="s">
        <v>774</v>
      </c>
      <c r="F75" s="225" t="s">
        <v>624</v>
      </c>
      <c r="G75" s="225" t="s">
        <v>813</v>
      </c>
      <c r="H75" s="225" t="s">
        <v>814</v>
      </c>
      <c r="I75" s="225" t="s">
        <v>717</v>
      </c>
      <c r="J75" s="225" t="s">
        <v>626</v>
      </c>
      <c r="K75" s="226" t="s">
        <v>1025</v>
      </c>
    </row>
    <row r="76" spans="2:11" ht="14.25" customHeight="1">
      <c r="B76" s="227" t="s">
        <v>826</v>
      </c>
      <c r="C76" s="228" t="s">
        <v>762</v>
      </c>
      <c r="D76" s="229" t="s">
        <v>815</v>
      </c>
      <c r="E76" s="229" t="s">
        <v>774</v>
      </c>
      <c r="F76" s="229" t="s">
        <v>624</v>
      </c>
      <c r="G76" s="229" t="s">
        <v>827</v>
      </c>
      <c r="H76" s="229" t="s">
        <v>814</v>
      </c>
      <c r="I76" s="229" t="s">
        <v>717</v>
      </c>
      <c r="J76" s="229" t="s">
        <v>626</v>
      </c>
      <c r="K76" s="230" t="s">
        <v>1026</v>
      </c>
    </row>
    <row r="77" spans="2:11" ht="14.25" customHeight="1">
      <c r="B77" s="223" t="s">
        <v>828</v>
      </c>
      <c r="C77" s="224" t="s">
        <v>829</v>
      </c>
      <c r="D77" s="225" t="s">
        <v>721</v>
      </c>
      <c r="E77" s="225" t="s">
        <v>769</v>
      </c>
      <c r="F77" s="225" t="s">
        <v>624</v>
      </c>
      <c r="G77" s="225" t="s">
        <v>813</v>
      </c>
      <c r="H77" s="225" t="s">
        <v>830</v>
      </c>
      <c r="I77" s="225" t="s">
        <v>643</v>
      </c>
      <c r="J77" s="225" t="s">
        <v>617</v>
      </c>
      <c r="K77" s="226" t="s">
        <v>831</v>
      </c>
    </row>
    <row r="78" spans="2:11" ht="14.25" customHeight="1">
      <c r="B78" s="227" t="s">
        <v>1027</v>
      </c>
      <c r="C78" s="228" t="s">
        <v>829</v>
      </c>
      <c r="D78" s="229" t="s">
        <v>721</v>
      </c>
      <c r="E78" s="229" t="s">
        <v>769</v>
      </c>
      <c r="F78" s="229" t="s">
        <v>624</v>
      </c>
      <c r="G78" s="229" t="s">
        <v>813</v>
      </c>
      <c r="H78" s="229" t="s">
        <v>832</v>
      </c>
      <c r="I78" s="229" t="s">
        <v>606</v>
      </c>
      <c r="J78" s="229" t="s">
        <v>626</v>
      </c>
      <c r="K78" s="230" t="s">
        <v>806</v>
      </c>
    </row>
    <row r="79" spans="2:11" ht="14.25" customHeight="1">
      <c r="B79" s="223" t="s">
        <v>1028</v>
      </c>
      <c r="C79" s="224" t="s">
        <v>829</v>
      </c>
      <c r="D79" s="225" t="s">
        <v>721</v>
      </c>
      <c r="E79" s="225" t="s">
        <v>714</v>
      </c>
      <c r="F79" s="225" t="s">
        <v>624</v>
      </c>
      <c r="G79" s="225" t="s">
        <v>833</v>
      </c>
      <c r="H79" s="225" t="s">
        <v>834</v>
      </c>
      <c r="I79" s="225" t="s">
        <v>643</v>
      </c>
      <c r="J79" s="225" t="s">
        <v>626</v>
      </c>
      <c r="K79" s="226" t="s">
        <v>1029</v>
      </c>
    </row>
    <row r="80" spans="2:11" ht="14.25" customHeight="1">
      <c r="B80" s="227" t="s">
        <v>835</v>
      </c>
      <c r="C80" s="228" t="s">
        <v>829</v>
      </c>
      <c r="D80" s="229" t="s">
        <v>713</v>
      </c>
      <c r="E80" s="229" t="s">
        <v>714</v>
      </c>
      <c r="F80" s="229" t="s">
        <v>624</v>
      </c>
      <c r="G80" s="229" t="s">
        <v>833</v>
      </c>
      <c r="H80" s="229" t="s">
        <v>769</v>
      </c>
      <c r="I80" s="229" t="s">
        <v>643</v>
      </c>
      <c r="J80" s="229" t="s">
        <v>626</v>
      </c>
      <c r="K80" s="230" t="s">
        <v>806</v>
      </c>
    </row>
    <row r="81" spans="2:11" ht="14.25" customHeight="1">
      <c r="B81" s="223" t="s">
        <v>836</v>
      </c>
      <c r="C81" s="224" t="s">
        <v>829</v>
      </c>
      <c r="D81" s="225" t="s">
        <v>732</v>
      </c>
      <c r="E81" s="225" t="s">
        <v>769</v>
      </c>
      <c r="F81" s="225" t="s">
        <v>624</v>
      </c>
      <c r="G81" s="225" t="s">
        <v>837</v>
      </c>
      <c r="H81" s="225" t="s">
        <v>838</v>
      </c>
      <c r="I81" s="225" t="s">
        <v>643</v>
      </c>
      <c r="J81" s="225" t="s">
        <v>617</v>
      </c>
      <c r="K81" s="226" t="s">
        <v>839</v>
      </c>
    </row>
    <row r="82" spans="2:11" ht="14.25" customHeight="1">
      <c r="B82" s="227" t="s">
        <v>840</v>
      </c>
      <c r="C82" s="228" t="s">
        <v>829</v>
      </c>
      <c r="D82" s="229" t="s">
        <v>721</v>
      </c>
      <c r="E82" s="229" t="s">
        <v>769</v>
      </c>
      <c r="F82" s="229" t="s">
        <v>624</v>
      </c>
      <c r="G82" s="229" t="s">
        <v>813</v>
      </c>
      <c r="H82" s="229" t="s">
        <v>834</v>
      </c>
      <c r="I82" s="229" t="s">
        <v>725</v>
      </c>
      <c r="J82" s="229" t="s">
        <v>626</v>
      </c>
      <c r="K82" s="230" t="s">
        <v>1021</v>
      </c>
    </row>
    <row r="83" spans="2:11" ht="14.25" customHeight="1">
      <c r="B83" s="223" t="s">
        <v>841</v>
      </c>
      <c r="C83" s="224" t="s">
        <v>842</v>
      </c>
      <c r="D83" s="225" t="s">
        <v>773</v>
      </c>
      <c r="E83" s="225" t="s">
        <v>674</v>
      </c>
      <c r="F83" s="225" t="s">
        <v>624</v>
      </c>
      <c r="G83" s="225" t="s">
        <v>843</v>
      </c>
      <c r="H83" s="225" t="s">
        <v>771</v>
      </c>
      <c r="I83" s="225" t="s">
        <v>643</v>
      </c>
      <c r="J83" s="225" t="s">
        <v>809</v>
      </c>
      <c r="K83" s="226" t="s">
        <v>844</v>
      </c>
    </row>
    <row r="84" spans="2:11" ht="14.25" customHeight="1">
      <c r="B84" s="227" t="s">
        <v>845</v>
      </c>
      <c r="C84" s="228" t="s">
        <v>842</v>
      </c>
      <c r="D84" s="229" t="s">
        <v>773</v>
      </c>
      <c r="E84" s="229" t="s">
        <v>778</v>
      </c>
      <c r="F84" s="229" t="s">
        <v>624</v>
      </c>
      <c r="G84" s="229" t="s">
        <v>813</v>
      </c>
      <c r="H84" s="229" t="s">
        <v>769</v>
      </c>
      <c r="I84" s="229" t="s">
        <v>674</v>
      </c>
      <c r="J84" s="229" t="s">
        <v>617</v>
      </c>
      <c r="K84" s="230" t="s">
        <v>846</v>
      </c>
    </row>
    <row r="85" spans="2:11" ht="14.25" customHeight="1">
      <c r="B85" s="223" t="s">
        <v>847</v>
      </c>
      <c r="C85" s="224" t="s">
        <v>842</v>
      </c>
      <c r="D85" s="225" t="s">
        <v>773</v>
      </c>
      <c r="E85" s="225" t="s">
        <v>848</v>
      </c>
      <c r="F85" s="225" t="s">
        <v>624</v>
      </c>
      <c r="G85" s="225" t="s">
        <v>843</v>
      </c>
      <c r="H85" s="225" t="s">
        <v>818</v>
      </c>
      <c r="I85" s="225" t="s">
        <v>643</v>
      </c>
      <c r="J85" s="225" t="s">
        <v>617</v>
      </c>
      <c r="K85" s="226" t="s">
        <v>849</v>
      </c>
    </row>
    <row r="86" spans="2:11" ht="14.25" customHeight="1">
      <c r="B86" s="227" t="s">
        <v>850</v>
      </c>
      <c r="C86" s="228" t="s">
        <v>842</v>
      </c>
      <c r="D86" s="229" t="s">
        <v>773</v>
      </c>
      <c r="E86" s="229" t="s">
        <v>774</v>
      </c>
      <c r="F86" s="229" t="s">
        <v>624</v>
      </c>
      <c r="G86" s="229" t="s">
        <v>837</v>
      </c>
      <c r="H86" s="229" t="s">
        <v>851</v>
      </c>
      <c r="I86" s="229" t="s">
        <v>643</v>
      </c>
      <c r="J86" s="229" t="s">
        <v>617</v>
      </c>
      <c r="K86" s="230" t="s">
        <v>852</v>
      </c>
    </row>
    <row r="87" spans="2:11" ht="14.25" customHeight="1">
      <c r="B87" s="223" t="s">
        <v>853</v>
      </c>
      <c r="C87" s="224" t="s">
        <v>842</v>
      </c>
      <c r="D87" s="225" t="s">
        <v>773</v>
      </c>
      <c r="E87" s="225" t="s">
        <v>774</v>
      </c>
      <c r="F87" s="225" t="s">
        <v>624</v>
      </c>
      <c r="G87" s="225" t="s">
        <v>843</v>
      </c>
      <c r="H87" s="225" t="s">
        <v>854</v>
      </c>
      <c r="I87" s="225" t="s">
        <v>643</v>
      </c>
      <c r="J87" s="225" t="s">
        <v>617</v>
      </c>
      <c r="K87" s="226" t="s">
        <v>855</v>
      </c>
    </row>
    <row r="88" spans="2:11" ht="14.25" customHeight="1">
      <c r="B88" s="227" t="s">
        <v>856</v>
      </c>
      <c r="C88" s="228" t="s">
        <v>842</v>
      </c>
      <c r="D88" s="229" t="s">
        <v>773</v>
      </c>
      <c r="E88" s="229" t="s">
        <v>771</v>
      </c>
      <c r="F88" s="229" t="s">
        <v>624</v>
      </c>
      <c r="G88" s="229" t="s">
        <v>843</v>
      </c>
      <c r="H88" s="229" t="s">
        <v>857</v>
      </c>
      <c r="I88" s="229" t="s">
        <v>725</v>
      </c>
      <c r="J88" s="229" t="s">
        <v>626</v>
      </c>
      <c r="K88" s="230" t="s">
        <v>806</v>
      </c>
    </row>
    <row r="89" spans="2:11" ht="14.25" customHeight="1">
      <c r="B89" s="223" t="s">
        <v>858</v>
      </c>
      <c r="C89" s="224" t="s">
        <v>842</v>
      </c>
      <c r="D89" s="225" t="s">
        <v>815</v>
      </c>
      <c r="E89" s="225" t="s">
        <v>774</v>
      </c>
      <c r="F89" s="225" t="s">
        <v>624</v>
      </c>
      <c r="G89" s="225" t="s">
        <v>843</v>
      </c>
      <c r="H89" s="225" t="s">
        <v>859</v>
      </c>
      <c r="I89" s="225" t="s">
        <v>717</v>
      </c>
      <c r="J89" s="225" t="s">
        <v>626</v>
      </c>
      <c r="K89" s="226" t="s">
        <v>806</v>
      </c>
    </row>
    <row r="90" spans="2:11" ht="14.25" customHeight="1">
      <c r="B90" s="227" t="s">
        <v>860</v>
      </c>
      <c r="C90" s="228" t="s">
        <v>842</v>
      </c>
      <c r="D90" s="229" t="s">
        <v>773</v>
      </c>
      <c r="E90" s="229" t="s">
        <v>774</v>
      </c>
      <c r="F90" s="229" t="s">
        <v>624</v>
      </c>
      <c r="G90" s="229" t="s">
        <v>843</v>
      </c>
      <c r="H90" s="229" t="s">
        <v>818</v>
      </c>
      <c r="I90" s="229" t="s">
        <v>717</v>
      </c>
      <c r="J90" s="229" t="s">
        <v>617</v>
      </c>
      <c r="K90" s="230" t="s">
        <v>806</v>
      </c>
    </row>
    <row r="91" spans="2:11" ht="14.25" customHeight="1">
      <c r="B91" s="223" t="s">
        <v>861</v>
      </c>
      <c r="C91" s="224" t="s">
        <v>667</v>
      </c>
      <c r="D91" s="225" t="s">
        <v>862</v>
      </c>
      <c r="E91" s="225" t="s">
        <v>681</v>
      </c>
      <c r="F91" s="225" t="s">
        <v>624</v>
      </c>
      <c r="G91" s="225" t="s">
        <v>642</v>
      </c>
      <c r="H91" s="225" t="s">
        <v>673</v>
      </c>
      <c r="I91" s="225" t="s">
        <v>625</v>
      </c>
      <c r="J91" s="225" t="s">
        <v>607</v>
      </c>
      <c r="K91" s="226" t="s">
        <v>806</v>
      </c>
    </row>
    <row r="92" spans="2:11" ht="14.25" customHeight="1">
      <c r="B92" s="227" t="s">
        <v>863</v>
      </c>
      <c r="C92" s="228" t="s">
        <v>1044</v>
      </c>
      <c r="D92" s="229" t="s">
        <v>864</v>
      </c>
      <c r="E92" s="229" t="s">
        <v>705</v>
      </c>
      <c r="F92" s="229" t="s">
        <v>624</v>
      </c>
      <c r="G92" s="229" t="s">
        <v>642</v>
      </c>
      <c r="H92" s="229" t="s">
        <v>605</v>
      </c>
      <c r="I92" s="229" t="s">
        <v>674</v>
      </c>
      <c r="J92" s="229" t="s">
        <v>607</v>
      </c>
      <c r="K92" s="230" t="s">
        <v>865</v>
      </c>
    </row>
    <row r="93" spans="2:11" ht="14.25" customHeight="1">
      <c r="B93" s="223" t="s">
        <v>866</v>
      </c>
      <c r="C93" s="224" t="s">
        <v>867</v>
      </c>
      <c r="D93" s="225" t="s">
        <v>868</v>
      </c>
      <c r="E93" s="225" t="s">
        <v>769</v>
      </c>
      <c r="F93" s="225" t="s">
        <v>624</v>
      </c>
      <c r="G93" s="225" t="s">
        <v>765</v>
      </c>
      <c r="H93" s="225" t="s">
        <v>605</v>
      </c>
      <c r="I93" s="225" t="s">
        <v>717</v>
      </c>
      <c r="J93" s="225" t="s">
        <v>626</v>
      </c>
      <c r="K93" s="226" t="s">
        <v>806</v>
      </c>
    </row>
    <row r="94" spans="2:11" ht="14.25" customHeight="1">
      <c r="B94" s="227" t="s">
        <v>869</v>
      </c>
      <c r="C94" s="228" t="s">
        <v>667</v>
      </c>
      <c r="D94" s="229" t="s">
        <v>870</v>
      </c>
      <c r="E94" s="229" t="s">
        <v>669</v>
      </c>
      <c r="F94" s="229" t="s">
        <v>624</v>
      </c>
      <c r="G94" s="229" t="s">
        <v>642</v>
      </c>
      <c r="H94" s="229" t="s">
        <v>673</v>
      </c>
      <c r="I94" s="229" t="s">
        <v>717</v>
      </c>
      <c r="J94" s="229" t="s">
        <v>607</v>
      </c>
      <c r="K94" s="230" t="s">
        <v>871</v>
      </c>
    </row>
    <row r="95" spans="2:11" ht="14.25" customHeight="1">
      <c r="B95" s="223" t="s">
        <v>872</v>
      </c>
      <c r="C95" s="224" t="s">
        <v>523</v>
      </c>
      <c r="D95" s="225" t="s">
        <v>873</v>
      </c>
      <c r="E95" s="225" t="s">
        <v>806</v>
      </c>
      <c r="F95" s="225" t="s">
        <v>624</v>
      </c>
      <c r="G95" s="225" t="s">
        <v>806</v>
      </c>
      <c r="H95" s="225" t="s">
        <v>673</v>
      </c>
      <c r="I95" s="225" t="s">
        <v>674</v>
      </c>
      <c r="J95" s="225" t="s">
        <v>607</v>
      </c>
      <c r="K95" s="226" t="s">
        <v>874</v>
      </c>
    </row>
    <row r="96" spans="2:11" ht="14.25" customHeight="1">
      <c r="B96" s="227" t="s">
        <v>875</v>
      </c>
      <c r="C96" s="228" t="s">
        <v>876</v>
      </c>
      <c r="D96" s="229" t="s">
        <v>877</v>
      </c>
      <c r="E96" s="229" t="s">
        <v>878</v>
      </c>
      <c r="F96" s="229" t="s">
        <v>624</v>
      </c>
      <c r="G96" s="229" t="s">
        <v>879</v>
      </c>
      <c r="H96" s="229" t="s">
        <v>673</v>
      </c>
      <c r="I96" s="229" t="s">
        <v>625</v>
      </c>
      <c r="J96" s="229" t="s">
        <v>607</v>
      </c>
      <c r="K96" s="230" t="s">
        <v>806</v>
      </c>
    </row>
    <row r="97" spans="1:11" ht="14.25" customHeight="1">
      <c r="B97" s="223" t="s">
        <v>880</v>
      </c>
      <c r="C97" s="224" t="s">
        <v>876</v>
      </c>
      <c r="D97" s="225" t="s">
        <v>881</v>
      </c>
      <c r="E97" s="225" t="s">
        <v>878</v>
      </c>
      <c r="F97" s="225" t="s">
        <v>624</v>
      </c>
      <c r="G97" s="225" t="s">
        <v>879</v>
      </c>
      <c r="H97" s="225" t="s">
        <v>673</v>
      </c>
      <c r="I97" s="225" t="s">
        <v>717</v>
      </c>
      <c r="J97" s="225" t="s">
        <v>626</v>
      </c>
      <c r="K97" s="226" t="s">
        <v>806</v>
      </c>
    </row>
    <row r="98" spans="1:11" ht="14.25" customHeight="1">
      <c r="B98" s="227" t="s">
        <v>882</v>
      </c>
      <c r="C98" s="228" t="s">
        <v>667</v>
      </c>
      <c r="D98" s="229" t="s">
        <v>870</v>
      </c>
      <c r="E98" s="229" t="s">
        <v>669</v>
      </c>
      <c r="F98" s="229" t="s">
        <v>624</v>
      </c>
      <c r="G98" s="229" t="s">
        <v>642</v>
      </c>
      <c r="H98" s="229" t="s">
        <v>673</v>
      </c>
      <c r="I98" s="229" t="s">
        <v>717</v>
      </c>
      <c r="J98" s="229" t="s">
        <v>607</v>
      </c>
      <c r="K98" s="230" t="s">
        <v>806</v>
      </c>
    </row>
    <row r="99" spans="1:11" ht="14.25" customHeight="1">
      <c r="B99" s="223" t="s">
        <v>883</v>
      </c>
      <c r="C99" s="224" t="s">
        <v>884</v>
      </c>
      <c r="D99" s="225" t="s">
        <v>885</v>
      </c>
      <c r="E99" s="225" t="s">
        <v>886</v>
      </c>
      <c r="F99" s="225" t="s">
        <v>624</v>
      </c>
      <c r="G99" s="225" t="s">
        <v>672</v>
      </c>
      <c r="H99" s="225" t="s">
        <v>887</v>
      </c>
      <c r="I99" s="225" t="s">
        <v>674</v>
      </c>
      <c r="J99" s="225" t="s">
        <v>626</v>
      </c>
      <c r="K99" s="226" t="s">
        <v>806</v>
      </c>
    </row>
    <row r="100" spans="1:11" ht="14.25" customHeight="1">
      <c r="B100" s="227" t="s">
        <v>888</v>
      </c>
      <c r="C100" s="228" t="s">
        <v>884</v>
      </c>
      <c r="D100" s="229" t="s">
        <v>889</v>
      </c>
      <c r="E100" s="229" t="s">
        <v>886</v>
      </c>
      <c r="F100" s="229" t="s">
        <v>624</v>
      </c>
      <c r="G100" s="229" t="s">
        <v>706</v>
      </c>
      <c r="H100" s="229" t="s">
        <v>887</v>
      </c>
      <c r="I100" s="229" t="s">
        <v>717</v>
      </c>
      <c r="J100" s="229" t="s">
        <v>607</v>
      </c>
      <c r="K100" s="230" t="s">
        <v>890</v>
      </c>
    </row>
    <row r="101" spans="1:11" ht="14.25" customHeight="1">
      <c r="B101" s="223" t="s">
        <v>891</v>
      </c>
      <c r="C101" s="224" t="s">
        <v>884</v>
      </c>
      <c r="D101" s="225" t="s">
        <v>892</v>
      </c>
      <c r="E101" s="225" t="s">
        <v>893</v>
      </c>
      <c r="F101" s="225" t="s">
        <v>624</v>
      </c>
      <c r="G101" s="225" t="s">
        <v>605</v>
      </c>
      <c r="H101" s="225" t="s">
        <v>887</v>
      </c>
      <c r="I101" s="225" t="s">
        <v>674</v>
      </c>
      <c r="J101" s="225" t="s">
        <v>626</v>
      </c>
      <c r="K101" s="226" t="s">
        <v>806</v>
      </c>
    </row>
    <row r="102" spans="1:11" ht="14.25" customHeight="1">
      <c r="B102" s="227" t="s">
        <v>894</v>
      </c>
      <c r="C102" s="228" t="s">
        <v>884</v>
      </c>
      <c r="D102" s="229" t="s">
        <v>895</v>
      </c>
      <c r="E102" s="229" t="s">
        <v>896</v>
      </c>
      <c r="F102" s="229" t="s">
        <v>624</v>
      </c>
      <c r="G102" s="229" t="s">
        <v>672</v>
      </c>
      <c r="H102" s="229" t="s">
        <v>897</v>
      </c>
      <c r="I102" s="229" t="s">
        <v>725</v>
      </c>
      <c r="J102" s="229" t="s">
        <v>626</v>
      </c>
      <c r="K102" s="230" t="s">
        <v>806</v>
      </c>
    </row>
    <row r="103" spans="1:11" ht="14.25" customHeight="1">
      <c r="B103" s="223" t="s">
        <v>898</v>
      </c>
      <c r="C103" s="224" t="s">
        <v>876</v>
      </c>
      <c r="D103" s="225" t="s">
        <v>899</v>
      </c>
      <c r="E103" s="225" t="s">
        <v>878</v>
      </c>
      <c r="F103" s="225" t="s">
        <v>624</v>
      </c>
      <c r="G103" s="225" t="s">
        <v>878</v>
      </c>
      <c r="H103" s="225" t="s">
        <v>673</v>
      </c>
      <c r="I103" s="225" t="s">
        <v>717</v>
      </c>
      <c r="J103" s="225" t="s">
        <v>607</v>
      </c>
      <c r="K103" s="226" t="s">
        <v>806</v>
      </c>
    </row>
    <row r="104" spans="1:11" ht="14.25" customHeight="1">
      <c r="B104" s="227" t="s">
        <v>900</v>
      </c>
      <c r="C104" s="228" t="s">
        <v>876</v>
      </c>
      <c r="D104" s="229" t="s">
        <v>901</v>
      </c>
      <c r="E104" s="229" t="s">
        <v>878</v>
      </c>
      <c r="F104" s="229" t="s">
        <v>624</v>
      </c>
      <c r="G104" s="229" t="s">
        <v>878</v>
      </c>
      <c r="H104" s="229" t="s">
        <v>673</v>
      </c>
      <c r="I104" s="229" t="s">
        <v>717</v>
      </c>
      <c r="J104" s="229" t="s">
        <v>626</v>
      </c>
      <c r="K104" s="230" t="s">
        <v>806</v>
      </c>
    </row>
    <row r="105" spans="1:11" ht="14.25" customHeight="1">
      <c r="B105" s="223" t="s">
        <v>902</v>
      </c>
      <c r="C105" s="224" t="s">
        <v>902</v>
      </c>
      <c r="D105" s="225" t="s">
        <v>862</v>
      </c>
      <c r="E105" s="225" t="s">
        <v>903</v>
      </c>
      <c r="F105" s="225" t="s">
        <v>624</v>
      </c>
      <c r="G105" s="225" t="s">
        <v>605</v>
      </c>
      <c r="H105" s="225" t="s">
        <v>904</v>
      </c>
      <c r="I105" s="225" t="s">
        <v>905</v>
      </c>
      <c r="J105" s="225" t="s">
        <v>607</v>
      </c>
      <c r="K105" s="226" t="s">
        <v>806</v>
      </c>
    </row>
    <row r="106" spans="1:11">
      <c r="A106" s="233"/>
      <c r="B106" s="234" t="s">
        <v>906</v>
      </c>
      <c r="C106" s="235" t="s">
        <v>867</v>
      </c>
      <c r="D106" s="236" t="s">
        <v>907</v>
      </c>
      <c r="E106" s="236" t="s">
        <v>908</v>
      </c>
      <c r="F106" s="236" t="s">
        <v>624</v>
      </c>
      <c r="G106" s="236" t="s">
        <v>605</v>
      </c>
      <c r="H106" s="236" t="s">
        <v>605</v>
      </c>
      <c r="I106" s="236" t="s">
        <v>725</v>
      </c>
      <c r="J106" s="236" t="s">
        <v>626</v>
      </c>
      <c r="K106" s="237" t="s">
        <v>806</v>
      </c>
    </row>
    <row r="107" spans="1:11">
      <c r="A107" s="233" t="s">
        <v>459</v>
      </c>
      <c r="B107" s="233"/>
      <c r="C107" s="233"/>
    </row>
    <row r="108" spans="1:11">
      <c r="A108" s="233" t="s">
        <v>460</v>
      </c>
      <c r="B108" s="233"/>
      <c r="C108" s="233"/>
    </row>
    <row r="109" spans="1:11">
      <c r="A109" s="233" t="s">
        <v>461</v>
      </c>
      <c r="B109" s="233"/>
      <c r="C109" s="233"/>
    </row>
    <row r="110" spans="1:11">
      <c r="A110" s="233" t="s">
        <v>462</v>
      </c>
      <c r="B110" s="233"/>
      <c r="C110" s="233"/>
    </row>
    <row r="111" spans="1:11">
      <c r="A111" s="233" t="s">
        <v>463</v>
      </c>
      <c r="B111" s="233"/>
      <c r="C111" s="233"/>
    </row>
    <row r="112" spans="1:11">
      <c r="A112" s="233" t="s">
        <v>464</v>
      </c>
      <c r="B112" s="233"/>
      <c r="C112" s="233"/>
    </row>
    <row r="113" spans="1:7">
      <c r="A113" s="233" t="s">
        <v>465</v>
      </c>
      <c r="B113" s="233"/>
      <c r="C113" s="233"/>
    </row>
    <row r="114" spans="1:7">
      <c r="A114" s="233" t="s">
        <v>466</v>
      </c>
      <c r="B114" s="233"/>
      <c r="C114" s="233"/>
    </row>
    <row r="115" spans="1:7">
      <c r="A115" s="233"/>
      <c r="B115" s="233"/>
      <c r="C115" s="233"/>
    </row>
    <row r="116" spans="1:7">
      <c r="A116" s="233"/>
      <c r="B116" s="233"/>
      <c r="C116" s="233"/>
    </row>
    <row r="117" spans="1:7">
      <c r="A117" s="233"/>
      <c r="B117" s="233"/>
      <c r="C117" s="233"/>
    </row>
    <row r="118" spans="1:7">
      <c r="A118" s="233"/>
      <c r="B118" s="233"/>
      <c r="C118" s="233"/>
    </row>
    <row r="119" spans="1:7">
      <c r="A119" s="233"/>
      <c r="B119" s="233"/>
      <c r="C119" s="233"/>
    </row>
    <row r="120" spans="1:7">
      <c r="A120" s="233"/>
      <c r="B120" s="233"/>
      <c r="C120" s="233"/>
    </row>
    <row r="121" spans="1:7">
      <c r="A121" s="233"/>
      <c r="B121" s="233"/>
      <c r="C121" s="233"/>
    </row>
    <row r="122" spans="1:7">
      <c r="A122" s="233"/>
      <c r="B122" s="233"/>
      <c r="C122" s="233"/>
    </row>
    <row r="123" spans="1:7">
      <c r="A123" s="233"/>
      <c r="B123" s="233"/>
      <c r="C123" s="233"/>
    </row>
    <row r="124" spans="1:7">
      <c r="A124" s="233"/>
      <c r="B124" s="233"/>
      <c r="C124" s="233"/>
    </row>
    <row r="125" spans="1:7">
      <c r="A125" s="233"/>
      <c r="B125" s="233"/>
      <c r="C125" s="233"/>
    </row>
    <row r="126" spans="1:7">
      <c r="A126" s="233"/>
      <c r="B126" s="233"/>
      <c r="C126" s="233"/>
    </row>
    <row r="127" spans="1:7">
      <c r="A127" s="233"/>
      <c r="B127" s="233"/>
      <c r="C127" s="233"/>
    </row>
    <row r="128" spans="1:7">
      <c r="A128" s="233"/>
      <c r="B128" s="233"/>
      <c r="C128" s="233"/>
      <c r="D128" s="233"/>
      <c r="E128" s="233"/>
      <c r="F128" s="233"/>
      <c r="G128" s="233"/>
    </row>
    <row r="129" spans="1:7">
      <c r="A129" s="233"/>
      <c r="B129" s="233"/>
      <c r="C129" s="233"/>
      <c r="D129" s="233"/>
      <c r="E129" s="233"/>
      <c r="F129" s="233"/>
      <c r="G129" s="233"/>
    </row>
    <row r="130" spans="1:7">
      <c r="A130" s="233"/>
      <c r="B130" s="233"/>
      <c r="C130" s="233"/>
      <c r="D130" s="233"/>
      <c r="E130" s="233"/>
      <c r="F130" s="233"/>
      <c r="G130" s="233"/>
    </row>
    <row r="131" spans="1:7">
      <c r="A131" s="233"/>
      <c r="B131" s="233"/>
      <c r="C131" s="233"/>
      <c r="D131" s="233"/>
      <c r="E131" s="233"/>
      <c r="F131" s="233"/>
      <c r="G131" s="233"/>
    </row>
    <row r="132" spans="1:7">
      <c r="A132" s="233"/>
      <c r="B132" s="233"/>
      <c r="C132" s="233"/>
      <c r="D132" s="233"/>
      <c r="E132" s="233"/>
      <c r="F132" s="233"/>
      <c r="G132" s="233"/>
    </row>
    <row r="133" spans="1:7">
      <c r="A133" s="233"/>
      <c r="B133" s="233"/>
      <c r="C133" s="233"/>
      <c r="D133" s="233"/>
      <c r="E133" s="233"/>
      <c r="F133" s="233"/>
      <c r="G133" s="233"/>
    </row>
    <row r="134" spans="1:7">
      <c r="A134" s="233"/>
      <c r="B134" s="233"/>
      <c r="C134" s="233"/>
      <c r="D134" s="233"/>
      <c r="E134" s="233"/>
      <c r="F134" s="233"/>
      <c r="G134" s="233"/>
    </row>
    <row r="135" spans="1:7">
      <c r="A135" s="233"/>
      <c r="B135" s="233"/>
      <c r="C135" s="233"/>
      <c r="D135" s="233"/>
      <c r="E135" s="233"/>
      <c r="F135" s="233"/>
      <c r="G135" s="233"/>
    </row>
    <row r="136" spans="1:7">
      <c r="A136" s="233"/>
      <c r="B136" s="233"/>
      <c r="C136" s="233"/>
      <c r="D136" s="233"/>
      <c r="E136" s="233"/>
      <c r="F136" s="233"/>
      <c r="G136" s="233"/>
    </row>
    <row r="137" spans="1:7">
      <c r="A137" s="233"/>
      <c r="B137" s="233"/>
      <c r="C137" s="233"/>
      <c r="D137" s="233"/>
      <c r="E137" s="233"/>
      <c r="F137" s="233"/>
      <c r="G137" s="233"/>
    </row>
    <row r="138" spans="1:7">
      <c r="A138" s="233"/>
      <c r="B138" s="233"/>
      <c r="C138" s="233"/>
      <c r="D138" s="233"/>
      <c r="E138" s="233"/>
      <c r="F138" s="233"/>
      <c r="G138" s="233"/>
    </row>
    <row r="139" spans="1:7">
      <c r="A139" s="233"/>
      <c r="B139" s="233"/>
      <c r="C139" s="233"/>
      <c r="D139" s="233"/>
      <c r="E139" s="233"/>
      <c r="F139" s="233"/>
      <c r="G139" s="233"/>
    </row>
    <row r="140" spans="1:7">
      <c r="A140" s="233"/>
      <c r="B140" s="233"/>
      <c r="C140" s="233"/>
      <c r="D140" s="233"/>
      <c r="E140" s="233"/>
      <c r="F140" s="233"/>
      <c r="G140" s="233"/>
    </row>
    <row r="141" spans="1:7">
      <c r="A141" s="233"/>
      <c r="B141" s="233"/>
      <c r="C141" s="233"/>
      <c r="D141" s="233"/>
      <c r="E141" s="233"/>
      <c r="F141" s="233"/>
      <c r="G141" s="233"/>
    </row>
    <row r="142" spans="1:7">
      <c r="A142" s="233"/>
      <c r="B142" s="233"/>
      <c r="C142" s="233"/>
      <c r="D142" s="233"/>
      <c r="E142" s="233"/>
      <c r="F142" s="233"/>
      <c r="G142" s="233"/>
    </row>
    <row r="143" spans="1:7">
      <c r="A143" s="233"/>
      <c r="B143" s="233"/>
      <c r="C143" s="233"/>
      <c r="D143" s="233"/>
      <c r="E143" s="233"/>
      <c r="F143" s="233"/>
      <c r="G143" s="233"/>
    </row>
    <row r="144" spans="1:7">
      <c r="A144" s="233"/>
      <c r="B144" s="233"/>
      <c r="C144" s="233"/>
      <c r="D144" s="233"/>
      <c r="E144" s="233"/>
      <c r="F144" s="233"/>
      <c r="G144" s="233"/>
    </row>
    <row r="145" spans="1:10">
      <c r="A145" s="233"/>
      <c r="B145" s="233"/>
      <c r="C145" s="233"/>
      <c r="D145" s="233"/>
      <c r="E145" s="233"/>
      <c r="F145" s="233"/>
      <c r="G145" s="233"/>
    </row>
    <row r="146" spans="1:10">
      <c r="A146" s="233"/>
      <c r="B146" s="233"/>
      <c r="C146" s="233"/>
      <c r="D146" s="233"/>
      <c r="E146" s="233"/>
      <c r="F146" s="233"/>
      <c r="G146" s="233"/>
    </row>
    <row r="147" spans="1:10">
      <c r="A147" s="233"/>
      <c r="B147" s="233"/>
      <c r="C147" s="233"/>
      <c r="D147" s="233"/>
      <c r="E147" s="233"/>
      <c r="F147" s="233"/>
      <c r="G147" s="233"/>
    </row>
    <row r="148" spans="1:10">
      <c r="A148" s="233"/>
      <c r="B148" s="233"/>
      <c r="C148" s="233"/>
      <c r="D148" s="233"/>
      <c r="E148" s="233"/>
      <c r="F148" s="233"/>
      <c r="G148" s="233"/>
      <c r="H148" s="233"/>
      <c r="I148" s="233"/>
      <c r="J148" s="233"/>
    </row>
    <row r="149" spans="1:10">
      <c r="A149" s="233"/>
      <c r="B149" s="233"/>
      <c r="C149" s="233"/>
      <c r="D149" s="233"/>
      <c r="E149" s="233"/>
      <c r="F149" s="233"/>
      <c r="G149" s="233"/>
      <c r="H149" s="233"/>
      <c r="I149" s="233"/>
      <c r="J149" s="233"/>
    </row>
    <row r="150" spans="1:10">
      <c r="A150" s="233"/>
      <c r="B150" s="233"/>
      <c r="C150" s="233"/>
      <c r="D150" s="233"/>
      <c r="E150" s="233"/>
      <c r="F150" s="233"/>
      <c r="G150" s="233"/>
      <c r="H150" s="233"/>
      <c r="I150" s="233"/>
      <c r="J150" s="233"/>
    </row>
    <row r="151" spans="1:10">
      <c r="A151" s="233"/>
      <c r="B151" s="233"/>
      <c r="C151" s="233"/>
      <c r="D151" s="233"/>
      <c r="E151" s="233"/>
      <c r="F151" s="233"/>
      <c r="G151" s="233"/>
      <c r="H151" s="233"/>
      <c r="I151" s="233"/>
      <c r="J151" s="233"/>
    </row>
    <row r="152" spans="1:10">
      <c r="A152" s="233"/>
      <c r="B152" s="233"/>
      <c r="C152" s="233"/>
      <c r="D152" s="233"/>
      <c r="E152" s="233"/>
      <c r="F152" s="233"/>
      <c r="G152" s="233"/>
      <c r="H152" s="233"/>
      <c r="I152" s="233"/>
      <c r="J152" s="233"/>
    </row>
    <row r="153" spans="1:10">
      <c r="A153" s="233"/>
      <c r="B153" s="233"/>
      <c r="C153" s="233"/>
      <c r="D153" s="233"/>
      <c r="E153" s="233"/>
      <c r="F153" s="233"/>
      <c r="G153" s="233"/>
      <c r="H153" s="233"/>
      <c r="I153" s="233"/>
      <c r="J153" s="233"/>
    </row>
    <row r="154" spans="1:10">
      <c r="A154" s="233"/>
      <c r="B154" s="233"/>
      <c r="C154" s="233"/>
      <c r="D154" s="233"/>
      <c r="E154" s="233"/>
      <c r="F154" s="233"/>
      <c r="G154" s="233"/>
      <c r="H154" s="233"/>
      <c r="I154" s="233"/>
      <c r="J154" s="233"/>
    </row>
    <row r="155" spans="1:10">
      <c r="A155" s="233"/>
      <c r="B155" s="233"/>
      <c r="C155" s="233"/>
      <c r="D155" s="233"/>
      <c r="E155" s="233"/>
      <c r="F155" s="233"/>
      <c r="G155" s="233"/>
      <c r="H155" s="233"/>
      <c r="I155" s="233"/>
      <c r="J155" s="233"/>
    </row>
    <row r="156" spans="1:10">
      <c r="A156" s="233"/>
      <c r="B156" s="233"/>
      <c r="C156" s="233"/>
      <c r="D156" s="233"/>
      <c r="E156" s="233"/>
      <c r="F156" s="233"/>
      <c r="G156" s="233"/>
      <c r="H156" s="233"/>
      <c r="I156" s="233"/>
      <c r="J156" s="233"/>
    </row>
    <row r="157" spans="1:10">
      <c r="A157" s="233"/>
      <c r="B157" s="233"/>
      <c r="C157" s="233"/>
      <c r="D157" s="233"/>
      <c r="E157" s="233"/>
      <c r="F157" s="233"/>
      <c r="G157" s="233"/>
      <c r="H157" s="233"/>
      <c r="I157" s="233"/>
      <c r="J157" s="233"/>
    </row>
    <row r="158" spans="1:10">
      <c r="A158" s="233"/>
      <c r="B158" s="233"/>
      <c r="C158" s="233"/>
      <c r="D158" s="233"/>
      <c r="E158" s="233"/>
      <c r="F158" s="233"/>
      <c r="G158" s="233"/>
      <c r="H158" s="233"/>
      <c r="I158" s="233"/>
      <c r="J158" s="233"/>
    </row>
    <row r="159" spans="1:10">
      <c r="A159" s="233"/>
      <c r="B159" s="233"/>
      <c r="C159" s="233"/>
      <c r="D159" s="233"/>
      <c r="E159" s="233"/>
      <c r="F159" s="233"/>
      <c r="G159" s="233"/>
      <c r="H159" s="233"/>
      <c r="I159" s="233"/>
      <c r="J159" s="233"/>
    </row>
    <row r="160" spans="1:10">
      <c r="A160" s="233"/>
      <c r="B160" s="233"/>
      <c r="C160" s="233"/>
      <c r="D160" s="233"/>
      <c r="E160" s="233"/>
      <c r="F160" s="233"/>
      <c r="G160" s="233"/>
      <c r="H160" s="233"/>
      <c r="I160" s="233"/>
      <c r="J160" s="233"/>
    </row>
    <row r="161" spans="1:10">
      <c r="A161" s="233"/>
      <c r="B161" s="233"/>
      <c r="C161" s="233"/>
      <c r="D161" s="233"/>
      <c r="E161" s="233"/>
      <c r="F161" s="233"/>
      <c r="G161" s="233"/>
      <c r="H161" s="233"/>
      <c r="I161" s="233"/>
      <c r="J161" s="233"/>
    </row>
  </sheetData>
  <sheetProtection formatCells="0" selectLockedCells="1"/>
  <mergeCells count="1">
    <mergeCell ref="B1:K1"/>
  </mergeCells>
  <phoneticPr fontId="71"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dimension ref="A1:AY393"/>
  <sheetViews>
    <sheetView zoomScale="85" workbookViewId="0">
      <selection activeCell="B6" sqref="B6"/>
    </sheetView>
  </sheetViews>
  <sheetFormatPr defaultColWidth="10" defaultRowHeight="14.25"/>
  <cols>
    <col min="2" max="2" width="6.25" customWidth="1"/>
    <col min="3" max="3" width="5.625" style="238" customWidth="1"/>
    <col min="4" max="4" width="79.25" style="239" customWidth="1"/>
    <col min="6" max="6" width="5.625" style="240" customWidth="1"/>
    <col min="7" max="7" width="79.25" style="241" customWidth="1"/>
  </cols>
  <sheetData>
    <row r="1" spans="1:51" s="242" customFormat="1" ht="20.25" customHeight="1">
      <c r="A1" s="243"/>
      <c r="B1" s="243"/>
      <c r="C1" s="872" t="s">
        <v>1487</v>
      </c>
      <c r="D1" s="873"/>
      <c r="E1" s="873"/>
      <c r="F1" s="873"/>
      <c r="G1" s="873"/>
    </row>
    <row r="2" spans="1:51" s="242" customFormat="1" ht="27.75" customHeight="1">
      <c r="A2" s="243"/>
      <c r="B2" s="243"/>
      <c r="C2" s="872"/>
      <c r="D2" s="873"/>
      <c r="E2" s="873"/>
      <c r="F2" s="873"/>
      <c r="G2" s="873"/>
    </row>
    <row r="3" spans="1:51" s="242" customFormat="1" ht="33" customHeight="1">
      <c r="A3" s="243"/>
      <c r="B3" s="243"/>
      <c r="C3" s="872"/>
      <c r="D3" s="873"/>
      <c r="E3" s="873"/>
      <c r="F3" s="873"/>
      <c r="G3" s="873"/>
    </row>
    <row r="4" spans="1:51" ht="18.75" customHeight="1">
      <c r="A4" s="244"/>
      <c r="B4" s="245"/>
      <c r="C4" s="874" t="s">
        <v>468</v>
      </c>
      <c r="D4" s="875"/>
      <c r="E4" s="246"/>
      <c r="F4" s="876" t="s">
        <v>469</v>
      </c>
      <c r="G4" s="877"/>
      <c r="H4" s="247"/>
      <c r="I4" s="244"/>
      <c r="J4" s="244"/>
      <c r="K4" s="244"/>
      <c r="L4" s="244"/>
      <c r="M4" s="244"/>
      <c r="N4" s="244"/>
      <c r="O4" s="244"/>
      <c r="P4" s="244"/>
      <c r="Q4" s="248"/>
      <c r="R4" s="248"/>
      <c r="S4" s="248"/>
      <c r="T4" s="248"/>
      <c r="U4" s="248"/>
      <c r="V4" s="248"/>
      <c r="W4" s="248"/>
      <c r="X4" s="248"/>
      <c r="Y4" s="248"/>
      <c r="Z4" s="248"/>
      <c r="AA4" s="248"/>
      <c r="AB4" s="248"/>
      <c r="AC4" s="248"/>
      <c r="AD4" s="248"/>
      <c r="AE4" s="248"/>
      <c r="AF4" s="248"/>
      <c r="AG4" s="248"/>
      <c r="AH4" s="248"/>
      <c r="AI4" s="248"/>
      <c r="AJ4" s="248"/>
      <c r="AK4" s="248"/>
      <c r="AL4" s="248"/>
      <c r="AM4" s="248"/>
      <c r="AN4" s="248"/>
      <c r="AO4" s="248"/>
      <c r="AP4" s="248"/>
      <c r="AQ4" s="248"/>
      <c r="AR4" s="248"/>
      <c r="AS4" s="248"/>
      <c r="AT4" s="248"/>
      <c r="AU4" s="248"/>
      <c r="AV4" s="248"/>
      <c r="AW4" s="248"/>
      <c r="AX4" s="248"/>
      <c r="AY4" s="248"/>
    </row>
    <row r="5" spans="1:51" ht="18" customHeight="1">
      <c r="A5" s="244"/>
      <c r="B5" s="245"/>
      <c r="C5" s="249" t="s">
        <v>18</v>
      </c>
      <c r="D5" s="250" t="s">
        <v>248</v>
      </c>
      <c r="E5" s="251"/>
      <c r="F5" s="252" t="s">
        <v>18</v>
      </c>
      <c r="G5" s="250" t="s">
        <v>248</v>
      </c>
      <c r="H5" s="247"/>
      <c r="I5" s="244"/>
      <c r="J5" s="244"/>
      <c r="K5" s="244"/>
      <c r="L5" s="244"/>
      <c r="M5" s="244"/>
      <c r="N5" s="244"/>
      <c r="O5" s="244"/>
      <c r="P5" s="244"/>
      <c r="Q5" s="248"/>
      <c r="R5" s="248"/>
      <c r="S5" s="248"/>
      <c r="T5" s="248"/>
      <c r="U5" s="248"/>
      <c r="V5" s="248"/>
      <c r="W5" s="248"/>
      <c r="X5" s="248"/>
      <c r="Y5" s="248"/>
      <c r="Z5" s="248"/>
      <c r="AA5" s="248"/>
      <c r="AB5" s="248"/>
      <c r="AC5" s="248"/>
      <c r="AD5" s="248"/>
      <c r="AE5" s="248"/>
      <c r="AF5" s="248"/>
      <c r="AG5" s="248"/>
      <c r="AH5" s="248"/>
      <c r="AI5" s="248"/>
      <c r="AJ5" s="248"/>
      <c r="AK5" s="248"/>
      <c r="AL5" s="248"/>
      <c r="AM5" s="248"/>
      <c r="AN5" s="248"/>
      <c r="AO5" s="248"/>
      <c r="AP5" s="248"/>
      <c r="AQ5" s="248"/>
      <c r="AR5" s="248"/>
      <c r="AS5" s="248"/>
      <c r="AT5" s="248"/>
      <c r="AU5" s="248"/>
      <c r="AV5" s="248"/>
      <c r="AW5" s="248"/>
      <c r="AX5" s="248"/>
      <c r="AY5" s="248"/>
    </row>
    <row r="6" spans="1:51" ht="51.95" customHeight="1">
      <c r="A6" s="244"/>
      <c r="B6" s="245"/>
      <c r="C6" s="253">
        <v>1</v>
      </c>
      <c r="D6" s="254" t="s">
        <v>1075</v>
      </c>
      <c r="E6" s="251"/>
      <c r="F6" s="255">
        <v>1</v>
      </c>
      <c r="G6" s="256" t="s">
        <v>470</v>
      </c>
      <c r="H6" s="247"/>
      <c r="I6" s="244"/>
      <c r="J6" s="244"/>
      <c r="K6" s="244"/>
      <c r="L6" s="244"/>
      <c r="M6" s="244"/>
      <c r="N6" s="244"/>
      <c r="O6" s="244"/>
      <c r="P6" s="244"/>
      <c r="Q6" s="248"/>
      <c r="R6" s="248"/>
      <c r="S6" s="248"/>
      <c r="T6" s="248"/>
      <c r="U6" s="248"/>
      <c r="V6" s="248"/>
      <c r="W6" s="248"/>
      <c r="X6" s="248"/>
      <c r="Y6" s="248"/>
      <c r="Z6" s="248"/>
      <c r="AA6" s="248"/>
      <c r="AB6" s="248"/>
      <c r="AC6" s="248"/>
      <c r="AD6" s="248"/>
      <c r="AE6" s="248"/>
      <c r="AF6" s="248"/>
      <c r="AG6" s="248"/>
      <c r="AH6" s="248"/>
      <c r="AI6" s="248"/>
      <c r="AJ6" s="248"/>
      <c r="AK6" s="248"/>
      <c r="AL6" s="248"/>
      <c r="AM6" s="248"/>
      <c r="AN6" s="248"/>
      <c r="AO6" s="248"/>
      <c r="AP6" s="248"/>
      <c r="AQ6" s="248"/>
      <c r="AR6" s="248"/>
      <c r="AS6" s="248"/>
      <c r="AT6" s="248"/>
      <c r="AU6" s="248"/>
      <c r="AV6" s="248"/>
      <c r="AW6" s="248"/>
      <c r="AX6" s="248"/>
      <c r="AY6" s="248"/>
    </row>
    <row r="7" spans="1:51" ht="51.95" customHeight="1">
      <c r="A7" s="244"/>
      <c r="B7" s="245"/>
      <c r="C7" s="257">
        <v>2</v>
      </c>
      <c r="D7" s="258" t="s">
        <v>1071</v>
      </c>
      <c r="E7" s="251"/>
      <c r="F7" s="259">
        <v>2</v>
      </c>
      <c r="G7" s="260" t="s">
        <v>471</v>
      </c>
      <c r="H7" s="247"/>
      <c r="I7" s="244"/>
      <c r="J7" s="244"/>
      <c r="K7" s="244"/>
      <c r="L7" s="244"/>
      <c r="M7" s="244"/>
      <c r="N7" s="244"/>
      <c r="O7" s="244"/>
      <c r="P7" s="244"/>
      <c r="Q7" s="248"/>
      <c r="R7" s="248"/>
      <c r="S7" s="248"/>
      <c r="T7" s="248"/>
      <c r="U7" s="248"/>
      <c r="V7" s="248"/>
      <c r="W7" s="248"/>
      <c r="X7" s="248"/>
      <c r="Y7" s="248"/>
      <c r="Z7" s="248"/>
      <c r="AA7" s="248"/>
      <c r="AB7" s="248"/>
      <c r="AC7" s="248"/>
      <c r="AD7" s="248"/>
      <c r="AE7" s="248"/>
      <c r="AF7" s="248"/>
      <c r="AG7" s="248"/>
      <c r="AH7" s="248"/>
      <c r="AI7" s="248"/>
      <c r="AJ7" s="248"/>
      <c r="AK7" s="248"/>
      <c r="AL7" s="248"/>
      <c r="AM7" s="248"/>
      <c r="AN7" s="248"/>
      <c r="AO7" s="248"/>
      <c r="AP7" s="248"/>
      <c r="AQ7" s="248"/>
      <c r="AR7" s="248"/>
      <c r="AS7" s="248"/>
      <c r="AT7" s="248"/>
      <c r="AU7" s="248"/>
      <c r="AV7" s="248"/>
      <c r="AW7" s="248"/>
      <c r="AX7" s="248"/>
      <c r="AY7" s="248"/>
    </row>
    <row r="8" spans="1:51" ht="51.95" customHeight="1">
      <c r="A8" s="244"/>
      <c r="B8" s="245"/>
      <c r="C8" s="261">
        <v>3</v>
      </c>
      <c r="D8" s="256" t="s">
        <v>252</v>
      </c>
      <c r="E8" s="251"/>
      <c r="F8" s="255">
        <v>3</v>
      </c>
      <c r="G8" s="256" t="s">
        <v>472</v>
      </c>
      <c r="H8" s="247"/>
      <c r="I8" s="244"/>
      <c r="J8" s="244"/>
      <c r="K8" s="244"/>
      <c r="L8" s="244"/>
      <c r="M8" s="244"/>
      <c r="N8" s="244"/>
      <c r="O8" s="244"/>
      <c r="P8" s="244"/>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row>
    <row r="9" spans="1:51" ht="51.95" customHeight="1">
      <c r="A9" s="244"/>
      <c r="B9" s="245"/>
      <c r="C9" s="262">
        <v>4</v>
      </c>
      <c r="D9" s="260" t="s">
        <v>253</v>
      </c>
      <c r="E9" s="251"/>
      <c r="F9" s="259">
        <v>4</v>
      </c>
      <c r="G9" s="260" t="s">
        <v>473</v>
      </c>
      <c r="H9" s="247"/>
      <c r="I9" s="244"/>
      <c r="J9" s="244"/>
      <c r="K9" s="244"/>
      <c r="L9" s="244"/>
      <c r="M9" s="244"/>
      <c r="N9" s="244"/>
      <c r="O9" s="244"/>
      <c r="P9" s="244"/>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row>
    <row r="10" spans="1:51" ht="51.95" customHeight="1">
      <c r="A10" s="244"/>
      <c r="B10" s="245"/>
      <c r="C10" s="261">
        <v>5</v>
      </c>
      <c r="D10" s="256" t="s">
        <v>1072</v>
      </c>
      <c r="E10" s="251"/>
      <c r="F10" s="255">
        <v>5</v>
      </c>
      <c r="G10" s="256" t="s">
        <v>474</v>
      </c>
      <c r="H10" s="247"/>
      <c r="I10" s="244"/>
      <c r="J10" s="244"/>
      <c r="K10" s="244"/>
      <c r="L10" s="244"/>
      <c r="M10" s="244"/>
      <c r="N10" s="244"/>
      <c r="O10" s="244"/>
      <c r="P10" s="244"/>
      <c r="Q10" s="248"/>
      <c r="R10" s="248"/>
      <c r="S10" s="248"/>
      <c r="T10" s="248"/>
      <c r="U10" s="248"/>
      <c r="V10" s="248"/>
      <c r="W10" s="248"/>
      <c r="X10" s="248"/>
      <c r="Y10" s="248"/>
      <c r="Z10" s="248"/>
      <c r="AA10" s="248"/>
      <c r="AB10" s="248"/>
      <c r="AC10" s="248"/>
      <c r="AD10" s="248"/>
      <c r="AE10" s="248"/>
      <c r="AF10" s="248"/>
      <c r="AG10" s="248"/>
      <c r="AH10" s="248"/>
      <c r="AI10" s="248"/>
      <c r="AJ10" s="248"/>
      <c r="AK10" s="248"/>
      <c r="AL10" s="248"/>
      <c r="AM10" s="248"/>
      <c r="AN10" s="248"/>
      <c r="AO10" s="248"/>
      <c r="AP10" s="248"/>
      <c r="AQ10" s="248"/>
      <c r="AR10" s="248"/>
      <c r="AS10" s="248"/>
      <c r="AT10" s="248"/>
      <c r="AU10" s="248"/>
      <c r="AV10" s="248"/>
      <c r="AW10" s="248"/>
      <c r="AX10" s="248"/>
      <c r="AY10" s="248"/>
    </row>
    <row r="11" spans="1:51" ht="51.95" customHeight="1">
      <c r="A11" s="244"/>
      <c r="B11" s="245"/>
      <c r="C11" s="262">
        <v>6</v>
      </c>
      <c r="D11" s="260" t="s">
        <v>254</v>
      </c>
      <c r="E11" s="251"/>
      <c r="F11" s="259">
        <v>6</v>
      </c>
      <c r="G11" s="260" t="s">
        <v>475</v>
      </c>
      <c r="H11" s="247"/>
      <c r="I11" s="244"/>
      <c r="J11" s="244"/>
      <c r="K11" s="244"/>
      <c r="L11" s="244"/>
      <c r="M11" s="244"/>
      <c r="N11" s="244"/>
      <c r="O11" s="244"/>
      <c r="P11" s="244"/>
      <c r="Q11" s="248"/>
      <c r="R11" s="248"/>
      <c r="S11" s="248"/>
      <c r="T11" s="248"/>
      <c r="U11" s="248"/>
      <c r="V11" s="248"/>
      <c r="W11" s="248"/>
      <c r="X11" s="248"/>
      <c r="Y11" s="248"/>
      <c r="Z11" s="248"/>
      <c r="AA11" s="248"/>
      <c r="AB11" s="248"/>
      <c r="AC11" s="248"/>
      <c r="AD11" s="248"/>
      <c r="AE11" s="248"/>
      <c r="AF11" s="248"/>
      <c r="AG11" s="248"/>
      <c r="AH11" s="248"/>
      <c r="AI11" s="248"/>
      <c r="AJ11" s="248"/>
      <c r="AK11" s="248"/>
      <c r="AL11" s="248"/>
      <c r="AM11" s="248"/>
      <c r="AN11" s="248"/>
      <c r="AO11" s="248"/>
      <c r="AP11" s="248"/>
      <c r="AQ11" s="248"/>
      <c r="AR11" s="248"/>
      <c r="AS11" s="248"/>
      <c r="AT11" s="248"/>
      <c r="AU11" s="248"/>
      <c r="AV11" s="248"/>
      <c r="AW11" s="248"/>
      <c r="AX11" s="248"/>
      <c r="AY11" s="248"/>
    </row>
    <row r="12" spans="1:51" ht="51.95" customHeight="1">
      <c r="A12" s="244"/>
      <c r="B12" s="245"/>
      <c r="C12" s="261">
        <v>7</v>
      </c>
      <c r="D12" s="256" t="s">
        <v>1073</v>
      </c>
      <c r="E12" s="251"/>
      <c r="F12" s="255">
        <v>7</v>
      </c>
      <c r="G12" s="256" t="s">
        <v>476</v>
      </c>
      <c r="H12" s="247"/>
      <c r="I12" s="244"/>
      <c r="J12" s="244"/>
      <c r="K12" s="244"/>
      <c r="L12" s="244"/>
      <c r="M12" s="244"/>
      <c r="N12" s="244"/>
      <c r="O12" s="244"/>
      <c r="P12" s="244"/>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8"/>
      <c r="AR12" s="248"/>
      <c r="AS12" s="248"/>
      <c r="AT12" s="248"/>
      <c r="AU12" s="248"/>
      <c r="AV12" s="248"/>
      <c r="AW12" s="248"/>
      <c r="AX12" s="248"/>
      <c r="AY12" s="248"/>
    </row>
    <row r="13" spans="1:51" ht="51.95" customHeight="1">
      <c r="A13" s="244"/>
      <c r="B13" s="245"/>
      <c r="C13" s="262">
        <v>8</v>
      </c>
      <c r="D13" s="260" t="s">
        <v>1074</v>
      </c>
      <c r="E13" s="251"/>
      <c r="F13" s="259">
        <v>8</v>
      </c>
      <c r="G13" s="260" t="s">
        <v>477</v>
      </c>
      <c r="H13" s="247"/>
      <c r="I13" s="244"/>
      <c r="J13" s="244"/>
      <c r="K13" s="244"/>
      <c r="L13" s="244"/>
      <c r="M13" s="244"/>
      <c r="N13" s="244"/>
      <c r="O13" s="244"/>
      <c r="P13" s="244"/>
      <c r="Q13" s="248"/>
      <c r="R13" s="248"/>
      <c r="S13" s="248"/>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row>
    <row r="14" spans="1:51" ht="51.95" customHeight="1">
      <c r="A14" s="244"/>
      <c r="B14" s="245"/>
      <c r="C14" s="261">
        <v>9</v>
      </c>
      <c r="D14" s="256" t="s">
        <v>255</v>
      </c>
      <c r="E14" s="251"/>
      <c r="F14" s="255">
        <v>9</v>
      </c>
      <c r="G14" s="256" t="s">
        <v>478</v>
      </c>
      <c r="H14" s="247"/>
      <c r="I14" s="244"/>
      <c r="J14" s="244"/>
      <c r="K14" s="244"/>
      <c r="L14" s="244"/>
      <c r="M14" s="244"/>
      <c r="N14" s="244"/>
      <c r="O14" s="244"/>
      <c r="P14" s="244"/>
      <c r="Q14" s="248"/>
      <c r="R14" s="248"/>
      <c r="S14" s="248"/>
      <c r="T14" s="248"/>
      <c r="U14" s="248"/>
      <c r="V14" s="248"/>
      <c r="W14" s="248"/>
      <c r="X14" s="248"/>
      <c r="Y14" s="248"/>
      <c r="Z14" s="248"/>
      <c r="AA14" s="248"/>
      <c r="AB14" s="248"/>
      <c r="AC14" s="248"/>
      <c r="AD14" s="248"/>
      <c r="AE14" s="248"/>
      <c r="AF14" s="248"/>
      <c r="AG14" s="248"/>
      <c r="AH14" s="248"/>
      <c r="AI14" s="248"/>
      <c r="AJ14" s="248"/>
      <c r="AK14" s="248"/>
      <c r="AL14" s="248"/>
      <c r="AM14" s="248"/>
      <c r="AN14" s="248"/>
      <c r="AO14" s="248"/>
      <c r="AP14" s="248"/>
      <c r="AQ14" s="248"/>
      <c r="AR14" s="248"/>
      <c r="AS14" s="248"/>
      <c r="AT14" s="248"/>
      <c r="AU14" s="248"/>
      <c r="AV14" s="248"/>
      <c r="AW14" s="248"/>
      <c r="AX14" s="248"/>
      <c r="AY14" s="248"/>
    </row>
    <row r="15" spans="1:51" ht="51.95" customHeight="1">
      <c r="A15" s="244"/>
      <c r="B15" s="245"/>
      <c r="C15" s="263">
        <v>10</v>
      </c>
      <c r="D15" s="264" t="s">
        <v>256</v>
      </c>
      <c r="E15" s="251"/>
      <c r="F15" s="265">
        <v>10</v>
      </c>
      <c r="G15" s="264" t="s">
        <v>479</v>
      </c>
      <c r="H15" s="247"/>
      <c r="I15" s="244"/>
      <c r="J15" s="244"/>
      <c r="K15" s="244"/>
      <c r="L15" s="244"/>
      <c r="M15" s="244"/>
      <c r="N15" s="244"/>
      <c r="O15" s="244"/>
      <c r="P15" s="244"/>
      <c r="Q15" s="248"/>
      <c r="R15" s="248"/>
      <c r="S15" s="248"/>
      <c r="T15" s="248"/>
      <c r="U15" s="248"/>
      <c r="V15" s="248"/>
      <c r="W15" s="248"/>
      <c r="X15" s="248"/>
      <c r="Y15" s="248"/>
      <c r="Z15" s="248"/>
      <c r="AA15" s="248"/>
      <c r="AB15" s="248"/>
      <c r="AC15" s="248"/>
      <c r="AD15" s="248"/>
      <c r="AE15" s="248"/>
      <c r="AF15" s="248"/>
      <c r="AG15" s="248"/>
      <c r="AH15" s="248"/>
      <c r="AI15" s="248"/>
      <c r="AJ15" s="248"/>
      <c r="AK15" s="248"/>
      <c r="AL15" s="248"/>
      <c r="AM15" s="248"/>
      <c r="AN15" s="248"/>
      <c r="AO15" s="248"/>
      <c r="AP15" s="248"/>
      <c r="AQ15" s="248"/>
      <c r="AR15" s="248"/>
      <c r="AS15" s="248"/>
      <c r="AT15" s="248"/>
      <c r="AU15" s="248"/>
      <c r="AV15" s="248"/>
      <c r="AW15" s="248"/>
      <c r="AX15" s="248"/>
      <c r="AY15" s="248"/>
    </row>
    <row r="16" spans="1:51">
      <c r="A16" s="244"/>
      <c r="B16" s="244"/>
      <c r="C16" s="266"/>
      <c r="D16" s="267"/>
      <c r="E16" s="244"/>
      <c r="F16" s="268"/>
      <c r="G16" s="269"/>
      <c r="H16" s="244"/>
      <c r="I16" s="244"/>
      <c r="J16" s="244"/>
      <c r="K16" s="244"/>
      <c r="L16" s="244"/>
      <c r="M16" s="244"/>
      <c r="N16" s="244"/>
      <c r="O16" s="244"/>
      <c r="P16" s="244"/>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8"/>
      <c r="AP16" s="248"/>
      <c r="AQ16" s="248"/>
      <c r="AR16" s="248"/>
      <c r="AS16" s="248"/>
      <c r="AT16" s="248"/>
      <c r="AU16" s="248"/>
      <c r="AV16" s="248"/>
      <c r="AW16" s="248"/>
      <c r="AX16" s="248"/>
      <c r="AY16" s="248"/>
    </row>
    <row r="17" spans="1:51" ht="18" customHeight="1">
      <c r="A17" s="244"/>
      <c r="B17" s="245"/>
      <c r="C17" s="870" t="s">
        <v>246</v>
      </c>
      <c r="D17" s="871"/>
      <c r="E17" s="251"/>
      <c r="F17" s="870" t="s">
        <v>250</v>
      </c>
      <c r="G17" s="871"/>
      <c r="H17" s="247"/>
      <c r="I17" s="244"/>
      <c r="J17" s="244"/>
      <c r="K17" s="244"/>
      <c r="L17" s="244"/>
      <c r="M17" s="244"/>
      <c r="N17" s="244"/>
      <c r="O17" s="244"/>
      <c r="P17" s="244"/>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8"/>
      <c r="AP17" s="248"/>
      <c r="AQ17" s="248"/>
      <c r="AR17" s="248"/>
      <c r="AS17" s="248"/>
      <c r="AT17" s="248"/>
      <c r="AU17" s="248"/>
      <c r="AV17" s="248"/>
      <c r="AW17" s="248"/>
      <c r="AX17" s="248"/>
      <c r="AY17" s="248"/>
    </row>
    <row r="18" spans="1:51" ht="18" customHeight="1">
      <c r="A18" s="244"/>
      <c r="B18" s="245"/>
      <c r="C18" s="270" t="s">
        <v>247</v>
      </c>
      <c r="D18" s="271" t="s">
        <v>249</v>
      </c>
      <c r="E18" s="251"/>
      <c r="F18" s="270" t="s">
        <v>247</v>
      </c>
      <c r="G18" s="271" t="s">
        <v>249</v>
      </c>
      <c r="H18" s="247"/>
      <c r="I18" s="244"/>
      <c r="J18" s="244"/>
      <c r="K18" s="244"/>
      <c r="L18" s="244"/>
      <c r="M18" s="244"/>
      <c r="N18" s="244"/>
      <c r="O18" s="244"/>
      <c r="P18" s="244"/>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8"/>
      <c r="AP18" s="248"/>
      <c r="AQ18" s="248"/>
      <c r="AR18" s="248"/>
      <c r="AS18" s="248"/>
      <c r="AT18" s="248"/>
      <c r="AU18" s="248"/>
      <c r="AV18" s="248"/>
      <c r="AW18" s="248"/>
      <c r="AX18" s="248"/>
      <c r="AY18" s="248"/>
    </row>
    <row r="19" spans="1:51" ht="38.25" customHeight="1">
      <c r="A19" s="244"/>
      <c r="B19" s="245"/>
      <c r="C19" s="272">
        <v>0</v>
      </c>
      <c r="D19" s="273" t="str">
        <f>IF(C19=0,"请在左侧输入数字",VLOOKUP(C19,疯狂附表!A3:B102,2,FALSE))</f>
        <v>请在左侧输入数字</v>
      </c>
      <c r="E19" s="251"/>
      <c r="F19" s="272">
        <v>0</v>
      </c>
      <c r="G19" s="273" t="str">
        <f>IF(F19=0,"请在左侧输入数字",VLOOKUP(F19,疯狂附表!C3:D102,2,FALSE))</f>
        <v>请在左侧输入数字</v>
      </c>
      <c r="H19" s="247"/>
      <c r="I19" s="244"/>
      <c r="J19" s="244"/>
      <c r="K19" s="244"/>
      <c r="L19" s="244"/>
      <c r="M19" s="244"/>
      <c r="N19" s="244"/>
      <c r="O19" s="244"/>
      <c r="P19" s="244"/>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8"/>
      <c r="AT19" s="248"/>
      <c r="AU19" s="248"/>
      <c r="AV19" s="248"/>
      <c r="AW19" s="248"/>
      <c r="AX19" s="248"/>
      <c r="AY19" s="248"/>
    </row>
    <row r="20" spans="1:51">
      <c r="A20" s="244"/>
      <c r="B20" s="244"/>
      <c r="C20" s="274"/>
      <c r="D20" s="275"/>
      <c r="E20" s="244"/>
      <c r="F20" s="276"/>
      <c r="G20" s="277"/>
      <c r="H20" s="244"/>
      <c r="I20" s="244"/>
      <c r="J20" s="244"/>
      <c r="K20" s="244"/>
      <c r="L20" s="244"/>
      <c r="M20" s="244"/>
      <c r="N20" s="244"/>
      <c r="O20" s="244"/>
      <c r="P20" s="244"/>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8"/>
      <c r="AT20" s="248"/>
      <c r="AU20" s="248"/>
      <c r="AV20" s="248"/>
      <c r="AW20" s="248"/>
      <c r="AX20" s="248"/>
      <c r="AY20" s="248"/>
    </row>
    <row r="21" spans="1:51" ht="18" customHeight="1">
      <c r="A21" s="244"/>
      <c r="B21" s="244"/>
      <c r="C21" s="278"/>
      <c r="D21" s="279"/>
      <c r="E21" s="244"/>
      <c r="F21" s="280"/>
      <c r="G21" s="281"/>
      <c r="H21" s="244"/>
      <c r="I21" s="244"/>
      <c r="J21" s="244"/>
      <c r="K21" s="244"/>
      <c r="L21" s="244"/>
      <c r="M21" s="244"/>
      <c r="N21" s="244"/>
      <c r="O21" s="244"/>
      <c r="P21" s="244"/>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c r="AQ21" s="248"/>
      <c r="AR21" s="248"/>
      <c r="AS21" s="248"/>
      <c r="AT21" s="248"/>
      <c r="AU21" s="248"/>
      <c r="AV21" s="248"/>
      <c r="AW21" s="248"/>
      <c r="AX21" s="248"/>
      <c r="AY21" s="248"/>
    </row>
    <row r="22" spans="1:51">
      <c r="A22" s="244"/>
      <c r="B22" s="244"/>
      <c r="C22" s="869" t="s">
        <v>467</v>
      </c>
      <c r="D22" s="869"/>
      <c r="E22" s="244"/>
      <c r="F22" s="280"/>
      <c r="G22" s="282"/>
      <c r="H22" s="244"/>
      <c r="I22" s="244"/>
      <c r="J22" s="244"/>
      <c r="K22" s="244"/>
      <c r="L22" s="244"/>
      <c r="M22" s="244"/>
      <c r="N22" s="244"/>
      <c r="O22" s="244"/>
      <c r="P22" s="244"/>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c r="AQ22" s="248"/>
      <c r="AR22" s="248"/>
      <c r="AS22" s="248"/>
      <c r="AT22" s="248"/>
      <c r="AU22" s="248"/>
      <c r="AV22" s="248"/>
      <c r="AW22" s="248"/>
      <c r="AX22" s="248"/>
      <c r="AY22" s="248"/>
    </row>
    <row r="23" spans="1:51" ht="37.5" customHeight="1">
      <c r="A23" s="244"/>
      <c r="B23" s="244"/>
      <c r="C23" s="283"/>
      <c r="D23" s="284"/>
      <c r="E23" s="244"/>
      <c r="F23" s="280"/>
      <c r="G23" s="282"/>
      <c r="H23" s="244"/>
      <c r="I23" s="244"/>
      <c r="J23" s="244"/>
      <c r="K23" s="244"/>
      <c r="L23" s="244"/>
      <c r="M23" s="244"/>
      <c r="N23" s="244"/>
      <c r="O23" s="244"/>
      <c r="P23" s="244"/>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c r="AQ23" s="248"/>
      <c r="AR23" s="248"/>
      <c r="AS23" s="248"/>
      <c r="AT23" s="248"/>
      <c r="AU23" s="248"/>
      <c r="AV23" s="248"/>
      <c r="AW23" s="248"/>
      <c r="AX23" s="248"/>
      <c r="AY23" s="248"/>
    </row>
    <row r="24" spans="1:51">
      <c r="A24" s="244"/>
      <c r="B24" s="244"/>
      <c r="C24" s="244"/>
      <c r="D24" s="285"/>
      <c r="E24" s="244"/>
      <c r="F24" s="280"/>
      <c r="G24" s="282"/>
      <c r="H24" s="244"/>
      <c r="I24" s="244"/>
      <c r="J24" s="244"/>
      <c r="K24" s="244"/>
      <c r="L24" s="244"/>
      <c r="M24" s="244"/>
      <c r="N24" s="244"/>
      <c r="O24" s="244"/>
      <c r="P24" s="244"/>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c r="AQ24" s="248"/>
      <c r="AR24" s="248"/>
      <c r="AS24" s="248"/>
      <c r="AT24" s="248"/>
      <c r="AU24" s="248"/>
      <c r="AV24" s="248"/>
      <c r="AW24" s="248"/>
      <c r="AX24" s="248"/>
      <c r="AY24" s="248"/>
    </row>
    <row r="25" spans="1:51" ht="13.5" customHeight="1">
      <c r="A25" s="244"/>
      <c r="B25" s="244"/>
      <c r="C25" s="286"/>
      <c r="D25" s="287"/>
      <c r="E25" s="244"/>
      <c r="F25" s="280"/>
      <c r="G25" s="282"/>
      <c r="H25" s="244"/>
      <c r="I25" s="244"/>
      <c r="J25" s="244"/>
      <c r="K25" s="244"/>
      <c r="L25" s="244"/>
      <c r="M25" s="244"/>
      <c r="N25" s="244"/>
      <c r="O25" s="244"/>
      <c r="P25" s="244"/>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c r="AQ25" s="248"/>
      <c r="AR25" s="248"/>
      <c r="AS25" s="248"/>
      <c r="AT25" s="248"/>
      <c r="AU25" s="248"/>
      <c r="AV25" s="248"/>
      <c r="AW25" s="248"/>
      <c r="AX25" s="248"/>
      <c r="AY25" s="248"/>
    </row>
    <row r="26" spans="1:51">
      <c r="A26" s="244"/>
      <c r="B26" s="244"/>
      <c r="C26" s="286"/>
      <c r="D26" s="287"/>
      <c r="E26" s="244"/>
      <c r="F26" s="280"/>
      <c r="G26" s="282"/>
      <c r="H26" s="244"/>
      <c r="I26" s="244"/>
      <c r="J26" s="244"/>
      <c r="K26" s="244"/>
      <c r="L26" s="244"/>
      <c r="M26" s="244"/>
      <c r="N26" s="244"/>
      <c r="O26" s="244"/>
      <c r="P26" s="244"/>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c r="AQ26" s="248"/>
      <c r="AR26" s="248"/>
      <c r="AS26" s="248"/>
      <c r="AT26" s="248"/>
      <c r="AU26" s="248"/>
      <c r="AV26" s="248"/>
      <c r="AW26" s="248"/>
      <c r="AX26" s="248"/>
      <c r="AY26" s="248"/>
    </row>
    <row r="27" spans="1:51">
      <c r="A27" s="244"/>
      <c r="B27" s="244"/>
      <c r="C27" s="286"/>
      <c r="D27" s="287"/>
      <c r="E27" s="244"/>
      <c r="F27" s="244"/>
      <c r="G27" s="282"/>
      <c r="H27" s="244"/>
      <c r="I27" s="244"/>
      <c r="J27" s="244"/>
      <c r="K27" s="244"/>
      <c r="L27" s="244"/>
      <c r="M27" s="244"/>
      <c r="N27" s="244"/>
      <c r="O27" s="244"/>
      <c r="P27" s="244"/>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8"/>
      <c r="AT27" s="248"/>
      <c r="AU27" s="248"/>
      <c r="AV27" s="248"/>
      <c r="AW27" s="248"/>
      <c r="AX27" s="248"/>
      <c r="AY27" s="248"/>
    </row>
    <row r="28" spans="1:51">
      <c r="A28" s="244"/>
      <c r="B28" s="244"/>
      <c r="C28" s="244"/>
      <c r="D28" s="285"/>
      <c r="E28" s="244"/>
      <c r="F28" s="244"/>
      <c r="G28" s="282"/>
      <c r="H28" s="244"/>
      <c r="I28" s="244"/>
      <c r="J28" s="244"/>
      <c r="K28" s="244"/>
      <c r="L28" s="244"/>
      <c r="M28" s="244"/>
      <c r="N28" s="244"/>
      <c r="O28" s="244"/>
      <c r="P28" s="244"/>
      <c r="Q28" s="248"/>
      <c r="R28" s="248"/>
      <c r="S28" s="248"/>
      <c r="T28" s="248"/>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8"/>
      <c r="AT28" s="248"/>
      <c r="AU28" s="248"/>
      <c r="AV28" s="248"/>
      <c r="AW28" s="248"/>
      <c r="AX28" s="248"/>
      <c r="AY28" s="248"/>
    </row>
    <row r="29" spans="1:51">
      <c r="A29" s="244"/>
      <c r="B29" s="244"/>
      <c r="C29" s="244"/>
      <c r="D29" s="285"/>
      <c r="E29" s="244"/>
      <c r="F29" s="244"/>
      <c r="G29" s="282"/>
      <c r="H29" s="244"/>
      <c r="I29" s="244"/>
      <c r="J29" s="244"/>
      <c r="K29" s="244"/>
      <c r="L29" s="244"/>
      <c r="M29" s="244"/>
      <c r="N29" s="244"/>
      <c r="O29" s="244"/>
      <c r="P29" s="244"/>
      <c r="Q29" s="248"/>
      <c r="R29" s="248"/>
      <c r="S29" s="248"/>
      <c r="T29" s="248"/>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8"/>
      <c r="AT29" s="248"/>
      <c r="AU29" s="248"/>
      <c r="AV29" s="248"/>
      <c r="AW29" s="248"/>
      <c r="AX29" s="248"/>
      <c r="AY29" s="248"/>
    </row>
    <row r="30" spans="1:51">
      <c r="A30" s="244"/>
      <c r="B30" s="244"/>
      <c r="C30" s="244"/>
      <c r="D30" s="285"/>
      <c r="E30" s="244"/>
      <c r="F30" s="244"/>
      <c r="G30" s="282"/>
      <c r="H30" s="244"/>
      <c r="I30" s="244"/>
      <c r="J30" s="244"/>
      <c r="K30" s="244"/>
      <c r="L30" s="244"/>
      <c r="M30" s="244"/>
      <c r="N30" s="244"/>
      <c r="O30" s="244"/>
      <c r="P30" s="244"/>
      <c r="Q30" s="248"/>
      <c r="R30" s="248"/>
      <c r="S30" s="248"/>
      <c r="T30" s="248"/>
      <c r="U30" s="248"/>
      <c r="V30" s="248"/>
      <c r="W30" s="248"/>
      <c r="X30" s="248"/>
      <c r="Y30" s="248"/>
      <c r="Z30" s="248"/>
      <c r="AA30" s="248"/>
      <c r="AB30" s="248"/>
      <c r="AC30" s="248"/>
      <c r="AD30" s="248"/>
      <c r="AE30" s="248"/>
      <c r="AF30" s="248"/>
      <c r="AG30" s="248"/>
      <c r="AH30" s="248"/>
      <c r="AI30" s="248"/>
      <c r="AJ30" s="248"/>
      <c r="AK30" s="248"/>
      <c r="AL30" s="248"/>
      <c r="AM30" s="248"/>
      <c r="AN30" s="248"/>
      <c r="AO30" s="248"/>
      <c r="AP30" s="248"/>
      <c r="AQ30" s="248"/>
      <c r="AR30" s="248"/>
      <c r="AS30" s="248"/>
      <c r="AT30" s="248"/>
      <c r="AU30" s="248"/>
      <c r="AV30" s="248"/>
      <c r="AW30" s="248"/>
      <c r="AX30" s="248"/>
      <c r="AY30" s="248"/>
    </row>
    <row r="31" spans="1:51">
      <c r="A31" s="244"/>
      <c r="B31" s="244"/>
      <c r="C31" s="244"/>
      <c r="D31" s="285"/>
      <c r="E31" s="244"/>
      <c r="F31" s="244"/>
      <c r="G31" s="282"/>
      <c r="H31" s="244"/>
      <c r="I31" s="244"/>
      <c r="J31" s="244"/>
      <c r="K31" s="244"/>
      <c r="L31" s="244"/>
      <c r="M31" s="244"/>
      <c r="N31" s="244"/>
      <c r="O31" s="244"/>
      <c r="P31" s="244"/>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8"/>
      <c r="AS31" s="248"/>
      <c r="AT31" s="248"/>
      <c r="AU31" s="248"/>
      <c r="AV31" s="248"/>
      <c r="AW31" s="248"/>
      <c r="AX31" s="248"/>
      <c r="AY31" s="248"/>
    </row>
    <row r="32" spans="1:51">
      <c r="A32" s="244"/>
      <c r="B32" s="244"/>
      <c r="C32" s="244"/>
      <c r="D32" s="285"/>
      <c r="E32" s="244"/>
      <c r="F32" s="244"/>
      <c r="G32" s="282"/>
      <c r="H32" s="244"/>
      <c r="I32" s="244"/>
      <c r="J32" s="244"/>
      <c r="K32" s="244"/>
      <c r="L32" s="244"/>
      <c r="M32" s="244"/>
      <c r="N32" s="244"/>
      <c r="O32" s="244"/>
      <c r="P32" s="244"/>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8"/>
      <c r="AS32" s="248"/>
      <c r="AT32" s="248"/>
      <c r="AU32" s="248"/>
      <c r="AV32" s="248"/>
      <c r="AW32" s="248"/>
      <c r="AX32" s="248"/>
      <c r="AY32" s="248"/>
    </row>
    <row r="33" spans="1:51">
      <c r="A33" s="244"/>
      <c r="B33" s="244"/>
      <c r="C33" s="244"/>
      <c r="D33" s="285"/>
      <c r="E33" s="244"/>
      <c r="F33" s="244"/>
      <c r="G33" s="282"/>
      <c r="H33" s="244"/>
      <c r="I33" s="244"/>
      <c r="J33" s="244"/>
      <c r="K33" s="244"/>
      <c r="L33" s="244"/>
      <c r="M33" s="244"/>
      <c r="N33" s="244"/>
      <c r="O33" s="244"/>
      <c r="P33" s="244"/>
      <c r="Q33" s="248"/>
      <c r="R33" s="248"/>
      <c r="S33" s="248"/>
      <c r="T33" s="248"/>
      <c r="U33" s="248"/>
      <c r="V33" s="248"/>
      <c r="W33" s="248"/>
      <c r="X33" s="248"/>
      <c r="Y33" s="248"/>
      <c r="Z33" s="248"/>
      <c r="AA33" s="248"/>
      <c r="AB33" s="248"/>
      <c r="AC33" s="248"/>
      <c r="AD33" s="248"/>
      <c r="AE33" s="248"/>
      <c r="AF33" s="248"/>
      <c r="AG33" s="248"/>
      <c r="AH33" s="248"/>
      <c r="AI33" s="248"/>
      <c r="AJ33" s="248"/>
      <c r="AK33" s="248"/>
      <c r="AL33" s="248"/>
      <c r="AM33" s="248"/>
      <c r="AN33" s="248"/>
      <c r="AO33" s="248"/>
      <c r="AP33" s="248"/>
      <c r="AQ33" s="248"/>
      <c r="AR33" s="248"/>
      <c r="AS33" s="248"/>
      <c r="AT33" s="248"/>
      <c r="AU33" s="248"/>
      <c r="AV33" s="248"/>
      <c r="AW33" s="248"/>
      <c r="AX33" s="248"/>
      <c r="AY33" s="248"/>
    </row>
    <row r="34" spans="1:51">
      <c r="A34" s="244"/>
      <c r="B34" s="244"/>
      <c r="C34" s="286"/>
      <c r="D34" s="287"/>
      <c r="E34" s="244"/>
      <c r="F34" s="280"/>
      <c r="G34" s="282"/>
      <c r="H34" s="244"/>
      <c r="I34" s="244"/>
      <c r="J34" s="244"/>
      <c r="K34" s="244"/>
      <c r="L34" s="244"/>
      <c r="M34" s="244"/>
      <c r="N34" s="244"/>
      <c r="O34" s="244"/>
      <c r="P34" s="244"/>
      <c r="Q34" s="248"/>
      <c r="R34" s="248"/>
      <c r="S34" s="248"/>
      <c r="T34" s="248"/>
      <c r="U34" s="248"/>
      <c r="V34" s="248"/>
      <c r="W34" s="248"/>
      <c r="X34" s="248"/>
      <c r="Y34" s="248"/>
      <c r="Z34" s="248"/>
      <c r="AA34" s="248"/>
      <c r="AB34" s="248"/>
      <c r="AC34" s="248"/>
      <c r="AD34" s="248"/>
      <c r="AE34" s="248"/>
      <c r="AF34" s="248"/>
      <c r="AG34" s="248"/>
      <c r="AH34" s="248"/>
      <c r="AI34" s="248"/>
      <c r="AJ34" s="248"/>
      <c r="AK34" s="248"/>
      <c r="AL34" s="248"/>
      <c r="AM34" s="248"/>
      <c r="AN34" s="248"/>
      <c r="AO34" s="248"/>
      <c r="AP34" s="248"/>
      <c r="AQ34" s="248"/>
      <c r="AR34" s="248"/>
      <c r="AS34" s="248"/>
      <c r="AT34" s="248"/>
      <c r="AU34" s="248"/>
      <c r="AV34" s="248"/>
      <c r="AW34" s="248"/>
      <c r="AX34" s="248"/>
      <c r="AY34" s="248"/>
    </row>
    <row r="35" spans="1:51">
      <c r="A35" s="244"/>
      <c r="B35" s="244"/>
      <c r="C35" s="286"/>
      <c r="D35" s="287"/>
      <c r="E35" s="244"/>
      <c r="F35" s="280"/>
      <c r="G35" s="282"/>
      <c r="H35" s="244"/>
      <c r="I35" s="244"/>
      <c r="J35" s="244"/>
      <c r="K35" s="244"/>
      <c r="L35" s="244"/>
      <c r="M35" s="244"/>
      <c r="N35" s="244"/>
      <c r="O35" s="244"/>
      <c r="P35" s="244"/>
      <c r="Q35" s="248"/>
      <c r="R35" s="248"/>
      <c r="S35" s="248"/>
      <c r="T35" s="248"/>
      <c r="U35" s="248"/>
      <c r="V35" s="248"/>
      <c r="W35" s="248"/>
      <c r="X35" s="248"/>
      <c r="Y35" s="248"/>
      <c r="Z35" s="248"/>
      <c r="AA35" s="248"/>
      <c r="AB35" s="248"/>
      <c r="AC35" s="248"/>
      <c r="AD35" s="248"/>
      <c r="AE35" s="248"/>
      <c r="AF35" s="248"/>
      <c r="AG35" s="248"/>
      <c r="AH35" s="248"/>
      <c r="AI35" s="248"/>
      <c r="AJ35" s="248"/>
      <c r="AK35" s="248"/>
      <c r="AL35" s="248"/>
      <c r="AM35" s="248"/>
      <c r="AN35" s="248"/>
      <c r="AO35" s="248"/>
      <c r="AP35" s="248"/>
      <c r="AQ35" s="248"/>
      <c r="AR35" s="248"/>
      <c r="AS35" s="248"/>
      <c r="AT35" s="248"/>
      <c r="AU35" s="248"/>
      <c r="AV35" s="248"/>
      <c r="AW35" s="248"/>
      <c r="AX35" s="248"/>
      <c r="AY35" s="248"/>
    </row>
    <row r="36" spans="1:51">
      <c r="A36" s="244"/>
      <c r="B36" s="244"/>
      <c r="C36" s="286"/>
      <c r="D36" s="287"/>
      <c r="E36" s="244"/>
      <c r="F36" s="280"/>
      <c r="G36" s="282"/>
      <c r="H36" s="244"/>
      <c r="I36" s="244"/>
      <c r="J36" s="244"/>
      <c r="K36" s="244"/>
      <c r="L36" s="244"/>
      <c r="M36" s="244"/>
      <c r="N36" s="244"/>
      <c r="O36" s="244"/>
      <c r="P36" s="244"/>
      <c r="Q36" s="248"/>
      <c r="R36" s="248"/>
      <c r="S36" s="248"/>
      <c r="T36" s="248"/>
      <c r="U36" s="248"/>
      <c r="V36" s="248"/>
      <c r="W36" s="248"/>
      <c r="X36" s="248"/>
      <c r="Y36" s="248"/>
      <c r="Z36" s="248"/>
      <c r="AA36" s="248"/>
      <c r="AB36" s="248"/>
      <c r="AC36" s="248"/>
      <c r="AD36" s="248"/>
      <c r="AE36" s="248"/>
      <c r="AF36" s="248"/>
      <c r="AG36" s="248"/>
      <c r="AH36" s="248"/>
      <c r="AI36" s="248"/>
      <c r="AJ36" s="248"/>
      <c r="AK36" s="248"/>
      <c r="AL36" s="248"/>
      <c r="AM36" s="248"/>
      <c r="AN36" s="248"/>
      <c r="AO36" s="248"/>
      <c r="AP36" s="248"/>
      <c r="AQ36" s="248"/>
      <c r="AR36" s="248"/>
      <c r="AS36" s="248"/>
      <c r="AT36" s="248"/>
      <c r="AU36" s="248"/>
      <c r="AV36" s="248"/>
      <c r="AW36" s="248"/>
      <c r="AX36" s="248"/>
      <c r="AY36" s="248"/>
    </row>
    <row r="37" spans="1:51">
      <c r="A37" s="244"/>
      <c r="B37" s="244"/>
      <c r="C37" s="286"/>
      <c r="D37" s="287"/>
      <c r="E37" s="244"/>
      <c r="F37" s="280"/>
      <c r="G37" s="282"/>
      <c r="H37" s="244"/>
      <c r="I37" s="244"/>
      <c r="J37" s="244"/>
      <c r="K37" s="244"/>
      <c r="L37" s="244"/>
      <c r="M37" s="244"/>
      <c r="N37" s="244"/>
      <c r="O37" s="244"/>
      <c r="P37" s="244"/>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c r="AX37" s="248"/>
      <c r="AY37" s="248"/>
    </row>
    <row r="38" spans="1:51">
      <c r="A38" s="244"/>
      <c r="B38" s="244"/>
      <c r="C38" s="286"/>
      <c r="D38" s="287"/>
      <c r="E38" s="244"/>
      <c r="F38" s="280"/>
      <c r="G38" s="282"/>
      <c r="H38" s="244"/>
      <c r="I38" s="244"/>
      <c r="J38" s="244"/>
      <c r="K38" s="244"/>
      <c r="L38" s="244"/>
      <c r="M38" s="244"/>
      <c r="N38" s="244"/>
      <c r="O38" s="244"/>
      <c r="P38" s="244"/>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c r="AX38" s="248"/>
      <c r="AY38" s="248"/>
    </row>
    <row r="39" spans="1:51">
      <c r="A39" s="244"/>
      <c r="B39" s="244"/>
      <c r="C39" s="286"/>
      <c r="D39" s="287"/>
      <c r="E39" s="244"/>
      <c r="F39" s="280"/>
      <c r="G39" s="282"/>
      <c r="H39" s="244"/>
      <c r="I39" s="244"/>
      <c r="J39" s="244"/>
      <c r="K39" s="244"/>
      <c r="L39" s="244"/>
      <c r="M39" s="244"/>
      <c r="N39" s="244"/>
      <c r="O39" s="244"/>
      <c r="P39" s="244"/>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c r="AX39" s="248"/>
      <c r="AY39" s="248"/>
    </row>
    <row r="40" spans="1:51">
      <c r="A40" s="244"/>
      <c r="B40" s="244"/>
      <c r="C40" s="286"/>
      <c r="D40" s="287"/>
      <c r="E40" s="244"/>
      <c r="F40" s="280"/>
      <c r="G40" s="282"/>
      <c r="H40" s="244"/>
      <c r="I40" s="244"/>
      <c r="J40" s="244"/>
      <c r="K40" s="244"/>
      <c r="L40" s="244"/>
      <c r="M40" s="244"/>
      <c r="N40" s="244"/>
      <c r="O40" s="244"/>
      <c r="P40" s="244"/>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c r="AX40" s="248"/>
      <c r="AY40" s="248"/>
    </row>
    <row r="41" spans="1:51">
      <c r="A41" s="244"/>
      <c r="B41" s="244"/>
      <c r="C41" s="286"/>
      <c r="D41" s="287"/>
      <c r="E41" s="244"/>
      <c r="F41" s="280"/>
      <c r="G41" s="282"/>
      <c r="H41" s="244"/>
      <c r="I41" s="244"/>
      <c r="J41" s="244"/>
      <c r="K41" s="244"/>
      <c r="L41" s="244"/>
      <c r="M41" s="244"/>
      <c r="N41" s="244"/>
      <c r="O41" s="244"/>
      <c r="P41" s="244"/>
      <c r="Q41" s="248"/>
      <c r="R41" s="248"/>
      <c r="S41" s="248"/>
      <c r="T41" s="248"/>
      <c r="U41" s="248"/>
      <c r="V41" s="248"/>
      <c r="W41" s="248"/>
      <c r="X41" s="248"/>
      <c r="Y41" s="248"/>
      <c r="Z41" s="248"/>
      <c r="AA41" s="248"/>
      <c r="AB41" s="248"/>
      <c r="AC41" s="248"/>
      <c r="AD41" s="248"/>
      <c r="AE41" s="248"/>
      <c r="AF41" s="248"/>
      <c r="AG41" s="248"/>
      <c r="AH41" s="248"/>
      <c r="AI41" s="248"/>
      <c r="AJ41" s="248"/>
      <c r="AK41" s="248"/>
      <c r="AL41" s="248"/>
      <c r="AM41" s="248"/>
      <c r="AN41" s="248"/>
      <c r="AO41" s="248"/>
      <c r="AP41" s="248"/>
      <c r="AQ41" s="248"/>
      <c r="AR41" s="248"/>
      <c r="AS41" s="248"/>
      <c r="AT41" s="248"/>
      <c r="AU41" s="248"/>
      <c r="AV41" s="248"/>
      <c r="AW41" s="248"/>
      <c r="AX41" s="248"/>
      <c r="AY41" s="248"/>
    </row>
    <row r="42" spans="1:51">
      <c r="A42" s="244"/>
      <c r="B42" s="244"/>
      <c r="C42" s="286"/>
      <c r="D42" s="287"/>
      <c r="E42" s="244"/>
      <c r="F42" s="280"/>
      <c r="G42" s="282"/>
      <c r="H42" s="244"/>
      <c r="I42" s="244"/>
      <c r="J42" s="244"/>
      <c r="K42" s="244"/>
      <c r="L42" s="244"/>
      <c r="M42" s="244"/>
      <c r="N42" s="244"/>
      <c r="O42" s="244"/>
      <c r="P42" s="244"/>
      <c r="Q42" s="248"/>
      <c r="R42" s="248"/>
      <c r="S42" s="248"/>
      <c r="T42" s="248"/>
      <c r="U42" s="248"/>
      <c r="V42" s="248"/>
      <c r="W42" s="248"/>
      <c r="X42" s="248"/>
      <c r="Y42" s="248"/>
      <c r="Z42" s="248"/>
      <c r="AA42" s="248"/>
      <c r="AB42" s="248"/>
      <c r="AC42" s="248"/>
      <c r="AD42" s="248"/>
      <c r="AE42" s="248"/>
      <c r="AF42" s="248"/>
      <c r="AG42" s="248"/>
      <c r="AH42" s="248"/>
      <c r="AI42" s="248"/>
      <c r="AJ42" s="248"/>
      <c r="AK42" s="248"/>
      <c r="AL42" s="248"/>
      <c r="AM42" s="248"/>
      <c r="AN42" s="248"/>
      <c r="AO42" s="248"/>
      <c r="AP42" s="248"/>
      <c r="AQ42" s="248"/>
      <c r="AR42" s="248"/>
      <c r="AS42" s="248"/>
      <c r="AT42" s="248"/>
      <c r="AU42" s="248"/>
      <c r="AV42" s="248"/>
      <c r="AW42" s="248"/>
      <c r="AX42" s="248"/>
      <c r="AY42" s="248"/>
    </row>
    <row r="43" spans="1:51">
      <c r="A43" s="244"/>
      <c r="B43" s="244"/>
      <c r="C43" s="286"/>
      <c r="D43" s="287"/>
      <c r="E43" s="244"/>
      <c r="F43" s="280"/>
      <c r="G43" s="282"/>
      <c r="H43" s="244"/>
      <c r="I43" s="244"/>
      <c r="J43" s="244"/>
      <c r="K43" s="244"/>
      <c r="L43" s="244"/>
      <c r="M43" s="244"/>
      <c r="N43" s="244"/>
      <c r="O43" s="244"/>
      <c r="P43" s="244"/>
      <c r="Q43" s="248"/>
      <c r="R43" s="248"/>
      <c r="S43" s="248"/>
      <c r="T43" s="248"/>
      <c r="U43" s="248"/>
      <c r="V43" s="248"/>
      <c r="W43" s="248"/>
      <c r="X43" s="248"/>
      <c r="Y43" s="248"/>
      <c r="Z43" s="248"/>
      <c r="AA43" s="248"/>
      <c r="AB43" s="248"/>
      <c r="AC43" s="248"/>
      <c r="AD43" s="248"/>
      <c r="AE43" s="248"/>
      <c r="AF43" s="248"/>
      <c r="AG43" s="248"/>
      <c r="AH43" s="248"/>
      <c r="AI43" s="248"/>
      <c r="AJ43" s="248"/>
      <c r="AK43" s="248"/>
      <c r="AL43" s="248"/>
      <c r="AM43" s="248"/>
      <c r="AN43" s="248"/>
      <c r="AO43" s="248"/>
      <c r="AP43" s="248"/>
      <c r="AQ43" s="248"/>
      <c r="AR43" s="248"/>
      <c r="AS43" s="248"/>
      <c r="AT43" s="248"/>
      <c r="AU43" s="248"/>
      <c r="AV43" s="248"/>
      <c r="AW43" s="248"/>
      <c r="AX43" s="248"/>
      <c r="AY43" s="248"/>
    </row>
    <row r="44" spans="1:51">
      <c r="A44" s="244"/>
      <c r="B44" s="244"/>
      <c r="C44" s="286"/>
      <c r="D44" s="287"/>
      <c r="E44" s="244"/>
      <c r="F44" s="280"/>
      <c r="G44" s="282"/>
      <c r="H44" s="244"/>
      <c r="I44" s="244"/>
      <c r="J44" s="244"/>
      <c r="K44" s="244"/>
      <c r="L44" s="244"/>
      <c r="M44" s="244"/>
      <c r="N44" s="244"/>
      <c r="O44" s="244"/>
      <c r="P44" s="244"/>
      <c r="Q44" s="248"/>
      <c r="R44" s="248"/>
      <c r="S44" s="248"/>
      <c r="T44" s="248"/>
      <c r="U44" s="248"/>
      <c r="V44" s="248"/>
      <c r="W44" s="248"/>
      <c r="X44" s="248"/>
      <c r="Y44" s="248"/>
      <c r="Z44" s="248"/>
      <c r="AA44" s="248"/>
      <c r="AB44" s="248"/>
      <c r="AC44" s="248"/>
      <c r="AD44" s="248"/>
      <c r="AE44" s="248"/>
      <c r="AF44" s="248"/>
      <c r="AG44" s="248"/>
      <c r="AH44" s="248"/>
      <c r="AI44" s="248"/>
      <c r="AJ44" s="248"/>
      <c r="AK44" s="248"/>
      <c r="AL44" s="248"/>
      <c r="AM44" s="248"/>
      <c r="AN44" s="248"/>
      <c r="AO44" s="248"/>
      <c r="AP44" s="248"/>
      <c r="AQ44" s="248"/>
      <c r="AR44" s="248"/>
      <c r="AS44" s="248"/>
      <c r="AT44" s="248"/>
      <c r="AU44" s="248"/>
      <c r="AV44" s="248"/>
      <c r="AW44" s="248"/>
      <c r="AX44" s="248"/>
      <c r="AY44" s="248"/>
    </row>
    <row r="45" spans="1:51">
      <c r="A45" s="244"/>
      <c r="B45" s="244"/>
      <c r="C45" s="286"/>
      <c r="D45" s="287"/>
      <c r="E45" s="244"/>
      <c r="F45" s="280"/>
      <c r="G45" s="282"/>
      <c r="H45" s="244"/>
      <c r="I45" s="244"/>
      <c r="J45" s="244"/>
      <c r="K45" s="244"/>
      <c r="L45" s="244"/>
      <c r="M45" s="244"/>
      <c r="N45" s="244"/>
      <c r="O45" s="244"/>
      <c r="P45" s="244"/>
      <c r="Q45" s="248"/>
      <c r="R45" s="248"/>
      <c r="S45" s="248"/>
      <c r="T45" s="248"/>
      <c r="U45" s="248"/>
      <c r="V45" s="248"/>
      <c r="W45" s="248"/>
      <c r="X45" s="248"/>
      <c r="Y45" s="248"/>
      <c r="Z45" s="248"/>
      <c r="AA45" s="248"/>
      <c r="AB45" s="248"/>
      <c r="AC45" s="248"/>
      <c r="AD45" s="248"/>
      <c r="AE45" s="248"/>
      <c r="AF45" s="248"/>
      <c r="AG45" s="248"/>
      <c r="AH45" s="248"/>
      <c r="AI45" s="248"/>
      <c r="AJ45" s="248"/>
      <c r="AK45" s="248"/>
      <c r="AL45" s="248"/>
      <c r="AM45" s="248"/>
      <c r="AN45" s="248"/>
      <c r="AO45" s="248"/>
      <c r="AP45" s="248"/>
      <c r="AQ45" s="248"/>
      <c r="AR45" s="248"/>
      <c r="AS45" s="248"/>
      <c r="AT45" s="248"/>
      <c r="AU45" s="248"/>
      <c r="AV45" s="248"/>
      <c r="AW45" s="248"/>
      <c r="AX45" s="248"/>
      <c r="AY45" s="248"/>
    </row>
    <row r="46" spans="1:51">
      <c r="A46" s="244"/>
      <c r="B46" s="244"/>
      <c r="C46" s="286"/>
      <c r="D46" s="287"/>
      <c r="E46" s="244"/>
      <c r="F46" s="280"/>
      <c r="G46" s="282"/>
      <c r="H46" s="244"/>
      <c r="I46" s="244"/>
      <c r="J46" s="244"/>
      <c r="K46" s="244"/>
      <c r="L46" s="244"/>
      <c r="M46" s="244"/>
      <c r="N46" s="244"/>
      <c r="O46" s="244"/>
      <c r="P46" s="244"/>
      <c r="Q46" s="248"/>
      <c r="R46" s="248"/>
      <c r="S46" s="248"/>
      <c r="T46" s="248"/>
      <c r="U46" s="248"/>
      <c r="V46" s="248"/>
      <c r="W46" s="248"/>
      <c r="X46" s="248"/>
      <c r="Y46" s="248"/>
      <c r="Z46" s="248"/>
      <c r="AA46" s="248"/>
      <c r="AB46" s="248"/>
      <c r="AC46" s="248"/>
      <c r="AD46" s="248"/>
      <c r="AE46" s="248"/>
      <c r="AF46" s="248"/>
      <c r="AG46" s="248"/>
      <c r="AH46" s="248"/>
      <c r="AI46" s="248"/>
      <c r="AJ46" s="248"/>
      <c r="AK46" s="248"/>
      <c r="AL46" s="248"/>
      <c r="AM46" s="248"/>
      <c r="AN46" s="248"/>
      <c r="AO46" s="248"/>
      <c r="AP46" s="248"/>
      <c r="AQ46" s="248"/>
      <c r="AR46" s="248"/>
      <c r="AS46" s="248"/>
      <c r="AT46" s="248"/>
      <c r="AU46" s="248"/>
      <c r="AV46" s="248"/>
      <c r="AW46" s="248"/>
      <c r="AX46" s="248"/>
      <c r="AY46" s="248"/>
    </row>
    <row r="47" spans="1:51">
      <c r="A47" s="244"/>
      <c r="B47" s="244"/>
      <c r="C47" s="286"/>
      <c r="D47" s="287"/>
      <c r="E47" s="244"/>
      <c r="F47" s="280"/>
      <c r="G47" s="282"/>
      <c r="H47" s="244"/>
      <c r="I47" s="244"/>
      <c r="J47" s="244"/>
      <c r="K47" s="244"/>
      <c r="L47" s="244"/>
      <c r="M47" s="244"/>
      <c r="N47" s="244"/>
      <c r="O47" s="244"/>
      <c r="P47" s="244"/>
      <c r="Q47" s="248"/>
      <c r="R47" s="248"/>
      <c r="S47" s="248"/>
      <c r="T47" s="248"/>
      <c r="U47" s="248"/>
      <c r="V47" s="248"/>
      <c r="W47" s="248"/>
      <c r="X47" s="248"/>
      <c r="Y47" s="248"/>
      <c r="Z47" s="248"/>
      <c r="AA47" s="248"/>
      <c r="AB47" s="248"/>
      <c r="AC47" s="248"/>
      <c r="AD47" s="248"/>
      <c r="AE47" s="248"/>
      <c r="AF47" s="248"/>
      <c r="AG47" s="248"/>
      <c r="AH47" s="248"/>
      <c r="AI47" s="248"/>
      <c r="AJ47" s="248"/>
      <c r="AK47" s="248"/>
      <c r="AL47" s="248"/>
      <c r="AM47" s="248"/>
      <c r="AN47" s="248"/>
      <c r="AO47" s="248"/>
      <c r="AP47" s="248"/>
      <c r="AQ47" s="248"/>
      <c r="AR47" s="248"/>
      <c r="AS47" s="248"/>
      <c r="AT47" s="248"/>
      <c r="AU47" s="248"/>
      <c r="AV47" s="248"/>
      <c r="AW47" s="248"/>
      <c r="AX47" s="248"/>
      <c r="AY47" s="248"/>
    </row>
    <row r="48" spans="1:51">
      <c r="A48" s="244"/>
      <c r="B48" s="244"/>
      <c r="C48" s="286"/>
      <c r="D48" s="287"/>
      <c r="E48" s="244"/>
      <c r="F48" s="280"/>
      <c r="G48" s="282"/>
      <c r="H48" s="244"/>
      <c r="I48" s="244"/>
      <c r="J48" s="244"/>
      <c r="K48" s="244"/>
      <c r="L48" s="244"/>
      <c r="M48" s="244"/>
      <c r="N48" s="244"/>
      <c r="O48" s="244"/>
      <c r="P48" s="244"/>
      <c r="Q48" s="248"/>
      <c r="R48" s="248"/>
      <c r="S48" s="248"/>
      <c r="T48" s="248"/>
      <c r="U48" s="248"/>
      <c r="V48" s="248"/>
      <c r="W48" s="248"/>
      <c r="X48" s="248"/>
      <c r="Y48" s="248"/>
      <c r="Z48" s="248"/>
      <c r="AA48" s="248"/>
      <c r="AB48" s="248"/>
      <c r="AC48" s="248"/>
      <c r="AD48" s="248"/>
      <c r="AE48" s="248"/>
      <c r="AF48" s="248"/>
      <c r="AG48" s="248"/>
      <c r="AH48" s="248"/>
      <c r="AI48" s="248"/>
      <c r="AJ48" s="248"/>
      <c r="AK48" s="248"/>
      <c r="AL48" s="248"/>
      <c r="AM48" s="248"/>
      <c r="AN48" s="248"/>
      <c r="AO48" s="248"/>
      <c r="AP48" s="248"/>
      <c r="AQ48" s="248"/>
      <c r="AR48" s="248"/>
      <c r="AS48" s="248"/>
      <c r="AT48" s="248"/>
      <c r="AU48" s="248"/>
      <c r="AV48" s="248"/>
      <c r="AW48" s="248"/>
      <c r="AX48" s="248"/>
      <c r="AY48" s="248"/>
    </row>
    <row r="49" spans="1:51">
      <c r="A49" s="244"/>
      <c r="B49" s="244"/>
      <c r="C49" s="286"/>
      <c r="D49" s="287"/>
      <c r="E49" s="244"/>
      <c r="F49" s="280"/>
      <c r="G49" s="282"/>
      <c r="H49" s="244"/>
      <c r="I49" s="244"/>
      <c r="J49" s="244"/>
      <c r="K49" s="244"/>
      <c r="L49" s="244"/>
      <c r="M49" s="244"/>
      <c r="N49" s="244"/>
      <c r="O49" s="244"/>
      <c r="P49" s="244"/>
      <c r="Q49" s="248"/>
      <c r="R49" s="248"/>
      <c r="S49" s="248"/>
      <c r="T49" s="248"/>
      <c r="U49" s="248"/>
      <c r="V49" s="248"/>
      <c r="W49" s="248"/>
      <c r="X49" s="248"/>
      <c r="Y49" s="248"/>
      <c r="Z49" s="248"/>
      <c r="AA49" s="248"/>
      <c r="AB49" s="248"/>
      <c r="AC49" s="248"/>
      <c r="AD49" s="248"/>
      <c r="AE49" s="248"/>
      <c r="AF49" s="248"/>
      <c r="AG49" s="248"/>
      <c r="AH49" s="248"/>
      <c r="AI49" s="248"/>
      <c r="AJ49" s="248"/>
      <c r="AK49" s="248"/>
      <c r="AL49" s="248"/>
      <c r="AM49" s="248"/>
      <c r="AN49" s="248"/>
      <c r="AO49" s="248"/>
      <c r="AP49" s="248"/>
      <c r="AQ49" s="248"/>
      <c r="AR49" s="248"/>
      <c r="AS49" s="248"/>
      <c r="AT49" s="248"/>
      <c r="AU49" s="248"/>
      <c r="AV49" s="248"/>
      <c r="AW49" s="248"/>
      <c r="AX49" s="248"/>
      <c r="AY49" s="248"/>
    </row>
    <row r="50" spans="1:51">
      <c r="A50" s="244"/>
      <c r="B50" s="244"/>
      <c r="C50" s="286"/>
      <c r="D50" s="287"/>
      <c r="E50" s="244"/>
      <c r="F50" s="280"/>
      <c r="G50" s="282"/>
      <c r="H50" s="244"/>
      <c r="I50" s="244"/>
      <c r="J50" s="244"/>
      <c r="K50" s="244"/>
      <c r="L50" s="244"/>
      <c r="M50" s="244"/>
      <c r="N50" s="244"/>
      <c r="O50" s="244"/>
      <c r="P50" s="244"/>
      <c r="Q50" s="248"/>
      <c r="R50" s="248"/>
      <c r="S50" s="248"/>
      <c r="T50" s="248"/>
      <c r="U50" s="248"/>
      <c r="V50" s="248"/>
      <c r="W50" s="248"/>
      <c r="X50" s="248"/>
      <c r="Y50" s="248"/>
      <c r="Z50" s="248"/>
      <c r="AA50" s="248"/>
      <c r="AB50" s="248"/>
      <c r="AC50" s="248"/>
      <c r="AD50" s="248"/>
      <c r="AE50" s="248"/>
      <c r="AF50" s="248"/>
      <c r="AG50" s="248"/>
      <c r="AH50" s="248"/>
      <c r="AI50" s="248"/>
      <c r="AJ50" s="248"/>
      <c r="AK50" s="248"/>
      <c r="AL50" s="248"/>
      <c r="AM50" s="248"/>
      <c r="AN50" s="248"/>
      <c r="AO50" s="248"/>
      <c r="AP50" s="248"/>
      <c r="AQ50" s="248"/>
      <c r="AR50" s="248"/>
      <c r="AS50" s="248"/>
      <c r="AT50" s="248"/>
      <c r="AU50" s="248"/>
      <c r="AV50" s="248"/>
      <c r="AW50" s="248"/>
      <c r="AX50" s="248"/>
      <c r="AY50" s="248"/>
    </row>
    <row r="51" spans="1:51">
      <c r="A51" s="244"/>
      <c r="B51" s="244"/>
      <c r="C51" s="286"/>
      <c r="D51" s="287"/>
      <c r="E51" s="244"/>
      <c r="F51" s="280"/>
      <c r="G51" s="282"/>
      <c r="H51" s="244"/>
      <c r="I51" s="244"/>
      <c r="J51" s="244"/>
      <c r="K51" s="244"/>
      <c r="L51" s="244"/>
      <c r="M51" s="244"/>
      <c r="N51" s="244"/>
      <c r="O51" s="244"/>
      <c r="P51" s="244"/>
      <c r="Q51" s="248"/>
      <c r="R51" s="248"/>
      <c r="S51" s="248"/>
      <c r="T51" s="248"/>
      <c r="U51" s="248"/>
      <c r="V51" s="248"/>
      <c r="W51" s="248"/>
      <c r="X51" s="248"/>
      <c r="Y51" s="248"/>
      <c r="Z51" s="248"/>
      <c r="AA51" s="248"/>
      <c r="AB51" s="248"/>
      <c r="AC51" s="248"/>
      <c r="AD51" s="248"/>
      <c r="AE51" s="248"/>
      <c r="AF51" s="248"/>
      <c r="AG51" s="248"/>
      <c r="AH51" s="248"/>
      <c r="AI51" s="248"/>
      <c r="AJ51" s="248"/>
      <c r="AK51" s="248"/>
      <c r="AL51" s="248"/>
      <c r="AM51" s="248"/>
      <c r="AN51" s="248"/>
      <c r="AO51" s="248"/>
      <c r="AP51" s="248"/>
      <c r="AQ51" s="248"/>
      <c r="AR51" s="248"/>
      <c r="AS51" s="248"/>
      <c r="AT51" s="248"/>
      <c r="AU51" s="248"/>
      <c r="AV51" s="248"/>
      <c r="AW51" s="248"/>
      <c r="AX51" s="248"/>
      <c r="AY51" s="248"/>
    </row>
    <row r="52" spans="1:51">
      <c r="A52" s="244"/>
      <c r="B52" s="244"/>
      <c r="C52" s="286"/>
      <c r="D52" s="287"/>
      <c r="E52" s="244"/>
      <c r="F52" s="280"/>
      <c r="G52" s="282"/>
      <c r="H52" s="244"/>
      <c r="I52" s="244"/>
      <c r="J52" s="244"/>
      <c r="K52" s="244"/>
      <c r="L52" s="244"/>
      <c r="M52" s="244"/>
      <c r="N52" s="244"/>
      <c r="O52" s="244"/>
      <c r="P52" s="244"/>
      <c r="Q52" s="248"/>
      <c r="R52" s="248"/>
      <c r="S52" s="248"/>
      <c r="T52" s="248"/>
      <c r="U52" s="248"/>
      <c r="V52" s="248"/>
      <c r="W52" s="248"/>
      <c r="X52" s="248"/>
      <c r="Y52" s="248"/>
      <c r="Z52" s="248"/>
      <c r="AA52" s="248"/>
      <c r="AB52" s="248"/>
      <c r="AC52" s="248"/>
      <c r="AD52" s="248"/>
      <c r="AE52" s="248"/>
      <c r="AF52" s="248"/>
      <c r="AG52" s="248"/>
      <c r="AH52" s="248"/>
      <c r="AI52" s="248"/>
      <c r="AJ52" s="248"/>
      <c r="AK52" s="248"/>
      <c r="AL52" s="248"/>
      <c r="AM52" s="248"/>
      <c r="AN52" s="248"/>
      <c r="AO52" s="248"/>
      <c r="AP52" s="248"/>
      <c r="AQ52" s="248"/>
      <c r="AR52" s="248"/>
      <c r="AS52" s="248"/>
      <c r="AT52" s="248"/>
      <c r="AU52" s="248"/>
      <c r="AV52" s="248"/>
      <c r="AW52" s="248"/>
      <c r="AX52" s="248"/>
      <c r="AY52" s="248"/>
    </row>
    <row r="53" spans="1:51">
      <c r="A53" s="244"/>
      <c r="B53" s="244"/>
      <c r="C53" s="286"/>
      <c r="D53" s="287"/>
      <c r="E53" s="244"/>
      <c r="F53" s="280"/>
      <c r="G53" s="282"/>
      <c r="H53" s="244"/>
      <c r="I53" s="244"/>
      <c r="J53" s="244"/>
      <c r="K53" s="244"/>
      <c r="L53" s="244"/>
      <c r="M53" s="244"/>
      <c r="N53" s="244"/>
      <c r="O53" s="244"/>
      <c r="P53" s="244"/>
      <c r="Q53" s="248"/>
      <c r="R53" s="248"/>
      <c r="S53" s="248"/>
      <c r="T53" s="248"/>
      <c r="U53" s="248"/>
      <c r="V53" s="248"/>
      <c r="W53" s="248"/>
      <c r="X53" s="248"/>
      <c r="Y53" s="248"/>
      <c r="Z53" s="248"/>
      <c r="AA53" s="248"/>
      <c r="AB53" s="248"/>
      <c r="AC53" s="248"/>
      <c r="AD53" s="248"/>
      <c r="AE53" s="248"/>
      <c r="AF53" s="248"/>
      <c r="AG53" s="248"/>
      <c r="AH53" s="248"/>
      <c r="AI53" s="248"/>
      <c r="AJ53" s="248"/>
      <c r="AK53" s="248"/>
      <c r="AL53" s="248"/>
      <c r="AM53" s="248"/>
      <c r="AN53" s="248"/>
      <c r="AO53" s="248"/>
      <c r="AP53" s="248"/>
      <c r="AQ53" s="248"/>
      <c r="AR53" s="248"/>
      <c r="AS53" s="248"/>
      <c r="AT53" s="248"/>
      <c r="AU53" s="248"/>
      <c r="AV53" s="248"/>
      <c r="AW53" s="248"/>
      <c r="AX53" s="248"/>
      <c r="AY53" s="248"/>
    </row>
    <row r="54" spans="1:51">
      <c r="A54" s="244"/>
      <c r="B54" s="244"/>
      <c r="C54" s="286"/>
      <c r="D54" s="287"/>
      <c r="E54" s="244"/>
      <c r="F54" s="280"/>
      <c r="G54" s="282"/>
      <c r="H54" s="244"/>
      <c r="I54" s="244"/>
      <c r="J54" s="244"/>
      <c r="K54" s="244"/>
      <c r="L54" s="244"/>
      <c r="M54" s="244"/>
      <c r="N54" s="244"/>
      <c r="O54" s="244"/>
      <c r="P54" s="244"/>
      <c r="Q54" s="248"/>
      <c r="R54" s="248"/>
      <c r="S54" s="248"/>
      <c r="T54" s="248"/>
      <c r="U54" s="248"/>
      <c r="V54" s="248"/>
      <c r="W54" s="248"/>
      <c r="X54" s="248"/>
      <c r="Y54" s="248"/>
      <c r="Z54" s="248"/>
      <c r="AA54" s="248"/>
      <c r="AB54" s="248"/>
      <c r="AC54" s="248"/>
      <c r="AD54" s="248"/>
      <c r="AE54" s="248"/>
      <c r="AF54" s="248"/>
      <c r="AG54" s="248"/>
      <c r="AH54" s="248"/>
      <c r="AI54" s="248"/>
      <c r="AJ54" s="248"/>
      <c r="AK54" s="248"/>
      <c r="AL54" s="248"/>
      <c r="AM54" s="248"/>
      <c r="AN54" s="248"/>
      <c r="AO54" s="248"/>
      <c r="AP54" s="248"/>
      <c r="AQ54" s="248"/>
      <c r="AR54" s="248"/>
      <c r="AS54" s="248"/>
      <c r="AT54" s="248"/>
      <c r="AU54" s="248"/>
      <c r="AV54" s="248"/>
      <c r="AW54" s="248"/>
      <c r="AX54" s="248"/>
      <c r="AY54" s="248"/>
    </row>
    <row r="55" spans="1:51">
      <c r="A55" s="244"/>
      <c r="B55" s="244"/>
      <c r="C55" s="286"/>
      <c r="D55" s="287"/>
      <c r="E55" s="244"/>
      <c r="F55" s="280"/>
      <c r="G55" s="282"/>
      <c r="H55" s="244"/>
      <c r="I55" s="244"/>
      <c r="J55" s="244"/>
      <c r="K55" s="244"/>
      <c r="L55" s="244"/>
      <c r="M55" s="244"/>
      <c r="N55" s="244"/>
      <c r="O55" s="244"/>
      <c r="P55" s="244"/>
      <c r="Q55" s="248"/>
      <c r="R55" s="248"/>
      <c r="S55" s="248"/>
      <c r="T55" s="248"/>
      <c r="U55" s="248"/>
      <c r="V55" s="248"/>
      <c r="W55" s="248"/>
      <c r="X55" s="248"/>
      <c r="Y55" s="248"/>
      <c r="Z55" s="248"/>
      <c r="AA55" s="248"/>
      <c r="AB55" s="248"/>
      <c r="AC55" s="248"/>
      <c r="AD55" s="248"/>
      <c r="AE55" s="248"/>
      <c r="AF55" s="248"/>
      <c r="AG55" s="248"/>
      <c r="AH55" s="248"/>
      <c r="AI55" s="248"/>
      <c r="AJ55" s="248"/>
      <c r="AK55" s="248"/>
      <c r="AL55" s="248"/>
      <c r="AM55" s="248"/>
      <c r="AN55" s="248"/>
      <c r="AO55" s="248"/>
      <c r="AP55" s="248"/>
      <c r="AQ55" s="248"/>
      <c r="AR55" s="248"/>
      <c r="AS55" s="248"/>
      <c r="AT55" s="248"/>
      <c r="AU55" s="248"/>
      <c r="AV55" s="248"/>
      <c r="AW55" s="248"/>
      <c r="AX55" s="248"/>
      <c r="AY55" s="248"/>
    </row>
    <row r="56" spans="1:51">
      <c r="A56" s="244"/>
      <c r="B56" s="244"/>
      <c r="C56" s="286"/>
      <c r="D56" s="287"/>
      <c r="E56" s="244"/>
      <c r="F56" s="280"/>
      <c r="G56" s="282"/>
      <c r="H56" s="244"/>
      <c r="I56" s="244"/>
      <c r="J56" s="244"/>
      <c r="K56" s="244"/>
      <c r="L56" s="244"/>
      <c r="M56" s="244"/>
      <c r="N56" s="244"/>
      <c r="O56" s="244"/>
      <c r="P56" s="244"/>
      <c r="Q56" s="248"/>
      <c r="R56" s="248"/>
      <c r="S56" s="248"/>
      <c r="T56" s="248"/>
      <c r="U56" s="248"/>
      <c r="V56" s="248"/>
      <c r="W56" s="248"/>
      <c r="X56" s="248"/>
      <c r="Y56" s="248"/>
      <c r="Z56" s="248"/>
      <c r="AA56" s="248"/>
      <c r="AB56" s="248"/>
      <c r="AC56" s="248"/>
      <c r="AD56" s="248"/>
      <c r="AE56" s="248"/>
      <c r="AF56" s="248"/>
      <c r="AG56" s="248"/>
      <c r="AH56" s="248"/>
      <c r="AI56" s="248"/>
      <c r="AJ56" s="248"/>
      <c r="AK56" s="248"/>
      <c r="AL56" s="248"/>
      <c r="AM56" s="248"/>
      <c r="AN56" s="248"/>
      <c r="AO56" s="248"/>
      <c r="AP56" s="248"/>
      <c r="AQ56" s="248"/>
      <c r="AR56" s="248"/>
      <c r="AS56" s="248"/>
      <c r="AT56" s="248"/>
      <c r="AU56" s="248"/>
      <c r="AV56" s="248"/>
      <c r="AW56" s="248"/>
      <c r="AX56" s="248"/>
      <c r="AY56" s="248"/>
    </row>
    <row r="57" spans="1:51">
      <c r="A57" s="244"/>
      <c r="B57" s="244"/>
      <c r="C57" s="286"/>
      <c r="D57" s="287"/>
      <c r="E57" s="244"/>
      <c r="F57" s="280"/>
      <c r="G57" s="282"/>
      <c r="H57" s="244"/>
      <c r="I57" s="244"/>
      <c r="J57" s="244"/>
      <c r="K57" s="244"/>
      <c r="L57" s="244"/>
      <c r="M57" s="244"/>
      <c r="N57" s="244"/>
      <c r="O57" s="244"/>
      <c r="P57" s="244"/>
      <c r="Q57" s="248"/>
      <c r="R57" s="248"/>
      <c r="S57" s="248"/>
      <c r="T57" s="248"/>
      <c r="U57" s="248"/>
      <c r="V57" s="248"/>
      <c r="W57" s="248"/>
      <c r="X57" s="248"/>
      <c r="Y57" s="248"/>
      <c r="Z57" s="248"/>
      <c r="AA57" s="248"/>
      <c r="AB57" s="248"/>
      <c r="AC57" s="248"/>
      <c r="AD57" s="248"/>
      <c r="AE57" s="248"/>
      <c r="AF57" s="248"/>
      <c r="AG57" s="248"/>
      <c r="AH57" s="248"/>
      <c r="AI57" s="248"/>
      <c r="AJ57" s="248"/>
      <c r="AK57" s="248"/>
      <c r="AL57" s="248"/>
      <c r="AM57" s="248"/>
      <c r="AN57" s="248"/>
      <c r="AO57" s="248"/>
      <c r="AP57" s="248"/>
      <c r="AQ57" s="248"/>
      <c r="AR57" s="248"/>
      <c r="AS57" s="248"/>
      <c r="AT57" s="248"/>
      <c r="AU57" s="248"/>
      <c r="AV57" s="248"/>
      <c r="AW57" s="248"/>
      <c r="AX57" s="248"/>
      <c r="AY57" s="248"/>
    </row>
    <row r="58" spans="1:51">
      <c r="A58" s="244"/>
      <c r="B58" s="244"/>
      <c r="C58" s="286"/>
      <c r="D58" s="287"/>
      <c r="E58" s="244"/>
      <c r="F58" s="280"/>
      <c r="G58" s="282"/>
      <c r="H58" s="244"/>
      <c r="I58" s="244"/>
      <c r="J58" s="244"/>
      <c r="K58" s="244"/>
      <c r="L58" s="244"/>
      <c r="M58" s="244"/>
      <c r="N58" s="244"/>
      <c r="O58" s="244"/>
      <c r="P58" s="244"/>
      <c r="Q58" s="248"/>
      <c r="R58" s="248"/>
      <c r="S58" s="248"/>
      <c r="T58" s="248"/>
      <c r="U58" s="248"/>
      <c r="V58" s="248"/>
      <c r="W58" s="248"/>
      <c r="X58" s="248"/>
      <c r="Y58" s="248"/>
      <c r="Z58" s="248"/>
      <c r="AA58" s="248"/>
      <c r="AB58" s="248"/>
      <c r="AC58" s="248"/>
      <c r="AD58" s="248"/>
      <c r="AE58" s="248"/>
      <c r="AF58" s="248"/>
      <c r="AG58" s="248"/>
      <c r="AH58" s="248"/>
      <c r="AI58" s="248"/>
      <c r="AJ58" s="248"/>
      <c r="AK58" s="248"/>
      <c r="AL58" s="248"/>
      <c r="AM58" s="248"/>
      <c r="AN58" s="248"/>
      <c r="AO58" s="248"/>
      <c r="AP58" s="248"/>
      <c r="AQ58" s="248"/>
      <c r="AR58" s="248"/>
      <c r="AS58" s="248"/>
      <c r="AT58" s="248"/>
      <c r="AU58" s="248"/>
      <c r="AV58" s="248"/>
      <c r="AW58" s="248"/>
      <c r="AX58" s="248"/>
      <c r="AY58" s="248"/>
    </row>
    <row r="59" spans="1:51">
      <c r="A59" s="244"/>
      <c r="B59" s="244"/>
      <c r="C59" s="286"/>
      <c r="D59" s="287"/>
      <c r="E59" s="244"/>
      <c r="F59" s="280"/>
      <c r="G59" s="282"/>
      <c r="H59" s="244"/>
      <c r="I59" s="244"/>
      <c r="J59" s="244"/>
      <c r="K59" s="244"/>
      <c r="L59" s="244"/>
      <c r="M59" s="244"/>
      <c r="N59" s="244"/>
      <c r="O59" s="244"/>
      <c r="P59" s="244"/>
      <c r="Q59" s="248"/>
      <c r="R59" s="248"/>
      <c r="S59" s="248"/>
      <c r="T59" s="248"/>
      <c r="U59" s="248"/>
      <c r="V59" s="248"/>
      <c r="W59" s="248"/>
      <c r="X59" s="248"/>
      <c r="Y59" s="248"/>
      <c r="Z59" s="248"/>
      <c r="AA59" s="248"/>
      <c r="AB59" s="248"/>
      <c r="AC59" s="248"/>
      <c r="AD59" s="248"/>
      <c r="AE59" s="248"/>
      <c r="AF59" s="248"/>
      <c r="AG59" s="248"/>
      <c r="AH59" s="248"/>
      <c r="AI59" s="248"/>
      <c r="AJ59" s="248"/>
      <c r="AK59" s="248"/>
      <c r="AL59" s="248"/>
      <c r="AM59" s="248"/>
      <c r="AN59" s="248"/>
      <c r="AO59" s="248"/>
      <c r="AP59" s="248"/>
      <c r="AQ59" s="248"/>
      <c r="AR59" s="248"/>
      <c r="AS59" s="248"/>
      <c r="AT59" s="248"/>
      <c r="AU59" s="248"/>
      <c r="AV59" s="248"/>
      <c r="AW59" s="248"/>
      <c r="AX59" s="248"/>
      <c r="AY59" s="248"/>
    </row>
    <row r="60" spans="1:51">
      <c r="A60" s="244"/>
      <c r="B60" s="244"/>
      <c r="C60" s="286"/>
      <c r="D60" s="287"/>
      <c r="E60" s="244"/>
      <c r="F60" s="280"/>
      <c r="G60" s="282"/>
      <c r="H60" s="244"/>
      <c r="I60" s="244"/>
      <c r="J60" s="244"/>
      <c r="K60" s="244"/>
      <c r="L60" s="244"/>
      <c r="M60" s="244"/>
      <c r="N60" s="244"/>
      <c r="O60" s="244"/>
      <c r="P60" s="244"/>
      <c r="Q60" s="248"/>
      <c r="R60" s="248"/>
      <c r="S60" s="248"/>
      <c r="T60" s="248"/>
      <c r="U60" s="248"/>
      <c r="V60" s="248"/>
      <c r="W60" s="248"/>
      <c r="X60" s="248"/>
      <c r="Y60" s="248"/>
      <c r="Z60" s="248"/>
      <c r="AA60" s="248"/>
      <c r="AB60" s="248"/>
      <c r="AC60" s="248"/>
      <c r="AD60" s="248"/>
      <c r="AE60" s="248"/>
      <c r="AF60" s="248"/>
      <c r="AG60" s="248"/>
      <c r="AH60" s="248"/>
      <c r="AI60" s="248"/>
      <c r="AJ60" s="248"/>
      <c r="AK60" s="248"/>
      <c r="AL60" s="248"/>
      <c r="AM60" s="248"/>
      <c r="AN60" s="248"/>
      <c r="AO60" s="248"/>
      <c r="AP60" s="248"/>
      <c r="AQ60" s="248"/>
      <c r="AR60" s="248"/>
      <c r="AS60" s="248"/>
      <c r="AT60" s="248"/>
      <c r="AU60" s="248"/>
      <c r="AV60" s="248"/>
      <c r="AW60" s="248"/>
      <c r="AX60" s="248"/>
      <c r="AY60" s="248"/>
    </row>
    <row r="61" spans="1:51">
      <c r="A61" s="244"/>
      <c r="B61" s="244"/>
      <c r="C61" s="286"/>
      <c r="D61" s="287"/>
      <c r="E61" s="244"/>
      <c r="F61" s="280"/>
      <c r="G61" s="282"/>
      <c r="H61" s="244"/>
      <c r="I61" s="244"/>
      <c r="J61" s="244"/>
      <c r="K61" s="244"/>
      <c r="L61" s="244"/>
      <c r="M61" s="244"/>
      <c r="N61" s="244"/>
      <c r="O61" s="244"/>
      <c r="P61" s="244"/>
      <c r="Q61" s="248"/>
      <c r="R61" s="248"/>
      <c r="S61" s="248"/>
      <c r="T61" s="248"/>
      <c r="U61" s="248"/>
      <c r="V61" s="248"/>
      <c r="W61" s="248"/>
      <c r="X61" s="248"/>
      <c r="Y61" s="248"/>
      <c r="Z61" s="248"/>
      <c r="AA61" s="248"/>
      <c r="AB61" s="248"/>
      <c r="AC61" s="248"/>
      <c r="AD61" s="248"/>
      <c r="AE61" s="248"/>
      <c r="AF61" s="248"/>
      <c r="AG61" s="248"/>
      <c r="AH61" s="248"/>
      <c r="AI61" s="248"/>
      <c r="AJ61" s="248"/>
      <c r="AK61" s="248"/>
      <c r="AL61" s="248"/>
      <c r="AM61" s="248"/>
      <c r="AN61" s="248"/>
      <c r="AO61" s="248"/>
      <c r="AP61" s="248"/>
      <c r="AQ61" s="248"/>
      <c r="AR61" s="248"/>
      <c r="AS61" s="248"/>
      <c r="AT61" s="248"/>
      <c r="AU61" s="248"/>
      <c r="AV61" s="248"/>
      <c r="AW61" s="248"/>
      <c r="AX61" s="248"/>
      <c r="AY61" s="248"/>
    </row>
    <row r="62" spans="1:51">
      <c r="A62" s="244"/>
      <c r="B62" s="244"/>
      <c r="C62" s="286"/>
      <c r="D62" s="287"/>
      <c r="E62" s="244"/>
      <c r="F62" s="280"/>
      <c r="G62" s="282"/>
      <c r="H62" s="244"/>
      <c r="I62" s="244"/>
      <c r="J62" s="244"/>
      <c r="K62" s="244"/>
      <c r="L62" s="244"/>
      <c r="M62" s="244"/>
      <c r="N62" s="244"/>
      <c r="O62" s="244"/>
      <c r="P62" s="244"/>
      <c r="Q62" s="248"/>
      <c r="R62" s="248"/>
      <c r="S62" s="248"/>
      <c r="T62" s="248"/>
      <c r="U62" s="248"/>
      <c r="V62" s="248"/>
      <c r="W62" s="248"/>
      <c r="X62" s="248"/>
      <c r="Y62" s="248"/>
      <c r="Z62" s="248"/>
      <c r="AA62" s="248"/>
      <c r="AB62" s="248"/>
      <c r="AC62" s="248"/>
      <c r="AD62" s="248"/>
      <c r="AE62" s="248"/>
      <c r="AF62" s="248"/>
      <c r="AG62" s="248"/>
      <c r="AH62" s="248"/>
      <c r="AI62" s="248"/>
      <c r="AJ62" s="248"/>
      <c r="AK62" s="248"/>
      <c r="AL62" s="248"/>
      <c r="AM62" s="248"/>
      <c r="AN62" s="248"/>
      <c r="AO62" s="248"/>
      <c r="AP62" s="248"/>
      <c r="AQ62" s="248"/>
      <c r="AR62" s="248"/>
      <c r="AS62" s="248"/>
      <c r="AT62" s="248"/>
      <c r="AU62" s="248"/>
      <c r="AV62" s="248"/>
      <c r="AW62" s="248"/>
      <c r="AX62" s="248"/>
      <c r="AY62" s="248"/>
    </row>
    <row r="63" spans="1:51">
      <c r="A63" s="244"/>
      <c r="B63" s="244"/>
      <c r="C63" s="286"/>
      <c r="D63" s="287"/>
      <c r="E63" s="244"/>
      <c r="F63" s="280"/>
      <c r="G63" s="282"/>
      <c r="H63" s="244"/>
      <c r="I63" s="244"/>
      <c r="J63" s="244"/>
      <c r="K63" s="244"/>
      <c r="L63" s="244"/>
      <c r="M63" s="244"/>
      <c r="N63" s="244"/>
      <c r="O63" s="244"/>
      <c r="P63" s="244"/>
      <c r="Q63" s="248"/>
      <c r="R63" s="248"/>
      <c r="S63" s="248"/>
      <c r="T63" s="248"/>
      <c r="U63" s="248"/>
      <c r="V63" s="248"/>
      <c r="W63" s="248"/>
      <c r="X63" s="248"/>
      <c r="Y63" s="248"/>
      <c r="Z63" s="248"/>
      <c r="AA63" s="248"/>
      <c r="AB63" s="248"/>
      <c r="AC63" s="248"/>
      <c r="AD63" s="248"/>
      <c r="AE63" s="248"/>
      <c r="AF63" s="248"/>
      <c r="AG63" s="248"/>
      <c r="AH63" s="248"/>
      <c r="AI63" s="248"/>
      <c r="AJ63" s="248"/>
      <c r="AK63" s="248"/>
      <c r="AL63" s="248"/>
      <c r="AM63" s="248"/>
      <c r="AN63" s="248"/>
      <c r="AO63" s="248"/>
      <c r="AP63" s="248"/>
      <c r="AQ63" s="248"/>
      <c r="AR63" s="248"/>
      <c r="AS63" s="248"/>
      <c r="AT63" s="248"/>
      <c r="AU63" s="248"/>
      <c r="AV63" s="248"/>
      <c r="AW63" s="248"/>
      <c r="AX63" s="248"/>
      <c r="AY63" s="248"/>
    </row>
    <row r="64" spans="1:51">
      <c r="A64" s="244"/>
      <c r="B64" s="244"/>
      <c r="C64" s="286"/>
      <c r="D64" s="287"/>
      <c r="E64" s="244"/>
      <c r="F64" s="280"/>
      <c r="G64" s="282"/>
      <c r="H64" s="244"/>
      <c r="I64" s="244"/>
      <c r="J64" s="244"/>
      <c r="K64" s="244"/>
      <c r="L64" s="244"/>
      <c r="M64" s="244"/>
      <c r="N64" s="244"/>
      <c r="O64" s="244"/>
      <c r="P64" s="244"/>
      <c r="Q64" s="248"/>
      <c r="R64" s="248"/>
      <c r="S64" s="248"/>
      <c r="T64" s="248"/>
      <c r="U64" s="248"/>
      <c r="V64" s="248"/>
      <c r="W64" s="248"/>
      <c r="X64" s="248"/>
      <c r="Y64" s="248"/>
      <c r="Z64" s="248"/>
      <c r="AA64" s="248"/>
      <c r="AB64" s="248"/>
      <c r="AC64" s="248"/>
      <c r="AD64" s="248"/>
      <c r="AE64" s="248"/>
      <c r="AF64" s="248"/>
      <c r="AG64" s="248"/>
      <c r="AH64" s="248"/>
      <c r="AI64" s="248"/>
      <c r="AJ64" s="248"/>
      <c r="AK64" s="248"/>
      <c r="AL64" s="248"/>
      <c r="AM64" s="248"/>
      <c r="AN64" s="248"/>
      <c r="AO64" s="248"/>
      <c r="AP64" s="248"/>
      <c r="AQ64" s="248"/>
      <c r="AR64" s="248"/>
      <c r="AS64" s="248"/>
      <c r="AT64" s="248"/>
      <c r="AU64" s="248"/>
      <c r="AV64" s="248"/>
      <c r="AW64" s="248"/>
      <c r="AX64" s="248"/>
      <c r="AY64" s="248"/>
    </row>
    <row r="65" spans="1:51">
      <c r="A65" s="244"/>
      <c r="B65" s="244"/>
      <c r="C65" s="286"/>
      <c r="D65" s="287"/>
      <c r="E65" s="244"/>
      <c r="F65" s="280"/>
      <c r="G65" s="282"/>
      <c r="H65" s="244"/>
      <c r="I65" s="244"/>
      <c r="J65" s="244"/>
      <c r="K65" s="244"/>
      <c r="L65" s="244"/>
      <c r="M65" s="244"/>
      <c r="N65" s="244"/>
      <c r="O65" s="244"/>
      <c r="P65" s="244"/>
      <c r="Q65" s="248"/>
      <c r="R65" s="248"/>
      <c r="S65" s="248"/>
      <c r="T65" s="248"/>
      <c r="U65" s="248"/>
      <c r="V65" s="248"/>
      <c r="W65" s="248"/>
      <c r="X65" s="248"/>
      <c r="Y65" s="248"/>
      <c r="Z65" s="248"/>
      <c r="AA65" s="248"/>
      <c r="AB65" s="248"/>
      <c r="AC65" s="248"/>
      <c r="AD65" s="248"/>
      <c r="AE65" s="248"/>
      <c r="AF65" s="248"/>
      <c r="AG65" s="248"/>
      <c r="AH65" s="248"/>
      <c r="AI65" s="248"/>
      <c r="AJ65" s="248"/>
      <c r="AK65" s="248"/>
      <c r="AL65" s="248"/>
      <c r="AM65" s="248"/>
      <c r="AN65" s="248"/>
      <c r="AO65" s="248"/>
      <c r="AP65" s="248"/>
      <c r="AQ65" s="248"/>
      <c r="AR65" s="248"/>
      <c r="AS65" s="248"/>
      <c r="AT65" s="248"/>
      <c r="AU65" s="248"/>
      <c r="AV65" s="248"/>
      <c r="AW65" s="248"/>
      <c r="AX65" s="248"/>
      <c r="AY65" s="248"/>
    </row>
    <row r="66" spans="1:51">
      <c r="A66" s="244"/>
      <c r="B66" s="244"/>
      <c r="C66" s="286"/>
      <c r="D66" s="287"/>
      <c r="E66" s="244"/>
      <c r="F66" s="280"/>
      <c r="G66" s="282"/>
      <c r="H66" s="244"/>
      <c r="I66" s="244"/>
      <c r="J66" s="244"/>
      <c r="K66" s="244"/>
      <c r="L66" s="244"/>
      <c r="M66" s="244"/>
      <c r="N66" s="244"/>
      <c r="O66" s="244"/>
      <c r="P66" s="244"/>
      <c r="Q66" s="248"/>
      <c r="R66" s="248"/>
      <c r="S66" s="248"/>
      <c r="T66" s="248"/>
      <c r="U66" s="248"/>
      <c r="V66" s="248"/>
      <c r="W66" s="248"/>
      <c r="X66" s="248"/>
      <c r="Y66" s="248"/>
      <c r="Z66" s="248"/>
      <c r="AA66" s="248"/>
      <c r="AB66" s="248"/>
      <c r="AC66" s="248"/>
      <c r="AD66" s="248"/>
      <c r="AE66" s="248"/>
      <c r="AF66" s="248"/>
      <c r="AG66" s="248"/>
      <c r="AH66" s="248"/>
      <c r="AI66" s="248"/>
      <c r="AJ66" s="248"/>
      <c r="AK66" s="248"/>
      <c r="AL66" s="248"/>
      <c r="AM66" s="248"/>
      <c r="AN66" s="248"/>
      <c r="AO66" s="248"/>
      <c r="AP66" s="248"/>
      <c r="AQ66" s="248"/>
      <c r="AR66" s="248"/>
      <c r="AS66" s="248"/>
      <c r="AT66" s="248"/>
      <c r="AU66" s="248"/>
      <c r="AV66" s="248"/>
      <c r="AW66" s="248"/>
      <c r="AX66" s="248"/>
      <c r="AY66" s="248"/>
    </row>
    <row r="67" spans="1:51">
      <c r="A67" s="244"/>
      <c r="B67" s="244"/>
      <c r="C67" s="286"/>
      <c r="D67" s="287"/>
      <c r="E67" s="244"/>
      <c r="F67" s="280"/>
      <c r="G67" s="282"/>
      <c r="H67" s="244"/>
      <c r="I67" s="244"/>
      <c r="J67" s="244"/>
      <c r="K67" s="244"/>
      <c r="L67" s="244"/>
      <c r="M67" s="244"/>
      <c r="N67" s="244"/>
      <c r="O67" s="244"/>
      <c r="P67" s="244"/>
      <c r="Q67" s="248"/>
      <c r="R67" s="248"/>
      <c r="S67" s="248"/>
      <c r="T67" s="248"/>
      <c r="U67" s="248"/>
      <c r="V67" s="248"/>
      <c r="W67" s="248"/>
      <c r="X67" s="248"/>
      <c r="Y67" s="248"/>
      <c r="Z67" s="248"/>
      <c r="AA67" s="248"/>
      <c r="AB67" s="248"/>
      <c r="AC67" s="248"/>
      <c r="AD67" s="248"/>
      <c r="AE67" s="248"/>
      <c r="AF67" s="248"/>
      <c r="AG67" s="248"/>
      <c r="AH67" s="248"/>
      <c r="AI67" s="248"/>
      <c r="AJ67" s="248"/>
      <c r="AK67" s="248"/>
      <c r="AL67" s="248"/>
      <c r="AM67" s="248"/>
      <c r="AN67" s="248"/>
      <c r="AO67" s="248"/>
      <c r="AP67" s="248"/>
      <c r="AQ67" s="248"/>
      <c r="AR67" s="248"/>
      <c r="AS67" s="248"/>
      <c r="AT67" s="248"/>
      <c r="AU67" s="248"/>
      <c r="AV67" s="248"/>
      <c r="AW67" s="248"/>
      <c r="AX67" s="248"/>
      <c r="AY67" s="248"/>
    </row>
    <row r="68" spans="1:51">
      <c r="A68" s="244"/>
      <c r="B68" s="244"/>
      <c r="C68" s="286"/>
      <c r="D68" s="287"/>
      <c r="E68" s="244"/>
      <c r="F68" s="280"/>
      <c r="G68" s="282"/>
      <c r="H68" s="244"/>
      <c r="I68" s="244"/>
      <c r="J68" s="244"/>
      <c r="K68" s="244"/>
      <c r="L68" s="244"/>
      <c r="M68" s="244"/>
      <c r="N68" s="244"/>
      <c r="O68" s="244"/>
      <c r="P68" s="244"/>
      <c r="Q68" s="248"/>
      <c r="R68" s="248"/>
      <c r="S68" s="248"/>
      <c r="T68" s="248"/>
      <c r="U68" s="248"/>
      <c r="V68" s="248"/>
      <c r="W68" s="248"/>
      <c r="X68" s="248"/>
      <c r="Y68" s="248"/>
      <c r="Z68" s="248"/>
      <c r="AA68" s="248"/>
      <c r="AB68" s="248"/>
      <c r="AC68" s="248"/>
      <c r="AD68" s="248"/>
      <c r="AE68" s="248"/>
      <c r="AF68" s="248"/>
      <c r="AG68" s="248"/>
      <c r="AH68" s="248"/>
      <c r="AI68" s="248"/>
      <c r="AJ68" s="248"/>
      <c r="AK68" s="248"/>
      <c r="AL68" s="248"/>
      <c r="AM68" s="248"/>
      <c r="AN68" s="248"/>
      <c r="AO68" s="248"/>
      <c r="AP68" s="248"/>
      <c r="AQ68" s="248"/>
      <c r="AR68" s="248"/>
      <c r="AS68" s="248"/>
      <c r="AT68" s="248"/>
      <c r="AU68" s="248"/>
      <c r="AV68" s="248"/>
      <c r="AW68" s="248"/>
      <c r="AX68" s="248"/>
      <c r="AY68" s="248"/>
    </row>
    <row r="69" spans="1:51">
      <c r="A69" s="244"/>
      <c r="B69" s="244"/>
      <c r="C69" s="286"/>
      <c r="D69" s="287"/>
      <c r="E69" s="244"/>
      <c r="F69" s="280"/>
      <c r="G69" s="282"/>
      <c r="H69" s="244"/>
      <c r="I69" s="244"/>
      <c r="J69" s="244"/>
      <c r="K69" s="244"/>
      <c r="L69" s="244"/>
      <c r="M69" s="244"/>
      <c r="N69" s="244"/>
      <c r="O69" s="244"/>
      <c r="P69" s="244"/>
      <c r="Q69" s="248"/>
      <c r="R69" s="248"/>
      <c r="S69" s="248"/>
      <c r="T69" s="248"/>
      <c r="U69" s="248"/>
      <c r="V69" s="248"/>
      <c r="W69" s="248"/>
      <c r="X69" s="248"/>
      <c r="Y69" s="248"/>
      <c r="Z69" s="248"/>
      <c r="AA69" s="248"/>
      <c r="AB69" s="248"/>
      <c r="AC69" s="248"/>
      <c r="AD69" s="248"/>
      <c r="AE69" s="248"/>
      <c r="AF69" s="248"/>
      <c r="AG69" s="248"/>
      <c r="AH69" s="248"/>
      <c r="AI69" s="248"/>
      <c r="AJ69" s="248"/>
      <c r="AK69" s="248"/>
      <c r="AL69" s="248"/>
      <c r="AM69" s="248"/>
      <c r="AN69" s="248"/>
      <c r="AO69" s="248"/>
      <c r="AP69" s="248"/>
      <c r="AQ69" s="248"/>
      <c r="AR69" s="248"/>
      <c r="AS69" s="248"/>
      <c r="AT69" s="248"/>
      <c r="AU69" s="248"/>
      <c r="AV69" s="248"/>
      <c r="AW69" s="248"/>
      <c r="AX69" s="248"/>
      <c r="AY69" s="248"/>
    </row>
    <row r="70" spans="1:51">
      <c r="A70" s="244"/>
      <c r="B70" s="244"/>
      <c r="C70" s="286"/>
      <c r="D70" s="287"/>
      <c r="E70" s="244"/>
      <c r="F70" s="280"/>
      <c r="G70" s="282"/>
      <c r="H70" s="244"/>
      <c r="I70" s="244"/>
      <c r="J70" s="244"/>
      <c r="K70" s="244"/>
      <c r="L70" s="244"/>
      <c r="M70" s="244"/>
      <c r="N70" s="244"/>
      <c r="O70" s="244"/>
      <c r="P70" s="244"/>
      <c r="Q70" s="248"/>
      <c r="R70" s="248"/>
      <c r="S70" s="248"/>
      <c r="T70" s="248"/>
      <c r="U70" s="248"/>
      <c r="V70" s="248"/>
      <c r="W70" s="248"/>
      <c r="X70" s="248"/>
      <c r="Y70" s="248"/>
      <c r="Z70" s="248"/>
      <c r="AA70" s="248"/>
      <c r="AB70" s="248"/>
      <c r="AC70" s="248"/>
      <c r="AD70" s="248"/>
      <c r="AE70" s="248"/>
      <c r="AF70" s="248"/>
      <c r="AG70" s="248"/>
      <c r="AH70" s="248"/>
      <c r="AI70" s="248"/>
      <c r="AJ70" s="248"/>
      <c r="AK70" s="248"/>
      <c r="AL70" s="248"/>
      <c r="AM70" s="248"/>
      <c r="AN70" s="248"/>
      <c r="AO70" s="248"/>
      <c r="AP70" s="248"/>
      <c r="AQ70" s="248"/>
      <c r="AR70" s="248"/>
      <c r="AS70" s="248"/>
      <c r="AT70" s="248"/>
      <c r="AU70" s="248"/>
      <c r="AV70" s="248"/>
      <c r="AW70" s="248"/>
      <c r="AX70" s="248"/>
      <c r="AY70" s="248"/>
    </row>
    <row r="71" spans="1:51">
      <c r="A71" s="244"/>
      <c r="B71" s="244"/>
      <c r="C71" s="286"/>
      <c r="D71" s="287"/>
      <c r="E71" s="244"/>
      <c r="F71" s="280"/>
      <c r="G71" s="282"/>
      <c r="H71" s="244"/>
      <c r="I71" s="244"/>
      <c r="J71" s="244"/>
      <c r="K71" s="244"/>
      <c r="L71" s="244"/>
      <c r="M71" s="244"/>
      <c r="N71" s="244"/>
      <c r="O71" s="244"/>
      <c r="P71" s="244"/>
      <c r="Q71" s="248"/>
      <c r="R71" s="248"/>
      <c r="S71" s="248"/>
      <c r="T71" s="248"/>
      <c r="U71" s="248"/>
      <c r="V71" s="248"/>
      <c r="W71" s="248"/>
      <c r="X71" s="248"/>
      <c r="Y71" s="248"/>
      <c r="Z71" s="248"/>
      <c r="AA71" s="248"/>
      <c r="AB71" s="248"/>
      <c r="AC71" s="248"/>
      <c r="AD71" s="248"/>
      <c r="AE71" s="248"/>
      <c r="AF71" s="248"/>
      <c r="AG71" s="248"/>
      <c r="AH71" s="248"/>
      <c r="AI71" s="248"/>
      <c r="AJ71" s="248"/>
      <c r="AK71" s="248"/>
      <c r="AL71" s="248"/>
      <c r="AM71" s="248"/>
      <c r="AN71" s="248"/>
      <c r="AO71" s="248"/>
      <c r="AP71" s="248"/>
      <c r="AQ71" s="248"/>
      <c r="AR71" s="248"/>
      <c r="AS71" s="248"/>
      <c r="AT71" s="248"/>
      <c r="AU71" s="248"/>
      <c r="AV71" s="248"/>
      <c r="AW71" s="248"/>
      <c r="AX71" s="248"/>
      <c r="AY71" s="248"/>
    </row>
    <row r="72" spans="1:51">
      <c r="A72" s="244"/>
      <c r="B72" s="244"/>
      <c r="C72" s="286"/>
      <c r="D72" s="287"/>
      <c r="E72" s="244"/>
      <c r="F72" s="280"/>
      <c r="G72" s="282"/>
      <c r="H72" s="244"/>
      <c r="I72" s="244"/>
      <c r="J72" s="244"/>
      <c r="K72" s="244"/>
      <c r="L72" s="244"/>
      <c r="M72" s="244"/>
      <c r="N72" s="244"/>
      <c r="O72" s="244"/>
      <c r="P72" s="244"/>
      <c r="Q72" s="248"/>
      <c r="R72" s="248"/>
      <c r="S72" s="248"/>
      <c r="T72" s="248"/>
      <c r="U72" s="248"/>
      <c r="V72" s="248"/>
      <c r="W72" s="248"/>
      <c r="X72" s="248"/>
      <c r="Y72" s="248"/>
      <c r="Z72" s="248"/>
      <c r="AA72" s="248"/>
      <c r="AB72" s="248"/>
      <c r="AC72" s="248"/>
      <c r="AD72" s="248"/>
      <c r="AE72" s="248"/>
      <c r="AF72" s="248"/>
      <c r="AG72" s="248"/>
      <c r="AH72" s="248"/>
      <c r="AI72" s="248"/>
      <c r="AJ72" s="248"/>
      <c r="AK72" s="248"/>
      <c r="AL72" s="248"/>
      <c r="AM72" s="248"/>
      <c r="AN72" s="248"/>
      <c r="AO72" s="248"/>
      <c r="AP72" s="248"/>
      <c r="AQ72" s="248"/>
      <c r="AR72" s="248"/>
      <c r="AS72" s="248"/>
      <c r="AT72" s="248"/>
      <c r="AU72" s="248"/>
      <c r="AV72" s="248"/>
      <c r="AW72" s="248"/>
      <c r="AX72" s="248"/>
      <c r="AY72" s="248"/>
    </row>
    <row r="73" spans="1:51">
      <c r="A73" s="244"/>
      <c r="B73" s="244"/>
      <c r="C73" s="286"/>
      <c r="D73" s="287"/>
      <c r="E73" s="244"/>
      <c r="F73" s="280"/>
      <c r="G73" s="282"/>
      <c r="H73" s="244"/>
      <c r="I73" s="244"/>
      <c r="J73" s="244"/>
      <c r="K73" s="244"/>
      <c r="L73" s="244"/>
      <c r="M73" s="244"/>
      <c r="N73" s="244"/>
      <c r="O73" s="244"/>
      <c r="P73" s="244"/>
      <c r="Q73" s="248"/>
      <c r="R73" s="248"/>
      <c r="S73" s="248"/>
      <c r="T73" s="248"/>
      <c r="U73" s="248"/>
      <c r="V73" s="248"/>
      <c r="W73" s="248"/>
      <c r="X73" s="248"/>
      <c r="Y73" s="248"/>
      <c r="Z73" s="248"/>
      <c r="AA73" s="248"/>
      <c r="AB73" s="248"/>
      <c r="AC73" s="248"/>
      <c r="AD73" s="248"/>
      <c r="AE73" s="248"/>
      <c r="AF73" s="248"/>
      <c r="AG73" s="248"/>
      <c r="AH73" s="248"/>
      <c r="AI73" s="248"/>
      <c r="AJ73" s="248"/>
      <c r="AK73" s="248"/>
      <c r="AL73" s="248"/>
      <c r="AM73" s="248"/>
      <c r="AN73" s="248"/>
      <c r="AO73" s="248"/>
      <c r="AP73" s="248"/>
      <c r="AQ73" s="248"/>
      <c r="AR73" s="248"/>
      <c r="AS73" s="248"/>
      <c r="AT73" s="248"/>
      <c r="AU73" s="248"/>
      <c r="AV73" s="248"/>
      <c r="AW73" s="248"/>
      <c r="AX73" s="248"/>
      <c r="AY73" s="248"/>
    </row>
    <row r="74" spans="1:51">
      <c r="A74" s="244"/>
      <c r="B74" s="244"/>
      <c r="C74" s="286"/>
      <c r="D74" s="287"/>
      <c r="E74" s="244"/>
      <c r="F74" s="280"/>
      <c r="G74" s="282"/>
      <c r="H74" s="244"/>
      <c r="I74" s="244"/>
      <c r="J74" s="244"/>
      <c r="K74" s="244"/>
      <c r="L74" s="244"/>
      <c r="M74" s="244"/>
      <c r="N74" s="244"/>
      <c r="O74" s="244"/>
      <c r="P74" s="244"/>
      <c r="Q74" s="248"/>
      <c r="R74" s="248"/>
      <c r="S74" s="248"/>
      <c r="T74" s="248"/>
      <c r="U74" s="248"/>
      <c r="V74" s="248"/>
      <c r="W74" s="248"/>
      <c r="X74" s="248"/>
      <c r="Y74" s="248"/>
      <c r="Z74" s="248"/>
      <c r="AA74" s="248"/>
      <c r="AB74" s="248"/>
      <c r="AC74" s="248"/>
      <c r="AD74" s="248"/>
      <c r="AE74" s="248"/>
      <c r="AF74" s="248"/>
      <c r="AG74" s="248"/>
      <c r="AH74" s="248"/>
      <c r="AI74" s="248"/>
      <c r="AJ74" s="248"/>
      <c r="AK74" s="248"/>
      <c r="AL74" s="248"/>
      <c r="AM74" s="248"/>
      <c r="AN74" s="248"/>
      <c r="AO74" s="248"/>
      <c r="AP74" s="248"/>
      <c r="AQ74" s="248"/>
      <c r="AR74" s="248"/>
      <c r="AS74" s="248"/>
      <c r="AT74" s="248"/>
      <c r="AU74" s="248"/>
      <c r="AV74" s="248"/>
      <c r="AW74" s="248"/>
      <c r="AX74" s="248"/>
      <c r="AY74" s="248"/>
    </row>
    <row r="75" spans="1:51">
      <c r="A75" s="244"/>
      <c r="B75" s="244"/>
      <c r="C75" s="286"/>
      <c r="D75" s="287"/>
      <c r="E75" s="244"/>
      <c r="F75" s="280"/>
      <c r="G75" s="282"/>
      <c r="H75" s="244"/>
      <c r="I75" s="244"/>
      <c r="J75" s="244"/>
      <c r="K75" s="244"/>
      <c r="L75" s="244"/>
      <c r="M75" s="244"/>
      <c r="N75" s="244"/>
      <c r="O75" s="244"/>
      <c r="P75" s="244"/>
      <c r="Q75" s="248"/>
      <c r="R75" s="248"/>
      <c r="S75" s="248"/>
      <c r="T75" s="248"/>
      <c r="U75" s="248"/>
      <c r="V75" s="248"/>
      <c r="W75" s="248"/>
      <c r="X75" s="248"/>
      <c r="Y75" s="248"/>
      <c r="Z75" s="248"/>
      <c r="AA75" s="248"/>
      <c r="AB75" s="248"/>
      <c r="AC75" s="248"/>
      <c r="AD75" s="248"/>
      <c r="AE75" s="248"/>
      <c r="AF75" s="248"/>
      <c r="AG75" s="248"/>
      <c r="AH75" s="248"/>
      <c r="AI75" s="248"/>
      <c r="AJ75" s="248"/>
      <c r="AK75" s="248"/>
      <c r="AL75" s="248"/>
      <c r="AM75" s="248"/>
      <c r="AN75" s="248"/>
      <c r="AO75" s="248"/>
      <c r="AP75" s="248"/>
      <c r="AQ75" s="248"/>
      <c r="AR75" s="248"/>
      <c r="AS75" s="248"/>
      <c r="AT75" s="248"/>
      <c r="AU75" s="248"/>
      <c r="AV75" s="248"/>
      <c r="AW75" s="248"/>
      <c r="AX75" s="248"/>
      <c r="AY75" s="248"/>
    </row>
    <row r="76" spans="1:51">
      <c r="A76" s="244"/>
      <c r="B76" s="244"/>
      <c r="C76" s="286"/>
      <c r="D76" s="287"/>
      <c r="E76" s="244"/>
      <c r="F76" s="280"/>
      <c r="G76" s="282"/>
      <c r="H76" s="244"/>
      <c r="I76" s="244"/>
      <c r="J76" s="244"/>
      <c r="K76" s="244"/>
      <c r="L76" s="244"/>
      <c r="M76" s="244"/>
      <c r="N76" s="244"/>
      <c r="O76" s="244"/>
      <c r="P76" s="244"/>
      <c r="Q76" s="248"/>
      <c r="R76" s="248"/>
      <c r="S76" s="248"/>
      <c r="T76" s="248"/>
      <c r="U76" s="248"/>
      <c r="V76" s="248"/>
      <c r="W76" s="248"/>
      <c r="X76" s="248"/>
      <c r="Y76" s="248"/>
      <c r="Z76" s="248"/>
      <c r="AA76" s="248"/>
      <c r="AB76" s="248"/>
      <c r="AC76" s="248"/>
      <c r="AD76" s="248"/>
      <c r="AE76" s="248"/>
      <c r="AF76" s="248"/>
      <c r="AG76" s="248"/>
      <c r="AH76" s="248"/>
      <c r="AI76" s="248"/>
      <c r="AJ76" s="248"/>
      <c r="AK76" s="248"/>
      <c r="AL76" s="248"/>
      <c r="AM76" s="248"/>
      <c r="AN76" s="248"/>
      <c r="AO76" s="248"/>
      <c r="AP76" s="248"/>
      <c r="AQ76" s="248"/>
      <c r="AR76" s="248"/>
      <c r="AS76" s="248"/>
      <c r="AT76" s="248"/>
      <c r="AU76" s="248"/>
      <c r="AV76" s="248"/>
      <c r="AW76" s="248"/>
      <c r="AX76" s="248"/>
      <c r="AY76" s="248"/>
    </row>
    <row r="77" spans="1:51">
      <c r="A77" s="244"/>
      <c r="B77" s="244"/>
      <c r="C77" s="286"/>
      <c r="D77" s="287"/>
      <c r="E77" s="244"/>
      <c r="F77" s="280"/>
      <c r="G77" s="282"/>
      <c r="H77" s="244"/>
      <c r="I77" s="244"/>
      <c r="J77" s="244"/>
      <c r="K77" s="244"/>
      <c r="L77" s="244"/>
      <c r="M77" s="244"/>
      <c r="N77" s="244"/>
      <c r="O77" s="244"/>
      <c r="P77" s="244"/>
      <c r="Q77" s="248"/>
      <c r="R77" s="248"/>
      <c r="S77" s="248"/>
      <c r="T77" s="248"/>
      <c r="U77" s="248"/>
      <c r="V77" s="248"/>
      <c r="W77" s="248"/>
      <c r="X77" s="248"/>
      <c r="Y77" s="248"/>
      <c r="Z77" s="248"/>
      <c r="AA77" s="248"/>
      <c r="AB77" s="248"/>
      <c r="AC77" s="248"/>
      <c r="AD77" s="248"/>
      <c r="AE77" s="248"/>
      <c r="AF77" s="248"/>
      <c r="AG77" s="248"/>
      <c r="AH77" s="248"/>
      <c r="AI77" s="248"/>
      <c r="AJ77" s="248"/>
      <c r="AK77" s="248"/>
      <c r="AL77" s="248"/>
      <c r="AM77" s="248"/>
      <c r="AN77" s="248"/>
      <c r="AO77" s="248"/>
      <c r="AP77" s="248"/>
      <c r="AQ77" s="248"/>
      <c r="AR77" s="248"/>
      <c r="AS77" s="248"/>
      <c r="AT77" s="248"/>
      <c r="AU77" s="248"/>
      <c r="AV77" s="248"/>
      <c r="AW77" s="248"/>
      <c r="AX77" s="248"/>
      <c r="AY77" s="248"/>
    </row>
    <row r="78" spans="1:51">
      <c r="A78" s="244"/>
      <c r="B78" s="244"/>
      <c r="C78" s="286"/>
      <c r="D78" s="287"/>
      <c r="E78" s="244"/>
      <c r="F78" s="280"/>
      <c r="G78" s="282"/>
      <c r="H78" s="244"/>
      <c r="I78" s="244"/>
      <c r="J78" s="244"/>
      <c r="K78" s="244"/>
      <c r="L78" s="244"/>
      <c r="M78" s="244"/>
      <c r="N78" s="244"/>
      <c r="O78" s="244"/>
      <c r="P78" s="244"/>
      <c r="Q78" s="248"/>
      <c r="R78" s="248"/>
      <c r="S78" s="248"/>
      <c r="T78" s="248"/>
      <c r="U78" s="248"/>
      <c r="V78" s="248"/>
      <c r="W78" s="248"/>
      <c r="X78" s="248"/>
      <c r="Y78" s="248"/>
      <c r="Z78" s="248"/>
      <c r="AA78" s="248"/>
      <c r="AB78" s="248"/>
      <c r="AC78" s="248"/>
      <c r="AD78" s="248"/>
      <c r="AE78" s="248"/>
      <c r="AF78" s="248"/>
      <c r="AG78" s="248"/>
      <c r="AH78" s="248"/>
      <c r="AI78" s="248"/>
      <c r="AJ78" s="248"/>
      <c r="AK78" s="248"/>
      <c r="AL78" s="248"/>
      <c r="AM78" s="248"/>
      <c r="AN78" s="248"/>
      <c r="AO78" s="248"/>
      <c r="AP78" s="248"/>
      <c r="AQ78" s="248"/>
      <c r="AR78" s="248"/>
      <c r="AS78" s="248"/>
      <c r="AT78" s="248"/>
      <c r="AU78" s="248"/>
      <c r="AV78" s="248"/>
      <c r="AW78" s="248"/>
      <c r="AX78" s="248"/>
      <c r="AY78" s="248"/>
    </row>
    <row r="79" spans="1:51">
      <c r="A79" s="244"/>
      <c r="B79" s="244"/>
      <c r="C79" s="286"/>
      <c r="D79" s="287"/>
      <c r="E79" s="244"/>
      <c r="F79" s="280"/>
      <c r="G79" s="282"/>
      <c r="H79" s="244"/>
      <c r="I79" s="244"/>
      <c r="J79" s="244"/>
      <c r="K79" s="244"/>
      <c r="L79" s="244"/>
      <c r="M79" s="244"/>
      <c r="N79" s="244"/>
      <c r="O79" s="244"/>
      <c r="P79" s="244"/>
      <c r="Q79" s="248"/>
      <c r="R79" s="248"/>
      <c r="S79" s="248"/>
      <c r="T79" s="248"/>
      <c r="U79" s="248"/>
      <c r="V79" s="248"/>
      <c r="W79" s="248"/>
      <c r="X79" s="248"/>
      <c r="Y79" s="248"/>
      <c r="Z79" s="248"/>
      <c r="AA79" s="248"/>
      <c r="AB79" s="248"/>
      <c r="AC79" s="248"/>
      <c r="AD79" s="248"/>
      <c r="AE79" s="248"/>
      <c r="AF79" s="248"/>
      <c r="AG79" s="248"/>
      <c r="AH79" s="248"/>
      <c r="AI79" s="248"/>
      <c r="AJ79" s="248"/>
      <c r="AK79" s="248"/>
      <c r="AL79" s="248"/>
      <c r="AM79" s="248"/>
      <c r="AN79" s="248"/>
      <c r="AO79" s="248"/>
      <c r="AP79" s="248"/>
      <c r="AQ79" s="248"/>
      <c r="AR79" s="248"/>
      <c r="AS79" s="248"/>
      <c r="AT79" s="248"/>
      <c r="AU79" s="248"/>
      <c r="AV79" s="248"/>
      <c r="AW79" s="248"/>
      <c r="AX79" s="248"/>
      <c r="AY79" s="248"/>
    </row>
    <row r="80" spans="1:51">
      <c r="A80" s="244"/>
      <c r="B80" s="244"/>
      <c r="C80" s="286"/>
      <c r="D80" s="287"/>
      <c r="E80" s="244"/>
      <c r="F80" s="280"/>
      <c r="G80" s="282"/>
      <c r="H80" s="244"/>
      <c r="I80" s="244"/>
      <c r="J80" s="244"/>
      <c r="K80" s="244"/>
      <c r="L80" s="244"/>
      <c r="M80" s="244"/>
      <c r="N80" s="244"/>
      <c r="O80" s="244"/>
      <c r="P80" s="244"/>
      <c r="Q80" s="248"/>
      <c r="R80" s="248"/>
      <c r="S80" s="248"/>
      <c r="T80" s="248"/>
      <c r="U80" s="248"/>
      <c r="V80" s="248"/>
      <c r="W80" s="248"/>
      <c r="X80" s="248"/>
      <c r="Y80" s="248"/>
      <c r="Z80" s="248"/>
      <c r="AA80" s="248"/>
      <c r="AB80" s="248"/>
      <c r="AC80" s="248"/>
      <c r="AD80" s="248"/>
      <c r="AE80" s="248"/>
      <c r="AF80" s="248"/>
      <c r="AG80" s="248"/>
      <c r="AH80" s="248"/>
      <c r="AI80" s="248"/>
      <c r="AJ80" s="248"/>
      <c r="AK80" s="248"/>
      <c r="AL80" s="248"/>
      <c r="AM80" s="248"/>
      <c r="AN80" s="248"/>
      <c r="AO80" s="248"/>
      <c r="AP80" s="248"/>
      <c r="AQ80" s="248"/>
      <c r="AR80" s="248"/>
      <c r="AS80" s="248"/>
      <c r="AT80" s="248"/>
      <c r="AU80" s="248"/>
      <c r="AV80" s="248"/>
      <c r="AW80" s="248"/>
      <c r="AX80" s="248"/>
      <c r="AY80" s="248"/>
    </row>
    <row r="81" spans="1:51">
      <c r="A81" s="244"/>
      <c r="B81" s="244"/>
      <c r="C81" s="286"/>
      <c r="D81" s="287"/>
      <c r="E81" s="244"/>
      <c r="F81" s="280"/>
      <c r="G81" s="282"/>
      <c r="H81" s="244"/>
      <c r="I81" s="244"/>
      <c r="J81" s="244"/>
      <c r="K81" s="244"/>
      <c r="L81" s="244"/>
      <c r="M81" s="244"/>
      <c r="N81" s="244"/>
      <c r="O81" s="244"/>
      <c r="P81" s="244"/>
      <c r="Q81" s="248"/>
      <c r="R81" s="248"/>
      <c r="S81" s="248"/>
      <c r="T81" s="248"/>
      <c r="U81" s="248"/>
      <c r="V81" s="248"/>
      <c r="W81" s="248"/>
      <c r="X81" s="248"/>
      <c r="Y81" s="248"/>
      <c r="Z81" s="248"/>
      <c r="AA81" s="248"/>
      <c r="AB81" s="248"/>
      <c r="AC81" s="248"/>
      <c r="AD81" s="248"/>
      <c r="AE81" s="248"/>
      <c r="AF81" s="248"/>
      <c r="AG81" s="248"/>
      <c r="AH81" s="248"/>
      <c r="AI81" s="248"/>
      <c r="AJ81" s="248"/>
      <c r="AK81" s="248"/>
      <c r="AL81" s="248"/>
      <c r="AM81" s="248"/>
      <c r="AN81" s="248"/>
      <c r="AO81" s="248"/>
      <c r="AP81" s="248"/>
      <c r="AQ81" s="248"/>
      <c r="AR81" s="248"/>
      <c r="AS81" s="248"/>
      <c r="AT81" s="248"/>
      <c r="AU81" s="248"/>
      <c r="AV81" s="248"/>
      <c r="AW81" s="248"/>
      <c r="AX81" s="248"/>
      <c r="AY81" s="248"/>
    </row>
    <row r="82" spans="1:51">
      <c r="A82" s="244"/>
      <c r="B82" s="244"/>
      <c r="C82" s="286"/>
      <c r="D82" s="287"/>
      <c r="E82" s="244"/>
      <c r="F82" s="280"/>
      <c r="G82" s="282"/>
      <c r="H82" s="244"/>
      <c r="I82" s="244"/>
      <c r="J82" s="244"/>
      <c r="K82" s="244"/>
      <c r="L82" s="244"/>
      <c r="M82" s="244"/>
      <c r="N82" s="244"/>
      <c r="O82" s="244"/>
      <c r="P82" s="244"/>
      <c r="Q82" s="248"/>
      <c r="R82" s="248"/>
      <c r="S82" s="248"/>
      <c r="T82" s="248"/>
      <c r="U82" s="248"/>
      <c r="V82" s="248"/>
      <c r="W82" s="248"/>
      <c r="X82" s="248"/>
      <c r="Y82" s="248"/>
      <c r="Z82" s="248"/>
      <c r="AA82" s="248"/>
      <c r="AB82" s="248"/>
      <c r="AC82" s="248"/>
      <c r="AD82" s="248"/>
      <c r="AE82" s="248"/>
      <c r="AF82" s="248"/>
      <c r="AG82" s="248"/>
      <c r="AH82" s="248"/>
      <c r="AI82" s="248"/>
      <c r="AJ82" s="248"/>
      <c r="AK82" s="248"/>
      <c r="AL82" s="248"/>
      <c r="AM82" s="248"/>
      <c r="AN82" s="248"/>
      <c r="AO82" s="248"/>
      <c r="AP82" s="248"/>
      <c r="AQ82" s="248"/>
      <c r="AR82" s="248"/>
      <c r="AS82" s="248"/>
      <c r="AT82" s="248"/>
      <c r="AU82" s="248"/>
      <c r="AV82" s="248"/>
      <c r="AW82" s="248"/>
      <c r="AX82" s="248"/>
      <c r="AY82" s="248"/>
    </row>
    <row r="83" spans="1:51">
      <c r="A83" s="244"/>
      <c r="B83" s="244"/>
      <c r="C83" s="286"/>
      <c r="D83" s="287"/>
      <c r="E83" s="244"/>
      <c r="F83" s="280"/>
      <c r="G83" s="282"/>
      <c r="H83" s="244"/>
      <c r="I83" s="244"/>
      <c r="J83" s="244"/>
      <c r="K83" s="244"/>
      <c r="L83" s="244"/>
      <c r="M83" s="244"/>
      <c r="N83" s="244"/>
      <c r="O83" s="244"/>
      <c r="P83" s="244"/>
      <c r="Q83" s="248"/>
      <c r="R83" s="248"/>
      <c r="S83" s="248"/>
      <c r="T83" s="248"/>
      <c r="U83" s="248"/>
      <c r="V83" s="248"/>
      <c r="W83" s="248"/>
      <c r="X83" s="248"/>
      <c r="Y83" s="248"/>
      <c r="Z83" s="248"/>
      <c r="AA83" s="248"/>
      <c r="AB83" s="248"/>
      <c r="AC83" s="248"/>
      <c r="AD83" s="248"/>
      <c r="AE83" s="248"/>
      <c r="AF83" s="248"/>
      <c r="AG83" s="248"/>
      <c r="AH83" s="248"/>
      <c r="AI83" s="248"/>
      <c r="AJ83" s="248"/>
      <c r="AK83" s="248"/>
      <c r="AL83" s="248"/>
      <c r="AM83" s="248"/>
      <c r="AN83" s="248"/>
      <c r="AO83" s="248"/>
      <c r="AP83" s="248"/>
      <c r="AQ83" s="248"/>
      <c r="AR83" s="248"/>
      <c r="AS83" s="248"/>
      <c r="AT83" s="248"/>
      <c r="AU83" s="248"/>
      <c r="AV83" s="248"/>
      <c r="AW83" s="248"/>
      <c r="AX83" s="248"/>
      <c r="AY83" s="248"/>
    </row>
    <row r="84" spans="1:51">
      <c r="A84" s="244"/>
      <c r="B84" s="244"/>
      <c r="C84" s="286"/>
      <c r="D84" s="287"/>
      <c r="E84" s="244"/>
      <c r="F84" s="280"/>
      <c r="G84" s="282"/>
      <c r="H84" s="244"/>
      <c r="I84" s="244"/>
      <c r="J84" s="244"/>
      <c r="K84" s="244"/>
      <c r="L84" s="244"/>
      <c r="M84" s="244"/>
      <c r="N84" s="244"/>
      <c r="O84" s="244"/>
      <c r="P84" s="244"/>
      <c r="Q84" s="248"/>
      <c r="R84" s="248"/>
      <c r="S84" s="248"/>
      <c r="T84" s="248"/>
      <c r="U84" s="248"/>
      <c r="V84" s="248"/>
      <c r="W84" s="248"/>
      <c r="X84" s="248"/>
      <c r="Y84" s="248"/>
      <c r="Z84" s="248"/>
      <c r="AA84" s="248"/>
      <c r="AB84" s="248"/>
      <c r="AC84" s="248"/>
      <c r="AD84" s="248"/>
      <c r="AE84" s="248"/>
      <c r="AF84" s="248"/>
      <c r="AG84" s="248"/>
      <c r="AH84" s="248"/>
      <c r="AI84" s="248"/>
      <c r="AJ84" s="248"/>
      <c r="AK84" s="248"/>
      <c r="AL84" s="248"/>
      <c r="AM84" s="248"/>
      <c r="AN84" s="248"/>
      <c r="AO84" s="248"/>
      <c r="AP84" s="248"/>
      <c r="AQ84" s="248"/>
      <c r="AR84" s="248"/>
      <c r="AS84" s="248"/>
      <c r="AT84" s="248"/>
      <c r="AU84" s="248"/>
      <c r="AV84" s="248"/>
      <c r="AW84" s="248"/>
      <c r="AX84" s="248"/>
      <c r="AY84" s="248"/>
    </row>
    <row r="85" spans="1:51">
      <c r="A85" s="244"/>
      <c r="B85" s="244"/>
      <c r="C85" s="286"/>
      <c r="D85" s="287"/>
      <c r="E85" s="244"/>
      <c r="F85" s="280"/>
      <c r="G85" s="282"/>
      <c r="H85" s="244"/>
      <c r="I85" s="244"/>
      <c r="J85" s="244"/>
      <c r="K85" s="244"/>
      <c r="L85" s="244"/>
      <c r="M85" s="244"/>
      <c r="N85" s="244"/>
      <c r="O85" s="244"/>
      <c r="P85" s="244"/>
      <c r="Q85" s="248"/>
      <c r="R85" s="248"/>
      <c r="S85" s="248"/>
      <c r="T85" s="248"/>
      <c r="U85" s="248"/>
      <c r="V85" s="248"/>
      <c r="W85" s="248"/>
      <c r="X85" s="248"/>
      <c r="Y85" s="248"/>
      <c r="Z85" s="248"/>
      <c r="AA85" s="248"/>
      <c r="AB85" s="248"/>
      <c r="AC85" s="248"/>
      <c r="AD85" s="248"/>
      <c r="AE85" s="248"/>
      <c r="AF85" s="248"/>
      <c r="AG85" s="248"/>
      <c r="AH85" s="248"/>
      <c r="AI85" s="248"/>
      <c r="AJ85" s="248"/>
      <c r="AK85" s="248"/>
      <c r="AL85" s="248"/>
      <c r="AM85" s="248"/>
      <c r="AN85" s="248"/>
      <c r="AO85" s="248"/>
      <c r="AP85" s="248"/>
      <c r="AQ85" s="248"/>
      <c r="AR85" s="248"/>
      <c r="AS85" s="248"/>
      <c r="AT85" s="248"/>
      <c r="AU85" s="248"/>
      <c r="AV85" s="248"/>
      <c r="AW85" s="248"/>
      <c r="AX85" s="248"/>
      <c r="AY85" s="248"/>
    </row>
    <row r="86" spans="1:51">
      <c r="A86" s="244"/>
      <c r="B86" s="244"/>
      <c r="C86" s="286"/>
      <c r="D86" s="287"/>
      <c r="E86" s="244"/>
      <c r="F86" s="280"/>
      <c r="G86" s="282"/>
      <c r="H86" s="244"/>
      <c r="I86" s="244"/>
      <c r="J86" s="244"/>
      <c r="K86" s="244"/>
      <c r="L86" s="244"/>
      <c r="M86" s="244"/>
      <c r="N86" s="244"/>
      <c r="O86" s="244"/>
      <c r="P86" s="244"/>
      <c r="Q86" s="248"/>
      <c r="R86" s="248"/>
      <c r="S86" s="248"/>
      <c r="T86" s="248"/>
      <c r="U86" s="248"/>
      <c r="V86" s="248"/>
      <c r="W86" s="248"/>
      <c r="X86" s="248"/>
      <c r="Y86" s="248"/>
      <c r="Z86" s="248"/>
      <c r="AA86" s="248"/>
      <c r="AB86" s="248"/>
      <c r="AC86" s="248"/>
      <c r="AD86" s="248"/>
      <c r="AE86" s="248"/>
      <c r="AF86" s="248"/>
      <c r="AG86" s="248"/>
      <c r="AH86" s="248"/>
      <c r="AI86" s="248"/>
      <c r="AJ86" s="248"/>
      <c r="AK86" s="248"/>
      <c r="AL86" s="248"/>
      <c r="AM86" s="248"/>
      <c r="AN86" s="248"/>
      <c r="AO86" s="248"/>
      <c r="AP86" s="248"/>
      <c r="AQ86" s="248"/>
      <c r="AR86" s="248"/>
      <c r="AS86" s="248"/>
      <c r="AT86" s="248"/>
      <c r="AU86" s="248"/>
      <c r="AV86" s="248"/>
      <c r="AW86" s="248"/>
      <c r="AX86" s="248"/>
      <c r="AY86" s="248"/>
    </row>
    <row r="87" spans="1:51">
      <c r="A87" s="244"/>
      <c r="B87" s="244"/>
      <c r="C87" s="286"/>
      <c r="D87" s="287"/>
      <c r="E87" s="244"/>
      <c r="F87" s="280"/>
      <c r="G87" s="282"/>
      <c r="H87" s="244"/>
      <c r="I87" s="244"/>
      <c r="J87" s="244"/>
      <c r="K87" s="244"/>
      <c r="L87" s="244"/>
      <c r="M87" s="244"/>
      <c r="N87" s="244"/>
      <c r="O87" s="244"/>
      <c r="P87" s="244"/>
      <c r="Q87" s="248"/>
      <c r="R87" s="248"/>
      <c r="S87" s="248"/>
      <c r="T87" s="248"/>
      <c r="U87" s="248"/>
      <c r="V87" s="248"/>
      <c r="W87" s="248"/>
      <c r="X87" s="248"/>
      <c r="Y87" s="248"/>
      <c r="Z87" s="248"/>
      <c r="AA87" s="248"/>
      <c r="AB87" s="248"/>
      <c r="AC87" s="248"/>
      <c r="AD87" s="248"/>
      <c r="AE87" s="248"/>
      <c r="AF87" s="248"/>
      <c r="AG87" s="248"/>
      <c r="AH87" s="248"/>
      <c r="AI87" s="248"/>
      <c r="AJ87" s="248"/>
      <c r="AK87" s="248"/>
      <c r="AL87" s="248"/>
      <c r="AM87" s="248"/>
      <c r="AN87" s="248"/>
      <c r="AO87" s="248"/>
      <c r="AP87" s="248"/>
      <c r="AQ87" s="248"/>
      <c r="AR87" s="248"/>
      <c r="AS87" s="248"/>
      <c r="AT87" s="248"/>
      <c r="AU87" s="248"/>
      <c r="AV87" s="248"/>
      <c r="AW87" s="248"/>
      <c r="AX87" s="248"/>
      <c r="AY87" s="248"/>
    </row>
    <row r="88" spans="1:51">
      <c r="A88" s="244"/>
      <c r="B88" s="244"/>
      <c r="C88" s="286"/>
      <c r="D88" s="287"/>
      <c r="E88" s="244"/>
      <c r="F88" s="280"/>
      <c r="G88" s="282"/>
      <c r="H88" s="244"/>
      <c r="I88" s="244"/>
      <c r="J88" s="244"/>
      <c r="K88" s="244"/>
      <c r="L88" s="244"/>
      <c r="M88" s="244"/>
      <c r="N88" s="244"/>
      <c r="O88" s="244"/>
      <c r="P88" s="244"/>
      <c r="Q88" s="248"/>
      <c r="R88" s="248"/>
      <c r="S88" s="248"/>
      <c r="T88" s="248"/>
      <c r="U88" s="248"/>
      <c r="V88" s="248"/>
      <c r="W88" s="248"/>
      <c r="X88" s="248"/>
      <c r="Y88" s="248"/>
      <c r="Z88" s="248"/>
      <c r="AA88" s="248"/>
      <c r="AB88" s="248"/>
      <c r="AC88" s="248"/>
      <c r="AD88" s="248"/>
      <c r="AE88" s="248"/>
      <c r="AF88" s="248"/>
      <c r="AG88" s="248"/>
      <c r="AH88" s="248"/>
      <c r="AI88" s="248"/>
      <c r="AJ88" s="248"/>
      <c r="AK88" s="248"/>
      <c r="AL88" s="248"/>
      <c r="AM88" s="248"/>
      <c r="AN88" s="248"/>
      <c r="AO88" s="248"/>
      <c r="AP88" s="248"/>
      <c r="AQ88" s="248"/>
      <c r="AR88" s="248"/>
      <c r="AS88" s="248"/>
      <c r="AT88" s="248"/>
      <c r="AU88" s="248"/>
      <c r="AV88" s="248"/>
      <c r="AW88" s="248"/>
      <c r="AX88" s="248"/>
      <c r="AY88" s="248"/>
    </row>
    <row r="89" spans="1:51">
      <c r="A89" s="244"/>
      <c r="B89" s="244"/>
      <c r="C89" s="286"/>
      <c r="D89" s="287"/>
      <c r="E89" s="244"/>
      <c r="F89" s="280"/>
      <c r="G89" s="282"/>
      <c r="H89" s="244"/>
      <c r="I89" s="244"/>
      <c r="J89" s="244"/>
      <c r="K89" s="244"/>
      <c r="L89" s="244"/>
      <c r="M89" s="244"/>
      <c r="N89" s="244"/>
      <c r="O89" s="244"/>
      <c r="P89" s="244"/>
      <c r="Q89" s="248"/>
      <c r="R89" s="248"/>
      <c r="S89" s="248"/>
      <c r="T89" s="248"/>
      <c r="U89" s="248"/>
      <c r="V89" s="248"/>
      <c r="W89" s="248"/>
      <c r="X89" s="248"/>
      <c r="Y89" s="248"/>
      <c r="Z89" s="248"/>
      <c r="AA89" s="248"/>
      <c r="AB89" s="248"/>
      <c r="AC89" s="248"/>
      <c r="AD89" s="248"/>
      <c r="AE89" s="248"/>
      <c r="AF89" s="248"/>
      <c r="AG89" s="248"/>
      <c r="AH89" s="248"/>
      <c r="AI89" s="248"/>
      <c r="AJ89" s="248"/>
      <c r="AK89" s="248"/>
      <c r="AL89" s="248"/>
      <c r="AM89" s="248"/>
      <c r="AN89" s="248"/>
      <c r="AO89" s="248"/>
      <c r="AP89" s="248"/>
      <c r="AQ89" s="248"/>
      <c r="AR89" s="248"/>
      <c r="AS89" s="248"/>
      <c r="AT89" s="248"/>
      <c r="AU89" s="248"/>
      <c r="AV89" s="248"/>
      <c r="AW89" s="248"/>
      <c r="AX89" s="248"/>
      <c r="AY89" s="248"/>
    </row>
    <row r="90" spans="1:51">
      <c r="A90" s="244"/>
      <c r="B90" s="244"/>
      <c r="C90" s="286"/>
      <c r="D90" s="287"/>
      <c r="E90" s="244"/>
      <c r="F90" s="280"/>
      <c r="G90" s="282"/>
      <c r="H90" s="244"/>
      <c r="I90" s="244"/>
      <c r="J90" s="244"/>
      <c r="K90" s="244"/>
      <c r="L90" s="244"/>
      <c r="M90" s="244"/>
      <c r="N90" s="244"/>
      <c r="O90" s="244"/>
      <c r="P90" s="244"/>
      <c r="Q90" s="248"/>
      <c r="R90" s="248"/>
      <c r="S90" s="248"/>
      <c r="T90" s="248"/>
      <c r="U90" s="248"/>
      <c r="V90" s="248"/>
      <c r="W90" s="248"/>
      <c r="X90" s="248"/>
      <c r="Y90" s="248"/>
      <c r="Z90" s="248"/>
      <c r="AA90" s="248"/>
      <c r="AB90" s="248"/>
      <c r="AC90" s="248"/>
      <c r="AD90" s="248"/>
      <c r="AE90" s="248"/>
      <c r="AF90" s="248"/>
      <c r="AG90" s="248"/>
      <c r="AH90" s="248"/>
      <c r="AI90" s="248"/>
      <c r="AJ90" s="248"/>
      <c r="AK90" s="248"/>
      <c r="AL90" s="248"/>
      <c r="AM90" s="248"/>
      <c r="AN90" s="248"/>
      <c r="AO90" s="248"/>
      <c r="AP90" s="248"/>
      <c r="AQ90" s="248"/>
      <c r="AR90" s="248"/>
      <c r="AS90" s="248"/>
      <c r="AT90" s="248"/>
      <c r="AU90" s="248"/>
      <c r="AV90" s="248"/>
      <c r="AW90" s="248"/>
      <c r="AX90" s="248"/>
      <c r="AY90" s="248"/>
    </row>
    <row r="91" spans="1:51">
      <c r="A91" s="244"/>
      <c r="B91" s="244"/>
      <c r="C91" s="286"/>
      <c r="D91" s="287"/>
      <c r="E91" s="244"/>
      <c r="F91" s="280"/>
      <c r="G91" s="282"/>
      <c r="H91" s="244"/>
      <c r="I91" s="244"/>
      <c r="J91" s="244"/>
      <c r="K91" s="244"/>
      <c r="L91" s="244"/>
      <c r="M91" s="244"/>
      <c r="N91" s="244"/>
      <c r="O91" s="244"/>
      <c r="P91" s="244"/>
      <c r="Q91" s="248"/>
      <c r="R91" s="248"/>
      <c r="S91" s="248"/>
      <c r="T91" s="248"/>
      <c r="U91" s="248"/>
      <c r="V91" s="248"/>
      <c r="W91" s="248"/>
      <c r="X91" s="248"/>
      <c r="Y91" s="248"/>
      <c r="Z91" s="248"/>
      <c r="AA91" s="248"/>
      <c r="AB91" s="248"/>
      <c r="AC91" s="248"/>
      <c r="AD91" s="248"/>
      <c r="AE91" s="248"/>
      <c r="AF91" s="248"/>
      <c r="AG91" s="248"/>
      <c r="AH91" s="248"/>
      <c r="AI91" s="248"/>
      <c r="AJ91" s="248"/>
      <c r="AK91" s="248"/>
      <c r="AL91" s="248"/>
      <c r="AM91" s="248"/>
      <c r="AN91" s="248"/>
      <c r="AO91" s="248"/>
      <c r="AP91" s="248"/>
      <c r="AQ91" s="248"/>
      <c r="AR91" s="248"/>
      <c r="AS91" s="248"/>
      <c r="AT91" s="248"/>
      <c r="AU91" s="248"/>
      <c r="AV91" s="248"/>
      <c r="AW91" s="248"/>
      <c r="AX91" s="248"/>
      <c r="AY91" s="248"/>
    </row>
    <row r="92" spans="1:51">
      <c r="A92" s="244"/>
      <c r="B92" s="244"/>
      <c r="C92" s="286"/>
      <c r="D92" s="287"/>
      <c r="E92" s="244"/>
      <c r="F92" s="280"/>
      <c r="G92" s="282"/>
      <c r="H92" s="244"/>
      <c r="I92" s="244"/>
      <c r="J92" s="244"/>
      <c r="K92" s="244"/>
      <c r="L92" s="244"/>
      <c r="M92" s="244"/>
      <c r="N92" s="244"/>
      <c r="O92" s="244"/>
      <c r="P92" s="244"/>
      <c r="Q92" s="248"/>
      <c r="R92" s="248"/>
      <c r="S92" s="248"/>
      <c r="T92" s="248"/>
      <c r="U92" s="248"/>
      <c r="V92" s="248"/>
      <c r="W92" s="248"/>
      <c r="X92" s="248"/>
      <c r="Y92" s="248"/>
      <c r="Z92" s="248"/>
      <c r="AA92" s="248"/>
      <c r="AB92" s="248"/>
      <c r="AC92" s="248"/>
      <c r="AD92" s="248"/>
      <c r="AE92" s="248"/>
      <c r="AF92" s="248"/>
      <c r="AG92" s="248"/>
      <c r="AH92" s="248"/>
      <c r="AI92" s="248"/>
      <c r="AJ92" s="248"/>
      <c r="AK92" s="248"/>
      <c r="AL92" s="248"/>
      <c r="AM92" s="248"/>
      <c r="AN92" s="248"/>
      <c r="AO92" s="248"/>
      <c r="AP92" s="248"/>
      <c r="AQ92" s="248"/>
      <c r="AR92" s="248"/>
      <c r="AS92" s="248"/>
      <c r="AT92" s="248"/>
      <c r="AU92" s="248"/>
      <c r="AV92" s="248"/>
      <c r="AW92" s="248"/>
      <c r="AX92" s="248"/>
      <c r="AY92" s="248"/>
    </row>
    <row r="93" spans="1:51">
      <c r="A93" s="244"/>
      <c r="B93" s="244"/>
      <c r="C93" s="286"/>
      <c r="D93" s="287"/>
      <c r="E93" s="244"/>
      <c r="F93" s="280"/>
      <c r="G93" s="282"/>
      <c r="H93" s="244"/>
      <c r="I93" s="244"/>
      <c r="J93" s="244"/>
      <c r="K93" s="244"/>
      <c r="L93" s="244"/>
      <c r="M93" s="244"/>
      <c r="N93" s="244"/>
      <c r="O93" s="244"/>
      <c r="P93" s="244"/>
      <c r="Q93" s="248"/>
      <c r="R93" s="248"/>
      <c r="S93" s="248"/>
      <c r="T93" s="248"/>
      <c r="U93" s="248"/>
      <c r="V93" s="248"/>
      <c r="W93" s="248"/>
      <c r="X93" s="248"/>
      <c r="Y93" s="248"/>
      <c r="Z93" s="248"/>
      <c r="AA93" s="248"/>
      <c r="AB93" s="248"/>
      <c r="AC93" s="248"/>
      <c r="AD93" s="248"/>
      <c r="AE93" s="248"/>
      <c r="AF93" s="248"/>
      <c r="AG93" s="248"/>
      <c r="AH93" s="248"/>
      <c r="AI93" s="248"/>
      <c r="AJ93" s="248"/>
      <c r="AK93" s="248"/>
      <c r="AL93" s="248"/>
      <c r="AM93" s="248"/>
      <c r="AN93" s="248"/>
      <c r="AO93" s="248"/>
      <c r="AP93" s="248"/>
      <c r="AQ93" s="248"/>
      <c r="AR93" s="248"/>
      <c r="AS93" s="248"/>
      <c r="AT93" s="248"/>
      <c r="AU93" s="248"/>
      <c r="AV93" s="248"/>
      <c r="AW93" s="248"/>
      <c r="AX93" s="248"/>
      <c r="AY93" s="248"/>
    </row>
    <row r="94" spans="1:51">
      <c r="A94" s="244"/>
      <c r="B94" s="244"/>
      <c r="C94" s="286"/>
      <c r="D94" s="287"/>
      <c r="E94" s="244"/>
      <c r="F94" s="280"/>
      <c r="G94" s="282"/>
      <c r="H94" s="244"/>
      <c r="I94" s="244"/>
      <c r="J94" s="244"/>
      <c r="K94" s="244"/>
      <c r="L94" s="244"/>
      <c r="M94" s="244"/>
      <c r="N94" s="244"/>
      <c r="O94" s="244"/>
      <c r="P94" s="244"/>
      <c r="Q94" s="248"/>
      <c r="R94" s="248"/>
      <c r="S94" s="248"/>
      <c r="T94" s="248"/>
      <c r="U94" s="248"/>
      <c r="V94" s="248"/>
      <c r="W94" s="248"/>
      <c r="X94" s="248"/>
      <c r="Y94" s="248"/>
      <c r="Z94" s="248"/>
      <c r="AA94" s="248"/>
      <c r="AB94" s="248"/>
      <c r="AC94" s="248"/>
      <c r="AD94" s="248"/>
      <c r="AE94" s="248"/>
      <c r="AF94" s="248"/>
      <c r="AG94" s="248"/>
      <c r="AH94" s="248"/>
      <c r="AI94" s="248"/>
      <c r="AJ94" s="248"/>
      <c r="AK94" s="248"/>
      <c r="AL94" s="248"/>
      <c r="AM94" s="248"/>
      <c r="AN94" s="248"/>
      <c r="AO94" s="248"/>
      <c r="AP94" s="248"/>
      <c r="AQ94" s="248"/>
      <c r="AR94" s="248"/>
      <c r="AS94" s="248"/>
      <c r="AT94" s="248"/>
      <c r="AU94" s="248"/>
      <c r="AV94" s="248"/>
      <c r="AW94" s="248"/>
      <c r="AX94" s="248"/>
      <c r="AY94" s="248"/>
    </row>
    <row r="95" spans="1:51">
      <c r="A95" s="244"/>
      <c r="B95" s="244"/>
      <c r="C95" s="286"/>
      <c r="D95" s="287"/>
      <c r="E95" s="244"/>
      <c r="F95" s="280"/>
      <c r="G95" s="282"/>
      <c r="H95" s="244"/>
      <c r="I95" s="244"/>
      <c r="J95" s="244"/>
      <c r="K95" s="244"/>
      <c r="L95" s="244"/>
      <c r="M95" s="244"/>
      <c r="N95" s="244"/>
      <c r="O95" s="244"/>
      <c r="P95" s="244"/>
      <c r="Q95" s="248"/>
      <c r="R95" s="248"/>
      <c r="S95" s="248"/>
      <c r="T95" s="248"/>
      <c r="U95" s="248"/>
      <c r="V95" s="248"/>
      <c r="W95" s="248"/>
      <c r="X95" s="248"/>
      <c r="Y95" s="248"/>
      <c r="Z95" s="248"/>
      <c r="AA95" s="248"/>
      <c r="AB95" s="248"/>
      <c r="AC95" s="248"/>
      <c r="AD95" s="248"/>
      <c r="AE95" s="248"/>
      <c r="AF95" s="248"/>
      <c r="AG95" s="248"/>
      <c r="AH95" s="248"/>
      <c r="AI95" s="248"/>
      <c r="AJ95" s="248"/>
      <c r="AK95" s="248"/>
      <c r="AL95" s="248"/>
      <c r="AM95" s="248"/>
      <c r="AN95" s="248"/>
      <c r="AO95" s="248"/>
      <c r="AP95" s="248"/>
      <c r="AQ95" s="248"/>
      <c r="AR95" s="248"/>
      <c r="AS95" s="248"/>
      <c r="AT95" s="248"/>
      <c r="AU95" s="248"/>
      <c r="AV95" s="248"/>
      <c r="AW95" s="248"/>
      <c r="AX95" s="248"/>
      <c r="AY95" s="248"/>
    </row>
    <row r="96" spans="1:51">
      <c r="A96" s="244"/>
      <c r="B96" s="244"/>
      <c r="C96" s="286"/>
      <c r="D96" s="287"/>
      <c r="E96" s="244"/>
      <c r="F96" s="280"/>
      <c r="G96" s="282"/>
      <c r="H96" s="244"/>
      <c r="I96" s="244"/>
      <c r="J96" s="244"/>
      <c r="K96" s="244"/>
      <c r="L96" s="244"/>
      <c r="M96" s="244"/>
      <c r="N96" s="244"/>
      <c r="O96" s="244"/>
      <c r="P96" s="244"/>
      <c r="Q96" s="248"/>
      <c r="R96" s="248"/>
      <c r="S96" s="248"/>
      <c r="T96" s="248"/>
      <c r="U96" s="248"/>
      <c r="V96" s="248"/>
      <c r="W96" s="248"/>
      <c r="X96" s="248"/>
      <c r="Y96" s="248"/>
      <c r="Z96" s="248"/>
      <c r="AA96" s="248"/>
      <c r="AB96" s="248"/>
      <c r="AC96" s="248"/>
      <c r="AD96" s="248"/>
      <c r="AE96" s="248"/>
      <c r="AF96" s="248"/>
      <c r="AG96" s="248"/>
      <c r="AH96" s="248"/>
      <c r="AI96" s="248"/>
      <c r="AJ96" s="248"/>
      <c r="AK96" s="248"/>
      <c r="AL96" s="248"/>
      <c r="AM96" s="248"/>
      <c r="AN96" s="248"/>
      <c r="AO96" s="248"/>
      <c r="AP96" s="248"/>
      <c r="AQ96" s="248"/>
      <c r="AR96" s="248"/>
      <c r="AS96" s="248"/>
      <c r="AT96" s="248"/>
      <c r="AU96" s="248"/>
      <c r="AV96" s="248"/>
      <c r="AW96" s="248"/>
      <c r="AX96" s="248"/>
      <c r="AY96" s="248"/>
    </row>
    <row r="97" spans="1:51">
      <c r="A97" s="244"/>
      <c r="B97" s="244"/>
      <c r="C97" s="286"/>
      <c r="D97" s="287"/>
      <c r="E97" s="244"/>
      <c r="F97" s="280"/>
      <c r="G97" s="282"/>
      <c r="H97" s="244"/>
      <c r="I97" s="244"/>
      <c r="J97" s="244"/>
      <c r="K97" s="244"/>
      <c r="L97" s="244"/>
      <c r="M97" s="244"/>
      <c r="N97" s="244"/>
      <c r="O97" s="244"/>
      <c r="P97" s="244"/>
      <c r="Q97" s="248"/>
      <c r="R97" s="248"/>
      <c r="S97" s="248"/>
      <c r="T97" s="248"/>
      <c r="U97" s="248"/>
      <c r="V97" s="248"/>
      <c r="W97" s="248"/>
      <c r="X97" s="248"/>
      <c r="Y97" s="248"/>
      <c r="Z97" s="248"/>
      <c r="AA97" s="248"/>
      <c r="AB97" s="248"/>
      <c r="AC97" s="248"/>
      <c r="AD97" s="248"/>
      <c r="AE97" s="248"/>
      <c r="AF97" s="248"/>
      <c r="AG97" s="248"/>
      <c r="AH97" s="248"/>
      <c r="AI97" s="248"/>
      <c r="AJ97" s="248"/>
      <c r="AK97" s="248"/>
      <c r="AL97" s="248"/>
      <c r="AM97" s="248"/>
      <c r="AN97" s="248"/>
      <c r="AO97" s="248"/>
      <c r="AP97" s="248"/>
      <c r="AQ97" s="248"/>
      <c r="AR97" s="248"/>
      <c r="AS97" s="248"/>
      <c r="AT97" s="248"/>
      <c r="AU97" s="248"/>
      <c r="AV97" s="248"/>
      <c r="AW97" s="248"/>
      <c r="AX97" s="248"/>
      <c r="AY97" s="248"/>
    </row>
    <row r="98" spans="1:51">
      <c r="A98" s="244"/>
      <c r="B98" s="244"/>
      <c r="C98" s="286"/>
      <c r="D98" s="287"/>
      <c r="E98" s="244"/>
      <c r="F98" s="280"/>
      <c r="G98" s="282"/>
      <c r="H98" s="244"/>
      <c r="I98" s="244"/>
      <c r="J98" s="244"/>
      <c r="K98" s="244"/>
      <c r="L98" s="244"/>
      <c r="M98" s="244"/>
      <c r="N98" s="244"/>
      <c r="O98" s="244"/>
      <c r="P98" s="244"/>
      <c r="Q98" s="248"/>
      <c r="R98" s="248"/>
      <c r="S98" s="248"/>
      <c r="T98" s="248"/>
      <c r="U98" s="248"/>
      <c r="V98" s="248"/>
      <c r="W98" s="248"/>
      <c r="X98" s="248"/>
      <c r="Y98" s="248"/>
      <c r="Z98" s="248"/>
      <c r="AA98" s="248"/>
      <c r="AB98" s="248"/>
      <c r="AC98" s="248"/>
      <c r="AD98" s="248"/>
      <c r="AE98" s="248"/>
      <c r="AF98" s="248"/>
      <c r="AG98" s="248"/>
      <c r="AH98" s="248"/>
      <c r="AI98" s="248"/>
      <c r="AJ98" s="248"/>
      <c r="AK98" s="248"/>
      <c r="AL98" s="248"/>
      <c r="AM98" s="248"/>
      <c r="AN98" s="248"/>
      <c r="AO98" s="248"/>
      <c r="AP98" s="248"/>
      <c r="AQ98" s="248"/>
      <c r="AR98" s="248"/>
      <c r="AS98" s="248"/>
      <c r="AT98" s="248"/>
      <c r="AU98" s="248"/>
      <c r="AV98" s="248"/>
      <c r="AW98" s="248"/>
      <c r="AX98" s="248"/>
      <c r="AY98" s="248"/>
    </row>
    <row r="99" spans="1:51">
      <c r="A99" s="244"/>
      <c r="B99" s="244"/>
      <c r="C99" s="286"/>
      <c r="D99" s="287"/>
      <c r="E99" s="244"/>
      <c r="F99" s="280"/>
      <c r="G99" s="282"/>
      <c r="H99" s="244"/>
      <c r="I99" s="244"/>
      <c r="J99" s="244"/>
      <c r="K99" s="244"/>
      <c r="L99" s="244"/>
      <c r="M99" s="244"/>
      <c r="N99" s="244"/>
      <c r="O99" s="244"/>
      <c r="P99" s="244"/>
      <c r="Q99" s="248"/>
      <c r="R99" s="248"/>
      <c r="S99" s="248"/>
      <c r="T99" s="248"/>
      <c r="U99" s="248"/>
      <c r="V99" s="248"/>
      <c r="W99" s="248"/>
      <c r="X99" s="248"/>
      <c r="Y99" s="248"/>
      <c r="Z99" s="248"/>
      <c r="AA99" s="248"/>
      <c r="AB99" s="248"/>
      <c r="AC99" s="248"/>
      <c r="AD99" s="248"/>
      <c r="AE99" s="248"/>
      <c r="AF99" s="248"/>
      <c r="AG99" s="248"/>
      <c r="AH99" s="248"/>
      <c r="AI99" s="248"/>
      <c r="AJ99" s="248"/>
      <c r="AK99" s="248"/>
      <c r="AL99" s="248"/>
      <c r="AM99" s="248"/>
      <c r="AN99" s="248"/>
      <c r="AO99" s="248"/>
      <c r="AP99" s="248"/>
      <c r="AQ99" s="248"/>
      <c r="AR99" s="248"/>
      <c r="AS99" s="248"/>
      <c r="AT99" s="248"/>
      <c r="AU99" s="248"/>
      <c r="AV99" s="248"/>
      <c r="AW99" s="248"/>
      <c r="AX99" s="248"/>
      <c r="AY99" s="248"/>
    </row>
    <row r="100" spans="1:51">
      <c r="A100" s="244"/>
      <c r="B100" s="244"/>
      <c r="C100" s="286"/>
      <c r="D100" s="287"/>
      <c r="E100" s="244"/>
      <c r="F100" s="280"/>
      <c r="G100" s="282"/>
      <c r="H100" s="244"/>
      <c r="I100" s="244"/>
      <c r="J100" s="244"/>
      <c r="K100" s="244"/>
      <c r="L100" s="244"/>
      <c r="M100" s="244"/>
      <c r="N100" s="244"/>
      <c r="O100" s="244"/>
      <c r="P100" s="244"/>
      <c r="Q100" s="248"/>
      <c r="R100" s="248"/>
      <c r="S100" s="248"/>
      <c r="T100" s="248"/>
      <c r="U100" s="248"/>
      <c r="V100" s="248"/>
      <c r="W100" s="248"/>
      <c r="X100" s="248"/>
      <c r="Y100" s="248"/>
      <c r="Z100" s="248"/>
      <c r="AA100" s="248"/>
      <c r="AB100" s="248"/>
      <c r="AC100" s="248"/>
      <c r="AD100" s="248"/>
      <c r="AE100" s="248"/>
      <c r="AF100" s="248"/>
      <c r="AG100" s="248"/>
      <c r="AH100" s="248"/>
      <c r="AI100" s="248"/>
      <c r="AJ100" s="248"/>
      <c r="AK100" s="248"/>
      <c r="AL100" s="248"/>
      <c r="AM100" s="248"/>
      <c r="AN100" s="248"/>
      <c r="AO100" s="248"/>
      <c r="AP100" s="248"/>
      <c r="AQ100" s="248"/>
      <c r="AR100" s="248"/>
      <c r="AS100" s="248"/>
      <c r="AT100" s="248"/>
      <c r="AU100" s="248"/>
      <c r="AV100" s="248"/>
      <c r="AW100" s="248"/>
      <c r="AX100" s="248"/>
      <c r="AY100" s="248"/>
    </row>
    <row r="101" spans="1:51">
      <c r="A101" s="244"/>
      <c r="B101" s="244"/>
      <c r="C101" s="286"/>
      <c r="D101" s="287"/>
      <c r="E101" s="244"/>
      <c r="F101" s="280"/>
      <c r="G101" s="282"/>
      <c r="H101" s="244"/>
      <c r="I101" s="244"/>
      <c r="J101" s="244"/>
      <c r="K101" s="244"/>
      <c r="L101" s="244"/>
      <c r="M101" s="244"/>
      <c r="N101" s="244"/>
      <c r="O101" s="244"/>
      <c r="P101" s="244"/>
      <c r="Q101" s="248"/>
      <c r="R101" s="248"/>
      <c r="S101" s="248"/>
      <c r="T101" s="248"/>
      <c r="U101" s="248"/>
      <c r="V101" s="248"/>
      <c r="W101" s="248"/>
      <c r="X101" s="248"/>
      <c r="Y101" s="248"/>
      <c r="Z101" s="248"/>
      <c r="AA101" s="248"/>
      <c r="AB101" s="248"/>
      <c r="AC101" s="248"/>
      <c r="AD101" s="248"/>
      <c r="AE101" s="248"/>
      <c r="AF101" s="248"/>
      <c r="AG101" s="248"/>
      <c r="AH101" s="248"/>
      <c r="AI101" s="248"/>
      <c r="AJ101" s="248"/>
      <c r="AK101" s="248"/>
      <c r="AL101" s="248"/>
      <c r="AM101" s="248"/>
      <c r="AN101" s="248"/>
      <c r="AO101" s="248"/>
      <c r="AP101" s="248"/>
      <c r="AQ101" s="248"/>
      <c r="AR101" s="248"/>
      <c r="AS101" s="248"/>
      <c r="AT101" s="248"/>
      <c r="AU101" s="248"/>
      <c r="AV101" s="248"/>
      <c r="AW101" s="248"/>
      <c r="AX101" s="248"/>
      <c r="AY101" s="248"/>
    </row>
    <row r="102" spans="1:51">
      <c r="A102" s="244"/>
      <c r="B102" s="244"/>
      <c r="C102" s="286"/>
      <c r="D102" s="287"/>
      <c r="E102" s="244"/>
      <c r="F102" s="280"/>
      <c r="G102" s="282"/>
      <c r="H102" s="244"/>
      <c r="I102" s="244"/>
      <c r="J102" s="244"/>
      <c r="K102" s="244"/>
      <c r="L102" s="244"/>
      <c r="M102" s="244"/>
      <c r="N102" s="244"/>
      <c r="O102" s="244"/>
      <c r="P102" s="244"/>
      <c r="Q102" s="248"/>
      <c r="R102" s="248"/>
      <c r="S102" s="248"/>
      <c r="T102" s="248"/>
      <c r="U102" s="248"/>
      <c r="V102" s="248"/>
      <c r="W102" s="248"/>
      <c r="X102" s="248"/>
      <c r="Y102" s="248"/>
      <c r="Z102" s="248"/>
      <c r="AA102" s="248"/>
      <c r="AB102" s="248"/>
      <c r="AC102" s="248"/>
      <c r="AD102" s="248"/>
      <c r="AE102" s="248"/>
      <c r="AF102" s="248"/>
      <c r="AG102" s="248"/>
      <c r="AH102" s="248"/>
      <c r="AI102" s="248"/>
      <c r="AJ102" s="248"/>
      <c r="AK102" s="248"/>
      <c r="AL102" s="248"/>
      <c r="AM102" s="248"/>
      <c r="AN102" s="248"/>
      <c r="AO102" s="248"/>
      <c r="AP102" s="248"/>
      <c r="AQ102" s="248"/>
      <c r="AR102" s="248"/>
      <c r="AS102" s="248"/>
      <c r="AT102" s="248"/>
      <c r="AU102" s="248"/>
      <c r="AV102" s="248"/>
      <c r="AW102" s="248"/>
      <c r="AX102" s="248"/>
      <c r="AY102" s="248"/>
    </row>
    <row r="103" spans="1:51">
      <c r="A103" s="244"/>
      <c r="B103" s="244"/>
      <c r="C103" s="286"/>
      <c r="D103" s="287"/>
      <c r="E103" s="244"/>
      <c r="F103" s="280"/>
      <c r="G103" s="282"/>
      <c r="H103" s="244"/>
      <c r="I103" s="244"/>
      <c r="J103" s="244"/>
      <c r="K103" s="244"/>
      <c r="L103" s="244"/>
      <c r="M103" s="244"/>
      <c r="N103" s="244"/>
      <c r="O103" s="244"/>
      <c r="P103" s="244"/>
      <c r="Q103" s="248"/>
      <c r="R103" s="248"/>
      <c r="S103" s="248"/>
      <c r="T103" s="248"/>
      <c r="U103" s="248"/>
      <c r="V103" s="248"/>
      <c r="W103" s="248"/>
      <c r="X103" s="248"/>
      <c r="Y103" s="248"/>
      <c r="Z103" s="248"/>
      <c r="AA103" s="248"/>
      <c r="AB103" s="248"/>
      <c r="AC103" s="248"/>
      <c r="AD103" s="248"/>
      <c r="AE103" s="248"/>
      <c r="AF103" s="248"/>
      <c r="AG103" s="248"/>
      <c r="AH103" s="248"/>
      <c r="AI103" s="248"/>
      <c r="AJ103" s="248"/>
      <c r="AK103" s="248"/>
      <c r="AL103" s="248"/>
      <c r="AM103" s="248"/>
      <c r="AN103" s="248"/>
      <c r="AO103" s="248"/>
      <c r="AP103" s="248"/>
      <c r="AQ103" s="248"/>
      <c r="AR103" s="248"/>
      <c r="AS103" s="248"/>
      <c r="AT103" s="248"/>
      <c r="AU103" s="248"/>
      <c r="AV103" s="248"/>
      <c r="AW103" s="248"/>
      <c r="AX103" s="248"/>
      <c r="AY103" s="248"/>
    </row>
    <row r="104" spans="1:51">
      <c r="A104" s="244"/>
      <c r="B104" s="244"/>
      <c r="C104" s="286"/>
      <c r="D104" s="287"/>
      <c r="E104" s="244"/>
      <c r="F104" s="280"/>
      <c r="G104" s="282"/>
      <c r="H104" s="244"/>
      <c r="I104" s="244"/>
      <c r="J104" s="244"/>
      <c r="K104" s="244"/>
      <c r="L104" s="244"/>
      <c r="M104" s="244"/>
      <c r="N104" s="244"/>
      <c r="O104" s="244"/>
      <c r="P104" s="244"/>
      <c r="Q104" s="248"/>
      <c r="R104" s="248"/>
      <c r="S104" s="248"/>
      <c r="T104" s="248"/>
      <c r="U104" s="248"/>
      <c r="V104" s="248"/>
      <c r="W104" s="248"/>
      <c r="X104" s="248"/>
      <c r="Y104" s="248"/>
      <c r="Z104" s="248"/>
      <c r="AA104" s="248"/>
      <c r="AB104" s="248"/>
      <c r="AC104" s="248"/>
      <c r="AD104" s="248"/>
      <c r="AE104" s="248"/>
      <c r="AF104" s="248"/>
      <c r="AG104" s="248"/>
      <c r="AH104" s="248"/>
      <c r="AI104" s="248"/>
      <c r="AJ104" s="248"/>
      <c r="AK104" s="248"/>
      <c r="AL104" s="248"/>
      <c r="AM104" s="248"/>
      <c r="AN104" s="248"/>
      <c r="AO104" s="248"/>
      <c r="AP104" s="248"/>
      <c r="AQ104" s="248"/>
      <c r="AR104" s="248"/>
      <c r="AS104" s="248"/>
      <c r="AT104" s="248"/>
      <c r="AU104" s="248"/>
      <c r="AV104" s="248"/>
      <c r="AW104" s="248"/>
      <c r="AX104" s="248"/>
      <c r="AY104" s="248"/>
    </row>
    <row r="105" spans="1:51">
      <c r="A105" s="244"/>
      <c r="B105" s="244"/>
      <c r="C105" s="286"/>
      <c r="D105" s="287"/>
      <c r="E105" s="244"/>
      <c r="F105" s="280"/>
      <c r="G105" s="282"/>
      <c r="H105" s="244"/>
      <c r="I105" s="244"/>
      <c r="J105" s="244"/>
      <c r="K105" s="244"/>
      <c r="L105" s="244"/>
      <c r="M105" s="244"/>
      <c r="N105" s="244"/>
      <c r="O105" s="244"/>
      <c r="P105" s="244"/>
      <c r="Q105" s="248"/>
      <c r="R105" s="248"/>
      <c r="S105" s="248"/>
      <c r="T105" s="248"/>
      <c r="U105" s="248"/>
      <c r="V105" s="248"/>
      <c r="W105" s="248"/>
      <c r="X105" s="248"/>
      <c r="Y105" s="248"/>
      <c r="Z105" s="248"/>
      <c r="AA105" s="248"/>
      <c r="AB105" s="248"/>
      <c r="AC105" s="248"/>
      <c r="AD105" s="248"/>
      <c r="AE105" s="248"/>
      <c r="AF105" s="248"/>
      <c r="AG105" s="248"/>
      <c r="AH105" s="248"/>
      <c r="AI105" s="248"/>
      <c r="AJ105" s="248"/>
      <c r="AK105" s="248"/>
      <c r="AL105" s="248"/>
      <c r="AM105" s="248"/>
      <c r="AN105" s="248"/>
      <c r="AO105" s="248"/>
      <c r="AP105" s="248"/>
      <c r="AQ105" s="248"/>
      <c r="AR105" s="248"/>
      <c r="AS105" s="248"/>
      <c r="AT105" s="248"/>
      <c r="AU105" s="248"/>
      <c r="AV105" s="248"/>
      <c r="AW105" s="248"/>
      <c r="AX105" s="248"/>
      <c r="AY105" s="248"/>
    </row>
    <row r="106" spans="1:51">
      <c r="A106" s="244"/>
      <c r="B106" s="244"/>
      <c r="C106" s="286"/>
      <c r="D106" s="287"/>
      <c r="E106" s="244"/>
      <c r="F106" s="280"/>
      <c r="G106" s="282"/>
      <c r="H106" s="244"/>
      <c r="I106" s="244"/>
      <c r="J106" s="244"/>
      <c r="K106" s="244"/>
      <c r="L106" s="244"/>
      <c r="M106" s="244"/>
      <c r="N106" s="244"/>
      <c r="O106" s="244"/>
      <c r="P106" s="244"/>
      <c r="Q106" s="248"/>
      <c r="R106" s="248"/>
      <c r="S106" s="248"/>
      <c r="T106" s="248"/>
      <c r="U106" s="248"/>
      <c r="V106" s="248"/>
      <c r="W106" s="248"/>
      <c r="X106" s="248"/>
      <c r="Y106" s="248"/>
      <c r="Z106" s="248"/>
      <c r="AA106" s="248"/>
      <c r="AB106" s="248"/>
      <c r="AC106" s="248"/>
      <c r="AD106" s="248"/>
      <c r="AE106" s="248"/>
      <c r="AF106" s="248"/>
      <c r="AG106" s="248"/>
      <c r="AH106" s="248"/>
      <c r="AI106" s="248"/>
      <c r="AJ106" s="248"/>
      <c r="AK106" s="248"/>
      <c r="AL106" s="248"/>
      <c r="AM106" s="248"/>
      <c r="AN106" s="248"/>
      <c r="AO106" s="248"/>
      <c r="AP106" s="248"/>
      <c r="AQ106" s="248"/>
      <c r="AR106" s="248"/>
      <c r="AS106" s="248"/>
      <c r="AT106" s="248"/>
      <c r="AU106" s="248"/>
      <c r="AV106" s="248"/>
      <c r="AW106" s="248"/>
      <c r="AX106" s="248"/>
      <c r="AY106" s="248"/>
    </row>
    <row r="107" spans="1:51">
      <c r="A107" s="244"/>
      <c r="B107" s="244"/>
      <c r="C107" s="286"/>
      <c r="D107" s="287"/>
      <c r="E107" s="244"/>
      <c r="F107" s="280"/>
      <c r="G107" s="282"/>
      <c r="H107" s="244"/>
      <c r="I107" s="244"/>
      <c r="J107" s="244"/>
      <c r="K107" s="244"/>
      <c r="L107" s="244"/>
      <c r="M107" s="244"/>
      <c r="N107" s="244"/>
      <c r="O107" s="244"/>
      <c r="P107" s="244"/>
      <c r="Q107" s="248"/>
      <c r="R107" s="248"/>
      <c r="S107" s="248"/>
      <c r="T107" s="248"/>
      <c r="U107" s="248"/>
      <c r="V107" s="248"/>
      <c r="W107" s="248"/>
      <c r="X107" s="248"/>
      <c r="Y107" s="248"/>
      <c r="Z107" s="248"/>
      <c r="AA107" s="248"/>
      <c r="AB107" s="248"/>
      <c r="AC107" s="248"/>
      <c r="AD107" s="248"/>
      <c r="AE107" s="248"/>
      <c r="AF107" s="248"/>
      <c r="AG107" s="248"/>
      <c r="AH107" s="248"/>
      <c r="AI107" s="248"/>
      <c r="AJ107" s="248"/>
      <c r="AK107" s="248"/>
      <c r="AL107" s="248"/>
      <c r="AM107" s="248"/>
      <c r="AN107" s="248"/>
      <c r="AO107" s="248"/>
      <c r="AP107" s="248"/>
      <c r="AQ107" s="248"/>
      <c r="AR107" s="248"/>
      <c r="AS107" s="248"/>
      <c r="AT107" s="248"/>
      <c r="AU107" s="248"/>
      <c r="AV107" s="248"/>
      <c r="AW107" s="248"/>
      <c r="AX107" s="248"/>
      <c r="AY107" s="248"/>
    </row>
    <row r="108" spans="1:51">
      <c r="A108" s="244"/>
      <c r="B108" s="244"/>
      <c r="C108" s="286"/>
      <c r="D108" s="287"/>
      <c r="E108" s="244"/>
      <c r="F108" s="280"/>
      <c r="G108" s="282"/>
      <c r="H108" s="244"/>
      <c r="I108" s="244"/>
      <c r="J108" s="244"/>
      <c r="K108" s="244"/>
      <c r="L108" s="244"/>
      <c r="M108" s="244"/>
      <c r="N108" s="244"/>
      <c r="O108" s="244"/>
      <c r="P108" s="244"/>
      <c r="Q108" s="248"/>
      <c r="R108" s="248"/>
      <c r="S108" s="248"/>
      <c r="T108" s="248"/>
      <c r="U108" s="248"/>
      <c r="V108" s="248"/>
      <c r="W108" s="248"/>
      <c r="X108" s="248"/>
      <c r="Y108" s="248"/>
      <c r="Z108" s="248"/>
      <c r="AA108" s="248"/>
      <c r="AB108" s="248"/>
      <c r="AC108" s="248"/>
      <c r="AD108" s="248"/>
      <c r="AE108" s="248"/>
      <c r="AF108" s="248"/>
      <c r="AG108" s="248"/>
      <c r="AH108" s="248"/>
      <c r="AI108" s="248"/>
      <c r="AJ108" s="248"/>
      <c r="AK108" s="248"/>
      <c r="AL108" s="248"/>
      <c r="AM108" s="248"/>
      <c r="AN108" s="248"/>
      <c r="AO108" s="248"/>
      <c r="AP108" s="248"/>
      <c r="AQ108" s="248"/>
      <c r="AR108" s="248"/>
      <c r="AS108" s="248"/>
      <c r="AT108" s="248"/>
      <c r="AU108" s="248"/>
      <c r="AV108" s="248"/>
      <c r="AW108" s="248"/>
      <c r="AX108" s="248"/>
      <c r="AY108" s="248"/>
    </row>
    <row r="109" spans="1:51">
      <c r="A109" s="244"/>
      <c r="B109" s="244"/>
      <c r="C109" s="286"/>
      <c r="D109" s="287"/>
      <c r="E109" s="244"/>
      <c r="F109" s="280"/>
      <c r="G109" s="282"/>
      <c r="H109" s="244"/>
      <c r="I109" s="244"/>
      <c r="J109" s="244"/>
      <c r="K109" s="244"/>
      <c r="L109" s="244"/>
      <c r="M109" s="244"/>
      <c r="N109" s="244"/>
      <c r="O109" s="244"/>
      <c r="P109" s="244"/>
      <c r="Q109" s="248"/>
      <c r="R109" s="248"/>
      <c r="S109" s="248"/>
      <c r="T109" s="248"/>
      <c r="U109" s="248"/>
      <c r="V109" s="248"/>
      <c r="W109" s="248"/>
      <c r="X109" s="248"/>
      <c r="Y109" s="248"/>
      <c r="Z109" s="248"/>
      <c r="AA109" s="248"/>
      <c r="AB109" s="248"/>
      <c r="AC109" s="248"/>
      <c r="AD109" s="248"/>
      <c r="AE109" s="248"/>
      <c r="AF109" s="248"/>
      <c r="AG109" s="248"/>
      <c r="AH109" s="248"/>
      <c r="AI109" s="248"/>
      <c r="AJ109" s="248"/>
      <c r="AK109" s="248"/>
      <c r="AL109" s="248"/>
      <c r="AM109" s="248"/>
      <c r="AN109" s="248"/>
      <c r="AO109" s="248"/>
      <c r="AP109" s="248"/>
      <c r="AQ109" s="248"/>
      <c r="AR109" s="248"/>
      <c r="AS109" s="248"/>
      <c r="AT109" s="248"/>
      <c r="AU109" s="248"/>
      <c r="AV109" s="248"/>
      <c r="AW109" s="248"/>
      <c r="AX109" s="248"/>
      <c r="AY109" s="248"/>
    </row>
    <row r="110" spans="1:51">
      <c r="A110" s="244"/>
      <c r="B110" s="244"/>
      <c r="C110" s="286"/>
      <c r="D110" s="287"/>
      <c r="E110" s="244"/>
      <c r="F110" s="280"/>
      <c r="G110" s="282"/>
      <c r="H110" s="244"/>
      <c r="I110" s="244"/>
      <c r="J110" s="244"/>
      <c r="K110" s="244"/>
      <c r="L110" s="244"/>
      <c r="M110" s="244"/>
      <c r="N110" s="244"/>
      <c r="O110" s="244"/>
      <c r="P110" s="244"/>
      <c r="Q110" s="248"/>
      <c r="R110" s="248"/>
      <c r="S110" s="248"/>
      <c r="T110" s="248"/>
      <c r="U110" s="248"/>
      <c r="V110" s="248"/>
      <c r="W110" s="248"/>
      <c r="X110" s="248"/>
      <c r="Y110" s="248"/>
      <c r="Z110" s="248"/>
      <c r="AA110" s="248"/>
      <c r="AB110" s="248"/>
      <c r="AC110" s="248"/>
      <c r="AD110" s="248"/>
      <c r="AE110" s="248"/>
      <c r="AF110" s="248"/>
      <c r="AG110" s="248"/>
      <c r="AH110" s="248"/>
      <c r="AI110" s="248"/>
      <c r="AJ110" s="248"/>
      <c r="AK110" s="248"/>
      <c r="AL110" s="248"/>
      <c r="AM110" s="248"/>
      <c r="AN110" s="248"/>
      <c r="AO110" s="248"/>
      <c r="AP110" s="248"/>
      <c r="AQ110" s="248"/>
      <c r="AR110" s="248"/>
      <c r="AS110" s="248"/>
      <c r="AT110" s="248"/>
      <c r="AU110" s="248"/>
      <c r="AV110" s="248"/>
      <c r="AW110" s="248"/>
      <c r="AX110" s="248"/>
      <c r="AY110" s="248"/>
    </row>
    <row r="111" spans="1:51">
      <c r="A111" s="244"/>
      <c r="B111" s="244"/>
      <c r="C111" s="286"/>
      <c r="D111" s="287"/>
      <c r="E111" s="244"/>
      <c r="F111" s="280"/>
      <c r="G111" s="282"/>
      <c r="H111" s="244"/>
      <c r="I111" s="244"/>
      <c r="J111" s="244"/>
      <c r="K111" s="244"/>
      <c r="L111" s="244"/>
      <c r="M111" s="244"/>
      <c r="N111" s="244"/>
      <c r="O111" s="244"/>
      <c r="P111" s="244"/>
      <c r="Q111" s="248"/>
      <c r="R111" s="248"/>
      <c r="S111" s="248"/>
      <c r="T111" s="248"/>
      <c r="U111" s="248"/>
      <c r="V111" s="248"/>
      <c r="W111" s="248"/>
      <c r="X111" s="248"/>
      <c r="Y111" s="248"/>
      <c r="Z111" s="248"/>
      <c r="AA111" s="248"/>
      <c r="AB111" s="248"/>
      <c r="AC111" s="248"/>
      <c r="AD111" s="248"/>
      <c r="AE111" s="248"/>
      <c r="AF111" s="248"/>
      <c r="AG111" s="248"/>
      <c r="AH111" s="248"/>
      <c r="AI111" s="248"/>
      <c r="AJ111" s="248"/>
      <c r="AK111" s="248"/>
      <c r="AL111" s="248"/>
      <c r="AM111" s="248"/>
      <c r="AN111" s="248"/>
      <c r="AO111" s="248"/>
      <c r="AP111" s="248"/>
      <c r="AQ111" s="248"/>
      <c r="AR111" s="248"/>
      <c r="AS111" s="248"/>
      <c r="AT111" s="248"/>
      <c r="AU111" s="248"/>
      <c r="AV111" s="248"/>
      <c r="AW111" s="248"/>
      <c r="AX111" s="248"/>
      <c r="AY111" s="248"/>
    </row>
    <row r="112" spans="1:51">
      <c r="A112" s="244"/>
      <c r="B112" s="244"/>
      <c r="C112" s="286"/>
      <c r="D112" s="287"/>
      <c r="E112" s="244"/>
      <c r="F112" s="280"/>
      <c r="G112" s="282"/>
      <c r="H112" s="244"/>
      <c r="I112" s="244"/>
      <c r="J112" s="244"/>
      <c r="K112" s="244"/>
      <c r="L112" s="244"/>
      <c r="M112" s="244"/>
      <c r="N112" s="244"/>
      <c r="O112" s="244"/>
      <c r="P112" s="244"/>
      <c r="Q112" s="248"/>
      <c r="R112" s="248"/>
      <c r="S112" s="248"/>
      <c r="T112" s="248"/>
      <c r="U112" s="248"/>
      <c r="V112" s="248"/>
      <c r="W112" s="248"/>
      <c r="X112" s="248"/>
      <c r="Y112" s="248"/>
      <c r="Z112" s="248"/>
      <c r="AA112" s="248"/>
      <c r="AB112" s="248"/>
      <c r="AC112" s="248"/>
      <c r="AD112" s="248"/>
      <c r="AE112" s="248"/>
      <c r="AF112" s="248"/>
      <c r="AG112" s="248"/>
      <c r="AH112" s="248"/>
      <c r="AI112" s="248"/>
      <c r="AJ112" s="248"/>
      <c r="AK112" s="248"/>
      <c r="AL112" s="248"/>
      <c r="AM112" s="248"/>
      <c r="AN112" s="248"/>
      <c r="AO112" s="248"/>
      <c r="AP112" s="248"/>
      <c r="AQ112" s="248"/>
      <c r="AR112" s="248"/>
      <c r="AS112" s="248"/>
      <c r="AT112" s="248"/>
      <c r="AU112" s="248"/>
      <c r="AV112" s="248"/>
      <c r="AW112" s="248"/>
      <c r="AX112" s="248"/>
      <c r="AY112" s="248"/>
    </row>
    <row r="113" spans="1:51">
      <c r="A113" s="244"/>
      <c r="B113" s="244"/>
      <c r="C113" s="286"/>
      <c r="D113" s="287"/>
      <c r="E113" s="244"/>
      <c r="F113" s="280"/>
      <c r="G113" s="282"/>
      <c r="H113" s="244"/>
      <c r="I113" s="244"/>
      <c r="J113" s="244"/>
      <c r="K113" s="244"/>
      <c r="L113" s="244"/>
      <c r="M113" s="244"/>
      <c r="N113" s="244"/>
      <c r="O113" s="244"/>
      <c r="P113" s="244"/>
      <c r="Q113" s="248"/>
      <c r="R113" s="248"/>
      <c r="S113" s="248"/>
      <c r="T113" s="248"/>
      <c r="U113" s="248"/>
      <c r="V113" s="248"/>
      <c r="W113" s="248"/>
      <c r="X113" s="248"/>
      <c r="Y113" s="248"/>
      <c r="Z113" s="248"/>
      <c r="AA113" s="248"/>
      <c r="AB113" s="248"/>
      <c r="AC113" s="248"/>
      <c r="AD113" s="248"/>
      <c r="AE113" s="248"/>
      <c r="AF113" s="248"/>
      <c r="AG113" s="248"/>
      <c r="AH113" s="248"/>
      <c r="AI113" s="248"/>
      <c r="AJ113" s="248"/>
      <c r="AK113" s="248"/>
      <c r="AL113" s="248"/>
      <c r="AM113" s="248"/>
      <c r="AN113" s="248"/>
      <c r="AO113" s="248"/>
      <c r="AP113" s="248"/>
      <c r="AQ113" s="248"/>
      <c r="AR113" s="248"/>
      <c r="AS113" s="248"/>
      <c r="AT113" s="248"/>
      <c r="AU113" s="248"/>
      <c r="AV113" s="248"/>
      <c r="AW113" s="248"/>
      <c r="AX113" s="248"/>
      <c r="AY113" s="248"/>
    </row>
    <row r="114" spans="1:51">
      <c r="A114" s="244"/>
      <c r="B114" s="244"/>
      <c r="C114" s="286"/>
      <c r="D114" s="287"/>
      <c r="E114" s="244"/>
      <c r="F114" s="280"/>
      <c r="G114" s="282"/>
      <c r="H114" s="244"/>
      <c r="I114" s="244"/>
      <c r="J114" s="244"/>
      <c r="K114" s="244"/>
      <c r="L114" s="244"/>
      <c r="M114" s="244"/>
      <c r="N114" s="244"/>
      <c r="O114" s="244"/>
      <c r="P114" s="244"/>
      <c r="Q114" s="248"/>
      <c r="R114" s="248"/>
      <c r="S114" s="248"/>
      <c r="T114" s="248"/>
      <c r="U114" s="248"/>
      <c r="V114" s="248"/>
      <c r="W114" s="248"/>
      <c r="X114" s="248"/>
      <c r="Y114" s="248"/>
      <c r="Z114" s="248"/>
      <c r="AA114" s="248"/>
      <c r="AB114" s="248"/>
      <c r="AC114" s="248"/>
      <c r="AD114" s="248"/>
      <c r="AE114" s="248"/>
      <c r="AF114" s="248"/>
      <c r="AG114" s="248"/>
      <c r="AH114" s="248"/>
      <c r="AI114" s="248"/>
      <c r="AJ114" s="248"/>
      <c r="AK114" s="248"/>
      <c r="AL114" s="248"/>
      <c r="AM114" s="248"/>
      <c r="AN114" s="248"/>
      <c r="AO114" s="248"/>
      <c r="AP114" s="248"/>
      <c r="AQ114" s="248"/>
      <c r="AR114" s="248"/>
      <c r="AS114" s="248"/>
      <c r="AT114" s="248"/>
      <c r="AU114" s="248"/>
      <c r="AV114" s="248"/>
      <c r="AW114" s="248"/>
      <c r="AX114" s="248"/>
      <c r="AY114" s="248"/>
    </row>
    <row r="115" spans="1:51">
      <c r="A115" s="244"/>
      <c r="B115" s="244"/>
      <c r="C115" s="286"/>
      <c r="D115" s="287"/>
      <c r="E115" s="244"/>
      <c r="F115" s="280"/>
      <c r="G115" s="282"/>
      <c r="H115" s="244"/>
      <c r="I115" s="244"/>
      <c r="J115" s="244"/>
      <c r="K115" s="244"/>
      <c r="L115" s="244"/>
      <c r="M115" s="244"/>
      <c r="N115" s="244"/>
      <c r="O115" s="244"/>
      <c r="P115" s="244"/>
      <c r="Q115" s="248"/>
      <c r="R115" s="248"/>
      <c r="S115" s="248"/>
      <c r="T115" s="248"/>
      <c r="U115" s="248"/>
      <c r="V115" s="248"/>
      <c r="W115" s="248"/>
      <c r="X115" s="248"/>
      <c r="Y115" s="248"/>
      <c r="Z115" s="248"/>
      <c r="AA115" s="248"/>
      <c r="AB115" s="248"/>
      <c r="AC115" s="248"/>
      <c r="AD115" s="248"/>
      <c r="AE115" s="248"/>
      <c r="AF115" s="248"/>
      <c r="AG115" s="248"/>
      <c r="AH115" s="248"/>
      <c r="AI115" s="248"/>
      <c r="AJ115" s="248"/>
      <c r="AK115" s="248"/>
      <c r="AL115" s="248"/>
      <c r="AM115" s="248"/>
      <c r="AN115" s="248"/>
      <c r="AO115" s="248"/>
      <c r="AP115" s="248"/>
      <c r="AQ115" s="248"/>
      <c r="AR115" s="248"/>
      <c r="AS115" s="248"/>
      <c r="AT115" s="248"/>
      <c r="AU115" s="248"/>
      <c r="AV115" s="248"/>
      <c r="AW115" s="248"/>
      <c r="AX115" s="248"/>
      <c r="AY115" s="248"/>
    </row>
    <row r="116" spans="1:51">
      <c r="A116" s="244"/>
      <c r="B116" s="244"/>
      <c r="C116" s="286"/>
      <c r="D116" s="287"/>
      <c r="E116" s="244"/>
      <c r="F116" s="280"/>
      <c r="G116" s="282"/>
      <c r="H116" s="244"/>
      <c r="I116" s="244"/>
      <c r="J116" s="244"/>
      <c r="K116" s="244"/>
      <c r="L116" s="244"/>
      <c r="M116" s="244"/>
      <c r="N116" s="244"/>
      <c r="O116" s="244"/>
      <c r="P116" s="244"/>
      <c r="Q116" s="248"/>
      <c r="R116" s="248"/>
      <c r="S116" s="248"/>
      <c r="T116" s="248"/>
      <c r="U116" s="248"/>
      <c r="V116" s="248"/>
      <c r="W116" s="248"/>
      <c r="X116" s="248"/>
      <c r="Y116" s="248"/>
      <c r="Z116" s="248"/>
      <c r="AA116" s="248"/>
      <c r="AB116" s="248"/>
      <c r="AC116" s="248"/>
      <c r="AD116" s="248"/>
      <c r="AE116" s="248"/>
      <c r="AF116" s="248"/>
      <c r="AG116" s="248"/>
      <c r="AH116" s="248"/>
      <c r="AI116" s="248"/>
      <c r="AJ116" s="248"/>
      <c r="AK116" s="248"/>
      <c r="AL116" s="248"/>
      <c r="AM116" s="248"/>
      <c r="AN116" s="248"/>
      <c r="AO116" s="248"/>
      <c r="AP116" s="248"/>
      <c r="AQ116" s="248"/>
      <c r="AR116" s="248"/>
      <c r="AS116" s="248"/>
      <c r="AT116" s="248"/>
      <c r="AU116" s="248"/>
      <c r="AV116" s="248"/>
      <c r="AW116" s="248"/>
      <c r="AX116" s="248"/>
      <c r="AY116" s="248"/>
    </row>
    <row r="117" spans="1:51">
      <c r="A117" s="244"/>
      <c r="B117" s="244"/>
      <c r="C117" s="286"/>
      <c r="D117" s="287"/>
      <c r="E117" s="244"/>
      <c r="F117" s="280"/>
      <c r="G117" s="282"/>
      <c r="H117" s="244"/>
      <c r="I117" s="244"/>
      <c r="J117" s="244"/>
      <c r="K117" s="244"/>
      <c r="L117" s="244"/>
      <c r="M117" s="244"/>
      <c r="N117" s="244"/>
      <c r="O117" s="244"/>
      <c r="P117" s="244"/>
      <c r="Q117" s="248"/>
      <c r="R117" s="248"/>
      <c r="S117" s="248"/>
      <c r="T117" s="248"/>
      <c r="U117" s="248"/>
      <c r="V117" s="248"/>
      <c r="W117" s="248"/>
      <c r="X117" s="248"/>
      <c r="Y117" s="248"/>
      <c r="Z117" s="248"/>
      <c r="AA117" s="248"/>
      <c r="AB117" s="248"/>
      <c r="AC117" s="248"/>
      <c r="AD117" s="248"/>
      <c r="AE117" s="248"/>
      <c r="AF117" s="248"/>
      <c r="AG117" s="248"/>
      <c r="AH117" s="248"/>
      <c r="AI117" s="248"/>
      <c r="AJ117" s="248"/>
      <c r="AK117" s="248"/>
      <c r="AL117" s="248"/>
      <c r="AM117" s="248"/>
      <c r="AN117" s="248"/>
      <c r="AO117" s="248"/>
      <c r="AP117" s="248"/>
      <c r="AQ117" s="248"/>
      <c r="AR117" s="248"/>
      <c r="AS117" s="248"/>
      <c r="AT117" s="248"/>
      <c r="AU117" s="248"/>
      <c r="AV117" s="248"/>
      <c r="AW117" s="248"/>
      <c r="AX117" s="248"/>
      <c r="AY117" s="248"/>
    </row>
    <row r="118" spans="1:51">
      <c r="A118" s="244"/>
      <c r="B118" s="244"/>
      <c r="C118" s="286"/>
      <c r="D118" s="287"/>
      <c r="E118" s="244"/>
      <c r="F118" s="280"/>
      <c r="G118" s="282"/>
      <c r="H118" s="244"/>
      <c r="I118" s="244"/>
      <c r="J118" s="244"/>
      <c r="K118" s="244"/>
      <c r="L118" s="244"/>
      <c r="M118" s="244"/>
      <c r="N118" s="244"/>
      <c r="O118" s="244"/>
      <c r="P118" s="244"/>
      <c r="Q118" s="248"/>
      <c r="R118" s="248"/>
      <c r="S118" s="248"/>
      <c r="T118" s="248"/>
      <c r="U118" s="248"/>
      <c r="V118" s="248"/>
      <c r="W118" s="248"/>
      <c r="X118" s="248"/>
      <c r="Y118" s="248"/>
      <c r="Z118" s="248"/>
      <c r="AA118" s="248"/>
      <c r="AB118" s="248"/>
      <c r="AC118" s="248"/>
      <c r="AD118" s="248"/>
      <c r="AE118" s="248"/>
      <c r="AF118" s="248"/>
      <c r="AG118" s="248"/>
      <c r="AH118" s="248"/>
      <c r="AI118" s="248"/>
      <c r="AJ118" s="248"/>
      <c r="AK118" s="248"/>
      <c r="AL118" s="248"/>
      <c r="AM118" s="248"/>
      <c r="AN118" s="248"/>
      <c r="AO118" s="248"/>
      <c r="AP118" s="248"/>
      <c r="AQ118" s="248"/>
      <c r="AR118" s="248"/>
      <c r="AS118" s="248"/>
      <c r="AT118" s="248"/>
      <c r="AU118" s="248"/>
      <c r="AV118" s="248"/>
      <c r="AW118" s="248"/>
      <c r="AX118" s="248"/>
      <c r="AY118" s="248"/>
    </row>
    <row r="119" spans="1:51">
      <c r="A119" s="244"/>
      <c r="B119" s="244"/>
      <c r="C119" s="286"/>
      <c r="D119" s="287"/>
      <c r="E119" s="244"/>
      <c r="F119" s="280"/>
      <c r="G119" s="282"/>
      <c r="H119" s="244"/>
      <c r="I119" s="244"/>
      <c r="J119" s="244"/>
      <c r="K119" s="244"/>
      <c r="L119" s="244"/>
      <c r="M119" s="244"/>
      <c r="N119" s="244"/>
      <c r="O119" s="244"/>
      <c r="P119" s="244"/>
      <c r="Q119" s="248"/>
      <c r="R119" s="248"/>
      <c r="S119" s="248"/>
      <c r="T119" s="248"/>
      <c r="U119" s="248"/>
      <c r="V119" s="248"/>
      <c r="W119" s="248"/>
      <c r="X119" s="248"/>
      <c r="Y119" s="248"/>
      <c r="Z119" s="248"/>
      <c r="AA119" s="248"/>
      <c r="AB119" s="248"/>
      <c r="AC119" s="248"/>
      <c r="AD119" s="248"/>
      <c r="AE119" s="248"/>
      <c r="AF119" s="248"/>
      <c r="AG119" s="248"/>
      <c r="AH119" s="248"/>
      <c r="AI119" s="248"/>
      <c r="AJ119" s="248"/>
      <c r="AK119" s="248"/>
      <c r="AL119" s="248"/>
      <c r="AM119" s="248"/>
      <c r="AN119" s="248"/>
      <c r="AO119" s="248"/>
      <c r="AP119" s="248"/>
      <c r="AQ119" s="248"/>
      <c r="AR119" s="248"/>
      <c r="AS119" s="248"/>
      <c r="AT119" s="248"/>
      <c r="AU119" s="248"/>
      <c r="AV119" s="248"/>
      <c r="AW119" s="248"/>
      <c r="AX119" s="248"/>
      <c r="AY119" s="248"/>
    </row>
    <row r="120" spans="1:51">
      <c r="A120" s="244"/>
      <c r="B120" s="244"/>
      <c r="C120" s="286"/>
      <c r="D120" s="287"/>
      <c r="E120" s="244"/>
      <c r="F120" s="280"/>
      <c r="G120" s="282"/>
      <c r="H120" s="244"/>
      <c r="I120" s="244"/>
      <c r="J120" s="244"/>
      <c r="K120" s="244"/>
      <c r="L120" s="244"/>
      <c r="M120" s="244"/>
      <c r="N120" s="244"/>
      <c r="O120" s="244"/>
      <c r="P120" s="244"/>
      <c r="Q120" s="248"/>
      <c r="R120" s="248"/>
      <c r="S120" s="248"/>
      <c r="T120" s="248"/>
      <c r="U120" s="248"/>
      <c r="V120" s="248"/>
      <c r="W120" s="248"/>
      <c r="X120" s="248"/>
      <c r="Y120" s="248"/>
      <c r="Z120" s="248"/>
      <c r="AA120" s="248"/>
      <c r="AB120" s="248"/>
      <c r="AC120" s="248"/>
      <c r="AD120" s="248"/>
      <c r="AE120" s="248"/>
      <c r="AF120" s="248"/>
      <c r="AG120" s="248"/>
      <c r="AH120" s="248"/>
      <c r="AI120" s="248"/>
      <c r="AJ120" s="248"/>
      <c r="AK120" s="248"/>
      <c r="AL120" s="248"/>
      <c r="AM120" s="248"/>
      <c r="AN120" s="248"/>
      <c r="AO120" s="248"/>
      <c r="AP120" s="248"/>
      <c r="AQ120" s="248"/>
      <c r="AR120" s="248"/>
      <c r="AS120" s="248"/>
      <c r="AT120" s="248"/>
      <c r="AU120" s="248"/>
      <c r="AV120" s="248"/>
      <c r="AW120" s="248"/>
      <c r="AX120" s="248"/>
      <c r="AY120" s="248"/>
    </row>
    <row r="121" spans="1:51">
      <c r="A121" s="244"/>
      <c r="B121" s="244"/>
      <c r="C121" s="286"/>
      <c r="D121" s="287"/>
      <c r="E121" s="244"/>
      <c r="F121" s="280"/>
      <c r="G121" s="282"/>
      <c r="H121" s="244"/>
      <c r="I121" s="244"/>
      <c r="J121" s="244"/>
      <c r="K121" s="244"/>
      <c r="L121" s="244"/>
      <c r="M121" s="244"/>
      <c r="N121" s="244"/>
      <c r="O121" s="244"/>
      <c r="P121" s="244"/>
      <c r="Q121" s="248"/>
      <c r="R121" s="248"/>
      <c r="S121" s="248"/>
      <c r="T121" s="248"/>
      <c r="U121" s="248"/>
      <c r="V121" s="248"/>
      <c r="W121" s="248"/>
      <c r="X121" s="248"/>
      <c r="Y121" s="248"/>
      <c r="Z121" s="248"/>
      <c r="AA121" s="248"/>
      <c r="AB121" s="248"/>
      <c r="AC121" s="248"/>
      <c r="AD121" s="248"/>
      <c r="AE121" s="248"/>
      <c r="AF121" s="248"/>
      <c r="AG121" s="248"/>
      <c r="AH121" s="248"/>
      <c r="AI121" s="248"/>
      <c r="AJ121" s="248"/>
      <c r="AK121" s="248"/>
      <c r="AL121" s="248"/>
      <c r="AM121" s="248"/>
      <c r="AN121" s="248"/>
      <c r="AO121" s="248"/>
      <c r="AP121" s="248"/>
      <c r="AQ121" s="248"/>
      <c r="AR121" s="248"/>
      <c r="AS121" s="248"/>
      <c r="AT121" s="248"/>
      <c r="AU121" s="248"/>
      <c r="AV121" s="248"/>
      <c r="AW121" s="248"/>
      <c r="AX121" s="248"/>
      <c r="AY121" s="248"/>
    </row>
    <row r="122" spans="1:51">
      <c r="A122" s="244"/>
      <c r="B122" s="244"/>
      <c r="C122" s="286"/>
      <c r="D122" s="287"/>
      <c r="E122" s="244"/>
      <c r="F122" s="280"/>
      <c r="G122" s="282"/>
      <c r="H122" s="244"/>
      <c r="I122" s="244"/>
      <c r="J122" s="244"/>
      <c r="K122" s="244"/>
      <c r="L122" s="244"/>
      <c r="M122" s="244"/>
      <c r="N122" s="244"/>
      <c r="O122" s="244"/>
      <c r="P122" s="244"/>
      <c r="Q122" s="248"/>
      <c r="R122" s="248"/>
      <c r="S122" s="248"/>
      <c r="T122" s="248"/>
      <c r="U122" s="248"/>
      <c r="V122" s="248"/>
      <c r="W122" s="248"/>
      <c r="X122" s="248"/>
      <c r="Y122" s="248"/>
      <c r="Z122" s="248"/>
      <c r="AA122" s="248"/>
      <c r="AB122" s="248"/>
      <c r="AC122" s="248"/>
      <c r="AD122" s="248"/>
      <c r="AE122" s="248"/>
      <c r="AF122" s="248"/>
      <c r="AG122" s="248"/>
      <c r="AH122" s="248"/>
      <c r="AI122" s="248"/>
      <c r="AJ122" s="248"/>
      <c r="AK122" s="248"/>
      <c r="AL122" s="248"/>
      <c r="AM122" s="248"/>
      <c r="AN122" s="248"/>
      <c r="AO122" s="248"/>
      <c r="AP122" s="248"/>
      <c r="AQ122" s="248"/>
      <c r="AR122" s="248"/>
      <c r="AS122" s="248"/>
      <c r="AT122" s="248"/>
      <c r="AU122" s="248"/>
      <c r="AV122" s="248"/>
      <c r="AW122" s="248"/>
      <c r="AX122" s="248"/>
      <c r="AY122" s="248"/>
    </row>
    <row r="123" spans="1:51">
      <c r="A123" s="244"/>
      <c r="B123" s="244"/>
      <c r="C123" s="286"/>
      <c r="D123" s="287"/>
      <c r="E123" s="244"/>
      <c r="F123" s="280"/>
      <c r="G123" s="282"/>
      <c r="H123" s="244"/>
      <c r="I123" s="244"/>
      <c r="J123" s="244"/>
      <c r="K123" s="244"/>
      <c r="L123" s="244"/>
      <c r="M123" s="244"/>
      <c r="N123" s="244"/>
      <c r="O123" s="244"/>
      <c r="P123" s="244"/>
      <c r="Q123" s="248"/>
      <c r="R123" s="248"/>
      <c r="S123" s="248"/>
      <c r="T123" s="248"/>
      <c r="U123" s="248"/>
      <c r="V123" s="248"/>
      <c r="W123" s="248"/>
      <c r="X123" s="248"/>
      <c r="Y123" s="248"/>
      <c r="Z123" s="248"/>
      <c r="AA123" s="248"/>
      <c r="AB123" s="248"/>
      <c r="AC123" s="248"/>
      <c r="AD123" s="248"/>
      <c r="AE123" s="248"/>
      <c r="AF123" s="248"/>
      <c r="AG123" s="248"/>
      <c r="AH123" s="248"/>
      <c r="AI123" s="248"/>
      <c r="AJ123" s="248"/>
      <c r="AK123" s="248"/>
      <c r="AL123" s="248"/>
      <c r="AM123" s="248"/>
      <c r="AN123" s="248"/>
      <c r="AO123" s="248"/>
      <c r="AP123" s="248"/>
      <c r="AQ123" s="248"/>
      <c r="AR123" s="248"/>
      <c r="AS123" s="248"/>
      <c r="AT123" s="248"/>
      <c r="AU123" s="248"/>
      <c r="AV123" s="248"/>
      <c r="AW123" s="248"/>
      <c r="AX123" s="248"/>
      <c r="AY123" s="248"/>
    </row>
    <row r="124" spans="1:51">
      <c r="A124" s="244"/>
      <c r="B124" s="244"/>
      <c r="C124" s="286"/>
      <c r="D124" s="287"/>
      <c r="E124" s="244"/>
      <c r="F124" s="280"/>
      <c r="G124" s="282"/>
      <c r="H124" s="244"/>
      <c r="I124" s="244"/>
      <c r="J124" s="244"/>
      <c r="K124" s="244"/>
      <c r="L124" s="244"/>
      <c r="M124" s="244"/>
      <c r="N124" s="244"/>
      <c r="O124" s="244"/>
      <c r="P124" s="244"/>
      <c r="Q124" s="248"/>
      <c r="R124" s="248"/>
      <c r="S124" s="248"/>
      <c r="T124" s="248"/>
      <c r="U124" s="248"/>
      <c r="V124" s="248"/>
      <c r="W124" s="248"/>
      <c r="X124" s="248"/>
      <c r="Y124" s="248"/>
      <c r="Z124" s="248"/>
      <c r="AA124" s="248"/>
      <c r="AB124" s="248"/>
      <c r="AC124" s="248"/>
      <c r="AD124" s="248"/>
      <c r="AE124" s="248"/>
      <c r="AF124" s="248"/>
      <c r="AG124" s="248"/>
      <c r="AH124" s="248"/>
      <c r="AI124" s="248"/>
      <c r="AJ124" s="248"/>
      <c r="AK124" s="248"/>
      <c r="AL124" s="248"/>
      <c r="AM124" s="248"/>
      <c r="AN124" s="248"/>
      <c r="AO124" s="248"/>
      <c r="AP124" s="248"/>
      <c r="AQ124" s="248"/>
      <c r="AR124" s="248"/>
      <c r="AS124" s="248"/>
      <c r="AT124" s="248"/>
      <c r="AU124" s="248"/>
      <c r="AV124" s="248"/>
      <c r="AW124" s="248"/>
      <c r="AX124" s="248"/>
      <c r="AY124" s="248"/>
    </row>
    <row r="125" spans="1:51">
      <c r="A125" s="244"/>
      <c r="B125" s="244"/>
      <c r="C125" s="286"/>
      <c r="D125" s="287"/>
      <c r="E125" s="244"/>
      <c r="F125" s="280"/>
      <c r="G125" s="282"/>
      <c r="H125" s="244"/>
      <c r="I125" s="244"/>
      <c r="J125" s="244"/>
      <c r="K125" s="244"/>
      <c r="L125" s="244"/>
      <c r="M125" s="244"/>
      <c r="N125" s="244"/>
      <c r="O125" s="244"/>
      <c r="P125" s="244"/>
      <c r="Q125" s="248"/>
      <c r="R125" s="248"/>
      <c r="S125" s="248"/>
      <c r="T125" s="248"/>
      <c r="U125" s="248"/>
      <c r="V125" s="248"/>
      <c r="W125" s="248"/>
      <c r="X125" s="248"/>
      <c r="Y125" s="248"/>
      <c r="Z125" s="248"/>
      <c r="AA125" s="248"/>
      <c r="AB125" s="248"/>
      <c r="AC125" s="248"/>
      <c r="AD125" s="248"/>
      <c r="AE125" s="248"/>
      <c r="AF125" s="248"/>
      <c r="AG125" s="248"/>
      <c r="AH125" s="248"/>
      <c r="AI125" s="248"/>
      <c r="AJ125" s="248"/>
      <c r="AK125" s="248"/>
      <c r="AL125" s="248"/>
      <c r="AM125" s="248"/>
      <c r="AN125" s="248"/>
      <c r="AO125" s="248"/>
      <c r="AP125" s="248"/>
      <c r="AQ125" s="248"/>
      <c r="AR125" s="248"/>
      <c r="AS125" s="248"/>
      <c r="AT125" s="248"/>
      <c r="AU125" s="248"/>
      <c r="AV125" s="248"/>
      <c r="AW125" s="248"/>
      <c r="AX125" s="248"/>
      <c r="AY125" s="248"/>
    </row>
    <row r="126" spans="1:51">
      <c r="A126" s="244"/>
      <c r="B126" s="244"/>
      <c r="C126" s="286"/>
      <c r="D126" s="287"/>
      <c r="E126" s="244"/>
      <c r="F126" s="280"/>
      <c r="G126" s="282"/>
      <c r="H126" s="244"/>
      <c r="I126" s="244"/>
      <c r="J126" s="244"/>
      <c r="K126" s="244"/>
      <c r="L126" s="244"/>
      <c r="M126" s="244"/>
      <c r="N126" s="244"/>
      <c r="O126" s="244"/>
      <c r="P126" s="244"/>
      <c r="Q126" s="248"/>
      <c r="R126" s="248"/>
      <c r="S126" s="248"/>
      <c r="T126" s="248"/>
      <c r="U126" s="248"/>
      <c r="V126" s="248"/>
      <c r="W126" s="248"/>
      <c r="X126" s="248"/>
      <c r="Y126" s="248"/>
      <c r="Z126" s="248"/>
      <c r="AA126" s="248"/>
      <c r="AB126" s="248"/>
      <c r="AC126" s="248"/>
      <c r="AD126" s="248"/>
      <c r="AE126" s="248"/>
      <c r="AF126" s="248"/>
      <c r="AG126" s="248"/>
      <c r="AH126" s="248"/>
      <c r="AI126" s="248"/>
      <c r="AJ126" s="248"/>
      <c r="AK126" s="248"/>
      <c r="AL126" s="248"/>
      <c r="AM126" s="248"/>
      <c r="AN126" s="248"/>
      <c r="AO126" s="248"/>
      <c r="AP126" s="248"/>
      <c r="AQ126" s="248"/>
      <c r="AR126" s="248"/>
      <c r="AS126" s="248"/>
      <c r="AT126" s="248"/>
      <c r="AU126" s="248"/>
      <c r="AV126" s="248"/>
      <c r="AW126" s="248"/>
      <c r="AX126" s="248"/>
      <c r="AY126" s="248"/>
    </row>
    <row r="127" spans="1:51">
      <c r="A127" s="244"/>
      <c r="B127" s="244"/>
      <c r="C127" s="286"/>
      <c r="D127" s="287"/>
      <c r="E127" s="244"/>
      <c r="F127" s="280"/>
      <c r="G127" s="282"/>
      <c r="H127" s="244"/>
      <c r="I127" s="244"/>
      <c r="J127" s="244"/>
      <c r="K127" s="244"/>
      <c r="L127" s="244"/>
      <c r="M127" s="244"/>
      <c r="N127" s="244"/>
      <c r="O127" s="244"/>
      <c r="P127" s="244"/>
      <c r="Q127" s="248"/>
      <c r="R127" s="248"/>
      <c r="S127" s="248"/>
      <c r="T127" s="248"/>
      <c r="U127" s="248"/>
      <c r="V127" s="248"/>
      <c r="W127" s="248"/>
      <c r="X127" s="248"/>
      <c r="Y127" s="248"/>
      <c r="Z127" s="248"/>
      <c r="AA127" s="248"/>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248"/>
      <c r="AX127" s="248"/>
      <c r="AY127" s="248"/>
    </row>
    <row r="128" spans="1:51">
      <c r="A128" s="244"/>
      <c r="B128" s="244"/>
      <c r="C128" s="286"/>
      <c r="D128" s="287"/>
      <c r="E128" s="244"/>
      <c r="F128" s="280"/>
      <c r="G128" s="282"/>
      <c r="H128" s="244"/>
      <c r="I128" s="244"/>
      <c r="J128" s="244"/>
      <c r="K128" s="244"/>
      <c r="L128" s="244"/>
      <c r="M128" s="244"/>
      <c r="N128" s="244"/>
      <c r="O128" s="244"/>
      <c r="P128" s="244"/>
      <c r="Q128" s="248"/>
      <c r="R128" s="248"/>
      <c r="S128" s="248"/>
      <c r="T128" s="248"/>
      <c r="U128" s="248"/>
      <c r="V128" s="248"/>
      <c r="W128" s="248"/>
      <c r="X128" s="248"/>
      <c r="Y128" s="248"/>
      <c r="Z128" s="248"/>
      <c r="AA128" s="248"/>
      <c r="AB128" s="248"/>
      <c r="AC128" s="248"/>
      <c r="AD128" s="248"/>
      <c r="AE128" s="248"/>
      <c r="AF128" s="248"/>
      <c r="AG128" s="248"/>
      <c r="AH128" s="248"/>
      <c r="AI128" s="248"/>
      <c r="AJ128" s="248"/>
      <c r="AK128" s="248"/>
      <c r="AL128" s="248"/>
      <c r="AM128" s="248"/>
      <c r="AN128" s="248"/>
      <c r="AO128" s="248"/>
      <c r="AP128" s="248"/>
      <c r="AQ128" s="248"/>
      <c r="AR128" s="248"/>
      <c r="AS128" s="248"/>
      <c r="AT128" s="248"/>
      <c r="AU128" s="248"/>
      <c r="AV128" s="248"/>
      <c r="AW128" s="248"/>
      <c r="AX128" s="248"/>
      <c r="AY128" s="248"/>
    </row>
    <row r="129" spans="1:51">
      <c r="A129" s="244"/>
      <c r="B129" s="244"/>
      <c r="C129" s="286"/>
      <c r="D129" s="287"/>
      <c r="E129" s="244"/>
      <c r="F129" s="280"/>
      <c r="G129" s="282"/>
      <c r="H129" s="244"/>
      <c r="I129" s="244"/>
      <c r="J129" s="244"/>
      <c r="K129" s="244"/>
      <c r="L129" s="244"/>
      <c r="M129" s="244"/>
      <c r="N129" s="244"/>
      <c r="O129" s="244"/>
      <c r="P129" s="244"/>
      <c r="Q129" s="248"/>
      <c r="R129" s="248"/>
      <c r="S129" s="248"/>
      <c r="T129" s="248"/>
      <c r="U129" s="248"/>
      <c r="V129" s="248"/>
      <c r="W129" s="248"/>
      <c r="X129" s="248"/>
      <c r="Y129" s="248"/>
      <c r="Z129" s="248"/>
      <c r="AA129" s="248"/>
      <c r="AB129" s="248"/>
      <c r="AC129" s="248"/>
      <c r="AD129" s="248"/>
      <c r="AE129" s="248"/>
      <c r="AF129" s="248"/>
      <c r="AG129" s="248"/>
      <c r="AH129" s="248"/>
      <c r="AI129" s="248"/>
      <c r="AJ129" s="248"/>
      <c r="AK129" s="248"/>
      <c r="AL129" s="248"/>
      <c r="AM129" s="248"/>
      <c r="AN129" s="248"/>
      <c r="AO129" s="248"/>
      <c r="AP129" s="248"/>
      <c r="AQ129" s="248"/>
      <c r="AR129" s="248"/>
      <c r="AS129" s="248"/>
      <c r="AT129" s="248"/>
      <c r="AU129" s="248"/>
      <c r="AV129" s="248"/>
      <c r="AW129" s="248"/>
      <c r="AX129" s="248"/>
      <c r="AY129" s="248"/>
    </row>
    <row r="130" spans="1:51">
      <c r="A130" s="244"/>
      <c r="B130" s="244"/>
      <c r="C130" s="286"/>
      <c r="D130" s="287"/>
      <c r="E130" s="244"/>
      <c r="F130" s="280"/>
      <c r="G130" s="282"/>
      <c r="H130" s="244"/>
      <c r="I130" s="244"/>
      <c r="J130" s="244"/>
      <c r="K130" s="244"/>
      <c r="L130" s="244"/>
      <c r="M130" s="244"/>
      <c r="N130" s="244"/>
      <c r="O130" s="244"/>
      <c r="P130" s="244"/>
      <c r="Q130" s="248"/>
      <c r="R130" s="248"/>
      <c r="S130" s="248"/>
      <c r="T130" s="248"/>
      <c r="U130" s="248"/>
      <c r="V130" s="248"/>
      <c r="W130" s="248"/>
      <c r="X130" s="248"/>
      <c r="Y130" s="248"/>
      <c r="Z130" s="248"/>
      <c r="AA130" s="248"/>
      <c r="AB130" s="248"/>
      <c r="AC130" s="248"/>
      <c r="AD130" s="248"/>
      <c r="AE130" s="248"/>
      <c r="AF130" s="248"/>
      <c r="AG130" s="248"/>
      <c r="AH130" s="248"/>
      <c r="AI130" s="248"/>
      <c r="AJ130" s="248"/>
      <c r="AK130" s="248"/>
      <c r="AL130" s="248"/>
      <c r="AM130" s="248"/>
      <c r="AN130" s="248"/>
      <c r="AO130" s="248"/>
      <c r="AP130" s="248"/>
      <c r="AQ130" s="248"/>
      <c r="AR130" s="248"/>
      <c r="AS130" s="248"/>
      <c r="AT130" s="248"/>
      <c r="AU130" s="248"/>
      <c r="AV130" s="248"/>
      <c r="AW130" s="248"/>
      <c r="AX130" s="248"/>
      <c r="AY130" s="248"/>
    </row>
    <row r="131" spans="1:51">
      <c r="A131" s="244"/>
      <c r="B131" s="244"/>
      <c r="C131" s="286"/>
      <c r="D131" s="287"/>
      <c r="E131" s="244"/>
      <c r="F131" s="280"/>
      <c r="G131" s="282"/>
      <c r="H131" s="244"/>
      <c r="I131" s="244"/>
      <c r="J131" s="244"/>
      <c r="K131" s="244"/>
      <c r="L131" s="244"/>
      <c r="M131" s="244"/>
      <c r="N131" s="244"/>
      <c r="O131" s="244"/>
      <c r="P131" s="244"/>
      <c r="Q131" s="248"/>
      <c r="R131" s="248"/>
      <c r="S131" s="248"/>
      <c r="T131" s="248"/>
      <c r="U131" s="248"/>
      <c r="V131" s="248"/>
      <c r="W131" s="248"/>
      <c r="X131" s="248"/>
      <c r="Y131" s="248"/>
      <c r="Z131" s="248"/>
      <c r="AA131" s="248"/>
      <c r="AB131" s="248"/>
      <c r="AC131" s="248"/>
      <c r="AD131" s="248"/>
      <c r="AE131" s="248"/>
      <c r="AF131" s="248"/>
      <c r="AG131" s="248"/>
      <c r="AH131" s="248"/>
      <c r="AI131" s="248"/>
      <c r="AJ131" s="248"/>
      <c r="AK131" s="248"/>
      <c r="AL131" s="248"/>
      <c r="AM131" s="248"/>
      <c r="AN131" s="248"/>
      <c r="AO131" s="248"/>
      <c r="AP131" s="248"/>
      <c r="AQ131" s="248"/>
      <c r="AR131" s="248"/>
      <c r="AS131" s="248"/>
      <c r="AT131" s="248"/>
      <c r="AU131" s="248"/>
      <c r="AV131" s="248"/>
      <c r="AW131" s="248"/>
      <c r="AX131" s="248"/>
      <c r="AY131" s="248"/>
    </row>
    <row r="132" spans="1:51">
      <c r="A132" s="244"/>
      <c r="B132" s="244"/>
      <c r="C132" s="286"/>
      <c r="D132" s="287"/>
      <c r="E132" s="244"/>
      <c r="F132" s="280"/>
      <c r="G132" s="282"/>
      <c r="H132" s="244"/>
      <c r="I132" s="244"/>
      <c r="J132" s="244"/>
      <c r="K132" s="244"/>
      <c r="L132" s="244"/>
      <c r="M132" s="244"/>
      <c r="N132" s="244"/>
      <c r="O132" s="244"/>
      <c r="P132" s="244"/>
      <c r="Q132" s="248"/>
      <c r="R132" s="248"/>
      <c r="S132" s="248"/>
      <c r="T132" s="248"/>
      <c r="U132" s="248"/>
      <c r="V132" s="248"/>
      <c r="W132" s="248"/>
      <c r="X132" s="248"/>
      <c r="Y132" s="248"/>
      <c r="Z132" s="248"/>
      <c r="AA132" s="248"/>
      <c r="AB132" s="248"/>
      <c r="AC132" s="248"/>
      <c r="AD132" s="248"/>
      <c r="AE132" s="248"/>
      <c r="AF132" s="248"/>
      <c r="AG132" s="248"/>
      <c r="AH132" s="248"/>
      <c r="AI132" s="248"/>
      <c r="AJ132" s="248"/>
      <c r="AK132" s="248"/>
      <c r="AL132" s="248"/>
      <c r="AM132" s="248"/>
      <c r="AN132" s="248"/>
      <c r="AO132" s="248"/>
      <c r="AP132" s="248"/>
      <c r="AQ132" s="248"/>
      <c r="AR132" s="248"/>
      <c r="AS132" s="248"/>
      <c r="AT132" s="248"/>
      <c r="AU132" s="248"/>
      <c r="AV132" s="248"/>
      <c r="AW132" s="248"/>
      <c r="AX132" s="248"/>
      <c r="AY132" s="248"/>
    </row>
    <row r="133" spans="1:51">
      <c r="A133" s="244"/>
      <c r="B133" s="244"/>
      <c r="C133" s="286"/>
      <c r="D133" s="287"/>
      <c r="E133" s="244"/>
      <c r="F133" s="280"/>
      <c r="G133" s="282"/>
      <c r="H133" s="244"/>
      <c r="I133" s="244"/>
      <c r="J133" s="244"/>
      <c r="K133" s="244"/>
      <c r="L133" s="244"/>
      <c r="M133" s="244"/>
      <c r="N133" s="244"/>
      <c r="O133" s="244"/>
      <c r="P133" s="244"/>
      <c r="Q133" s="248"/>
      <c r="R133" s="248"/>
      <c r="S133" s="248"/>
      <c r="T133" s="248"/>
      <c r="U133" s="248"/>
      <c r="V133" s="248"/>
      <c r="W133" s="248"/>
      <c r="X133" s="248"/>
      <c r="Y133" s="248"/>
      <c r="Z133" s="248"/>
      <c r="AA133" s="248"/>
      <c r="AB133" s="248"/>
      <c r="AC133" s="248"/>
      <c r="AD133" s="248"/>
      <c r="AE133" s="248"/>
      <c r="AF133" s="248"/>
      <c r="AG133" s="248"/>
      <c r="AH133" s="248"/>
      <c r="AI133" s="248"/>
      <c r="AJ133" s="248"/>
      <c r="AK133" s="248"/>
      <c r="AL133" s="248"/>
      <c r="AM133" s="248"/>
      <c r="AN133" s="248"/>
      <c r="AO133" s="248"/>
      <c r="AP133" s="248"/>
      <c r="AQ133" s="248"/>
      <c r="AR133" s="248"/>
      <c r="AS133" s="248"/>
      <c r="AT133" s="248"/>
      <c r="AU133" s="248"/>
      <c r="AV133" s="248"/>
      <c r="AW133" s="248"/>
      <c r="AX133" s="248"/>
      <c r="AY133" s="248"/>
    </row>
    <row r="134" spans="1:51">
      <c r="A134" s="244"/>
      <c r="B134" s="244"/>
      <c r="C134" s="286"/>
      <c r="D134" s="287"/>
      <c r="E134" s="244"/>
      <c r="F134" s="280"/>
      <c r="G134" s="282"/>
      <c r="H134" s="244"/>
      <c r="I134" s="244"/>
      <c r="J134" s="244"/>
      <c r="K134" s="244"/>
      <c r="L134" s="244"/>
      <c r="M134" s="244"/>
      <c r="N134" s="244"/>
      <c r="O134" s="244"/>
      <c r="P134" s="244"/>
      <c r="Q134" s="248"/>
      <c r="R134" s="248"/>
      <c r="S134" s="248"/>
      <c r="T134" s="248"/>
      <c r="U134" s="248"/>
      <c r="V134" s="248"/>
      <c r="W134" s="248"/>
      <c r="X134" s="248"/>
      <c r="Y134" s="248"/>
      <c r="Z134" s="248"/>
      <c r="AA134" s="248"/>
      <c r="AB134" s="248"/>
      <c r="AC134" s="248"/>
      <c r="AD134" s="248"/>
      <c r="AE134" s="248"/>
      <c r="AF134" s="248"/>
      <c r="AG134" s="248"/>
      <c r="AH134" s="248"/>
      <c r="AI134" s="248"/>
      <c r="AJ134" s="248"/>
      <c r="AK134" s="248"/>
      <c r="AL134" s="248"/>
      <c r="AM134" s="248"/>
      <c r="AN134" s="248"/>
      <c r="AO134" s="248"/>
      <c r="AP134" s="248"/>
      <c r="AQ134" s="248"/>
      <c r="AR134" s="248"/>
      <c r="AS134" s="248"/>
      <c r="AT134" s="248"/>
      <c r="AU134" s="248"/>
      <c r="AV134" s="248"/>
      <c r="AW134" s="248"/>
      <c r="AX134" s="248"/>
      <c r="AY134" s="248"/>
    </row>
    <row r="135" spans="1:51">
      <c r="A135" s="244"/>
      <c r="B135" s="244"/>
      <c r="C135" s="286"/>
      <c r="D135" s="287"/>
      <c r="E135" s="244"/>
      <c r="F135" s="280"/>
      <c r="G135" s="282"/>
      <c r="H135" s="244"/>
      <c r="I135" s="244"/>
      <c r="J135" s="244"/>
      <c r="K135" s="244"/>
      <c r="L135" s="244"/>
      <c r="M135" s="244"/>
      <c r="N135" s="244"/>
      <c r="O135" s="244"/>
      <c r="P135" s="244"/>
      <c r="Q135" s="248"/>
      <c r="R135" s="248"/>
      <c r="S135" s="248"/>
      <c r="T135" s="248"/>
      <c r="U135" s="248"/>
      <c r="V135" s="248"/>
      <c r="W135" s="248"/>
      <c r="X135" s="248"/>
      <c r="Y135" s="248"/>
      <c r="Z135" s="248"/>
      <c r="AA135" s="248"/>
      <c r="AB135" s="248"/>
      <c r="AC135" s="248"/>
      <c r="AD135" s="248"/>
      <c r="AE135" s="248"/>
      <c r="AF135" s="248"/>
      <c r="AG135" s="248"/>
      <c r="AH135" s="248"/>
      <c r="AI135" s="248"/>
      <c r="AJ135" s="248"/>
      <c r="AK135" s="248"/>
      <c r="AL135" s="248"/>
      <c r="AM135" s="248"/>
      <c r="AN135" s="248"/>
      <c r="AO135" s="248"/>
      <c r="AP135" s="248"/>
      <c r="AQ135" s="248"/>
      <c r="AR135" s="248"/>
      <c r="AS135" s="248"/>
      <c r="AT135" s="248"/>
      <c r="AU135" s="248"/>
      <c r="AV135" s="248"/>
      <c r="AW135" s="248"/>
      <c r="AX135" s="248"/>
      <c r="AY135" s="248"/>
    </row>
    <row r="136" spans="1:51">
      <c r="A136" s="244"/>
      <c r="B136" s="244"/>
      <c r="C136" s="286"/>
      <c r="D136" s="287"/>
      <c r="E136" s="244"/>
      <c r="F136" s="280"/>
      <c r="G136" s="282"/>
      <c r="H136" s="244"/>
      <c r="I136" s="244"/>
      <c r="J136" s="244"/>
      <c r="K136" s="244"/>
      <c r="L136" s="244"/>
      <c r="M136" s="244"/>
      <c r="N136" s="244"/>
      <c r="O136" s="244"/>
      <c r="P136" s="244"/>
      <c r="Q136" s="248"/>
      <c r="R136" s="248"/>
      <c r="S136" s="248"/>
      <c r="T136" s="248"/>
      <c r="U136" s="248"/>
      <c r="V136" s="248"/>
      <c r="W136" s="248"/>
      <c r="X136" s="248"/>
      <c r="Y136" s="248"/>
      <c r="Z136" s="248"/>
      <c r="AA136" s="248"/>
      <c r="AB136" s="248"/>
      <c r="AC136" s="248"/>
      <c r="AD136" s="248"/>
      <c r="AE136" s="248"/>
      <c r="AF136" s="248"/>
      <c r="AG136" s="248"/>
      <c r="AH136" s="248"/>
      <c r="AI136" s="248"/>
      <c r="AJ136" s="248"/>
      <c r="AK136" s="248"/>
      <c r="AL136" s="248"/>
      <c r="AM136" s="248"/>
      <c r="AN136" s="248"/>
      <c r="AO136" s="248"/>
      <c r="AP136" s="248"/>
      <c r="AQ136" s="248"/>
      <c r="AR136" s="248"/>
      <c r="AS136" s="248"/>
      <c r="AT136" s="248"/>
      <c r="AU136" s="248"/>
      <c r="AV136" s="248"/>
      <c r="AW136" s="248"/>
      <c r="AX136" s="248"/>
      <c r="AY136" s="248"/>
    </row>
    <row r="137" spans="1:51">
      <c r="A137" s="244"/>
      <c r="B137" s="244"/>
      <c r="C137" s="286"/>
      <c r="D137" s="287"/>
      <c r="E137" s="244"/>
      <c r="F137" s="280"/>
      <c r="G137" s="282"/>
      <c r="H137" s="244"/>
      <c r="I137" s="244"/>
      <c r="J137" s="244"/>
      <c r="K137" s="244"/>
      <c r="L137" s="244"/>
      <c r="M137" s="244"/>
      <c r="N137" s="244"/>
      <c r="O137" s="244"/>
      <c r="P137" s="244"/>
      <c r="Q137" s="248"/>
      <c r="R137" s="248"/>
      <c r="S137" s="248"/>
      <c r="T137" s="248"/>
      <c r="U137" s="248"/>
      <c r="V137" s="248"/>
      <c r="W137" s="248"/>
      <c r="X137" s="248"/>
      <c r="Y137" s="248"/>
      <c r="Z137" s="248"/>
      <c r="AA137" s="248"/>
      <c r="AB137" s="248"/>
      <c r="AC137" s="248"/>
      <c r="AD137" s="248"/>
      <c r="AE137" s="248"/>
      <c r="AF137" s="248"/>
      <c r="AG137" s="248"/>
      <c r="AH137" s="248"/>
      <c r="AI137" s="248"/>
      <c r="AJ137" s="248"/>
      <c r="AK137" s="248"/>
      <c r="AL137" s="248"/>
      <c r="AM137" s="248"/>
      <c r="AN137" s="248"/>
      <c r="AO137" s="248"/>
      <c r="AP137" s="248"/>
      <c r="AQ137" s="248"/>
      <c r="AR137" s="248"/>
      <c r="AS137" s="248"/>
      <c r="AT137" s="248"/>
      <c r="AU137" s="248"/>
      <c r="AV137" s="248"/>
      <c r="AW137" s="248"/>
      <c r="AX137" s="248"/>
      <c r="AY137" s="248"/>
    </row>
    <row r="138" spans="1:51">
      <c r="A138" s="244"/>
      <c r="B138" s="244"/>
      <c r="C138" s="286"/>
      <c r="D138" s="287"/>
      <c r="E138" s="244"/>
      <c r="F138" s="280"/>
      <c r="G138" s="282"/>
      <c r="H138" s="244"/>
      <c r="I138" s="244"/>
      <c r="J138" s="244"/>
      <c r="K138" s="244"/>
      <c r="L138" s="244"/>
      <c r="M138" s="244"/>
      <c r="N138" s="244"/>
      <c r="O138" s="244"/>
      <c r="P138" s="244"/>
      <c r="Q138" s="248"/>
      <c r="R138" s="248"/>
      <c r="S138" s="248"/>
      <c r="T138" s="248"/>
      <c r="U138" s="248"/>
      <c r="V138" s="248"/>
      <c r="W138" s="248"/>
      <c r="X138" s="248"/>
      <c r="Y138" s="248"/>
      <c r="Z138" s="248"/>
      <c r="AA138" s="248"/>
      <c r="AB138" s="248"/>
      <c r="AC138" s="248"/>
      <c r="AD138" s="248"/>
      <c r="AE138" s="248"/>
      <c r="AF138" s="248"/>
      <c r="AG138" s="248"/>
      <c r="AH138" s="248"/>
      <c r="AI138" s="248"/>
      <c r="AJ138" s="248"/>
      <c r="AK138" s="248"/>
      <c r="AL138" s="248"/>
      <c r="AM138" s="248"/>
      <c r="AN138" s="248"/>
      <c r="AO138" s="248"/>
      <c r="AP138" s="248"/>
      <c r="AQ138" s="248"/>
      <c r="AR138" s="248"/>
      <c r="AS138" s="248"/>
      <c r="AT138" s="248"/>
      <c r="AU138" s="248"/>
      <c r="AV138" s="248"/>
      <c r="AW138" s="248"/>
      <c r="AX138" s="248"/>
      <c r="AY138" s="248"/>
    </row>
    <row r="139" spans="1:51">
      <c r="A139" s="244"/>
      <c r="B139" s="244"/>
      <c r="C139" s="286"/>
      <c r="D139" s="287"/>
      <c r="E139" s="244"/>
      <c r="F139" s="280"/>
      <c r="G139" s="282"/>
      <c r="H139" s="244"/>
      <c r="I139" s="244"/>
      <c r="J139" s="244"/>
      <c r="K139" s="244"/>
      <c r="L139" s="244"/>
      <c r="M139" s="244"/>
      <c r="N139" s="244"/>
      <c r="O139" s="244"/>
      <c r="P139" s="244"/>
      <c r="Q139" s="248"/>
      <c r="R139" s="248"/>
      <c r="S139" s="248"/>
      <c r="T139" s="248"/>
      <c r="U139" s="248"/>
      <c r="V139" s="248"/>
      <c r="W139" s="248"/>
      <c r="X139" s="248"/>
      <c r="Y139" s="248"/>
      <c r="Z139" s="248"/>
      <c r="AA139" s="248"/>
      <c r="AB139" s="248"/>
      <c r="AC139" s="248"/>
      <c r="AD139" s="248"/>
      <c r="AE139" s="248"/>
      <c r="AF139" s="248"/>
      <c r="AG139" s="248"/>
      <c r="AH139" s="248"/>
      <c r="AI139" s="248"/>
      <c r="AJ139" s="248"/>
      <c r="AK139" s="248"/>
      <c r="AL139" s="248"/>
      <c r="AM139" s="248"/>
      <c r="AN139" s="248"/>
      <c r="AO139" s="248"/>
      <c r="AP139" s="248"/>
      <c r="AQ139" s="248"/>
      <c r="AR139" s="248"/>
      <c r="AS139" s="248"/>
      <c r="AT139" s="248"/>
      <c r="AU139" s="248"/>
      <c r="AV139" s="248"/>
      <c r="AW139" s="248"/>
      <c r="AX139" s="248"/>
      <c r="AY139" s="248"/>
    </row>
    <row r="140" spans="1:51">
      <c r="A140" s="244"/>
      <c r="B140" s="244"/>
      <c r="C140" s="286"/>
      <c r="D140" s="287"/>
      <c r="E140" s="244"/>
      <c r="F140" s="280"/>
      <c r="G140" s="282"/>
      <c r="H140" s="244"/>
      <c r="I140" s="244"/>
      <c r="J140" s="244"/>
      <c r="K140" s="244"/>
      <c r="L140" s="244"/>
      <c r="M140" s="244"/>
      <c r="N140" s="244"/>
      <c r="O140" s="244"/>
      <c r="P140" s="244"/>
      <c r="Q140" s="248"/>
      <c r="R140" s="248"/>
      <c r="S140" s="248"/>
      <c r="T140" s="248"/>
      <c r="U140" s="248"/>
      <c r="V140" s="248"/>
      <c r="W140" s="248"/>
      <c r="X140" s="248"/>
      <c r="Y140" s="248"/>
      <c r="Z140" s="248"/>
      <c r="AA140" s="248"/>
      <c r="AB140" s="248"/>
      <c r="AC140" s="248"/>
      <c r="AD140" s="248"/>
      <c r="AE140" s="248"/>
      <c r="AF140" s="248"/>
      <c r="AG140" s="248"/>
      <c r="AH140" s="248"/>
      <c r="AI140" s="248"/>
      <c r="AJ140" s="248"/>
      <c r="AK140" s="248"/>
      <c r="AL140" s="248"/>
      <c r="AM140" s="248"/>
      <c r="AN140" s="248"/>
      <c r="AO140" s="248"/>
      <c r="AP140" s="248"/>
      <c r="AQ140" s="248"/>
      <c r="AR140" s="248"/>
      <c r="AS140" s="248"/>
      <c r="AT140" s="248"/>
      <c r="AU140" s="248"/>
      <c r="AV140" s="248"/>
      <c r="AW140" s="248"/>
      <c r="AX140" s="248"/>
      <c r="AY140" s="248"/>
    </row>
    <row r="141" spans="1:51">
      <c r="A141" s="244"/>
      <c r="B141" s="244"/>
      <c r="C141" s="286"/>
      <c r="D141" s="287"/>
      <c r="E141" s="244"/>
      <c r="F141" s="280"/>
      <c r="G141" s="282"/>
      <c r="H141" s="244"/>
      <c r="I141" s="244"/>
      <c r="J141" s="244"/>
      <c r="K141" s="244"/>
      <c r="L141" s="244"/>
      <c r="M141" s="244"/>
      <c r="N141" s="244"/>
      <c r="O141" s="244"/>
      <c r="P141" s="244"/>
      <c r="Q141" s="248"/>
      <c r="R141" s="248"/>
      <c r="S141" s="248"/>
      <c r="T141" s="248"/>
      <c r="U141" s="248"/>
      <c r="V141" s="248"/>
      <c r="W141" s="248"/>
      <c r="X141" s="248"/>
      <c r="Y141" s="248"/>
      <c r="Z141" s="248"/>
      <c r="AA141" s="248"/>
      <c r="AB141" s="248"/>
      <c r="AC141" s="248"/>
      <c r="AD141" s="248"/>
      <c r="AE141" s="248"/>
      <c r="AF141" s="248"/>
      <c r="AG141" s="248"/>
      <c r="AH141" s="248"/>
      <c r="AI141" s="248"/>
      <c r="AJ141" s="248"/>
      <c r="AK141" s="248"/>
      <c r="AL141" s="248"/>
      <c r="AM141" s="248"/>
      <c r="AN141" s="248"/>
      <c r="AO141" s="248"/>
      <c r="AP141" s="248"/>
      <c r="AQ141" s="248"/>
      <c r="AR141" s="248"/>
      <c r="AS141" s="248"/>
      <c r="AT141" s="248"/>
      <c r="AU141" s="248"/>
      <c r="AV141" s="248"/>
      <c r="AW141" s="248"/>
      <c r="AX141" s="248"/>
      <c r="AY141" s="248"/>
    </row>
    <row r="142" spans="1:51">
      <c r="A142" s="244"/>
      <c r="B142" s="244"/>
      <c r="C142" s="286"/>
      <c r="D142" s="287"/>
      <c r="E142" s="244"/>
      <c r="F142" s="280"/>
      <c r="G142" s="282"/>
      <c r="H142" s="244"/>
      <c r="I142" s="244"/>
      <c r="J142" s="244"/>
      <c r="K142" s="244"/>
      <c r="L142" s="244"/>
      <c r="M142" s="244"/>
      <c r="N142" s="244"/>
      <c r="O142" s="244"/>
      <c r="P142" s="244"/>
      <c r="Q142" s="248"/>
      <c r="R142" s="248"/>
      <c r="S142" s="248"/>
      <c r="T142" s="248"/>
      <c r="U142" s="248"/>
      <c r="V142" s="248"/>
      <c r="W142" s="248"/>
      <c r="X142" s="248"/>
      <c r="Y142" s="248"/>
      <c r="Z142" s="248"/>
      <c r="AA142" s="248"/>
      <c r="AB142" s="248"/>
      <c r="AC142" s="248"/>
      <c r="AD142" s="248"/>
      <c r="AE142" s="248"/>
      <c r="AF142" s="248"/>
      <c r="AG142" s="248"/>
      <c r="AH142" s="248"/>
      <c r="AI142" s="248"/>
      <c r="AJ142" s="248"/>
      <c r="AK142" s="248"/>
      <c r="AL142" s="248"/>
      <c r="AM142" s="248"/>
      <c r="AN142" s="248"/>
      <c r="AO142" s="248"/>
      <c r="AP142" s="248"/>
      <c r="AQ142" s="248"/>
      <c r="AR142" s="248"/>
      <c r="AS142" s="248"/>
      <c r="AT142" s="248"/>
      <c r="AU142" s="248"/>
      <c r="AV142" s="248"/>
      <c r="AW142" s="248"/>
      <c r="AX142" s="248"/>
      <c r="AY142" s="248"/>
    </row>
    <row r="143" spans="1:51">
      <c r="A143" s="244"/>
      <c r="B143" s="244"/>
      <c r="C143" s="286"/>
      <c r="D143" s="287"/>
      <c r="E143" s="244"/>
      <c r="F143" s="280"/>
      <c r="G143" s="282"/>
      <c r="H143" s="244"/>
      <c r="I143" s="244"/>
      <c r="J143" s="244"/>
      <c r="K143" s="244"/>
      <c r="L143" s="244"/>
      <c r="M143" s="244"/>
      <c r="N143" s="244"/>
      <c r="O143" s="244"/>
      <c r="P143" s="244"/>
      <c r="Q143" s="248"/>
      <c r="R143" s="248"/>
      <c r="S143" s="248"/>
      <c r="T143" s="248"/>
      <c r="U143" s="248"/>
      <c r="V143" s="248"/>
      <c r="W143" s="248"/>
      <c r="X143" s="248"/>
      <c r="Y143" s="248"/>
      <c r="Z143" s="248"/>
      <c r="AA143" s="248"/>
      <c r="AB143" s="248"/>
      <c r="AC143" s="248"/>
      <c r="AD143" s="248"/>
      <c r="AE143" s="248"/>
      <c r="AF143" s="248"/>
      <c r="AG143" s="248"/>
      <c r="AH143" s="248"/>
      <c r="AI143" s="248"/>
      <c r="AJ143" s="248"/>
      <c r="AK143" s="248"/>
      <c r="AL143" s="248"/>
      <c r="AM143" s="248"/>
      <c r="AN143" s="248"/>
      <c r="AO143" s="248"/>
      <c r="AP143" s="248"/>
      <c r="AQ143" s="248"/>
      <c r="AR143" s="248"/>
      <c r="AS143" s="248"/>
      <c r="AT143" s="248"/>
      <c r="AU143" s="248"/>
      <c r="AV143" s="248"/>
      <c r="AW143" s="248"/>
      <c r="AX143" s="248"/>
      <c r="AY143" s="248"/>
    </row>
    <row r="144" spans="1:51">
      <c r="A144" s="244"/>
      <c r="B144" s="244"/>
      <c r="C144" s="286"/>
      <c r="D144" s="287"/>
      <c r="E144" s="244"/>
      <c r="F144" s="280"/>
      <c r="G144" s="282"/>
      <c r="H144" s="244"/>
      <c r="I144" s="244"/>
      <c r="J144" s="244"/>
      <c r="K144" s="244"/>
      <c r="L144" s="244"/>
      <c r="M144" s="244"/>
      <c r="N144" s="244"/>
      <c r="O144" s="244"/>
      <c r="P144" s="244"/>
      <c r="Q144" s="248"/>
      <c r="R144" s="248"/>
      <c r="S144" s="248"/>
      <c r="T144" s="248"/>
      <c r="U144" s="248"/>
      <c r="V144" s="248"/>
      <c r="W144" s="248"/>
      <c r="X144" s="248"/>
      <c r="Y144" s="248"/>
      <c r="Z144" s="248"/>
      <c r="AA144" s="248"/>
      <c r="AB144" s="248"/>
      <c r="AC144" s="248"/>
      <c r="AD144" s="248"/>
      <c r="AE144" s="248"/>
      <c r="AF144" s="248"/>
      <c r="AG144" s="248"/>
      <c r="AH144" s="248"/>
      <c r="AI144" s="248"/>
      <c r="AJ144" s="248"/>
      <c r="AK144" s="248"/>
      <c r="AL144" s="248"/>
      <c r="AM144" s="248"/>
      <c r="AN144" s="248"/>
      <c r="AO144" s="248"/>
      <c r="AP144" s="248"/>
      <c r="AQ144" s="248"/>
      <c r="AR144" s="248"/>
      <c r="AS144" s="248"/>
      <c r="AT144" s="248"/>
      <c r="AU144" s="248"/>
      <c r="AV144" s="248"/>
      <c r="AW144" s="248"/>
      <c r="AX144" s="248"/>
      <c r="AY144" s="248"/>
    </row>
    <row r="145" spans="1:51">
      <c r="A145" s="244"/>
      <c r="B145" s="244"/>
      <c r="C145" s="286"/>
      <c r="D145" s="287"/>
      <c r="E145" s="244"/>
      <c r="F145" s="280"/>
      <c r="G145" s="282"/>
      <c r="H145" s="244"/>
      <c r="I145" s="244"/>
      <c r="J145" s="244"/>
      <c r="K145" s="244"/>
      <c r="L145" s="244"/>
      <c r="M145" s="244"/>
      <c r="N145" s="244"/>
      <c r="O145" s="244"/>
      <c r="P145" s="244"/>
      <c r="Q145" s="248"/>
      <c r="R145" s="248"/>
      <c r="S145" s="248"/>
      <c r="T145" s="248"/>
      <c r="U145" s="248"/>
      <c r="V145" s="248"/>
      <c r="W145" s="248"/>
      <c r="X145" s="248"/>
      <c r="Y145" s="248"/>
      <c r="Z145" s="248"/>
      <c r="AA145" s="248"/>
      <c r="AB145" s="248"/>
      <c r="AC145" s="248"/>
      <c r="AD145" s="248"/>
      <c r="AE145" s="248"/>
      <c r="AF145" s="248"/>
      <c r="AG145" s="248"/>
      <c r="AH145" s="248"/>
      <c r="AI145" s="248"/>
      <c r="AJ145" s="248"/>
      <c r="AK145" s="248"/>
      <c r="AL145" s="248"/>
      <c r="AM145" s="248"/>
      <c r="AN145" s="248"/>
      <c r="AO145" s="248"/>
      <c r="AP145" s="248"/>
      <c r="AQ145" s="248"/>
      <c r="AR145" s="248"/>
      <c r="AS145" s="248"/>
      <c r="AT145" s="248"/>
      <c r="AU145" s="248"/>
      <c r="AV145" s="248"/>
      <c r="AW145" s="248"/>
      <c r="AX145" s="248"/>
      <c r="AY145" s="248"/>
    </row>
    <row r="146" spans="1:51">
      <c r="A146" s="244"/>
      <c r="B146" s="244"/>
      <c r="C146" s="286"/>
      <c r="D146" s="287"/>
      <c r="E146" s="244"/>
      <c r="F146" s="280"/>
      <c r="G146" s="282"/>
      <c r="H146" s="244"/>
      <c r="I146" s="244"/>
      <c r="J146" s="244"/>
      <c r="K146" s="244"/>
      <c r="L146" s="244"/>
      <c r="M146" s="244"/>
      <c r="N146" s="244"/>
      <c r="O146" s="244"/>
      <c r="P146" s="244"/>
      <c r="Q146" s="248"/>
      <c r="R146" s="248"/>
      <c r="S146" s="248"/>
      <c r="T146" s="248"/>
      <c r="U146" s="248"/>
      <c r="V146" s="248"/>
      <c r="W146" s="248"/>
      <c r="X146" s="248"/>
      <c r="Y146" s="248"/>
      <c r="Z146" s="248"/>
      <c r="AA146" s="248"/>
      <c r="AB146" s="248"/>
      <c r="AC146" s="248"/>
      <c r="AD146" s="248"/>
      <c r="AE146" s="248"/>
      <c r="AF146" s="248"/>
      <c r="AG146" s="248"/>
      <c r="AH146" s="248"/>
      <c r="AI146" s="248"/>
      <c r="AJ146" s="248"/>
      <c r="AK146" s="248"/>
      <c r="AL146" s="248"/>
      <c r="AM146" s="248"/>
      <c r="AN146" s="248"/>
      <c r="AO146" s="248"/>
      <c r="AP146" s="248"/>
      <c r="AQ146" s="248"/>
      <c r="AR146" s="248"/>
      <c r="AS146" s="248"/>
      <c r="AT146" s="248"/>
      <c r="AU146" s="248"/>
      <c r="AV146" s="248"/>
      <c r="AW146" s="248"/>
      <c r="AX146" s="248"/>
      <c r="AY146" s="248"/>
    </row>
    <row r="147" spans="1:51">
      <c r="A147" s="244"/>
      <c r="B147" s="244"/>
      <c r="C147" s="286"/>
      <c r="D147" s="287"/>
      <c r="E147" s="244"/>
      <c r="F147" s="280"/>
      <c r="G147" s="282"/>
      <c r="H147" s="244"/>
      <c r="I147" s="244"/>
      <c r="J147" s="244"/>
      <c r="K147" s="244"/>
      <c r="L147" s="244"/>
      <c r="M147" s="244"/>
      <c r="N147" s="244"/>
      <c r="O147" s="244"/>
      <c r="P147" s="244"/>
      <c r="Q147" s="248"/>
      <c r="R147" s="248"/>
      <c r="S147" s="248"/>
      <c r="T147" s="248"/>
      <c r="U147" s="248"/>
      <c r="V147" s="248"/>
      <c r="W147" s="248"/>
      <c r="X147" s="248"/>
      <c r="Y147" s="248"/>
      <c r="Z147" s="248"/>
      <c r="AA147" s="248"/>
      <c r="AB147" s="248"/>
      <c r="AC147" s="248"/>
      <c r="AD147" s="248"/>
      <c r="AE147" s="248"/>
      <c r="AF147" s="248"/>
      <c r="AG147" s="248"/>
      <c r="AH147" s="248"/>
      <c r="AI147" s="248"/>
      <c r="AJ147" s="248"/>
      <c r="AK147" s="248"/>
      <c r="AL147" s="248"/>
      <c r="AM147" s="248"/>
      <c r="AN147" s="248"/>
      <c r="AO147" s="248"/>
      <c r="AP147" s="248"/>
      <c r="AQ147" s="248"/>
      <c r="AR147" s="248"/>
      <c r="AS147" s="248"/>
      <c r="AT147" s="248"/>
      <c r="AU147" s="248"/>
      <c r="AV147" s="248"/>
      <c r="AW147" s="248"/>
      <c r="AX147" s="248"/>
      <c r="AY147" s="248"/>
    </row>
    <row r="148" spans="1:51">
      <c r="A148" s="244"/>
      <c r="B148" s="244"/>
      <c r="C148" s="286"/>
      <c r="D148" s="287"/>
      <c r="E148" s="244"/>
      <c r="F148" s="280"/>
      <c r="G148" s="282"/>
      <c r="H148" s="244"/>
      <c r="I148" s="244"/>
      <c r="J148" s="244"/>
      <c r="K148" s="244"/>
      <c r="L148" s="244"/>
      <c r="M148" s="244"/>
      <c r="N148" s="244"/>
      <c r="O148" s="244"/>
      <c r="P148" s="244"/>
      <c r="Q148" s="248"/>
      <c r="R148" s="248"/>
      <c r="S148" s="248"/>
      <c r="T148" s="248"/>
      <c r="U148" s="248"/>
      <c r="V148" s="248"/>
      <c r="W148" s="248"/>
      <c r="X148" s="248"/>
      <c r="Y148" s="248"/>
      <c r="Z148" s="248"/>
      <c r="AA148" s="248"/>
      <c r="AB148" s="248"/>
      <c r="AC148" s="248"/>
      <c r="AD148" s="248"/>
      <c r="AE148" s="248"/>
      <c r="AF148" s="248"/>
      <c r="AG148" s="248"/>
      <c r="AH148" s="248"/>
      <c r="AI148" s="248"/>
      <c r="AJ148" s="248"/>
      <c r="AK148" s="248"/>
      <c r="AL148" s="248"/>
      <c r="AM148" s="248"/>
      <c r="AN148" s="248"/>
      <c r="AO148" s="248"/>
      <c r="AP148" s="248"/>
      <c r="AQ148" s="248"/>
      <c r="AR148" s="248"/>
      <c r="AS148" s="248"/>
      <c r="AT148" s="248"/>
      <c r="AU148" s="248"/>
      <c r="AV148" s="248"/>
      <c r="AW148" s="248"/>
      <c r="AX148" s="248"/>
      <c r="AY148" s="248"/>
    </row>
    <row r="149" spans="1:51">
      <c r="A149" s="244"/>
      <c r="B149" s="244"/>
      <c r="C149" s="286"/>
      <c r="D149" s="287"/>
      <c r="E149" s="244"/>
      <c r="F149" s="280"/>
      <c r="G149" s="282"/>
      <c r="H149" s="244"/>
      <c r="I149" s="244"/>
      <c r="J149" s="244"/>
      <c r="K149" s="244"/>
      <c r="L149" s="244"/>
      <c r="M149" s="244"/>
      <c r="N149" s="244"/>
      <c r="O149" s="244"/>
      <c r="P149" s="244"/>
      <c r="Q149" s="248"/>
      <c r="R149" s="248"/>
      <c r="S149" s="248"/>
      <c r="T149" s="248"/>
      <c r="U149" s="248"/>
      <c r="V149" s="248"/>
      <c r="W149" s="248"/>
      <c r="X149" s="248"/>
      <c r="Y149" s="248"/>
      <c r="Z149" s="248"/>
      <c r="AA149" s="248"/>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row>
    <row r="150" spans="1:51">
      <c r="A150" s="244"/>
      <c r="B150" s="244"/>
      <c r="C150" s="286"/>
      <c r="D150" s="287"/>
      <c r="E150" s="244"/>
      <c r="F150" s="280"/>
      <c r="G150" s="282"/>
      <c r="H150" s="244"/>
      <c r="I150" s="244"/>
      <c r="J150" s="244"/>
      <c r="K150" s="244"/>
      <c r="L150" s="244"/>
      <c r="M150" s="244"/>
      <c r="N150" s="244"/>
      <c r="O150" s="244"/>
      <c r="P150" s="244"/>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48"/>
      <c r="AQ150" s="248"/>
      <c r="AR150" s="248"/>
      <c r="AS150" s="248"/>
      <c r="AT150" s="248"/>
      <c r="AU150" s="248"/>
      <c r="AV150" s="248"/>
      <c r="AW150" s="248"/>
      <c r="AX150" s="248"/>
      <c r="AY150" s="248"/>
    </row>
    <row r="151" spans="1:51">
      <c r="A151" s="244"/>
      <c r="B151" s="244"/>
      <c r="C151" s="286"/>
      <c r="D151" s="287"/>
      <c r="E151" s="244"/>
      <c r="F151" s="280"/>
      <c r="G151" s="282"/>
      <c r="H151" s="244"/>
      <c r="I151" s="244"/>
      <c r="J151" s="244"/>
      <c r="K151" s="244"/>
      <c r="L151" s="244"/>
      <c r="M151" s="244"/>
      <c r="N151" s="244"/>
      <c r="O151" s="244"/>
      <c r="P151" s="244"/>
      <c r="Q151" s="248"/>
      <c r="R151" s="248"/>
      <c r="S151" s="248"/>
      <c r="T151" s="248"/>
      <c r="U151" s="248"/>
      <c r="V151" s="248"/>
      <c r="W151" s="248"/>
      <c r="X151" s="248"/>
      <c r="Y151" s="248"/>
      <c r="Z151" s="248"/>
      <c r="AA151" s="248"/>
      <c r="AB151" s="248"/>
      <c r="AC151" s="248"/>
      <c r="AD151" s="248"/>
      <c r="AE151" s="248"/>
      <c r="AF151" s="248"/>
      <c r="AG151" s="248"/>
      <c r="AH151" s="248"/>
      <c r="AI151" s="248"/>
      <c r="AJ151" s="248"/>
      <c r="AK151" s="248"/>
      <c r="AL151" s="248"/>
      <c r="AM151" s="248"/>
      <c r="AN151" s="248"/>
      <c r="AO151" s="248"/>
      <c r="AP151" s="248"/>
      <c r="AQ151" s="248"/>
      <c r="AR151" s="248"/>
      <c r="AS151" s="248"/>
      <c r="AT151" s="248"/>
      <c r="AU151" s="248"/>
      <c r="AV151" s="248"/>
      <c r="AW151" s="248"/>
      <c r="AX151" s="248"/>
      <c r="AY151" s="248"/>
    </row>
    <row r="152" spans="1:51">
      <c r="A152" s="244"/>
      <c r="B152" s="244"/>
      <c r="C152" s="286"/>
      <c r="D152" s="287"/>
      <c r="E152" s="244"/>
      <c r="F152" s="280"/>
      <c r="G152" s="282"/>
      <c r="H152" s="244"/>
      <c r="I152" s="244"/>
      <c r="J152" s="244"/>
      <c r="K152" s="244"/>
      <c r="L152" s="244"/>
      <c r="M152" s="244"/>
      <c r="N152" s="244"/>
      <c r="O152" s="244"/>
      <c r="P152" s="244"/>
      <c r="Q152" s="248"/>
      <c r="R152" s="248"/>
      <c r="S152" s="248"/>
      <c r="T152" s="248"/>
      <c r="U152" s="248"/>
      <c r="V152" s="248"/>
      <c r="W152" s="248"/>
      <c r="X152" s="248"/>
      <c r="Y152" s="248"/>
      <c r="Z152" s="248"/>
      <c r="AA152" s="248"/>
      <c r="AB152" s="248"/>
      <c r="AC152" s="248"/>
      <c r="AD152" s="248"/>
      <c r="AE152" s="248"/>
      <c r="AF152" s="248"/>
      <c r="AG152" s="248"/>
      <c r="AH152" s="248"/>
      <c r="AI152" s="248"/>
      <c r="AJ152" s="248"/>
      <c r="AK152" s="248"/>
      <c r="AL152" s="248"/>
      <c r="AM152" s="248"/>
      <c r="AN152" s="248"/>
      <c r="AO152" s="248"/>
      <c r="AP152" s="248"/>
      <c r="AQ152" s="248"/>
      <c r="AR152" s="248"/>
      <c r="AS152" s="248"/>
      <c r="AT152" s="248"/>
      <c r="AU152" s="248"/>
      <c r="AV152" s="248"/>
      <c r="AW152" s="248"/>
      <c r="AX152" s="248"/>
      <c r="AY152" s="248"/>
    </row>
    <row r="153" spans="1:51">
      <c r="A153" s="244"/>
      <c r="B153" s="244"/>
      <c r="C153" s="286"/>
      <c r="D153" s="287"/>
      <c r="E153" s="244"/>
      <c r="F153" s="280"/>
      <c r="G153" s="282"/>
      <c r="H153" s="244"/>
      <c r="I153" s="244"/>
      <c r="J153" s="244"/>
      <c r="K153" s="244"/>
      <c r="L153" s="244"/>
      <c r="M153" s="244"/>
      <c r="N153" s="244"/>
      <c r="O153" s="244"/>
      <c r="P153" s="244"/>
      <c r="Q153" s="248"/>
      <c r="R153" s="248"/>
      <c r="S153" s="248"/>
      <c r="T153" s="248"/>
      <c r="U153" s="248"/>
      <c r="V153" s="248"/>
      <c r="W153" s="248"/>
      <c r="X153" s="248"/>
      <c r="Y153" s="248"/>
      <c r="Z153" s="248"/>
      <c r="AA153" s="248"/>
      <c r="AB153" s="248"/>
      <c r="AC153" s="248"/>
      <c r="AD153" s="248"/>
      <c r="AE153" s="248"/>
      <c r="AF153" s="248"/>
      <c r="AG153" s="248"/>
      <c r="AH153" s="248"/>
      <c r="AI153" s="248"/>
      <c r="AJ153" s="248"/>
      <c r="AK153" s="248"/>
      <c r="AL153" s="248"/>
      <c r="AM153" s="248"/>
      <c r="AN153" s="248"/>
      <c r="AO153" s="248"/>
      <c r="AP153" s="248"/>
      <c r="AQ153" s="248"/>
      <c r="AR153" s="248"/>
      <c r="AS153" s="248"/>
      <c r="AT153" s="248"/>
      <c r="AU153" s="248"/>
      <c r="AV153" s="248"/>
      <c r="AW153" s="248"/>
      <c r="AX153" s="248"/>
      <c r="AY153" s="248"/>
    </row>
    <row r="154" spans="1:51">
      <c r="A154" s="244"/>
      <c r="B154" s="244"/>
      <c r="C154" s="286"/>
      <c r="D154" s="287"/>
      <c r="E154" s="244"/>
      <c r="F154" s="280"/>
      <c r="G154" s="282"/>
      <c r="H154" s="244"/>
      <c r="I154" s="244"/>
      <c r="J154" s="244"/>
      <c r="K154" s="244"/>
      <c r="L154" s="244"/>
      <c r="M154" s="244"/>
      <c r="N154" s="244"/>
      <c r="O154" s="244"/>
      <c r="P154" s="244"/>
      <c r="Q154" s="248"/>
      <c r="R154" s="248"/>
      <c r="S154" s="248"/>
      <c r="T154" s="248"/>
      <c r="U154" s="248"/>
      <c r="V154" s="248"/>
      <c r="W154" s="248"/>
      <c r="X154" s="248"/>
      <c r="Y154" s="248"/>
      <c r="Z154" s="248"/>
      <c r="AA154" s="248"/>
      <c r="AB154" s="248"/>
      <c r="AC154" s="248"/>
      <c r="AD154" s="248"/>
      <c r="AE154" s="248"/>
      <c r="AF154" s="248"/>
      <c r="AG154" s="248"/>
      <c r="AH154" s="248"/>
      <c r="AI154" s="248"/>
      <c r="AJ154" s="248"/>
      <c r="AK154" s="248"/>
      <c r="AL154" s="248"/>
      <c r="AM154" s="248"/>
      <c r="AN154" s="248"/>
      <c r="AO154" s="248"/>
      <c r="AP154" s="248"/>
      <c r="AQ154" s="248"/>
      <c r="AR154" s="248"/>
      <c r="AS154" s="248"/>
      <c r="AT154" s="248"/>
      <c r="AU154" s="248"/>
      <c r="AV154" s="248"/>
      <c r="AW154" s="248"/>
      <c r="AX154" s="248"/>
      <c r="AY154" s="248"/>
    </row>
    <row r="155" spans="1:51">
      <c r="A155" s="244"/>
      <c r="B155" s="244"/>
      <c r="C155" s="286"/>
      <c r="D155" s="287"/>
      <c r="E155" s="244"/>
      <c r="F155" s="280"/>
      <c r="G155" s="282"/>
      <c r="H155" s="244"/>
      <c r="I155" s="244"/>
      <c r="J155" s="244"/>
      <c r="K155" s="244"/>
      <c r="L155" s="244"/>
      <c r="M155" s="244"/>
      <c r="N155" s="244"/>
      <c r="O155" s="244"/>
      <c r="P155" s="244"/>
      <c r="Q155" s="248"/>
      <c r="R155" s="248"/>
      <c r="S155" s="248"/>
      <c r="T155" s="248"/>
      <c r="U155" s="248"/>
      <c r="V155" s="248"/>
      <c r="W155" s="248"/>
      <c r="X155" s="248"/>
      <c r="Y155" s="248"/>
      <c r="Z155" s="248"/>
      <c r="AA155" s="248"/>
      <c r="AB155" s="248"/>
      <c r="AC155" s="248"/>
      <c r="AD155" s="248"/>
      <c r="AE155" s="248"/>
      <c r="AF155" s="248"/>
      <c r="AG155" s="248"/>
      <c r="AH155" s="248"/>
      <c r="AI155" s="248"/>
      <c r="AJ155" s="248"/>
      <c r="AK155" s="248"/>
      <c r="AL155" s="248"/>
      <c r="AM155" s="248"/>
      <c r="AN155" s="248"/>
      <c r="AO155" s="248"/>
      <c r="AP155" s="248"/>
      <c r="AQ155" s="248"/>
      <c r="AR155" s="248"/>
      <c r="AS155" s="248"/>
      <c r="AT155" s="248"/>
      <c r="AU155" s="248"/>
      <c r="AV155" s="248"/>
      <c r="AW155" s="248"/>
      <c r="AX155" s="248"/>
      <c r="AY155" s="248"/>
    </row>
    <row r="156" spans="1:51">
      <c r="A156" s="244"/>
      <c r="B156" s="244"/>
      <c r="C156" s="286"/>
      <c r="D156" s="287"/>
      <c r="E156" s="244"/>
      <c r="F156" s="280"/>
      <c r="G156" s="282"/>
      <c r="H156" s="244"/>
      <c r="I156" s="244"/>
      <c r="J156" s="244"/>
      <c r="K156" s="244"/>
      <c r="L156" s="244"/>
      <c r="M156" s="244"/>
      <c r="N156" s="244"/>
      <c r="O156" s="244"/>
      <c r="P156" s="244"/>
      <c r="Q156" s="248"/>
      <c r="R156" s="248"/>
      <c r="S156" s="248"/>
      <c r="T156" s="248"/>
      <c r="U156" s="248"/>
      <c r="V156" s="248"/>
      <c r="W156" s="248"/>
      <c r="X156" s="248"/>
      <c r="Y156" s="248"/>
      <c r="Z156" s="248"/>
      <c r="AA156" s="248"/>
      <c r="AB156" s="248"/>
      <c r="AC156" s="248"/>
      <c r="AD156" s="248"/>
      <c r="AE156" s="248"/>
      <c r="AF156" s="248"/>
      <c r="AG156" s="248"/>
      <c r="AH156" s="248"/>
      <c r="AI156" s="248"/>
      <c r="AJ156" s="248"/>
      <c r="AK156" s="248"/>
      <c r="AL156" s="248"/>
      <c r="AM156" s="248"/>
      <c r="AN156" s="248"/>
      <c r="AO156" s="248"/>
      <c r="AP156" s="248"/>
      <c r="AQ156" s="248"/>
      <c r="AR156" s="248"/>
      <c r="AS156" s="248"/>
      <c r="AT156" s="248"/>
      <c r="AU156" s="248"/>
      <c r="AV156" s="248"/>
      <c r="AW156" s="248"/>
      <c r="AX156" s="248"/>
      <c r="AY156" s="248"/>
    </row>
    <row r="157" spans="1:51">
      <c r="A157" s="244"/>
      <c r="B157" s="244"/>
      <c r="C157" s="286"/>
      <c r="D157" s="287"/>
      <c r="E157" s="244"/>
      <c r="F157" s="280"/>
      <c r="G157" s="282"/>
      <c r="H157" s="244"/>
      <c r="I157" s="244"/>
      <c r="J157" s="244"/>
      <c r="K157" s="244"/>
      <c r="L157" s="244"/>
      <c r="M157" s="244"/>
      <c r="N157" s="244"/>
      <c r="O157" s="244"/>
      <c r="P157" s="244"/>
      <c r="Q157" s="248"/>
      <c r="R157" s="248"/>
      <c r="S157" s="248"/>
      <c r="T157" s="248"/>
      <c r="U157" s="248"/>
      <c r="V157" s="248"/>
      <c r="W157" s="248"/>
      <c r="X157" s="248"/>
      <c r="Y157" s="248"/>
      <c r="Z157" s="248"/>
      <c r="AA157" s="248"/>
      <c r="AB157" s="248"/>
      <c r="AC157" s="248"/>
      <c r="AD157" s="248"/>
      <c r="AE157" s="248"/>
      <c r="AF157" s="248"/>
      <c r="AG157" s="248"/>
      <c r="AH157" s="248"/>
      <c r="AI157" s="248"/>
      <c r="AJ157" s="248"/>
      <c r="AK157" s="248"/>
      <c r="AL157" s="248"/>
      <c r="AM157" s="248"/>
      <c r="AN157" s="248"/>
      <c r="AO157" s="248"/>
      <c r="AP157" s="248"/>
      <c r="AQ157" s="248"/>
      <c r="AR157" s="248"/>
      <c r="AS157" s="248"/>
      <c r="AT157" s="248"/>
      <c r="AU157" s="248"/>
      <c r="AV157" s="248"/>
      <c r="AW157" s="248"/>
      <c r="AX157" s="248"/>
      <c r="AY157" s="248"/>
    </row>
    <row r="158" spans="1:51">
      <c r="A158" s="244"/>
      <c r="B158" s="244"/>
      <c r="C158" s="286"/>
      <c r="D158" s="287"/>
      <c r="E158" s="244"/>
      <c r="F158" s="280"/>
      <c r="G158" s="282"/>
      <c r="H158" s="244"/>
      <c r="I158" s="244"/>
      <c r="J158" s="244"/>
      <c r="K158" s="244"/>
      <c r="L158" s="244"/>
      <c r="M158" s="244"/>
      <c r="N158" s="244"/>
      <c r="O158" s="244"/>
      <c r="P158" s="244"/>
      <c r="Q158" s="248"/>
      <c r="R158" s="248"/>
      <c r="S158" s="248"/>
      <c r="T158" s="248"/>
      <c r="U158" s="248"/>
      <c r="V158" s="248"/>
      <c r="W158" s="248"/>
      <c r="X158" s="248"/>
      <c r="Y158" s="248"/>
      <c r="Z158" s="248"/>
      <c r="AA158" s="248"/>
      <c r="AB158" s="248"/>
      <c r="AC158" s="248"/>
      <c r="AD158" s="248"/>
      <c r="AE158" s="248"/>
      <c r="AF158" s="248"/>
      <c r="AG158" s="248"/>
      <c r="AH158" s="248"/>
      <c r="AI158" s="248"/>
      <c r="AJ158" s="248"/>
      <c r="AK158" s="248"/>
      <c r="AL158" s="248"/>
      <c r="AM158" s="248"/>
      <c r="AN158" s="248"/>
      <c r="AO158" s="248"/>
      <c r="AP158" s="248"/>
      <c r="AQ158" s="248"/>
      <c r="AR158" s="248"/>
      <c r="AS158" s="248"/>
      <c r="AT158" s="248"/>
      <c r="AU158" s="248"/>
      <c r="AV158" s="248"/>
      <c r="AW158" s="248"/>
      <c r="AX158" s="248"/>
      <c r="AY158" s="248"/>
    </row>
    <row r="159" spans="1:51">
      <c r="A159" s="244"/>
      <c r="B159" s="244"/>
      <c r="C159" s="286"/>
      <c r="D159" s="287"/>
      <c r="E159" s="244"/>
      <c r="F159" s="280"/>
      <c r="G159" s="282"/>
      <c r="H159" s="244"/>
      <c r="I159" s="244"/>
      <c r="J159" s="244"/>
      <c r="K159" s="244"/>
      <c r="L159" s="244"/>
      <c r="M159" s="244"/>
      <c r="N159" s="244"/>
      <c r="O159" s="244"/>
      <c r="P159" s="244"/>
      <c r="Q159" s="248"/>
      <c r="R159" s="248"/>
      <c r="S159" s="248"/>
      <c r="T159" s="248"/>
      <c r="U159" s="248"/>
      <c r="V159" s="248"/>
      <c r="W159" s="248"/>
      <c r="X159" s="248"/>
      <c r="Y159" s="248"/>
      <c r="Z159" s="248"/>
      <c r="AA159" s="248"/>
      <c r="AB159" s="248"/>
      <c r="AC159" s="248"/>
      <c r="AD159" s="248"/>
      <c r="AE159" s="248"/>
      <c r="AF159" s="248"/>
      <c r="AG159" s="248"/>
      <c r="AH159" s="248"/>
      <c r="AI159" s="248"/>
      <c r="AJ159" s="248"/>
      <c r="AK159" s="248"/>
      <c r="AL159" s="248"/>
      <c r="AM159" s="248"/>
      <c r="AN159" s="248"/>
      <c r="AO159" s="248"/>
      <c r="AP159" s="248"/>
      <c r="AQ159" s="248"/>
      <c r="AR159" s="248"/>
      <c r="AS159" s="248"/>
      <c r="AT159" s="248"/>
      <c r="AU159" s="248"/>
      <c r="AV159" s="248"/>
      <c r="AW159" s="248"/>
      <c r="AX159" s="248"/>
      <c r="AY159" s="248"/>
    </row>
    <row r="160" spans="1:51">
      <c r="A160" s="244"/>
      <c r="B160" s="244"/>
      <c r="C160" s="286"/>
      <c r="D160" s="287"/>
      <c r="E160" s="244"/>
      <c r="F160" s="280"/>
      <c r="G160" s="282"/>
      <c r="H160" s="244"/>
      <c r="I160" s="244"/>
      <c r="J160" s="244"/>
      <c r="K160" s="244"/>
      <c r="L160" s="244"/>
      <c r="M160" s="244"/>
      <c r="N160" s="244"/>
      <c r="O160" s="244"/>
      <c r="P160" s="244"/>
      <c r="Q160" s="248"/>
      <c r="R160" s="248"/>
      <c r="S160" s="248"/>
      <c r="T160" s="248"/>
      <c r="U160" s="248"/>
      <c r="V160" s="248"/>
      <c r="W160" s="248"/>
      <c r="X160" s="248"/>
      <c r="Y160" s="248"/>
      <c r="Z160" s="248"/>
      <c r="AA160" s="248"/>
      <c r="AB160" s="248"/>
      <c r="AC160" s="248"/>
      <c r="AD160" s="248"/>
      <c r="AE160" s="248"/>
      <c r="AF160" s="248"/>
      <c r="AG160" s="248"/>
      <c r="AH160" s="248"/>
      <c r="AI160" s="248"/>
      <c r="AJ160" s="248"/>
      <c r="AK160" s="248"/>
      <c r="AL160" s="248"/>
      <c r="AM160" s="248"/>
      <c r="AN160" s="248"/>
      <c r="AO160" s="248"/>
      <c r="AP160" s="248"/>
      <c r="AQ160" s="248"/>
      <c r="AR160" s="248"/>
      <c r="AS160" s="248"/>
      <c r="AT160" s="248"/>
      <c r="AU160" s="248"/>
      <c r="AV160" s="248"/>
      <c r="AW160" s="248"/>
      <c r="AX160" s="248"/>
      <c r="AY160" s="248"/>
    </row>
    <row r="161" spans="1:51">
      <c r="A161" s="244"/>
      <c r="B161" s="244"/>
      <c r="C161" s="286"/>
      <c r="D161" s="287"/>
      <c r="E161" s="244"/>
      <c r="F161" s="280"/>
      <c r="G161" s="282"/>
      <c r="H161" s="244"/>
      <c r="I161" s="244"/>
      <c r="J161" s="244"/>
      <c r="K161" s="244"/>
      <c r="L161" s="244"/>
      <c r="M161" s="244"/>
      <c r="N161" s="244"/>
      <c r="O161" s="244"/>
      <c r="P161" s="244"/>
      <c r="Q161" s="248"/>
      <c r="R161" s="248"/>
      <c r="S161" s="248"/>
      <c r="T161" s="248"/>
      <c r="U161" s="248"/>
      <c r="V161" s="248"/>
      <c r="W161" s="248"/>
      <c r="X161" s="248"/>
      <c r="Y161" s="248"/>
      <c r="Z161" s="248"/>
      <c r="AA161" s="248"/>
      <c r="AB161" s="248"/>
      <c r="AC161" s="248"/>
      <c r="AD161" s="248"/>
      <c r="AE161" s="248"/>
      <c r="AF161" s="248"/>
      <c r="AG161" s="248"/>
      <c r="AH161" s="248"/>
      <c r="AI161" s="248"/>
      <c r="AJ161" s="248"/>
      <c r="AK161" s="248"/>
      <c r="AL161" s="248"/>
      <c r="AM161" s="248"/>
      <c r="AN161" s="248"/>
      <c r="AO161" s="248"/>
      <c r="AP161" s="248"/>
      <c r="AQ161" s="248"/>
      <c r="AR161" s="248"/>
      <c r="AS161" s="248"/>
      <c r="AT161" s="248"/>
      <c r="AU161" s="248"/>
      <c r="AV161" s="248"/>
      <c r="AW161" s="248"/>
      <c r="AX161" s="248"/>
      <c r="AY161" s="248"/>
    </row>
    <row r="162" spans="1:51">
      <c r="A162" s="244"/>
      <c r="B162" s="244"/>
      <c r="C162" s="286"/>
      <c r="D162" s="287"/>
      <c r="E162" s="244"/>
      <c r="F162" s="280"/>
      <c r="G162" s="282"/>
      <c r="H162" s="244"/>
      <c r="I162" s="244"/>
      <c r="J162" s="244"/>
      <c r="K162" s="244"/>
      <c r="L162" s="244"/>
      <c r="M162" s="244"/>
      <c r="N162" s="244"/>
      <c r="O162" s="244"/>
      <c r="P162" s="244"/>
      <c r="Q162" s="248"/>
      <c r="R162" s="248"/>
      <c r="S162" s="248"/>
      <c r="T162" s="248"/>
      <c r="U162" s="248"/>
      <c r="V162" s="248"/>
      <c r="W162" s="248"/>
      <c r="X162" s="248"/>
      <c r="Y162" s="248"/>
      <c r="Z162" s="248"/>
      <c r="AA162" s="248"/>
      <c r="AB162" s="248"/>
      <c r="AC162" s="248"/>
      <c r="AD162" s="248"/>
      <c r="AE162" s="248"/>
      <c r="AF162" s="248"/>
      <c r="AG162" s="248"/>
      <c r="AH162" s="248"/>
      <c r="AI162" s="248"/>
      <c r="AJ162" s="248"/>
      <c r="AK162" s="248"/>
      <c r="AL162" s="248"/>
      <c r="AM162" s="248"/>
      <c r="AN162" s="248"/>
      <c r="AO162" s="248"/>
      <c r="AP162" s="248"/>
      <c r="AQ162" s="248"/>
      <c r="AR162" s="248"/>
      <c r="AS162" s="248"/>
      <c r="AT162" s="248"/>
      <c r="AU162" s="248"/>
      <c r="AV162" s="248"/>
      <c r="AW162" s="248"/>
      <c r="AX162" s="248"/>
      <c r="AY162" s="248"/>
    </row>
    <row r="163" spans="1:51">
      <c r="A163" s="244"/>
      <c r="B163" s="244"/>
      <c r="C163" s="286"/>
      <c r="D163" s="287"/>
      <c r="E163" s="244"/>
      <c r="F163" s="280"/>
      <c r="G163" s="282"/>
      <c r="H163" s="244"/>
      <c r="I163" s="244"/>
      <c r="J163" s="244"/>
      <c r="K163" s="244"/>
      <c r="L163" s="244"/>
      <c r="M163" s="244"/>
      <c r="N163" s="244"/>
      <c r="O163" s="244"/>
      <c r="P163" s="244"/>
      <c r="Q163" s="248"/>
      <c r="R163" s="248"/>
      <c r="S163" s="248"/>
      <c r="T163" s="248"/>
      <c r="U163" s="248"/>
      <c r="V163" s="248"/>
      <c r="W163" s="248"/>
      <c r="X163" s="248"/>
      <c r="Y163" s="248"/>
      <c r="Z163" s="248"/>
      <c r="AA163" s="248"/>
      <c r="AB163" s="248"/>
      <c r="AC163" s="248"/>
      <c r="AD163" s="248"/>
      <c r="AE163" s="248"/>
      <c r="AF163" s="248"/>
      <c r="AG163" s="248"/>
      <c r="AH163" s="248"/>
      <c r="AI163" s="248"/>
      <c r="AJ163" s="248"/>
      <c r="AK163" s="248"/>
      <c r="AL163" s="248"/>
      <c r="AM163" s="248"/>
      <c r="AN163" s="248"/>
      <c r="AO163" s="248"/>
      <c r="AP163" s="248"/>
      <c r="AQ163" s="248"/>
      <c r="AR163" s="248"/>
      <c r="AS163" s="248"/>
      <c r="AT163" s="248"/>
      <c r="AU163" s="248"/>
      <c r="AV163" s="248"/>
      <c r="AW163" s="248"/>
      <c r="AX163" s="248"/>
      <c r="AY163" s="248"/>
    </row>
    <row r="164" spans="1:51">
      <c r="A164" s="244"/>
      <c r="B164" s="244"/>
      <c r="C164" s="286"/>
      <c r="D164" s="287"/>
      <c r="E164" s="244"/>
      <c r="F164" s="280"/>
      <c r="G164" s="282"/>
      <c r="H164" s="244"/>
      <c r="I164" s="244"/>
      <c r="J164" s="244"/>
      <c r="K164" s="244"/>
      <c r="L164" s="244"/>
      <c r="M164" s="244"/>
      <c r="N164" s="244"/>
      <c r="O164" s="244"/>
      <c r="P164" s="244"/>
      <c r="Q164" s="248"/>
      <c r="R164" s="248"/>
      <c r="S164" s="248"/>
      <c r="T164" s="248"/>
      <c r="U164" s="248"/>
      <c r="V164" s="248"/>
      <c r="W164" s="248"/>
      <c r="X164" s="248"/>
      <c r="Y164" s="248"/>
      <c r="Z164" s="248"/>
      <c r="AA164" s="248"/>
      <c r="AB164" s="248"/>
      <c r="AC164" s="248"/>
      <c r="AD164" s="248"/>
      <c r="AE164" s="248"/>
      <c r="AF164" s="248"/>
      <c r="AG164" s="248"/>
      <c r="AH164" s="248"/>
      <c r="AI164" s="248"/>
      <c r="AJ164" s="248"/>
      <c r="AK164" s="248"/>
      <c r="AL164" s="248"/>
      <c r="AM164" s="248"/>
      <c r="AN164" s="248"/>
      <c r="AO164" s="248"/>
      <c r="AP164" s="248"/>
      <c r="AQ164" s="248"/>
      <c r="AR164" s="248"/>
      <c r="AS164" s="248"/>
      <c r="AT164" s="248"/>
      <c r="AU164" s="248"/>
      <c r="AV164" s="248"/>
      <c r="AW164" s="248"/>
      <c r="AX164" s="248"/>
      <c r="AY164" s="248"/>
    </row>
    <row r="165" spans="1:51">
      <c r="A165" s="244"/>
      <c r="B165" s="244"/>
      <c r="C165" s="286"/>
      <c r="D165" s="287"/>
      <c r="E165" s="244"/>
      <c r="F165" s="280"/>
      <c r="G165" s="282"/>
      <c r="H165" s="244"/>
      <c r="I165" s="244"/>
      <c r="J165" s="244"/>
      <c r="K165" s="244"/>
      <c r="L165" s="244"/>
      <c r="M165" s="244"/>
      <c r="N165" s="244"/>
      <c r="O165" s="244"/>
      <c r="P165" s="244"/>
      <c r="Q165" s="248"/>
      <c r="R165" s="248"/>
      <c r="S165" s="248"/>
      <c r="T165" s="248"/>
      <c r="U165" s="248"/>
      <c r="V165" s="248"/>
      <c r="W165" s="248"/>
      <c r="X165" s="248"/>
      <c r="Y165" s="248"/>
      <c r="Z165" s="248"/>
      <c r="AA165" s="248"/>
      <c r="AB165" s="248"/>
      <c r="AC165" s="248"/>
      <c r="AD165" s="248"/>
      <c r="AE165" s="248"/>
      <c r="AF165" s="248"/>
      <c r="AG165" s="248"/>
      <c r="AH165" s="248"/>
      <c r="AI165" s="248"/>
      <c r="AJ165" s="248"/>
      <c r="AK165" s="248"/>
      <c r="AL165" s="248"/>
      <c r="AM165" s="248"/>
      <c r="AN165" s="248"/>
      <c r="AO165" s="248"/>
      <c r="AP165" s="248"/>
      <c r="AQ165" s="248"/>
      <c r="AR165" s="248"/>
      <c r="AS165" s="248"/>
      <c r="AT165" s="248"/>
      <c r="AU165" s="248"/>
      <c r="AV165" s="248"/>
      <c r="AW165" s="248"/>
      <c r="AX165" s="248"/>
      <c r="AY165" s="248"/>
    </row>
    <row r="166" spans="1:51">
      <c r="A166" s="244"/>
      <c r="B166" s="244"/>
      <c r="C166" s="286"/>
      <c r="D166" s="287"/>
      <c r="E166" s="244"/>
      <c r="F166" s="280"/>
      <c r="G166" s="282"/>
      <c r="H166" s="244"/>
      <c r="I166" s="244"/>
      <c r="J166" s="244"/>
      <c r="K166" s="244"/>
      <c r="L166" s="244"/>
      <c r="M166" s="244"/>
      <c r="N166" s="244"/>
      <c r="O166" s="244"/>
      <c r="P166" s="244"/>
      <c r="Q166" s="248"/>
      <c r="R166" s="248"/>
      <c r="S166" s="248"/>
      <c r="T166" s="248"/>
      <c r="U166" s="248"/>
      <c r="V166" s="248"/>
      <c r="W166" s="248"/>
      <c r="X166" s="248"/>
      <c r="Y166" s="248"/>
      <c r="Z166" s="248"/>
      <c r="AA166" s="248"/>
      <c r="AB166" s="248"/>
      <c r="AC166" s="248"/>
      <c r="AD166" s="248"/>
      <c r="AE166" s="248"/>
      <c r="AF166" s="248"/>
      <c r="AG166" s="248"/>
      <c r="AH166" s="248"/>
      <c r="AI166" s="248"/>
      <c r="AJ166" s="248"/>
      <c r="AK166" s="248"/>
      <c r="AL166" s="248"/>
      <c r="AM166" s="248"/>
      <c r="AN166" s="248"/>
      <c r="AO166" s="248"/>
      <c r="AP166" s="248"/>
      <c r="AQ166" s="248"/>
      <c r="AR166" s="248"/>
      <c r="AS166" s="248"/>
      <c r="AT166" s="248"/>
      <c r="AU166" s="248"/>
      <c r="AV166" s="248"/>
      <c r="AW166" s="248"/>
      <c r="AX166" s="248"/>
      <c r="AY166" s="248"/>
    </row>
    <row r="167" spans="1:51">
      <c r="A167" s="244"/>
      <c r="B167" s="244"/>
      <c r="C167" s="286"/>
      <c r="D167" s="287"/>
      <c r="E167" s="244"/>
      <c r="F167" s="280"/>
      <c r="G167" s="282"/>
      <c r="H167" s="244"/>
      <c r="I167" s="244"/>
      <c r="J167" s="244"/>
      <c r="K167" s="244"/>
      <c r="L167" s="244"/>
      <c r="M167" s="244"/>
      <c r="N167" s="244"/>
      <c r="O167" s="244"/>
      <c r="P167" s="244"/>
      <c r="Q167" s="248"/>
      <c r="R167" s="248"/>
      <c r="S167" s="248"/>
      <c r="T167" s="248"/>
      <c r="U167" s="248"/>
      <c r="V167" s="248"/>
      <c r="W167" s="248"/>
      <c r="X167" s="248"/>
      <c r="Y167" s="248"/>
      <c r="Z167" s="248"/>
      <c r="AA167" s="248"/>
      <c r="AB167" s="248"/>
      <c r="AC167" s="248"/>
      <c r="AD167" s="248"/>
      <c r="AE167" s="248"/>
      <c r="AF167" s="248"/>
      <c r="AG167" s="248"/>
      <c r="AH167" s="248"/>
      <c r="AI167" s="248"/>
      <c r="AJ167" s="248"/>
      <c r="AK167" s="248"/>
      <c r="AL167" s="248"/>
      <c r="AM167" s="248"/>
      <c r="AN167" s="248"/>
      <c r="AO167" s="248"/>
      <c r="AP167" s="248"/>
      <c r="AQ167" s="248"/>
      <c r="AR167" s="248"/>
      <c r="AS167" s="248"/>
      <c r="AT167" s="248"/>
      <c r="AU167" s="248"/>
      <c r="AV167" s="248"/>
      <c r="AW167" s="248"/>
      <c r="AX167" s="248"/>
      <c r="AY167" s="248"/>
    </row>
    <row r="168" spans="1:51">
      <c r="A168" s="244"/>
      <c r="B168" s="244"/>
      <c r="C168" s="286"/>
      <c r="D168" s="287"/>
      <c r="E168" s="244"/>
      <c r="F168" s="280"/>
      <c r="G168" s="282"/>
      <c r="H168" s="244"/>
      <c r="I168" s="244"/>
      <c r="J168" s="244"/>
      <c r="K168" s="244"/>
      <c r="L168" s="244"/>
      <c r="M168" s="244"/>
      <c r="N168" s="244"/>
      <c r="O168" s="244"/>
      <c r="P168" s="244"/>
      <c r="Q168" s="248"/>
      <c r="R168" s="248"/>
      <c r="S168" s="248"/>
      <c r="T168" s="248"/>
      <c r="U168" s="248"/>
      <c r="V168" s="248"/>
      <c r="W168" s="248"/>
      <c r="X168" s="248"/>
      <c r="Y168" s="248"/>
      <c r="Z168" s="248"/>
      <c r="AA168" s="248"/>
      <c r="AB168" s="248"/>
      <c r="AC168" s="248"/>
      <c r="AD168" s="248"/>
      <c r="AE168" s="248"/>
      <c r="AF168" s="248"/>
      <c r="AG168" s="248"/>
      <c r="AH168" s="248"/>
      <c r="AI168" s="248"/>
      <c r="AJ168" s="248"/>
      <c r="AK168" s="248"/>
      <c r="AL168" s="248"/>
      <c r="AM168" s="248"/>
      <c r="AN168" s="248"/>
      <c r="AO168" s="248"/>
      <c r="AP168" s="248"/>
      <c r="AQ168" s="248"/>
      <c r="AR168" s="248"/>
      <c r="AS168" s="248"/>
      <c r="AT168" s="248"/>
      <c r="AU168" s="248"/>
      <c r="AV168" s="248"/>
      <c r="AW168" s="248"/>
      <c r="AX168" s="248"/>
      <c r="AY168" s="248"/>
    </row>
    <row r="169" spans="1:51">
      <c r="A169" s="244"/>
      <c r="B169" s="244"/>
      <c r="C169" s="286"/>
      <c r="D169" s="287"/>
      <c r="E169" s="244"/>
      <c r="F169" s="280"/>
      <c r="G169" s="282"/>
      <c r="H169" s="244"/>
      <c r="I169" s="244"/>
      <c r="J169" s="244"/>
      <c r="K169" s="244"/>
      <c r="L169" s="244"/>
      <c r="M169" s="244"/>
      <c r="N169" s="244"/>
      <c r="O169" s="244"/>
      <c r="P169" s="244"/>
      <c r="Q169" s="248"/>
      <c r="R169" s="248"/>
      <c r="S169" s="248"/>
      <c r="T169" s="248"/>
      <c r="U169" s="248"/>
      <c r="V169" s="248"/>
      <c r="W169" s="248"/>
      <c r="X169" s="248"/>
      <c r="Y169" s="248"/>
      <c r="Z169" s="248"/>
      <c r="AA169" s="248"/>
      <c r="AB169" s="248"/>
      <c r="AC169" s="248"/>
      <c r="AD169" s="248"/>
      <c r="AE169" s="248"/>
      <c r="AF169" s="248"/>
      <c r="AG169" s="248"/>
      <c r="AH169" s="248"/>
      <c r="AI169" s="248"/>
      <c r="AJ169" s="248"/>
      <c r="AK169" s="248"/>
      <c r="AL169" s="248"/>
      <c r="AM169" s="248"/>
      <c r="AN169" s="248"/>
      <c r="AO169" s="248"/>
      <c r="AP169" s="248"/>
      <c r="AQ169" s="248"/>
      <c r="AR169" s="248"/>
      <c r="AS169" s="248"/>
      <c r="AT169" s="248"/>
      <c r="AU169" s="248"/>
      <c r="AV169" s="248"/>
      <c r="AW169" s="248"/>
      <c r="AX169" s="248"/>
      <c r="AY169" s="248"/>
    </row>
    <row r="170" spans="1:51">
      <c r="A170" s="244"/>
      <c r="B170" s="244"/>
      <c r="C170" s="286"/>
      <c r="D170" s="287"/>
      <c r="E170" s="244"/>
      <c r="F170" s="280"/>
      <c r="G170" s="282"/>
      <c r="H170" s="244"/>
      <c r="I170" s="244"/>
      <c r="J170" s="244"/>
      <c r="K170" s="244"/>
      <c r="L170" s="244"/>
      <c r="M170" s="244"/>
      <c r="N170" s="244"/>
      <c r="O170" s="244"/>
      <c r="P170" s="244"/>
      <c r="Q170" s="248"/>
      <c r="R170" s="248"/>
      <c r="S170" s="248"/>
      <c r="T170" s="248"/>
      <c r="U170" s="248"/>
      <c r="V170" s="248"/>
      <c r="W170" s="248"/>
      <c r="X170" s="248"/>
      <c r="Y170" s="248"/>
      <c r="Z170" s="248"/>
      <c r="AA170" s="248"/>
      <c r="AB170" s="248"/>
      <c r="AC170" s="248"/>
      <c r="AD170" s="248"/>
      <c r="AE170" s="248"/>
      <c r="AF170" s="248"/>
      <c r="AG170" s="248"/>
      <c r="AH170" s="248"/>
      <c r="AI170" s="248"/>
      <c r="AJ170" s="248"/>
      <c r="AK170" s="248"/>
      <c r="AL170" s="248"/>
      <c r="AM170" s="248"/>
      <c r="AN170" s="248"/>
      <c r="AO170" s="248"/>
      <c r="AP170" s="248"/>
      <c r="AQ170" s="248"/>
      <c r="AR170" s="248"/>
      <c r="AS170" s="248"/>
      <c r="AT170" s="248"/>
      <c r="AU170" s="248"/>
      <c r="AV170" s="248"/>
      <c r="AW170" s="248"/>
      <c r="AX170" s="248"/>
      <c r="AY170" s="248"/>
    </row>
    <row r="171" spans="1:51">
      <c r="A171" s="244"/>
      <c r="B171" s="244"/>
      <c r="C171" s="286"/>
      <c r="D171" s="287"/>
      <c r="E171" s="244"/>
      <c r="F171" s="280"/>
      <c r="G171" s="282"/>
      <c r="H171" s="244"/>
      <c r="I171" s="244"/>
      <c r="J171" s="244"/>
      <c r="K171" s="244"/>
      <c r="L171" s="244"/>
      <c r="M171" s="244"/>
      <c r="N171" s="244"/>
      <c r="O171" s="244"/>
      <c r="P171" s="244"/>
      <c r="Q171" s="248"/>
      <c r="R171" s="248"/>
      <c r="S171" s="248"/>
      <c r="T171" s="248"/>
      <c r="U171" s="248"/>
      <c r="V171" s="248"/>
      <c r="W171" s="248"/>
      <c r="X171" s="248"/>
      <c r="Y171" s="248"/>
      <c r="Z171" s="248"/>
      <c r="AA171" s="248"/>
      <c r="AB171" s="248"/>
      <c r="AC171" s="248"/>
      <c r="AD171" s="248"/>
      <c r="AE171" s="248"/>
      <c r="AF171" s="248"/>
      <c r="AG171" s="248"/>
      <c r="AH171" s="248"/>
      <c r="AI171" s="248"/>
      <c r="AJ171" s="248"/>
      <c r="AK171" s="248"/>
      <c r="AL171" s="248"/>
      <c r="AM171" s="248"/>
      <c r="AN171" s="248"/>
      <c r="AO171" s="248"/>
      <c r="AP171" s="248"/>
      <c r="AQ171" s="248"/>
      <c r="AR171" s="248"/>
      <c r="AS171" s="248"/>
      <c r="AT171" s="248"/>
      <c r="AU171" s="248"/>
      <c r="AV171" s="248"/>
      <c r="AW171" s="248"/>
      <c r="AX171" s="248"/>
      <c r="AY171" s="248"/>
    </row>
    <row r="172" spans="1:51">
      <c r="A172" s="244"/>
      <c r="B172" s="244"/>
      <c r="C172" s="286"/>
      <c r="D172" s="287"/>
      <c r="E172" s="244"/>
      <c r="F172" s="280"/>
      <c r="G172" s="282"/>
      <c r="H172" s="244"/>
      <c r="I172" s="244"/>
      <c r="J172" s="244"/>
      <c r="K172" s="244"/>
      <c r="L172" s="244"/>
      <c r="M172" s="244"/>
      <c r="N172" s="244"/>
      <c r="O172" s="244"/>
      <c r="P172" s="244"/>
      <c r="Q172" s="248"/>
      <c r="R172" s="248"/>
      <c r="S172" s="248"/>
      <c r="T172" s="248"/>
      <c r="U172" s="248"/>
      <c r="V172" s="248"/>
      <c r="W172" s="248"/>
      <c r="X172" s="248"/>
      <c r="Y172" s="248"/>
      <c r="Z172" s="248"/>
      <c r="AA172" s="248"/>
      <c r="AB172" s="248"/>
      <c r="AC172" s="248"/>
      <c r="AD172" s="248"/>
      <c r="AE172" s="248"/>
      <c r="AF172" s="248"/>
      <c r="AG172" s="248"/>
      <c r="AH172" s="248"/>
      <c r="AI172" s="248"/>
      <c r="AJ172" s="248"/>
      <c r="AK172" s="248"/>
      <c r="AL172" s="248"/>
      <c r="AM172" s="248"/>
      <c r="AN172" s="248"/>
      <c r="AO172" s="248"/>
      <c r="AP172" s="248"/>
      <c r="AQ172" s="248"/>
      <c r="AR172" s="248"/>
      <c r="AS172" s="248"/>
      <c r="AT172" s="248"/>
      <c r="AU172" s="248"/>
      <c r="AV172" s="248"/>
      <c r="AW172" s="248"/>
      <c r="AX172" s="248"/>
      <c r="AY172" s="248"/>
    </row>
    <row r="173" spans="1:51">
      <c r="A173" s="244"/>
      <c r="B173" s="244"/>
      <c r="C173" s="286"/>
      <c r="D173" s="287"/>
      <c r="E173" s="244"/>
      <c r="F173" s="280"/>
      <c r="G173" s="282"/>
      <c r="H173" s="244"/>
      <c r="I173" s="244"/>
      <c r="J173" s="244"/>
      <c r="K173" s="244"/>
      <c r="L173" s="244"/>
      <c r="M173" s="244"/>
      <c r="N173" s="244"/>
      <c r="O173" s="244"/>
      <c r="P173" s="244"/>
      <c r="Q173" s="248"/>
      <c r="R173" s="248"/>
      <c r="S173" s="248"/>
      <c r="T173" s="248"/>
      <c r="U173" s="248"/>
      <c r="V173" s="248"/>
      <c r="W173" s="248"/>
      <c r="X173" s="248"/>
      <c r="Y173" s="248"/>
      <c r="Z173" s="248"/>
      <c r="AA173" s="248"/>
      <c r="AB173" s="248"/>
      <c r="AC173" s="248"/>
      <c r="AD173" s="248"/>
      <c r="AE173" s="248"/>
      <c r="AF173" s="248"/>
      <c r="AG173" s="248"/>
      <c r="AH173" s="248"/>
      <c r="AI173" s="248"/>
      <c r="AJ173" s="248"/>
      <c r="AK173" s="248"/>
      <c r="AL173" s="248"/>
      <c r="AM173" s="248"/>
      <c r="AN173" s="248"/>
      <c r="AO173" s="248"/>
      <c r="AP173" s="248"/>
      <c r="AQ173" s="248"/>
      <c r="AR173" s="248"/>
      <c r="AS173" s="248"/>
      <c r="AT173" s="248"/>
      <c r="AU173" s="248"/>
      <c r="AV173" s="248"/>
      <c r="AW173" s="248"/>
      <c r="AX173" s="248"/>
      <c r="AY173" s="248"/>
    </row>
    <row r="174" spans="1:51">
      <c r="A174" s="244"/>
      <c r="B174" s="244"/>
      <c r="C174" s="286"/>
      <c r="D174" s="287"/>
      <c r="E174" s="244"/>
      <c r="F174" s="280"/>
      <c r="G174" s="282"/>
      <c r="H174" s="244"/>
      <c r="I174" s="244"/>
      <c r="J174" s="244"/>
      <c r="K174" s="244"/>
      <c r="L174" s="244"/>
      <c r="M174" s="244"/>
      <c r="N174" s="244"/>
      <c r="O174" s="244"/>
      <c r="P174" s="244"/>
      <c r="Q174" s="248"/>
      <c r="R174" s="248"/>
      <c r="S174" s="248"/>
      <c r="T174" s="248"/>
      <c r="U174" s="248"/>
      <c r="V174" s="248"/>
      <c r="W174" s="248"/>
      <c r="X174" s="248"/>
      <c r="Y174" s="248"/>
      <c r="Z174" s="248"/>
      <c r="AA174" s="248"/>
      <c r="AB174" s="248"/>
      <c r="AC174" s="248"/>
      <c r="AD174" s="248"/>
      <c r="AE174" s="248"/>
      <c r="AF174" s="248"/>
      <c r="AG174" s="248"/>
      <c r="AH174" s="248"/>
      <c r="AI174" s="248"/>
      <c r="AJ174" s="248"/>
      <c r="AK174" s="248"/>
      <c r="AL174" s="248"/>
      <c r="AM174" s="248"/>
      <c r="AN174" s="248"/>
      <c r="AO174" s="248"/>
      <c r="AP174" s="248"/>
      <c r="AQ174" s="248"/>
      <c r="AR174" s="248"/>
      <c r="AS174" s="248"/>
      <c r="AT174" s="248"/>
      <c r="AU174" s="248"/>
      <c r="AV174" s="248"/>
      <c r="AW174" s="248"/>
      <c r="AX174" s="248"/>
      <c r="AY174" s="248"/>
    </row>
    <row r="175" spans="1:51">
      <c r="A175" s="244"/>
      <c r="B175" s="244"/>
      <c r="C175" s="286"/>
      <c r="D175" s="287"/>
      <c r="E175" s="244"/>
      <c r="F175" s="280"/>
      <c r="G175" s="282"/>
      <c r="H175" s="244"/>
      <c r="I175" s="244"/>
      <c r="J175" s="244"/>
      <c r="K175" s="244"/>
      <c r="L175" s="244"/>
      <c r="M175" s="244"/>
      <c r="N175" s="244"/>
      <c r="O175" s="244"/>
      <c r="P175" s="244"/>
      <c r="Q175" s="248"/>
      <c r="R175" s="248"/>
      <c r="S175" s="248"/>
      <c r="T175" s="248"/>
      <c r="U175" s="248"/>
      <c r="V175" s="248"/>
      <c r="W175" s="248"/>
      <c r="X175" s="248"/>
      <c r="Y175" s="248"/>
      <c r="Z175" s="248"/>
      <c r="AA175" s="248"/>
      <c r="AB175" s="248"/>
      <c r="AC175" s="248"/>
      <c r="AD175" s="248"/>
      <c r="AE175" s="248"/>
      <c r="AF175" s="248"/>
      <c r="AG175" s="248"/>
      <c r="AH175" s="248"/>
      <c r="AI175" s="248"/>
      <c r="AJ175" s="248"/>
      <c r="AK175" s="248"/>
      <c r="AL175" s="248"/>
      <c r="AM175" s="248"/>
      <c r="AN175" s="248"/>
      <c r="AO175" s="248"/>
      <c r="AP175" s="248"/>
      <c r="AQ175" s="248"/>
      <c r="AR175" s="248"/>
      <c r="AS175" s="248"/>
      <c r="AT175" s="248"/>
      <c r="AU175" s="248"/>
      <c r="AV175" s="248"/>
      <c r="AW175" s="248"/>
      <c r="AX175" s="248"/>
      <c r="AY175" s="248"/>
    </row>
    <row r="176" spans="1:51">
      <c r="A176" s="244"/>
      <c r="B176" s="244"/>
      <c r="C176" s="286"/>
      <c r="D176" s="287"/>
      <c r="E176" s="244"/>
      <c r="F176" s="280"/>
      <c r="G176" s="282"/>
      <c r="H176" s="244"/>
      <c r="I176" s="244"/>
      <c r="J176" s="244"/>
      <c r="K176" s="244"/>
      <c r="L176" s="244"/>
      <c r="M176" s="244"/>
      <c r="N176" s="244"/>
      <c r="O176" s="244"/>
      <c r="P176" s="244"/>
      <c r="Q176" s="248"/>
      <c r="R176" s="248"/>
      <c r="S176" s="248"/>
      <c r="T176" s="248"/>
      <c r="U176" s="248"/>
      <c r="V176" s="248"/>
      <c r="W176" s="248"/>
      <c r="X176" s="248"/>
      <c r="Y176" s="248"/>
      <c r="Z176" s="248"/>
      <c r="AA176" s="248"/>
      <c r="AB176" s="248"/>
      <c r="AC176" s="248"/>
      <c r="AD176" s="248"/>
      <c r="AE176" s="248"/>
      <c r="AF176" s="248"/>
      <c r="AG176" s="248"/>
      <c r="AH176" s="248"/>
      <c r="AI176" s="248"/>
      <c r="AJ176" s="248"/>
      <c r="AK176" s="248"/>
      <c r="AL176" s="248"/>
      <c r="AM176" s="248"/>
      <c r="AN176" s="248"/>
      <c r="AO176" s="248"/>
      <c r="AP176" s="248"/>
      <c r="AQ176" s="248"/>
      <c r="AR176" s="248"/>
      <c r="AS176" s="248"/>
      <c r="AT176" s="248"/>
      <c r="AU176" s="248"/>
      <c r="AV176" s="248"/>
      <c r="AW176" s="248"/>
      <c r="AX176" s="248"/>
      <c r="AY176" s="248"/>
    </row>
    <row r="177" spans="1:51">
      <c r="A177" s="244"/>
      <c r="B177" s="244"/>
      <c r="C177" s="286"/>
      <c r="D177" s="287"/>
      <c r="E177" s="244"/>
      <c r="F177" s="280"/>
      <c r="G177" s="282"/>
      <c r="H177" s="244"/>
      <c r="I177" s="244"/>
      <c r="J177" s="244"/>
      <c r="K177" s="244"/>
      <c r="L177" s="244"/>
      <c r="M177" s="244"/>
      <c r="N177" s="244"/>
      <c r="O177" s="244"/>
      <c r="P177" s="244"/>
      <c r="Q177" s="248"/>
      <c r="R177" s="248"/>
      <c r="S177" s="248"/>
      <c r="T177" s="248"/>
      <c r="U177" s="248"/>
      <c r="V177" s="248"/>
      <c r="W177" s="248"/>
      <c r="X177" s="248"/>
      <c r="Y177" s="248"/>
      <c r="Z177" s="248"/>
      <c r="AA177" s="248"/>
      <c r="AB177" s="248"/>
      <c r="AC177" s="248"/>
      <c r="AD177" s="248"/>
      <c r="AE177" s="248"/>
      <c r="AF177" s="248"/>
      <c r="AG177" s="248"/>
      <c r="AH177" s="248"/>
      <c r="AI177" s="248"/>
      <c r="AJ177" s="248"/>
      <c r="AK177" s="248"/>
      <c r="AL177" s="248"/>
      <c r="AM177" s="248"/>
      <c r="AN177" s="248"/>
      <c r="AO177" s="248"/>
      <c r="AP177" s="248"/>
      <c r="AQ177" s="248"/>
      <c r="AR177" s="248"/>
      <c r="AS177" s="248"/>
      <c r="AT177" s="248"/>
      <c r="AU177" s="248"/>
      <c r="AV177" s="248"/>
      <c r="AW177" s="248"/>
      <c r="AX177" s="248"/>
      <c r="AY177" s="248"/>
    </row>
    <row r="178" spans="1:51">
      <c r="A178" s="244"/>
      <c r="B178" s="244"/>
      <c r="C178" s="286"/>
      <c r="D178" s="287"/>
      <c r="E178" s="244"/>
      <c r="F178" s="280"/>
      <c r="G178" s="282"/>
      <c r="H178" s="244"/>
      <c r="I178" s="244"/>
      <c r="J178" s="244"/>
      <c r="K178" s="244"/>
      <c r="L178" s="244"/>
      <c r="M178" s="244"/>
      <c r="N178" s="244"/>
      <c r="O178" s="244"/>
      <c r="P178" s="244"/>
      <c r="Q178" s="248"/>
      <c r="R178" s="248"/>
      <c r="S178" s="248"/>
      <c r="T178" s="248"/>
      <c r="U178" s="248"/>
      <c r="V178" s="248"/>
      <c r="W178" s="248"/>
      <c r="X178" s="248"/>
      <c r="Y178" s="248"/>
      <c r="Z178" s="248"/>
      <c r="AA178" s="248"/>
      <c r="AB178" s="248"/>
      <c r="AC178" s="248"/>
      <c r="AD178" s="248"/>
      <c r="AE178" s="248"/>
      <c r="AF178" s="248"/>
      <c r="AG178" s="248"/>
      <c r="AH178" s="248"/>
      <c r="AI178" s="248"/>
      <c r="AJ178" s="248"/>
      <c r="AK178" s="248"/>
      <c r="AL178" s="248"/>
      <c r="AM178" s="248"/>
      <c r="AN178" s="248"/>
      <c r="AO178" s="248"/>
      <c r="AP178" s="248"/>
      <c r="AQ178" s="248"/>
      <c r="AR178" s="248"/>
      <c r="AS178" s="248"/>
      <c r="AT178" s="248"/>
      <c r="AU178" s="248"/>
      <c r="AV178" s="248"/>
      <c r="AW178" s="248"/>
      <c r="AX178" s="248"/>
      <c r="AY178" s="248"/>
    </row>
    <row r="179" spans="1:51">
      <c r="A179" s="244"/>
      <c r="B179" s="244"/>
      <c r="C179" s="286"/>
      <c r="D179" s="287"/>
      <c r="E179" s="244"/>
      <c r="F179" s="280"/>
      <c r="G179" s="282"/>
      <c r="H179" s="244"/>
      <c r="I179" s="244"/>
      <c r="J179" s="244"/>
      <c r="K179" s="244"/>
      <c r="L179" s="244"/>
      <c r="M179" s="244"/>
      <c r="N179" s="244"/>
      <c r="O179" s="244"/>
      <c r="P179" s="244"/>
      <c r="Q179" s="248"/>
      <c r="R179" s="248"/>
      <c r="S179" s="248"/>
      <c r="T179" s="248"/>
      <c r="U179" s="248"/>
      <c r="V179" s="248"/>
      <c r="W179" s="248"/>
      <c r="X179" s="248"/>
      <c r="Y179" s="248"/>
      <c r="Z179" s="248"/>
      <c r="AA179" s="248"/>
      <c r="AB179" s="248"/>
      <c r="AC179" s="248"/>
      <c r="AD179" s="248"/>
      <c r="AE179" s="248"/>
      <c r="AF179" s="248"/>
      <c r="AG179" s="248"/>
      <c r="AH179" s="248"/>
      <c r="AI179" s="248"/>
      <c r="AJ179" s="248"/>
      <c r="AK179" s="248"/>
      <c r="AL179" s="248"/>
      <c r="AM179" s="248"/>
      <c r="AN179" s="248"/>
      <c r="AO179" s="248"/>
      <c r="AP179" s="248"/>
      <c r="AQ179" s="248"/>
      <c r="AR179" s="248"/>
      <c r="AS179" s="248"/>
      <c r="AT179" s="248"/>
      <c r="AU179" s="248"/>
      <c r="AV179" s="248"/>
      <c r="AW179" s="248"/>
      <c r="AX179" s="248"/>
      <c r="AY179" s="248"/>
    </row>
    <row r="180" spans="1:51">
      <c r="A180" s="244"/>
      <c r="B180" s="244"/>
      <c r="C180" s="286"/>
      <c r="D180" s="287"/>
      <c r="E180" s="244"/>
      <c r="F180" s="280"/>
      <c r="G180" s="282"/>
      <c r="H180" s="244"/>
      <c r="I180" s="244"/>
      <c r="J180" s="244"/>
      <c r="K180" s="244"/>
      <c r="L180" s="244"/>
      <c r="M180" s="244"/>
      <c r="N180" s="244"/>
      <c r="O180" s="244"/>
      <c r="P180" s="244"/>
      <c r="Q180" s="248"/>
      <c r="R180" s="248"/>
      <c r="S180" s="248"/>
      <c r="T180" s="248"/>
      <c r="U180" s="248"/>
      <c r="V180" s="248"/>
      <c r="W180" s="248"/>
      <c r="X180" s="248"/>
      <c r="Y180" s="248"/>
      <c r="Z180" s="248"/>
      <c r="AA180" s="248"/>
      <c r="AB180" s="248"/>
      <c r="AC180" s="248"/>
      <c r="AD180" s="248"/>
      <c r="AE180" s="248"/>
      <c r="AF180" s="248"/>
      <c r="AG180" s="248"/>
      <c r="AH180" s="248"/>
      <c r="AI180" s="248"/>
      <c r="AJ180" s="248"/>
      <c r="AK180" s="248"/>
      <c r="AL180" s="248"/>
      <c r="AM180" s="248"/>
      <c r="AN180" s="248"/>
      <c r="AO180" s="248"/>
      <c r="AP180" s="248"/>
      <c r="AQ180" s="248"/>
      <c r="AR180" s="248"/>
      <c r="AS180" s="248"/>
      <c r="AT180" s="248"/>
      <c r="AU180" s="248"/>
      <c r="AV180" s="248"/>
      <c r="AW180" s="248"/>
      <c r="AX180" s="248"/>
      <c r="AY180" s="248"/>
    </row>
    <row r="181" spans="1:51">
      <c r="A181" s="244"/>
      <c r="B181" s="244"/>
      <c r="C181" s="286"/>
      <c r="D181" s="287"/>
      <c r="E181" s="244"/>
      <c r="F181" s="280"/>
      <c r="G181" s="282"/>
      <c r="H181" s="244"/>
      <c r="I181" s="244"/>
      <c r="J181" s="244"/>
      <c r="K181" s="244"/>
      <c r="L181" s="244"/>
      <c r="M181" s="244"/>
      <c r="N181" s="244"/>
      <c r="O181" s="244"/>
      <c r="P181" s="244"/>
      <c r="Q181" s="248"/>
      <c r="R181" s="248"/>
      <c r="S181" s="248"/>
      <c r="T181" s="248"/>
      <c r="U181" s="248"/>
      <c r="V181" s="248"/>
      <c r="W181" s="248"/>
      <c r="X181" s="248"/>
      <c r="Y181" s="248"/>
      <c r="Z181" s="248"/>
      <c r="AA181" s="248"/>
      <c r="AB181" s="248"/>
      <c r="AC181" s="248"/>
      <c r="AD181" s="248"/>
      <c r="AE181" s="248"/>
      <c r="AF181" s="248"/>
      <c r="AG181" s="248"/>
      <c r="AH181" s="248"/>
      <c r="AI181" s="248"/>
      <c r="AJ181" s="248"/>
      <c r="AK181" s="248"/>
      <c r="AL181" s="248"/>
      <c r="AM181" s="248"/>
      <c r="AN181" s="248"/>
      <c r="AO181" s="248"/>
      <c r="AP181" s="248"/>
      <c r="AQ181" s="248"/>
      <c r="AR181" s="248"/>
      <c r="AS181" s="248"/>
      <c r="AT181" s="248"/>
      <c r="AU181" s="248"/>
      <c r="AV181" s="248"/>
      <c r="AW181" s="248"/>
      <c r="AX181" s="248"/>
      <c r="AY181" s="248"/>
    </row>
    <row r="182" spans="1:51">
      <c r="A182" s="244"/>
      <c r="B182" s="244"/>
      <c r="C182" s="286"/>
      <c r="D182" s="287"/>
      <c r="E182" s="244"/>
      <c r="F182" s="280"/>
      <c r="G182" s="282"/>
      <c r="H182" s="244"/>
      <c r="I182" s="244"/>
      <c r="J182" s="244"/>
      <c r="K182" s="244"/>
      <c r="L182" s="244"/>
      <c r="M182" s="244"/>
      <c r="N182" s="244"/>
      <c r="O182" s="244"/>
      <c r="P182" s="244"/>
      <c r="Q182" s="248"/>
      <c r="R182" s="248"/>
      <c r="S182" s="248"/>
      <c r="T182" s="248"/>
      <c r="U182" s="248"/>
      <c r="V182" s="248"/>
      <c r="W182" s="248"/>
      <c r="X182" s="248"/>
      <c r="Y182" s="248"/>
      <c r="Z182" s="248"/>
      <c r="AA182" s="248"/>
      <c r="AB182" s="248"/>
      <c r="AC182" s="248"/>
      <c r="AD182" s="248"/>
      <c r="AE182" s="248"/>
      <c r="AF182" s="248"/>
      <c r="AG182" s="248"/>
      <c r="AH182" s="248"/>
      <c r="AI182" s="248"/>
      <c r="AJ182" s="248"/>
      <c r="AK182" s="248"/>
      <c r="AL182" s="248"/>
      <c r="AM182" s="248"/>
      <c r="AN182" s="248"/>
      <c r="AO182" s="248"/>
      <c r="AP182" s="248"/>
      <c r="AQ182" s="248"/>
      <c r="AR182" s="248"/>
      <c r="AS182" s="248"/>
      <c r="AT182" s="248"/>
      <c r="AU182" s="248"/>
      <c r="AV182" s="248"/>
      <c r="AW182" s="248"/>
      <c r="AX182" s="248"/>
      <c r="AY182" s="248"/>
    </row>
    <row r="183" spans="1:51">
      <c r="A183" s="244"/>
      <c r="B183" s="244"/>
      <c r="C183" s="286"/>
      <c r="D183" s="287"/>
      <c r="E183" s="244"/>
      <c r="F183" s="280"/>
      <c r="G183" s="282"/>
      <c r="H183" s="244"/>
      <c r="I183" s="244"/>
      <c r="J183" s="244"/>
      <c r="K183" s="244"/>
      <c r="L183" s="244"/>
      <c r="M183" s="244"/>
      <c r="N183" s="244"/>
      <c r="O183" s="244"/>
      <c r="P183" s="244"/>
      <c r="Q183" s="248"/>
      <c r="R183" s="248"/>
      <c r="S183" s="248"/>
      <c r="T183" s="248"/>
      <c r="U183" s="248"/>
      <c r="V183" s="248"/>
      <c r="W183" s="248"/>
      <c r="X183" s="248"/>
      <c r="Y183" s="248"/>
      <c r="Z183" s="248"/>
      <c r="AA183" s="248"/>
      <c r="AB183" s="248"/>
      <c r="AC183" s="248"/>
      <c r="AD183" s="248"/>
      <c r="AE183" s="248"/>
      <c r="AF183" s="248"/>
      <c r="AG183" s="248"/>
      <c r="AH183" s="248"/>
      <c r="AI183" s="248"/>
      <c r="AJ183" s="248"/>
      <c r="AK183" s="248"/>
      <c r="AL183" s="248"/>
      <c r="AM183" s="248"/>
      <c r="AN183" s="248"/>
      <c r="AO183" s="248"/>
      <c r="AP183" s="248"/>
      <c r="AQ183" s="248"/>
      <c r="AR183" s="248"/>
      <c r="AS183" s="248"/>
      <c r="AT183" s="248"/>
      <c r="AU183" s="248"/>
      <c r="AV183" s="248"/>
      <c r="AW183" s="248"/>
      <c r="AX183" s="248"/>
      <c r="AY183" s="248"/>
    </row>
    <row r="184" spans="1:51">
      <c r="A184" s="244"/>
      <c r="B184" s="244"/>
      <c r="C184" s="286"/>
      <c r="D184" s="287"/>
      <c r="E184" s="244"/>
      <c r="F184" s="280"/>
      <c r="G184" s="282"/>
      <c r="H184" s="244"/>
      <c r="I184" s="244"/>
      <c r="J184" s="244"/>
      <c r="K184" s="244"/>
      <c r="L184" s="244"/>
      <c r="M184" s="244"/>
      <c r="N184" s="244"/>
      <c r="O184" s="244"/>
      <c r="P184" s="244"/>
      <c r="Q184" s="248"/>
      <c r="R184" s="248"/>
      <c r="S184" s="248"/>
      <c r="T184" s="248"/>
      <c r="U184" s="248"/>
      <c r="V184" s="248"/>
      <c r="W184" s="248"/>
      <c r="X184" s="248"/>
      <c r="Y184" s="248"/>
      <c r="Z184" s="248"/>
      <c r="AA184" s="248"/>
      <c r="AB184" s="248"/>
      <c r="AC184" s="248"/>
      <c r="AD184" s="248"/>
      <c r="AE184" s="248"/>
      <c r="AF184" s="248"/>
      <c r="AG184" s="248"/>
      <c r="AH184" s="248"/>
      <c r="AI184" s="248"/>
      <c r="AJ184" s="248"/>
      <c r="AK184" s="248"/>
      <c r="AL184" s="248"/>
      <c r="AM184" s="248"/>
      <c r="AN184" s="248"/>
      <c r="AO184" s="248"/>
      <c r="AP184" s="248"/>
      <c r="AQ184" s="248"/>
      <c r="AR184" s="248"/>
      <c r="AS184" s="248"/>
      <c r="AT184" s="248"/>
      <c r="AU184" s="248"/>
      <c r="AV184" s="248"/>
      <c r="AW184" s="248"/>
      <c r="AX184" s="248"/>
      <c r="AY184" s="248"/>
    </row>
    <row r="185" spans="1:51">
      <c r="A185" s="244"/>
      <c r="B185" s="244"/>
      <c r="C185" s="286"/>
      <c r="D185" s="287"/>
      <c r="E185" s="244"/>
      <c r="F185" s="280"/>
      <c r="G185" s="282"/>
      <c r="H185" s="244"/>
      <c r="I185" s="244"/>
      <c r="J185" s="244"/>
      <c r="K185" s="244"/>
      <c r="L185" s="244"/>
      <c r="M185" s="244"/>
      <c r="N185" s="244"/>
      <c r="O185" s="244"/>
      <c r="P185" s="244"/>
      <c r="Q185" s="248"/>
      <c r="R185" s="248"/>
      <c r="S185" s="248"/>
      <c r="T185" s="248"/>
      <c r="U185" s="248"/>
      <c r="V185" s="248"/>
      <c r="W185" s="248"/>
      <c r="X185" s="248"/>
      <c r="Y185" s="248"/>
      <c r="Z185" s="248"/>
      <c r="AA185" s="248"/>
      <c r="AB185" s="248"/>
      <c r="AC185" s="248"/>
      <c r="AD185" s="248"/>
      <c r="AE185" s="248"/>
      <c r="AF185" s="248"/>
      <c r="AG185" s="248"/>
      <c r="AH185" s="248"/>
      <c r="AI185" s="248"/>
      <c r="AJ185" s="248"/>
      <c r="AK185" s="248"/>
      <c r="AL185" s="248"/>
      <c r="AM185" s="248"/>
      <c r="AN185" s="248"/>
      <c r="AO185" s="248"/>
      <c r="AP185" s="248"/>
      <c r="AQ185" s="248"/>
      <c r="AR185" s="248"/>
      <c r="AS185" s="248"/>
      <c r="AT185" s="248"/>
      <c r="AU185" s="248"/>
      <c r="AV185" s="248"/>
      <c r="AW185" s="248"/>
      <c r="AX185" s="248"/>
      <c r="AY185" s="248"/>
    </row>
    <row r="186" spans="1:51">
      <c r="A186" s="244"/>
      <c r="B186" s="244"/>
      <c r="C186" s="286"/>
      <c r="D186" s="287"/>
      <c r="E186" s="244"/>
      <c r="F186" s="280"/>
      <c r="G186" s="282"/>
      <c r="H186" s="244"/>
      <c r="I186" s="244"/>
      <c r="J186" s="244"/>
      <c r="K186" s="244"/>
      <c r="L186" s="244"/>
      <c r="M186" s="244"/>
      <c r="N186" s="244"/>
      <c r="O186" s="244"/>
      <c r="P186" s="244"/>
      <c r="Q186" s="248"/>
      <c r="R186" s="248"/>
      <c r="S186" s="248"/>
      <c r="T186" s="248"/>
      <c r="U186" s="248"/>
      <c r="V186" s="248"/>
      <c r="W186" s="248"/>
      <c r="X186" s="248"/>
      <c r="Y186" s="248"/>
      <c r="Z186" s="248"/>
      <c r="AA186" s="248"/>
      <c r="AB186" s="248"/>
      <c r="AC186" s="248"/>
      <c r="AD186" s="248"/>
      <c r="AE186" s="248"/>
      <c r="AF186" s="248"/>
      <c r="AG186" s="248"/>
      <c r="AH186" s="248"/>
      <c r="AI186" s="248"/>
      <c r="AJ186" s="248"/>
      <c r="AK186" s="248"/>
      <c r="AL186" s="248"/>
      <c r="AM186" s="248"/>
      <c r="AN186" s="248"/>
      <c r="AO186" s="248"/>
      <c r="AP186" s="248"/>
      <c r="AQ186" s="248"/>
      <c r="AR186" s="248"/>
      <c r="AS186" s="248"/>
      <c r="AT186" s="248"/>
      <c r="AU186" s="248"/>
      <c r="AV186" s="248"/>
      <c r="AW186" s="248"/>
      <c r="AX186" s="248"/>
      <c r="AY186" s="248"/>
    </row>
    <row r="187" spans="1:51">
      <c r="A187" s="244"/>
      <c r="B187" s="244"/>
      <c r="C187" s="286"/>
      <c r="D187" s="287"/>
      <c r="E187" s="244"/>
      <c r="F187" s="280"/>
      <c r="G187" s="282"/>
      <c r="H187" s="244"/>
      <c r="I187" s="244"/>
      <c r="J187" s="244"/>
      <c r="K187" s="244"/>
      <c r="L187" s="244"/>
      <c r="M187" s="244"/>
      <c r="N187" s="244"/>
      <c r="O187" s="244"/>
      <c r="P187" s="244"/>
      <c r="Q187" s="248"/>
      <c r="R187" s="248"/>
      <c r="S187" s="248"/>
      <c r="T187" s="248"/>
      <c r="U187" s="248"/>
      <c r="V187" s="248"/>
      <c r="W187" s="248"/>
      <c r="X187" s="248"/>
      <c r="Y187" s="248"/>
      <c r="Z187" s="248"/>
      <c r="AA187" s="248"/>
      <c r="AB187" s="248"/>
      <c r="AC187" s="248"/>
      <c r="AD187" s="248"/>
      <c r="AE187" s="248"/>
      <c r="AF187" s="248"/>
      <c r="AG187" s="248"/>
      <c r="AH187" s="248"/>
      <c r="AI187" s="248"/>
      <c r="AJ187" s="248"/>
      <c r="AK187" s="248"/>
      <c r="AL187" s="248"/>
      <c r="AM187" s="248"/>
      <c r="AN187" s="248"/>
      <c r="AO187" s="248"/>
      <c r="AP187" s="248"/>
      <c r="AQ187" s="248"/>
      <c r="AR187" s="248"/>
      <c r="AS187" s="248"/>
      <c r="AT187" s="248"/>
      <c r="AU187" s="248"/>
      <c r="AV187" s="248"/>
      <c r="AW187" s="248"/>
      <c r="AX187" s="248"/>
      <c r="AY187" s="248"/>
    </row>
    <row r="188" spans="1:51">
      <c r="A188" s="244"/>
      <c r="B188" s="244"/>
      <c r="C188" s="286"/>
      <c r="D188" s="287"/>
      <c r="E188" s="244"/>
      <c r="F188" s="280"/>
      <c r="G188" s="282"/>
      <c r="H188" s="244"/>
      <c r="I188" s="244"/>
      <c r="J188" s="244"/>
      <c r="K188" s="244"/>
      <c r="L188" s="244"/>
      <c r="M188" s="244"/>
      <c r="N188" s="244"/>
      <c r="O188" s="244"/>
      <c r="P188" s="244"/>
      <c r="Q188" s="248"/>
      <c r="R188" s="248"/>
      <c r="S188" s="248"/>
      <c r="T188" s="248"/>
      <c r="U188" s="248"/>
      <c r="V188" s="248"/>
      <c r="W188" s="248"/>
      <c r="X188" s="248"/>
      <c r="Y188" s="248"/>
      <c r="Z188" s="248"/>
      <c r="AA188" s="248"/>
      <c r="AB188" s="248"/>
      <c r="AC188" s="248"/>
      <c r="AD188" s="248"/>
      <c r="AE188" s="248"/>
      <c r="AF188" s="248"/>
      <c r="AG188" s="248"/>
      <c r="AH188" s="248"/>
      <c r="AI188" s="248"/>
      <c r="AJ188" s="248"/>
      <c r="AK188" s="248"/>
      <c r="AL188" s="248"/>
      <c r="AM188" s="248"/>
      <c r="AN188" s="248"/>
      <c r="AO188" s="248"/>
      <c r="AP188" s="248"/>
      <c r="AQ188" s="248"/>
      <c r="AR188" s="248"/>
      <c r="AS188" s="248"/>
      <c r="AT188" s="248"/>
      <c r="AU188" s="248"/>
      <c r="AV188" s="248"/>
      <c r="AW188" s="248"/>
      <c r="AX188" s="248"/>
      <c r="AY188" s="248"/>
    </row>
    <row r="189" spans="1:51">
      <c r="A189" s="244"/>
      <c r="B189" s="244"/>
      <c r="C189" s="286"/>
      <c r="D189" s="287"/>
      <c r="E189" s="244"/>
      <c r="F189" s="280"/>
      <c r="G189" s="282"/>
      <c r="H189" s="244"/>
      <c r="I189" s="244"/>
      <c r="J189" s="244"/>
      <c r="K189" s="244"/>
      <c r="L189" s="244"/>
      <c r="M189" s="244"/>
      <c r="N189" s="244"/>
      <c r="O189" s="244"/>
      <c r="P189" s="244"/>
      <c r="Q189" s="248"/>
      <c r="R189" s="248"/>
      <c r="S189" s="248"/>
      <c r="T189" s="248"/>
      <c r="U189" s="248"/>
      <c r="V189" s="248"/>
      <c r="W189" s="248"/>
      <c r="X189" s="248"/>
      <c r="Y189" s="248"/>
      <c r="Z189" s="248"/>
      <c r="AA189" s="248"/>
      <c r="AB189" s="248"/>
      <c r="AC189" s="248"/>
      <c r="AD189" s="248"/>
      <c r="AE189" s="248"/>
      <c r="AF189" s="248"/>
      <c r="AG189" s="248"/>
      <c r="AH189" s="248"/>
      <c r="AI189" s="248"/>
      <c r="AJ189" s="248"/>
      <c r="AK189" s="248"/>
      <c r="AL189" s="248"/>
      <c r="AM189" s="248"/>
      <c r="AN189" s="248"/>
      <c r="AO189" s="248"/>
      <c r="AP189" s="248"/>
      <c r="AQ189" s="248"/>
      <c r="AR189" s="248"/>
      <c r="AS189" s="248"/>
      <c r="AT189" s="248"/>
      <c r="AU189" s="248"/>
      <c r="AV189" s="248"/>
      <c r="AW189" s="248"/>
      <c r="AX189" s="248"/>
      <c r="AY189" s="248"/>
    </row>
    <row r="190" spans="1:51">
      <c r="A190" s="244"/>
      <c r="B190" s="244"/>
      <c r="C190" s="286"/>
      <c r="D190" s="287"/>
      <c r="E190" s="244"/>
      <c r="F190" s="280"/>
      <c r="G190" s="282"/>
      <c r="H190" s="244"/>
      <c r="I190" s="244"/>
      <c r="J190" s="244"/>
      <c r="K190" s="244"/>
      <c r="L190" s="244"/>
      <c r="M190" s="244"/>
      <c r="N190" s="244"/>
      <c r="O190" s="244"/>
      <c r="P190" s="244"/>
      <c r="Q190" s="248"/>
      <c r="R190" s="248"/>
      <c r="S190" s="248"/>
      <c r="T190" s="248"/>
      <c r="U190" s="248"/>
      <c r="V190" s="248"/>
      <c r="W190" s="248"/>
      <c r="X190" s="248"/>
      <c r="Y190" s="248"/>
      <c r="Z190" s="248"/>
      <c r="AA190" s="248"/>
      <c r="AB190" s="248"/>
      <c r="AC190" s="248"/>
      <c r="AD190" s="248"/>
      <c r="AE190" s="248"/>
      <c r="AF190" s="248"/>
      <c r="AG190" s="248"/>
      <c r="AH190" s="248"/>
      <c r="AI190" s="248"/>
      <c r="AJ190" s="248"/>
      <c r="AK190" s="248"/>
      <c r="AL190" s="248"/>
      <c r="AM190" s="248"/>
      <c r="AN190" s="248"/>
      <c r="AO190" s="248"/>
      <c r="AP190" s="248"/>
      <c r="AQ190" s="248"/>
      <c r="AR190" s="248"/>
      <c r="AS190" s="248"/>
      <c r="AT190" s="248"/>
      <c r="AU190" s="248"/>
      <c r="AV190" s="248"/>
      <c r="AW190" s="248"/>
      <c r="AX190" s="248"/>
      <c r="AY190" s="248"/>
    </row>
    <row r="191" spans="1:51">
      <c r="A191" s="244"/>
      <c r="B191" s="244"/>
      <c r="C191" s="286"/>
      <c r="D191" s="287"/>
      <c r="E191" s="244"/>
      <c r="F191" s="280"/>
      <c r="G191" s="282"/>
      <c r="H191" s="244"/>
      <c r="I191" s="244"/>
      <c r="J191" s="244"/>
      <c r="K191" s="244"/>
      <c r="L191" s="244"/>
      <c r="M191" s="244"/>
      <c r="N191" s="244"/>
      <c r="O191" s="244"/>
      <c r="P191" s="244"/>
      <c r="Q191" s="248"/>
      <c r="R191" s="248"/>
      <c r="S191" s="248"/>
      <c r="T191" s="248"/>
      <c r="U191" s="248"/>
      <c r="V191" s="248"/>
      <c r="W191" s="248"/>
      <c r="X191" s="248"/>
      <c r="Y191" s="248"/>
      <c r="Z191" s="248"/>
      <c r="AA191" s="248"/>
      <c r="AB191" s="248"/>
      <c r="AC191" s="248"/>
      <c r="AD191" s="248"/>
      <c r="AE191" s="248"/>
      <c r="AF191" s="248"/>
      <c r="AG191" s="248"/>
      <c r="AH191" s="248"/>
      <c r="AI191" s="248"/>
      <c r="AJ191" s="248"/>
      <c r="AK191" s="248"/>
      <c r="AL191" s="248"/>
      <c r="AM191" s="248"/>
      <c r="AN191" s="248"/>
      <c r="AO191" s="248"/>
      <c r="AP191" s="248"/>
      <c r="AQ191" s="248"/>
      <c r="AR191" s="248"/>
      <c r="AS191" s="248"/>
      <c r="AT191" s="248"/>
      <c r="AU191" s="248"/>
      <c r="AV191" s="248"/>
      <c r="AW191" s="248"/>
      <c r="AX191" s="248"/>
      <c r="AY191" s="248"/>
    </row>
    <row r="192" spans="1:51">
      <c r="A192" s="244"/>
      <c r="B192" s="244"/>
      <c r="C192" s="286"/>
      <c r="D192" s="287"/>
      <c r="E192" s="244"/>
      <c r="F192" s="280"/>
      <c r="G192" s="282"/>
      <c r="H192" s="244"/>
      <c r="I192" s="244"/>
      <c r="J192" s="244"/>
      <c r="K192" s="244"/>
      <c r="L192" s="244"/>
      <c r="M192" s="244"/>
      <c r="N192" s="244"/>
      <c r="O192" s="244"/>
      <c r="P192" s="244"/>
      <c r="Q192" s="248"/>
      <c r="R192" s="248"/>
      <c r="S192" s="248"/>
      <c r="T192" s="248"/>
      <c r="U192" s="248"/>
      <c r="V192" s="248"/>
      <c r="W192" s="248"/>
      <c r="X192" s="248"/>
      <c r="Y192" s="248"/>
      <c r="Z192" s="248"/>
      <c r="AA192" s="248"/>
      <c r="AB192" s="248"/>
      <c r="AC192" s="248"/>
      <c r="AD192" s="248"/>
      <c r="AE192" s="248"/>
      <c r="AF192" s="248"/>
      <c r="AG192" s="248"/>
      <c r="AH192" s="248"/>
      <c r="AI192" s="248"/>
      <c r="AJ192" s="248"/>
      <c r="AK192" s="248"/>
      <c r="AL192" s="248"/>
      <c r="AM192" s="248"/>
      <c r="AN192" s="248"/>
      <c r="AO192" s="248"/>
      <c r="AP192" s="248"/>
      <c r="AQ192" s="248"/>
      <c r="AR192" s="248"/>
      <c r="AS192" s="248"/>
      <c r="AT192" s="248"/>
      <c r="AU192" s="248"/>
      <c r="AV192" s="248"/>
      <c r="AW192" s="248"/>
      <c r="AX192" s="248"/>
      <c r="AY192" s="248"/>
    </row>
    <row r="193" spans="1:51">
      <c r="A193" s="244"/>
      <c r="B193" s="244"/>
      <c r="C193" s="286"/>
      <c r="D193" s="287"/>
      <c r="E193" s="244"/>
      <c r="F193" s="280"/>
      <c r="G193" s="282"/>
      <c r="H193" s="244"/>
      <c r="I193" s="244"/>
      <c r="J193" s="244"/>
      <c r="K193" s="244"/>
      <c r="L193" s="244"/>
      <c r="M193" s="244"/>
      <c r="N193" s="244"/>
      <c r="O193" s="244"/>
      <c r="P193" s="244"/>
      <c r="Q193" s="248"/>
      <c r="R193" s="248"/>
      <c r="S193" s="248"/>
      <c r="T193" s="248"/>
      <c r="U193" s="248"/>
      <c r="V193" s="248"/>
      <c r="W193" s="248"/>
      <c r="X193" s="248"/>
      <c r="Y193" s="248"/>
      <c r="Z193" s="248"/>
      <c r="AA193" s="248"/>
      <c r="AB193" s="248"/>
      <c r="AC193" s="248"/>
      <c r="AD193" s="248"/>
      <c r="AE193" s="248"/>
      <c r="AF193" s="248"/>
      <c r="AG193" s="248"/>
      <c r="AH193" s="248"/>
      <c r="AI193" s="248"/>
      <c r="AJ193" s="248"/>
      <c r="AK193" s="248"/>
      <c r="AL193" s="248"/>
      <c r="AM193" s="248"/>
      <c r="AN193" s="248"/>
      <c r="AO193" s="248"/>
      <c r="AP193" s="248"/>
      <c r="AQ193" s="248"/>
      <c r="AR193" s="248"/>
      <c r="AS193" s="248"/>
      <c r="AT193" s="248"/>
      <c r="AU193" s="248"/>
      <c r="AV193" s="248"/>
      <c r="AW193" s="248"/>
      <c r="AX193" s="248"/>
      <c r="AY193" s="248"/>
    </row>
    <row r="194" spans="1:51">
      <c r="A194" s="244"/>
      <c r="B194" s="244"/>
      <c r="C194" s="286"/>
      <c r="D194" s="287"/>
      <c r="E194" s="244"/>
      <c r="F194" s="280"/>
      <c r="G194" s="282"/>
      <c r="H194" s="244"/>
      <c r="I194" s="244"/>
      <c r="J194" s="244"/>
      <c r="K194" s="244"/>
      <c r="L194" s="244"/>
      <c r="M194" s="244"/>
      <c r="N194" s="244"/>
      <c r="O194" s="244"/>
      <c r="P194" s="244"/>
      <c r="Q194" s="248"/>
      <c r="R194" s="248"/>
      <c r="S194" s="248"/>
      <c r="T194" s="248"/>
      <c r="U194" s="248"/>
      <c r="V194" s="248"/>
      <c r="W194" s="248"/>
      <c r="X194" s="248"/>
      <c r="Y194" s="248"/>
      <c r="Z194" s="248"/>
      <c r="AA194" s="248"/>
      <c r="AB194" s="248"/>
      <c r="AC194" s="248"/>
      <c r="AD194" s="248"/>
      <c r="AE194" s="248"/>
      <c r="AF194" s="248"/>
      <c r="AG194" s="248"/>
      <c r="AH194" s="248"/>
      <c r="AI194" s="248"/>
      <c r="AJ194" s="248"/>
      <c r="AK194" s="248"/>
      <c r="AL194" s="248"/>
      <c r="AM194" s="248"/>
      <c r="AN194" s="248"/>
      <c r="AO194" s="248"/>
      <c r="AP194" s="248"/>
      <c r="AQ194" s="248"/>
      <c r="AR194" s="248"/>
      <c r="AS194" s="248"/>
      <c r="AT194" s="248"/>
      <c r="AU194" s="248"/>
      <c r="AV194" s="248"/>
      <c r="AW194" s="248"/>
      <c r="AX194" s="248"/>
      <c r="AY194" s="248"/>
    </row>
    <row r="195" spans="1:51">
      <c r="A195" s="244"/>
      <c r="B195" s="244"/>
      <c r="C195" s="286"/>
      <c r="D195" s="287"/>
      <c r="E195" s="244"/>
      <c r="F195" s="280"/>
      <c r="G195" s="282"/>
      <c r="H195" s="244"/>
      <c r="I195" s="244"/>
      <c r="J195" s="244"/>
      <c r="K195" s="244"/>
      <c r="L195" s="244"/>
      <c r="M195" s="244"/>
      <c r="N195" s="244"/>
      <c r="O195" s="244"/>
      <c r="P195" s="244"/>
      <c r="Q195" s="248"/>
      <c r="R195" s="248"/>
      <c r="S195" s="248"/>
      <c r="T195" s="248"/>
      <c r="U195" s="248"/>
      <c r="V195" s="248"/>
      <c r="W195" s="248"/>
      <c r="X195" s="248"/>
      <c r="Y195" s="248"/>
      <c r="Z195" s="248"/>
      <c r="AA195" s="248"/>
      <c r="AB195" s="248"/>
      <c r="AC195" s="248"/>
      <c r="AD195" s="248"/>
      <c r="AE195" s="248"/>
      <c r="AF195" s="248"/>
      <c r="AG195" s="248"/>
      <c r="AH195" s="248"/>
      <c r="AI195" s="248"/>
      <c r="AJ195" s="248"/>
      <c r="AK195" s="248"/>
      <c r="AL195" s="248"/>
      <c r="AM195" s="248"/>
      <c r="AN195" s="248"/>
      <c r="AO195" s="248"/>
      <c r="AP195" s="248"/>
      <c r="AQ195" s="248"/>
      <c r="AR195" s="248"/>
      <c r="AS195" s="248"/>
      <c r="AT195" s="248"/>
      <c r="AU195" s="248"/>
      <c r="AV195" s="248"/>
      <c r="AW195" s="248"/>
      <c r="AX195" s="248"/>
      <c r="AY195" s="248"/>
    </row>
    <row r="196" spans="1:51">
      <c r="A196" s="244"/>
      <c r="B196" s="244"/>
      <c r="C196" s="286"/>
      <c r="D196" s="287"/>
      <c r="E196" s="244"/>
      <c r="F196" s="280"/>
      <c r="G196" s="282"/>
      <c r="H196" s="244"/>
      <c r="I196" s="244"/>
      <c r="J196" s="244"/>
      <c r="K196" s="244"/>
      <c r="L196" s="244"/>
      <c r="M196" s="244"/>
      <c r="N196" s="244"/>
      <c r="O196" s="244"/>
      <c r="P196" s="244"/>
      <c r="Q196" s="248"/>
      <c r="R196" s="248"/>
      <c r="S196" s="248"/>
      <c r="T196" s="248"/>
      <c r="U196" s="248"/>
      <c r="V196" s="248"/>
      <c r="W196" s="248"/>
      <c r="X196" s="248"/>
      <c r="Y196" s="248"/>
      <c r="Z196" s="248"/>
      <c r="AA196" s="248"/>
      <c r="AB196" s="248"/>
      <c r="AC196" s="248"/>
      <c r="AD196" s="248"/>
      <c r="AE196" s="248"/>
      <c r="AF196" s="248"/>
      <c r="AG196" s="248"/>
      <c r="AH196" s="248"/>
      <c r="AI196" s="248"/>
      <c r="AJ196" s="248"/>
      <c r="AK196" s="248"/>
      <c r="AL196" s="248"/>
      <c r="AM196" s="248"/>
      <c r="AN196" s="248"/>
      <c r="AO196" s="248"/>
      <c r="AP196" s="248"/>
      <c r="AQ196" s="248"/>
      <c r="AR196" s="248"/>
      <c r="AS196" s="248"/>
      <c r="AT196" s="248"/>
      <c r="AU196" s="248"/>
      <c r="AV196" s="248"/>
      <c r="AW196" s="248"/>
      <c r="AX196" s="248"/>
      <c r="AY196" s="248"/>
    </row>
    <row r="197" spans="1:51">
      <c r="A197" s="244"/>
      <c r="B197" s="244"/>
      <c r="C197" s="286"/>
      <c r="D197" s="287"/>
      <c r="E197" s="244"/>
      <c r="F197" s="280"/>
      <c r="G197" s="282"/>
      <c r="H197" s="244"/>
      <c r="I197" s="244"/>
      <c r="J197" s="244"/>
      <c r="K197" s="244"/>
      <c r="L197" s="244"/>
      <c r="M197" s="244"/>
      <c r="N197" s="244"/>
      <c r="O197" s="244"/>
      <c r="P197" s="244"/>
      <c r="Q197" s="248"/>
      <c r="R197" s="248"/>
      <c r="S197" s="248"/>
      <c r="T197" s="248"/>
      <c r="U197" s="248"/>
      <c r="V197" s="248"/>
      <c r="W197" s="248"/>
      <c r="X197" s="248"/>
      <c r="Y197" s="248"/>
      <c r="Z197" s="248"/>
      <c r="AA197" s="248"/>
      <c r="AB197" s="248"/>
      <c r="AC197" s="248"/>
      <c r="AD197" s="248"/>
      <c r="AE197" s="248"/>
      <c r="AF197" s="248"/>
      <c r="AG197" s="248"/>
      <c r="AH197" s="248"/>
      <c r="AI197" s="248"/>
      <c r="AJ197" s="248"/>
      <c r="AK197" s="248"/>
      <c r="AL197" s="248"/>
      <c r="AM197" s="248"/>
      <c r="AN197" s="248"/>
      <c r="AO197" s="248"/>
      <c r="AP197" s="248"/>
      <c r="AQ197" s="248"/>
      <c r="AR197" s="248"/>
      <c r="AS197" s="248"/>
      <c r="AT197" s="248"/>
      <c r="AU197" s="248"/>
      <c r="AV197" s="248"/>
      <c r="AW197" s="248"/>
      <c r="AX197" s="248"/>
      <c r="AY197" s="248"/>
    </row>
    <row r="198" spans="1:51">
      <c r="A198" s="244"/>
      <c r="B198" s="244"/>
      <c r="C198" s="286"/>
      <c r="D198" s="287"/>
      <c r="E198" s="244"/>
      <c r="F198" s="280"/>
      <c r="G198" s="282"/>
      <c r="H198" s="244"/>
      <c r="I198" s="244"/>
      <c r="J198" s="244"/>
      <c r="K198" s="244"/>
      <c r="L198" s="244"/>
      <c r="M198" s="244"/>
      <c r="N198" s="244"/>
      <c r="O198" s="244"/>
      <c r="P198" s="244"/>
      <c r="Q198" s="248"/>
      <c r="R198" s="248"/>
      <c r="S198" s="248"/>
      <c r="T198" s="248"/>
      <c r="U198" s="248"/>
      <c r="V198" s="248"/>
      <c r="W198" s="248"/>
      <c r="X198" s="248"/>
      <c r="Y198" s="248"/>
      <c r="Z198" s="248"/>
      <c r="AA198" s="248"/>
      <c r="AB198" s="248"/>
      <c r="AC198" s="248"/>
      <c r="AD198" s="248"/>
      <c r="AE198" s="248"/>
      <c r="AF198" s="248"/>
      <c r="AG198" s="248"/>
      <c r="AH198" s="248"/>
      <c r="AI198" s="248"/>
      <c r="AJ198" s="248"/>
      <c r="AK198" s="248"/>
      <c r="AL198" s="248"/>
      <c r="AM198" s="248"/>
      <c r="AN198" s="248"/>
      <c r="AO198" s="248"/>
      <c r="AP198" s="248"/>
      <c r="AQ198" s="248"/>
      <c r="AR198" s="248"/>
      <c r="AS198" s="248"/>
      <c r="AT198" s="248"/>
      <c r="AU198" s="248"/>
      <c r="AV198" s="248"/>
      <c r="AW198" s="248"/>
      <c r="AX198" s="248"/>
      <c r="AY198" s="248"/>
    </row>
    <row r="199" spans="1:51">
      <c r="A199" s="244"/>
      <c r="B199" s="244"/>
      <c r="C199" s="286"/>
      <c r="D199" s="287"/>
      <c r="E199" s="244"/>
      <c r="F199" s="280"/>
      <c r="G199" s="282"/>
      <c r="H199" s="244"/>
      <c r="I199" s="244"/>
      <c r="J199" s="244"/>
      <c r="K199" s="244"/>
      <c r="L199" s="244"/>
      <c r="M199" s="244"/>
      <c r="N199" s="244"/>
      <c r="O199" s="244"/>
      <c r="P199" s="244"/>
      <c r="Q199" s="248"/>
      <c r="R199" s="248"/>
      <c r="S199" s="248"/>
      <c r="T199" s="248"/>
      <c r="U199" s="248"/>
      <c r="V199" s="248"/>
      <c r="W199" s="248"/>
      <c r="X199" s="248"/>
      <c r="Y199" s="248"/>
      <c r="Z199" s="248"/>
      <c r="AA199" s="248"/>
      <c r="AB199" s="248"/>
      <c r="AC199" s="248"/>
      <c r="AD199" s="248"/>
      <c r="AE199" s="248"/>
      <c r="AF199" s="248"/>
      <c r="AG199" s="248"/>
      <c r="AH199" s="248"/>
      <c r="AI199" s="248"/>
      <c r="AJ199" s="248"/>
      <c r="AK199" s="248"/>
      <c r="AL199" s="248"/>
      <c r="AM199" s="248"/>
      <c r="AN199" s="248"/>
      <c r="AO199" s="248"/>
      <c r="AP199" s="248"/>
      <c r="AQ199" s="248"/>
      <c r="AR199" s="248"/>
      <c r="AS199" s="248"/>
      <c r="AT199" s="248"/>
      <c r="AU199" s="248"/>
      <c r="AV199" s="248"/>
      <c r="AW199" s="248"/>
      <c r="AX199" s="248"/>
      <c r="AY199" s="248"/>
    </row>
    <row r="200" spans="1:51">
      <c r="A200" s="244"/>
      <c r="B200" s="244"/>
      <c r="C200" s="286"/>
      <c r="D200" s="287"/>
      <c r="E200" s="244"/>
      <c r="F200" s="280"/>
      <c r="G200" s="282"/>
      <c r="H200" s="244"/>
      <c r="I200" s="244"/>
      <c r="J200" s="244"/>
      <c r="K200" s="244"/>
      <c r="L200" s="244"/>
      <c r="M200" s="244"/>
      <c r="N200" s="244"/>
      <c r="O200" s="244"/>
      <c r="P200" s="244"/>
      <c r="Q200" s="248"/>
      <c r="R200" s="248"/>
      <c r="S200" s="248"/>
      <c r="T200" s="248"/>
      <c r="U200" s="248"/>
      <c r="V200" s="248"/>
      <c r="W200" s="248"/>
      <c r="X200" s="248"/>
      <c r="Y200" s="248"/>
      <c r="Z200" s="248"/>
      <c r="AA200" s="248"/>
      <c r="AB200" s="248"/>
      <c r="AC200" s="248"/>
      <c r="AD200" s="248"/>
      <c r="AE200" s="248"/>
      <c r="AF200" s="248"/>
      <c r="AG200" s="248"/>
      <c r="AH200" s="248"/>
      <c r="AI200" s="248"/>
      <c r="AJ200" s="248"/>
      <c r="AK200" s="248"/>
      <c r="AL200" s="248"/>
      <c r="AM200" s="248"/>
      <c r="AN200" s="248"/>
      <c r="AO200" s="248"/>
      <c r="AP200" s="248"/>
      <c r="AQ200" s="248"/>
      <c r="AR200" s="248"/>
      <c r="AS200" s="248"/>
      <c r="AT200" s="248"/>
      <c r="AU200" s="248"/>
      <c r="AV200" s="248"/>
      <c r="AW200" s="248"/>
      <c r="AX200" s="248"/>
      <c r="AY200" s="248"/>
    </row>
    <row r="201" spans="1:51">
      <c r="A201" s="244"/>
      <c r="B201" s="244"/>
      <c r="C201" s="286"/>
      <c r="D201" s="287"/>
      <c r="E201" s="244"/>
      <c r="F201" s="280"/>
      <c r="G201" s="282"/>
      <c r="H201" s="244"/>
      <c r="I201" s="244"/>
      <c r="J201" s="244"/>
      <c r="K201" s="244"/>
      <c r="L201" s="244"/>
      <c r="M201" s="244"/>
      <c r="N201" s="244"/>
      <c r="O201" s="244"/>
      <c r="P201" s="244"/>
      <c r="Q201" s="248"/>
      <c r="R201" s="248"/>
      <c r="S201" s="248"/>
      <c r="T201" s="248"/>
      <c r="U201" s="248"/>
      <c r="V201" s="248"/>
      <c r="W201" s="248"/>
      <c r="X201" s="248"/>
      <c r="Y201" s="248"/>
      <c r="Z201" s="248"/>
      <c r="AA201" s="248"/>
      <c r="AB201" s="248"/>
      <c r="AC201" s="248"/>
      <c r="AD201" s="248"/>
      <c r="AE201" s="248"/>
      <c r="AF201" s="248"/>
      <c r="AG201" s="248"/>
      <c r="AH201" s="248"/>
      <c r="AI201" s="248"/>
      <c r="AJ201" s="248"/>
      <c r="AK201" s="248"/>
      <c r="AL201" s="248"/>
      <c r="AM201" s="248"/>
      <c r="AN201" s="248"/>
      <c r="AO201" s="248"/>
      <c r="AP201" s="248"/>
      <c r="AQ201" s="248"/>
      <c r="AR201" s="248"/>
      <c r="AS201" s="248"/>
      <c r="AT201" s="248"/>
      <c r="AU201" s="248"/>
      <c r="AV201" s="248"/>
      <c r="AW201" s="248"/>
      <c r="AX201" s="248"/>
      <c r="AY201" s="248"/>
    </row>
    <row r="202" spans="1:51">
      <c r="A202" s="244"/>
      <c r="B202" s="244"/>
      <c r="C202" s="286"/>
      <c r="D202" s="287"/>
      <c r="E202" s="244"/>
      <c r="F202" s="280"/>
      <c r="G202" s="282"/>
      <c r="H202" s="244"/>
      <c r="I202" s="244"/>
      <c r="J202" s="244"/>
      <c r="K202" s="244"/>
      <c r="L202" s="244"/>
      <c r="M202" s="244"/>
      <c r="N202" s="244"/>
      <c r="O202" s="244"/>
      <c r="P202" s="244"/>
      <c r="Q202" s="248"/>
      <c r="R202" s="248"/>
      <c r="S202" s="248"/>
      <c r="T202" s="248"/>
      <c r="U202" s="248"/>
      <c r="V202" s="248"/>
      <c r="W202" s="248"/>
      <c r="X202" s="248"/>
      <c r="Y202" s="248"/>
      <c r="Z202" s="248"/>
      <c r="AA202" s="248"/>
      <c r="AB202" s="248"/>
      <c r="AC202" s="248"/>
      <c r="AD202" s="248"/>
      <c r="AE202" s="248"/>
      <c r="AF202" s="248"/>
      <c r="AG202" s="248"/>
      <c r="AH202" s="248"/>
      <c r="AI202" s="248"/>
      <c r="AJ202" s="248"/>
      <c r="AK202" s="248"/>
      <c r="AL202" s="248"/>
      <c r="AM202" s="248"/>
      <c r="AN202" s="248"/>
      <c r="AO202" s="248"/>
      <c r="AP202" s="248"/>
      <c r="AQ202" s="248"/>
      <c r="AR202" s="248"/>
      <c r="AS202" s="248"/>
      <c r="AT202" s="248"/>
      <c r="AU202" s="248"/>
      <c r="AV202" s="248"/>
      <c r="AW202" s="248"/>
      <c r="AX202" s="248"/>
      <c r="AY202" s="248"/>
    </row>
    <row r="203" spans="1:51">
      <c r="A203" s="244"/>
      <c r="B203" s="244"/>
      <c r="C203" s="286"/>
      <c r="D203" s="287"/>
      <c r="E203" s="244"/>
      <c r="F203" s="280"/>
      <c r="G203" s="282"/>
      <c r="H203" s="244"/>
      <c r="I203" s="244"/>
      <c r="J203" s="244"/>
      <c r="K203" s="244"/>
      <c r="L203" s="244"/>
      <c r="M203" s="244"/>
      <c r="N203" s="244"/>
      <c r="O203" s="244"/>
      <c r="P203" s="244"/>
      <c r="Q203" s="248"/>
      <c r="R203" s="248"/>
      <c r="S203" s="248"/>
      <c r="T203" s="248"/>
      <c r="U203" s="248"/>
      <c r="V203" s="248"/>
      <c r="W203" s="248"/>
      <c r="X203" s="248"/>
      <c r="Y203" s="248"/>
      <c r="Z203" s="248"/>
      <c r="AA203" s="248"/>
      <c r="AB203" s="248"/>
      <c r="AC203" s="248"/>
      <c r="AD203" s="248"/>
      <c r="AE203" s="248"/>
      <c r="AF203" s="248"/>
      <c r="AG203" s="248"/>
      <c r="AH203" s="248"/>
      <c r="AI203" s="248"/>
      <c r="AJ203" s="248"/>
      <c r="AK203" s="248"/>
      <c r="AL203" s="248"/>
      <c r="AM203" s="248"/>
      <c r="AN203" s="248"/>
      <c r="AO203" s="248"/>
      <c r="AP203" s="248"/>
      <c r="AQ203" s="248"/>
      <c r="AR203" s="248"/>
      <c r="AS203" s="248"/>
      <c r="AT203" s="248"/>
      <c r="AU203" s="248"/>
      <c r="AV203" s="248"/>
      <c r="AW203" s="248"/>
      <c r="AX203" s="248"/>
      <c r="AY203" s="248"/>
    </row>
    <row r="204" spans="1:51">
      <c r="A204" s="244"/>
      <c r="B204" s="244"/>
      <c r="C204" s="286"/>
      <c r="D204" s="287"/>
      <c r="E204" s="244"/>
      <c r="F204" s="280"/>
      <c r="G204" s="282"/>
      <c r="H204" s="244"/>
      <c r="I204" s="244"/>
      <c r="J204" s="244"/>
      <c r="K204" s="244"/>
      <c r="L204" s="244"/>
      <c r="M204" s="244"/>
      <c r="N204" s="244"/>
      <c r="O204" s="244"/>
      <c r="P204" s="244"/>
      <c r="Q204" s="248"/>
      <c r="R204" s="248"/>
      <c r="S204" s="248"/>
      <c r="T204" s="248"/>
      <c r="U204" s="248"/>
      <c r="V204" s="248"/>
      <c r="W204" s="248"/>
      <c r="X204" s="248"/>
      <c r="Y204" s="248"/>
      <c r="Z204" s="248"/>
      <c r="AA204" s="248"/>
      <c r="AB204" s="248"/>
      <c r="AC204" s="248"/>
      <c r="AD204" s="248"/>
      <c r="AE204" s="248"/>
      <c r="AF204" s="248"/>
      <c r="AG204" s="248"/>
      <c r="AH204" s="248"/>
      <c r="AI204" s="248"/>
      <c r="AJ204" s="248"/>
      <c r="AK204" s="248"/>
      <c r="AL204" s="248"/>
      <c r="AM204" s="248"/>
      <c r="AN204" s="248"/>
      <c r="AO204" s="248"/>
      <c r="AP204" s="248"/>
      <c r="AQ204" s="248"/>
      <c r="AR204" s="248"/>
      <c r="AS204" s="248"/>
      <c r="AT204" s="248"/>
      <c r="AU204" s="248"/>
      <c r="AV204" s="248"/>
      <c r="AW204" s="248"/>
      <c r="AX204" s="248"/>
      <c r="AY204" s="248"/>
    </row>
    <row r="205" spans="1:51">
      <c r="A205" s="244"/>
      <c r="B205" s="244"/>
      <c r="C205" s="286"/>
      <c r="D205" s="287"/>
      <c r="E205" s="244"/>
      <c r="F205" s="280"/>
      <c r="G205" s="282"/>
      <c r="H205" s="244"/>
      <c r="I205" s="244"/>
      <c r="J205" s="244"/>
      <c r="K205" s="244"/>
      <c r="L205" s="244"/>
      <c r="M205" s="244"/>
      <c r="N205" s="244"/>
      <c r="O205" s="244"/>
      <c r="P205" s="244"/>
      <c r="Q205" s="248"/>
      <c r="R205" s="248"/>
      <c r="S205" s="248"/>
      <c r="T205" s="248"/>
      <c r="U205" s="248"/>
      <c r="V205" s="248"/>
      <c r="W205" s="248"/>
      <c r="X205" s="248"/>
      <c r="Y205" s="248"/>
      <c r="Z205" s="248"/>
      <c r="AA205" s="248"/>
      <c r="AB205" s="248"/>
      <c r="AC205" s="248"/>
      <c r="AD205" s="248"/>
      <c r="AE205" s="248"/>
      <c r="AF205" s="248"/>
      <c r="AG205" s="248"/>
      <c r="AH205" s="248"/>
      <c r="AI205" s="248"/>
      <c r="AJ205" s="248"/>
      <c r="AK205" s="248"/>
      <c r="AL205" s="248"/>
      <c r="AM205" s="248"/>
      <c r="AN205" s="248"/>
      <c r="AO205" s="248"/>
      <c r="AP205" s="248"/>
      <c r="AQ205" s="248"/>
      <c r="AR205" s="248"/>
      <c r="AS205" s="248"/>
      <c r="AT205" s="248"/>
      <c r="AU205" s="248"/>
      <c r="AV205" s="248"/>
      <c r="AW205" s="248"/>
      <c r="AX205" s="248"/>
      <c r="AY205" s="248"/>
    </row>
    <row r="206" spans="1:51">
      <c r="A206" s="244"/>
      <c r="B206" s="244"/>
      <c r="C206" s="286"/>
      <c r="D206" s="287"/>
      <c r="E206" s="244"/>
      <c r="F206" s="280"/>
      <c r="G206" s="282"/>
      <c r="H206" s="244"/>
      <c r="I206" s="244"/>
      <c r="J206" s="244"/>
      <c r="K206" s="244"/>
      <c r="L206" s="244"/>
      <c r="M206" s="244"/>
      <c r="N206" s="244"/>
      <c r="O206" s="244"/>
      <c r="P206" s="244"/>
      <c r="Q206" s="248"/>
      <c r="R206" s="248"/>
      <c r="S206" s="248"/>
      <c r="T206" s="248"/>
      <c r="U206" s="248"/>
      <c r="V206" s="248"/>
      <c r="W206" s="248"/>
      <c r="X206" s="248"/>
      <c r="Y206" s="248"/>
      <c r="Z206" s="248"/>
      <c r="AA206" s="248"/>
      <c r="AB206" s="248"/>
      <c r="AC206" s="248"/>
      <c r="AD206" s="248"/>
      <c r="AE206" s="248"/>
      <c r="AF206" s="248"/>
      <c r="AG206" s="248"/>
      <c r="AH206" s="248"/>
      <c r="AI206" s="248"/>
      <c r="AJ206" s="248"/>
      <c r="AK206" s="248"/>
      <c r="AL206" s="248"/>
      <c r="AM206" s="248"/>
      <c r="AN206" s="248"/>
      <c r="AO206" s="248"/>
      <c r="AP206" s="248"/>
      <c r="AQ206" s="248"/>
      <c r="AR206" s="248"/>
      <c r="AS206" s="248"/>
      <c r="AT206" s="248"/>
      <c r="AU206" s="248"/>
      <c r="AV206" s="248"/>
      <c r="AW206" s="248"/>
      <c r="AX206" s="248"/>
      <c r="AY206" s="248"/>
    </row>
    <row r="207" spans="1:51">
      <c r="A207" s="244"/>
      <c r="B207" s="244"/>
      <c r="C207" s="286"/>
      <c r="D207" s="287"/>
      <c r="E207" s="244"/>
      <c r="F207" s="280"/>
      <c r="G207" s="282"/>
      <c r="H207" s="244"/>
      <c r="I207" s="244"/>
      <c r="J207" s="244"/>
      <c r="K207" s="244"/>
      <c r="L207" s="244"/>
      <c r="M207" s="244"/>
      <c r="N207" s="244"/>
      <c r="O207" s="244"/>
      <c r="P207" s="244"/>
      <c r="Q207" s="248"/>
      <c r="R207" s="248"/>
      <c r="S207" s="248"/>
      <c r="T207" s="248"/>
      <c r="U207" s="248"/>
      <c r="V207" s="248"/>
      <c r="W207" s="248"/>
      <c r="X207" s="248"/>
      <c r="Y207" s="248"/>
      <c r="Z207" s="248"/>
      <c r="AA207" s="248"/>
      <c r="AB207" s="248"/>
      <c r="AC207" s="248"/>
      <c r="AD207" s="248"/>
      <c r="AE207" s="248"/>
      <c r="AF207" s="248"/>
      <c r="AG207" s="248"/>
      <c r="AH207" s="248"/>
      <c r="AI207" s="248"/>
      <c r="AJ207" s="248"/>
      <c r="AK207" s="248"/>
      <c r="AL207" s="248"/>
      <c r="AM207" s="248"/>
      <c r="AN207" s="248"/>
      <c r="AO207" s="248"/>
      <c r="AP207" s="248"/>
      <c r="AQ207" s="248"/>
      <c r="AR207" s="248"/>
      <c r="AS207" s="248"/>
      <c r="AT207" s="248"/>
      <c r="AU207" s="248"/>
      <c r="AV207" s="248"/>
      <c r="AW207" s="248"/>
      <c r="AX207" s="248"/>
      <c r="AY207" s="248"/>
    </row>
    <row r="208" spans="1:51">
      <c r="A208" s="244"/>
      <c r="B208" s="244"/>
      <c r="C208" s="286"/>
      <c r="D208" s="287"/>
      <c r="E208" s="244"/>
      <c r="F208" s="280"/>
      <c r="G208" s="282"/>
      <c r="H208" s="244"/>
      <c r="I208" s="244"/>
      <c r="J208" s="244"/>
      <c r="K208" s="244"/>
      <c r="L208" s="244"/>
      <c r="M208" s="244"/>
      <c r="N208" s="244"/>
      <c r="O208" s="244"/>
      <c r="P208" s="244"/>
      <c r="Q208" s="248"/>
      <c r="R208" s="248"/>
      <c r="S208" s="248"/>
      <c r="T208" s="248"/>
      <c r="U208" s="248"/>
      <c r="V208" s="248"/>
      <c r="W208" s="248"/>
      <c r="X208" s="248"/>
      <c r="Y208" s="248"/>
      <c r="Z208" s="248"/>
      <c r="AA208" s="248"/>
      <c r="AB208" s="248"/>
      <c r="AC208" s="248"/>
      <c r="AD208" s="248"/>
      <c r="AE208" s="248"/>
      <c r="AF208" s="248"/>
      <c r="AG208" s="248"/>
      <c r="AH208" s="248"/>
      <c r="AI208" s="248"/>
      <c r="AJ208" s="248"/>
      <c r="AK208" s="248"/>
      <c r="AL208" s="248"/>
      <c r="AM208" s="248"/>
      <c r="AN208" s="248"/>
      <c r="AO208" s="248"/>
      <c r="AP208" s="248"/>
      <c r="AQ208" s="248"/>
      <c r="AR208" s="248"/>
      <c r="AS208" s="248"/>
      <c r="AT208" s="248"/>
      <c r="AU208" s="248"/>
      <c r="AV208" s="248"/>
      <c r="AW208" s="248"/>
      <c r="AX208" s="248"/>
      <c r="AY208" s="248"/>
    </row>
    <row r="209" spans="1:51">
      <c r="A209" s="244"/>
      <c r="B209" s="244"/>
      <c r="C209" s="286"/>
      <c r="D209" s="287"/>
      <c r="E209" s="244"/>
      <c r="F209" s="280"/>
      <c r="G209" s="282"/>
      <c r="H209" s="244"/>
      <c r="I209" s="244"/>
      <c r="J209" s="244"/>
      <c r="K209" s="244"/>
      <c r="L209" s="244"/>
      <c r="M209" s="244"/>
      <c r="N209" s="244"/>
      <c r="O209" s="244"/>
      <c r="P209" s="244"/>
      <c r="Q209" s="248"/>
      <c r="R209" s="248"/>
      <c r="S209" s="248"/>
      <c r="T209" s="248"/>
      <c r="U209" s="248"/>
      <c r="V209" s="248"/>
      <c r="W209" s="248"/>
      <c r="X209" s="248"/>
      <c r="Y209" s="248"/>
      <c r="Z209" s="248"/>
      <c r="AA209" s="248"/>
      <c r="AB209" s="248"/>
      <c r="AC209" s="248"/>
      <c r="AD209" s="248"/>
      <c r="AE209" s="248"/>
      <c r="AF209" s="248"/>
      <c r="AG209" s="248"/>
      <c r="AH209" s="248"/>
      <c r="AI209" s="248"/>
      <c r="AJ209" s="248"/>
      <c r="AK209" s="248"/>
      <c r="AL209" s="248"/>
      <c r="AM209" s="248"/>
      <c r="AN209" s="248"/>
      <c r="AO209" s="248"/>
      <c r="AP209" s="248"/>
      <c r="AQ209" s="248"/>
      <c r="AR209" s="248"/>
      <c r="AS209" s="248"/>
      <c r="AT209" s="248"/>
      <c r="AU209" s="248"/>
      <c r="AV209" s="248"/>
      <c r="AW209" s="248"/>
      <c r="AX209" s="248"/>
      <c r="AY209" s="248"/>
    </row>
    <row r="210" spans="1:51">
      <c r="A210" s="244"/>
      <c r="B210" s="244"/>
      <c r="C210" s="286"/>
      <c r="D210" s="287"/>
      <c r="E210" s="244"/>
      <c r="F210" s="280"/>
      <c r="G210" s="282"/>
      <c r="H210" s="244"/>
      <c r="I210" s="244"/>
      <c r="J210" s="244"/>
      <c r="K210" s="244"/>
      <c r="L210" s="244"/>
      <c r="M210" s="244"/>
      <c r="N210" s="244"/>
      <c r="O210" s="244"/>
      <c r="P210" s="244"/>
      <c r="Q210" s="248"/>
      <c r="R210" s="248"/>
      <c r="S210" s="248"/>
      <c r="T210" s="248"/>
      <c r="U210" s="248"/>
      <c r="V210" s="248"/>
      <c r="W210" s="248"/>
      <c r="X210" s="248"/>
      <c r="Y210" s="248"/>
      <c r="Z210" s="248"/>
      <c r="AA210" s="248"/>
      <c r="AB210" s="248"/>
      <c r="AC210" s="248"/>
      <c r="AD210" s="248"/>
      <c r="AE210" s="248"/>
      <c r="AF210" s="248"/>
      <c r="AG210" s="248"/>
      <c r="AH210" s="248"/>
      <c r="AI210" s="248"/>
      <c r="AJ210" s="248"/>
      <c r="AK210" s="248"/>
      <c r="AL210" s="248"/>
      <c r="AM210" s="248"/>
      <c r="AN210" s="248"/>
      <c r="AO210" s="248"/>
      <c r="AP210" s="248"/>
      <c r="AQ210" s="248"/>
      <c r="AR210" s="248"/>
      <c r="AS210" s="248"/>
      <c r="AT210" s="248"/>
      <c r="AU210" s="248"/>
      <c r="AV210" s="248"/>
      <c r="AW210" s="248"/>
      <c r="AX210" s="248"/>
      <c r="AY210" s="248"/>
    </row>
    <row r="211" spans="1:51">
      <c r="A211" s="244"/>
      <c r="B211" s="244"/>
      <c r="C211" s="286"/>
      <c r="D211" s="287"/>
      <c r="E211" s="244"/>
      <c r="F211" s="280"/>
      <c r="G211" s="282"/>
      <c r="H211" s="244"/>
      <c r="I211" s="244"/>
      <c r="J211" s="244"/>
      <c r="K211" s="244"/>
      <c r="L211" s="244"/>
      <c r="M211" s="244"/>
      <c r="N211" s="244"/>
      <c r="O211" s="244"/>
      <c r="P211" s="244"/>
      <c r="Q211" s="248"/>
      <c r="R211" s="248"/>
      <c r="S211" s="248"/>
      <c r="T211" s="248"/>
      <c r="U211" s="248"/>
      <c r="V211" s="248"/>
      <c r="W211" s="248"/>
      <c r="X211" s="248"/>
      <c r="Y211" s="248"/>
      <c r="Z211" s="248"/>
      <c r="AA211" s="248"/>
      <c r="AB211" s="248"/>
      <c r="AC211" s="248"/>
      <c r="AD211" s="248"/>
      <c r="AE211" s="248"/>
      <c r="AF211" s="248"/>
      <c r="AG211" s="248"/>
      <c r="AH211" s="248"/>
      <c r="AI211" s="248"/>
      <c r="AJ211" s="248"/>
      <c r="AK211" s="248"/>
      <c r="AL211" s="248"/>
      <c r="AM211" s="248"/>
      <c r="AN211" s="248"/>
      <c r="AO211" s="248"/>
      <c r="AP211" s="248"/>
      <c r="AQ211" s="248"/>
      <c r="AR211" s="248"/>
      <c r="AS211" s="248"/>
      <c r="AT211" s="248"/>
      <c r="AU211" s="248"/>
      <c r="AV211" s="248"/>
      <c r="AW211" s="248"/>
      <c r="AX211" s="248"/>
      <c r="AY211" s="248"/>
    </row>
    <row r="212" spans="1:51">
      <c r="A212" s="244"/>
      <c r="B212" s="244"/>
      <c r="C212" s="286"/>
      <c r="D212" s="287"/>
      <c r="E212" s="244"/>
      <c r="F212" s="280"/>
      <c r="G212" s="282"/>
      <c r="H212" s="244"/>
      <c r="I212" s="244"/>
      <c r="J212" s="244"/>
      <c r="K212" s="244"/>
      <c r="L212" s="244"/>
      <c r="M212" s="244"/>
      <c r="N212" s="244"/>
      <c r="O212" s="244"/>
      <c r="P212" s="244"/>
      <c r="Q212" s="248"/>
      <c r="R212" s="248"/>
      <c r="S212" s="248"/>
      <c r="T212" s="248"/>
      <c r="U212" s="248"/>
      <c r="V212" s="248"/>
      <c r="W212" s="248"/>
      <c r="X212" s="248"/>
      <c r="Y212" s="248"/>
      <c r="Z212" s="248"/>
      <c r="AA212" s="248"/>
      <c r="AB212" s="248"/>
      <c r="AC212" s="248"/>
      <c r="AD212" s="248"/>
      <c r="AE212" s="248"/>
      <c r="AF212" s="248"/>
      <c r="AG212" s="248"/>
      <c r="AH212" s="248"/>
      <c r="AI212" s="248"/>
      <c r="AJ212" s="248"/>
      <c r="AK212" s="248"/>
      <c r="AL212" s="248"/>
      <c r="AM212" s="248"/>
      <c r="AN212" s="248"/>
      <c r="AO212" s="248"/>
      <c r="AP212" s="248"/>
      <c r="AQ212" s="248"/>
      <c r="AR212" s="248"/>
      <c r="AS212" s="248"/>
      <c r="AT212" s="248"/>
      <c r="AU212" s="248"/>
      <c r="AV212" s="248"/>
      <c r="AW212" s="248"/>
      <c r="AX212" s="248"/>
      <c r="AY212" s="248"/>
    </row>
    <row r="213" spans="1:51">
      <c r="A213" s="244"/>
      <c r="B213" s="244"/>
      <c r="C213" s="286"/>
      <c r="D213" s="287"/>
      <c r="E213" s="244"/>
      <c r="F213" s="280"/>
      <c r="G213" s="282"/>
      <c r="H213" s="244"/>
      <c r="I213" s="244"/>
      <c r="J213" s="244"/>
      <c r="K213" s="244"/>
      <c r="L213" s="244"/>
      <c r="M213" s="244"/>
      <c r="N213" s="244"/>
      <c r="O213" s="244"/>
      <c r="P213" s="244"/>
      <c r="Q213" s="248"/>
      <c r="R213" s="248"/>
      <c r="S213" s="248"/>
      <c r="T213" s="248"/>
      <c r="U213" s="248"/>
      <c r="V213" s="248"/>
      <c r="W213" s="248"/>
      <c r="X213" s="248"/>
      <c r="Y213" s="248"/>
      <c r="Z213" s="248"/>
      <c r="AA213" s="248"/>
      <c r="AB213" s="248"/>
      <c r="AC213" s="248"/>
      <c r="AD213" s="248"/>
      <c r="AE213" s="248"/>
      <c r="AF213" s="248"/>
      <c r="AG213" s="248"/>
      <c r="AH213" s="248"/>
      <c r="AI213" s="248"/>
      <c r="AJ213" s="248"/>
      <c r="AK213" s="248"/>
      <c r="AL213" s="248"/>
      <c r="AM213" s="248"/>
      <c r="AN213" s="248"/>
      <c r="AO213" s="248"/>
      <c r="AP213" s="248"/>
      <c r="AQ213" s="248"/>
      <c r="AR213" s="248"/>
      <c r="AS213" s="248"/>
      <c r="AT213" s="248"/>
      <c r="AU213" s="248"/>
      <c r="AV213" s="248"/>
      <c r="AW213" s="248"/>
      <c r="AX213" s="248"/>
      <c r="AY213" s="248"/>
    </row>
    <row r="214" spans="1:51">
      <c r="A214" s="244"/>
      <c r="B214" s="244"/>
      <c r="C214" s="286"/>
      <c r="D214" s="287"/>
      <c r="E214" s="244"/>
      <c r="F214" s="280"/>
      <c r="G214" s="282"/>
      <c r="H214" s="244"/>
      <c r="I214" s="244"/>
      <c r="J214" s="244"/>
      <c r="K214" s="244"/>
      <c r="L214" s="244"/>
      <c r="M214" s="244"/>
      <c r="N214" s="244"/>
      <c r="O214" s="244"/>
      <c r="P214" s="244"/>
      <c r="Q214" s="248"/>
      <c r="R214" s="248"/>
      <c r="S214" s="248"/>
      <c r="T214" s="248"/>
      <c r="U214" s="248"/>
      <c r="V214" s="248"/>
      <c r="W214" s="248"/>
      <c r="X214" s="248"/>
      <c r="Y214" s="248"/>
      <c r="Z214" s="248"/>
      <c r="AA214" s="248"/>
      <c r="AB214" s="248"/>
      <c r="AC214" s="248"/>
      <c r="AD214" s="248"/>
      <c r="AE214" s="248"/>
      <c r="AF214" s="248"/>
      <c r="AG214" s="248"/>
      <c r="AH214" s="248"/>
      <c r="AI214" s="248"/>
      <c r="AJ214" s="248"/>
      <c r="AK214" s="248"/>
      <c r="AL214" s="248"/>
      <c r="AM214" s="248"/>
      <c r="AN214" s="248"/>
      <c r="AO214" s="248"/>
      <c r="AP214" s="248"/>
      <c r="AQ214" s="248"/>
      <c r="AR214" s="248"/>
      <c r="AS214" s="248"/>
      <c r="AT214" s="248"/>
      <c r="AU214" s="248"/>
      <c r="AV214" s="248"/>
      <c r="AW214" s="248"/>
      <c r="AX214" s="248"/>
      <c r="AY214" s="248"/>
    </row>
    <row r="215" spans="1:51">
      <c r="A215" s="244"/>
      <c r="B215" s="244"/>
      <c r="C215" s="286"/>
      <c r="D215" s="287"/>
      <c r="E215" s="244"/>
      <c r="F215" s="280"/>
      <c r="G215" s="282"/>
      <c r="H215" s="244"/>
      <c r="I215" s="244"/>
      <c r="J215" s="244"/>
      <c r="K215" s="244"/>
      <c r="L215" s="244"/>
      <c r="M215" s="244"/>
      <c r="N215" s="244"/>
      <c r="O215" s="244"/>
      <c r="P215" s="244"/>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c r="AX215" s="248"/>
      <c r="AY215" s="248"/>
    </row>
    <row r="216" spans="1:51">
      <c r="A216" s="244"/>
      <c r="B216" s="244"/>
      <c r="C216" s="286"/>
      <c r="D216" s="287"/>
      <c r="E216" s="244"/>
      <c r="F216" s="280"/>
      <c r="G216" s="282"/>
      <c r="H216" s="244"/>
      <c r="I216" s="244"/>
      <c r="J216" s="244"/>
      <c r="K216" s="244"/>
      <c r="L216" s="244"/>
      <c r="M216" s="244"/>
      <c r="N216" s="244"/>
      <c r="O216" s="244"/>
      <c r="P216" s="244"/>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c r="AX216" s="248"/>
      <c r="AY216" s="248"/>
    </row>
    <row r="217" spans="1:51">
      <c r="A217" s="244"/>
      <c r="B217" s="244"/>
      <c r="C217" s="286"/>
      <c r="D217" s="287"/>
      <c r="E217" s="244"/>
      <c r="F217" s="280"/>
      <c r="G217" s="282"/>
      <c r="H217" s="244"/>
      <c r="I217" s="244"/>
      <c r="J217" s="244"/>
      <c r="K217" s="244"/>
      <c r="L217" s="244"/>
      <c r="M217" s="244"/>
      <c r="N217" s="244"/>
      <c r="O217" s="244"/>
      <c r="P217" s="244"/>
      <c r="Q217" s="248"/>
      <c r="R217" s="248"/>
      <c r="S217" s="248"/>
      <c r="T217" s="248"/>
      <c r="U217" s="248"/>
      <c r="V217" s="248"/>
      <c r="W217" s="248"/>
      <c r="X217" s="248"/>
      <c r="Y217" s="248"/>
      <c r="Z217" s="248"/>
      <c r="AA217" s="248"/>
      <c r="AB217" s="248"/>
      <c r="AC217" s="248"/>
      <c r="AD217" s="248"/>
      <c r="AE217" s="248"/>
      <c r="AF217" s="248"/>
      <c r="AG217" s="248"/>
      <c r="AH217" s="248"/>
      <c r="AI217" s="248"/>
      <c r="AJ217" s="248"/>
      <c r="AK217" s="248"/>
      <c r="AL217" s="248"/>
      <c r="AM217" s="248"/>
      <c r="AN217" s="248"/>
      <c r="AO217" s="248"/>
      <c r="AP217" s="248"/>
      <c r="AQ217" s="248"/>
      <c r="AR217" s="248"/>
      <c r="AS217" s="248"/>
      <c r="AT217" s="248"/>
      <c r="AU217" s="248"/>
      <c r="AV217" s="248"/>
      <c r="AW217" s="248"/>
      <c r="AX217" s="248"/>
      <c r="AY217" s="248"/>
    </row>
    <row r="218" spans="1:51">
      <c r="A218" s="244"/>
      <c r="B218" s="244"/>
      <c r="C218" s="286"/>
      <c r="D218" s="287"/>
      <c r="E218" s="244"/>
      <c r="F218" s="280"/>
      <c r="G218" s="282"/>
      <c r="H218" s="244"/>
      <c r="I218" s="244"/>
      <c r="J218" s="244"/>
      <c r="K218" s="244"/>
      <c r="L218" s="244"/>
      <c r="M218" s="244"/>
      <c r="N218" s="244"/>
      <c r="O218" s="244"/>
      <c r="P218" s="244"/>
      <c r="Q218" s="248"/>
      <c r="R218" s="248"/>
      <c r="S218" s="248"/>
      <c r="T218" s="248"/>
      <c r="U218" s="248"/>
      <c r="V218" s="248"/>
      <c r="W218" s="248"/>
      <c r="X218" s="248"/>
      <c r="Y218" s="248"/>
      <c r="Z218" s="248"/>
      <c r="AA218" s="248"/>
      <c r="AB218" s="248"/>
      <c r="AC218" s="248"/>
      <c r="AD218" s="248"/>
      <c r="AE218" s="248"/>
      <c r="AF218" s="248"/>
      <c r="AG218" s="248"/>
      <c r="AH218" s="248"/>
      <c r="AI218" s="248"/>
      <c r="AJ218" s="248"/>
      <c r="AK218" s="248"/>
      <c r="AL218" s="248"/>
      <c r="AM218" s="248"/>
      <c r="AN218" s="248"/>
      <c r="AO218" s="248"/>
      <c r="AP218" s="248"/>
      <c r="AQ218" s="248"/>
      <c r="AR218" s="248"/>
      <c r="AS218" s="248"/>
      <c r="AT218" s="248"/>
      <c r="AU218" s="248"/>
      <c r="AV218" s="248"/>
      <c r="AW218" s="248"/>
      <c r="AX218" s="248"/>
      <c r="AY218" s="248"/>
    </row>
    <row r="219" spans="1:51">
      <c r="A219" s="244"/>
      <c r="B219" s="244"/>
      <c r="C219" s="286"/>
      <c r="D219" s="287"/>
      <c r="E219" s="244"/>
      <c r="F219" s="280"/>
      <c r="G219" s="282"/>
      <c r="H219" s="244"/>
      <c r="I219" s="244"/>
      <c r="J219" s="244"/>
      <c r="K219" s="244"/>
      <c r="L219" s="244"/>
      <c r="M219" s="244"/>
      <c r="N219" s="244"/>
      <c r="O219" s="244"/>
      <c r="P219" s="244"/>
      <c r="Q219" s="248"/>
      <c r="R219" s="248"/>
      <c r="S219" s="248"/>
      <c r="T219" s="248"/>
      <c r="U219" s="248"/>
      <c r="V219" s="248"/>
      <c r="W219" s="248"/>
      <c r="X219" s="248"/>
      <c r="Y219" s="248"/>
      <c r="Z219" s="248"/>
      <c r="AA219" s="248"/>
      <c r="AB219" s="248"/>
      <c r="AC219" s="248"/>
      <c r="AD219" s="248"/>
      <c r="AE219" s="248"/>
      <c r="AF219" s="248"/>
      <c r="AG219" s="248"/>
      <c r="AH219" s="248"/>
      <c r="AI219" s="248"/>
      <c r="AJ219" s="248"/>
      <c r="AK219" s="248"/>
      <c r="AL219" s="248"/>
      <c r="AM219" s="248"/>
      <c r="AN219" s="248"/>
      <c r="AO219" s="248"/>
      <c r="AP219" s="248"/>
      <c r="AQ219" s="248"/>
      <c r="AR219" s="248"/>
      <c r="AS219" s="248"/>
      <c r="AT219" s="248"/>
      <c r="AU219" s="248"/>
      <c r="AV219" s="248"/>
      <c r="AW219" s="248"/>
      <c r="AX219" s="248"/>
      <c r="AY219" s="248"/>
    </row>
    <row r="220" spans="1:51">
      <c r="A220" s="244"/>
      <c r="B220" s="244"/>
      <c r="C220" s="286"/>
      <c r="D220" s="287"/>
      <c r="E220" s="244"/>
      <c r="F220" s="280"/>
      <c r="G220" s="282"/>
      <c r="H220" s="244"/>
      <c r="I220" s="244"/>
      <c r="J220" s="244"/>
      <c r="K220" s="244"/>
      <c r="L220" s="244"/>
      <c r="M220" s="244"/>
      <c r="N220" s="244"/>
      <c r="O220" s="244"/>
      <c r="P220" s="244"/>
      <c r="Q220" s="248"/>
      <c r="R220" s="248"/>
      <c r="S220" s="248"/>
      <c r="T220" s="248"/>
      <c r="U220" s="248"/>
      <c r="V220" s="248"/>
      <c r="W220" s="248"/>
      <c r="X220" s="248"/>
      <c r="Y220" s="248"/>
      <c r="Z220" s="248"/>
      <c r="AA220" s="248"/>
      <c r="AB220" s="248"/>
      <c r="AC220" s="248"/>
      <c r="AD220" s="248"/>
      <c r="AE220" s="248"/>
      <c r="AF220" s="248"/>
      <c r="AG220" s="248"/>
      <c r="AH220" s="248"/>
      <c r="AI220" s="248"/>
      <c r="AJ220" s="248"/>
      <c r="AK220" s="248"/>
      <c r="AL220" s="248"/>
      <c r="AM220" s="248"/>
      <c r="AN220" s="248"/>
      <c r="AO220" s="248"/>
      <c r="AP220" s="248"/>
      <c r="AQ220" s="248"/>
      <c r="AR220" s="248"/>
      <c r="AS220" s="248"/>
      <c r="AT220" s="248"/>
      <c r="AU220" s="248"/>
      <c r="AV220" s="248"/>
      <c r="AW220" s="248"/>
      <c r="AX220" s="248"/>
      <c r="AY220" s="248"/>
    </row>
    <row r="221" spans="1:51">
      <c r="A221" s="244"/>
      <c r="B221" s="244"/>
      <c r="C221" s="286"/>
      <c r="D221" s="287"/>
      <c r="E221" s="244"/>
      <c r="F221" s="280"/>
      <c r="G221" s="282"/>
      <c r="H221" s="244"/>
      <c r="I221" s="244"/>
      <c r="J221" s="244"/>
      <c r="K221" s="244"/>
      <c r="L221" s="244"/>
      <c r="M221" s="244"/>
      <c r="N221" s="244"/>
      <c r="O221" s="244"/>
      <c r="P221" s="244"/>
      <c r="Q221" s="248"/>
      <c r="R221" s="248"/>
      <c r="S221" s="248"/>
      <c r="T221" s="248"/>
      <c r="U221" s="248"/>
      <c r="V221" s="248"/>
      <c r="W221" s="248"/>
      <c r="X221" s="248"/>
      <c r="Y221" s="248"/>
      <c r="Z221" s="248"/>
      <c r="AA221" s="248"/>
      <c r="AB221" s="248"/>
      <c r="AC221" s="248"/>
      <c r="AD221" s="248"/>
      <c r="AE221" s="248"/>
      <c r="AF221" s="248"/>
      <c r="AG221" s="248"/>
      <c r="AH221" s="248"/>
      <c r="AI221" s="248"/>
      <c r="AJ221" s="248"/>
      <c r="AK221" s="248"/>
      <c r="AL221" s="248"/>
      <c r="AM221" s="248"/>
      <c r="AN221" s="248"/>
      <c r="AO221" s="248"/>
      <c r="AP221" s="248"/>
      <c r="AQ221" s="248"/>
      <c r="AR221" s="248"/>
      <c r="AS221" s="248"/>
      <c r="AT221" s="248"/>
      <c r="AU221" s="248"/>
      <c r="AV221" s="248"/>
      <c r="AW221" s="248"/>
      <c r="AX221" s="248"/>
      <c r="AY221" s="248"/>
    </row>
    <row r="222" spans="1:51">
      <c r="A222" s="244"/>
      <c r="B222" s="244"/>
      <c r="C222" s="286"/>
      <c r="D222" s="287"/>
      <c r="E222" s="244"/>
      <c r="F222" s="280"/>
      <c r="G222" s="282"/>
      <c r="H222" s="244"/>
      <c r="I222" s="244"/>
      <c r="J222" s="244"/>
      <c r="K222" s="244"/>
      <c r="L222" s="244"/>
      <c r="M222" s="244"/>
      <c r="N222" s="244"/>
      <c r="O222" s="244"/>
      <c r="P222" s="244"/>
      <c r="Q222" s="248"/>
      <c r="R222" s="248"/>
      <c r="S222" s="248"/>
      <c r="T222" s="248"/>
      <c r="U222" s="248"/>
      <c r="V222" s="248"/>
      <c r="W222" s="248"/>
      <c r="X222" s="248"/>
      <c r="Y222" s="248"/>
      <c r="Z222" s="248"/>
      <c r="AA222" s="248"/>
      <c r="AB222" s="248"/>
      <c r="AC222" s="248"/>
      <c r="AD222" s="248"/>
      <c r="AE222" s="248"/>
      <c r="AF222" s="248"/>
      <c r="AG222" s="248"/>
      <c r="AH222" s="248"/>
      <c r="AI222" s="248"/>
      <c r="AJ222" s="248"/>
      <c r="AK222" s="248"/>
      <c r="AL222" s="248"/>
      <c r="AM222" s="248"/>
      <c r="AN222" s="248"/>
      <c r="AO222" s="248"/>
      <c r="AP222" s="248"/>
      <c r="AQ222" s="248"/>
      <c r="AR222" s="248"/>
      <c r="AS222" s="248"/>
      <c r="AT222" s="248"/>
      <c r="AU222" s="248"/>
      <c r="AV222" s="248"/>
      <c r="AW222" s="248"/>
      <c r="AX222" s="248"/>
      <c r="AY222" s="248"/>
    </row>
    <row r="223" spans="1:51">
      <c r="A223" s="244"/>
      <c r="B223" s="244"/>
      <c r="C223" s="286"/>
      <c r="D223" s="287"/>
      <c r="E223" s="244"/>
      <c r="F223" s="280"/>
      <c r="G223" s="282"/>
      <c r="H223" s="244"/>
      <c r="I223" s="244"/>
      <c r="J223" s="244"/>
      <c r="K223" s="244"/>
      <c r="L223" s="244"/>
      <c r="M223" s="244"/>
      <c r="N223" s="244"/>
      <c r="O223" s="244"/>
      <c r="P223" s="244"/>
      <c r="Q223" s="248"/>
      <c r="R223" s="248"/>
      <c r="S223" s="248"/>
      <c r="T223" s="248"/>
      <c r="U223" s="248"/>
      <c r="V223" s="248"/>
      <c r="W223" s="248"/>
      <c r="X223" s="248"/>
      <c r="Y223" s="248"/>
      <c r="Z223" s="248"/>
      <c r="AA223" s="248"/>
      <c r="AB223" s="248"/>
      <c r="AC223" s="248"/>
      <c r="AD223" s="248"/>
      <c r="AE223" s="248"/>
      <c r="AF223" s="248"/>
      <c r="AG223" s="248"/>
      <c r="AH223" s="248"/>
      <c r="AI223" s="248"/>
      <c r="AJ223" s="248"/>
      <c r="AK223" s="248"/>
      <c r="AL223" s="248"/>
      <c r="AM223" s="248"/>
      <c r="AN223" s="248"/>
      <c r="AO223" s="248"/>
      <c r="AP223" s="248"/>
      <c r="AQ223" s="248"/>
      <c r="AR223" s="248"/>
      <c r="AS223" s="248"/>
      <c r="AT223" s="248"/>
      <c r="AU223" s="248"/>
      <c r="AV223" s="248"/>
      <c r="AW223" s="248"/>
      <c r="AX223" s="248"/>
      <c r="AY223" s="248"/>
    </row>
    <row r="224" spans="1:51">
      <c r="A224" s="244"/>
      <c r="B224" s="244"/>
      <c r="C224" s="286"/>
      <c r="D224" s="287"/>
      <c r="E224" s="244"/>
      <c r="F224" s="280"/>
      <c r="G224" s="282"/>
      <c r="H224" s="244"/>
      <c r="I224" s="244"/>
      <c r="J224" s="244"/>
      <c r="K224" s="244"/>
      <c r="L224" s="244"/>
      <c r="M224" s="244"/>
      <c r="N224" s="244"/>
      <c r="O224" s="244"/>
      <c r="P224" s="244"/>
      <c r="Q224" s="248"/>
      <c r="R224" s="248"/>
      <c r="S224" s="248"/>
      <c r="T224" s="248"/>
      <c r="U224" s="248"/>
      <c r="V224" s="248"/>
      <c r="W224" s="248"/>
      <c r="X224" s="248"/>
      <c r="Y224" s="248"/>
      <c r="Z224" s="248"/>
      <c r="AA224" s="248"/>
      <c r="AB224" s="248"/>
      <c r="AC224" s="248"/>
      <c r="AD224" s="248"/>
      <c r="AE224" s="248"/>
      <c r="AF224" s="248"/>
      <c r="AG224" s="248"/>
      <c r="AH224" s="248"/>
      <c r="AI224" s="248"/>
      <c r="AJ224" s="248"/>
      <c r="AK224" s="248"/>
      <c r="AL224" s="248"/>
      <c r="AM224" s="248"/>
      <c r="AN224" s="248"/>
      <c r="AO224" s="248"/>
      <c r="AP224" s="248"/>
      <c r="AQ224" s="248"/>
      <c r="AR224" s="248"/>
      <c r="AS224" s="248"/>
      <c r="AT224" s="248"/>
      <c r="AU224" s="248"/>
      <c r="AV224" s="248"/>
      <c r="AW224" s="248"/>
      <c r="AX224" s="248"/>
      <c r="AY224" s="248"/>
    </row>
    <row r="225" spans="1:51">
      <c r="A225" s="244"/>
      <c r="B225" s="244"/>
      <c r="C225" s="286"/>
      <c r="D225" s="287"/>
      <c r="E225" s="244"/>
      <c r="F225" s="280"/>
      <c r="G225" s="282"/>
      <c r="H225" s="244"/>
      <c r="I225" s="244"/>
      <c r="J225" s="244"/>
      <c r="K225" s="244"/>
      <c r="L225" s="244"/>
      <c r="M225" s="244"/>
      <c r="N225" s="244"/>
      <c r="O225" s="244"/>
      <c r="P225" s="244"/>
      <c r="Q225" s="248"/>
      <c r="R225" s="248"/>
      <c r="S225" s="248"/>
      <c r="T225" s="248"/>
      <c r="U225" s="248"/>
      <c r="V225" s="248"/>
      <c r="W225" s="248"/>
      <c r="X225" s="248"/>
      <c r="Y225" s="248"/>
      <c r="Z225" s="248"/>
      <c r="AA225" s="248"/>
      <c r="AB225" s="248"/>
      <c r="AC225" s="248"/>
      <c r="AD225" s="248"/>
      <c r="AE225" s="248"/>
      <c r="AF225" s="248"/>
      <c r="AG225" s="248"/>
      <c r="AH225" s="248"/>
      <c r="AI225" s="248"/>
      <c r="AJ225" s="248"/>
      <c r="AK225" s="248"/>
      <c r="AL225" s="248"/>
      <c r="AM225" s="248"/>
      <c r="AN225" s="248"/>
      <c r="AO225" s="248"/>
      <c r="AP225" s="248"/>
      <c r="AQ225" s="248"/>
      <c r="AR225" s="248"/>
      <c r="AS225" s="248"/>
      <c r="AT225" s="248"/>
      <c r="AU225" s="248"/>
      <c r="AV225" s="248"/>
      <c r="AW225" s="248"/>
      <c r="AX225" s="248"/>
      <c r="AY225" s="248"/>
    </row>
    <row r="226" spans="1:51">
      <c r="A226" s="244"/>
      <c r="B226" s="244"/>
      <c r="C226" s="286"/>
      <c r="D226" s="287"/>
      <c r="E226" s="244"/>
      <c r="F226" s="280"/>
      <c r="G226" s="282"/>
      <c r="H226" s="244"/>
      <c r="I226" s="244"/>
      <c r="J226" s="244"/>
      <c r="K226" s="244"/>
      <c r="L226" s="244"/>
      <c r="M226" s="244"/>
      <c r="N226" s="244"/>
      <c r="O226" s="244"/>
      <c r="P226" s="244"/>
      <c r="Q226" s="248"/>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248"/>
      <c r="AW226" s="248"/>
      <c r="AX226" s="248"/>
      <c r="AY226" s="248"/>
    </row>
    <row r="227" spans="1:51">
      <c r="A227" s="244"/>
      <c r="B227" s="244"/>
      <c r="C227" s="286"/>
      <c r="D227" s="287"/>
      <c r="E227" s="244"/>
      <c r="F227" s="280"/>
      <c r="G227" s="282"/>
      <c r="H227" s="244"/>
      <c r="I227" s="244"/>
      <c r="J227" s="244"/>
      <c r="K227" s="244"/>
      <c r="L227" s="244"/>
      <c r="M227" s="244"/>
      <c r="N227" s="244"/>
      <c r="O227" s="244"/>
      <c r="P227" s="244"/>
      <c r="Q227" s="248"/>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248"/>
      <c r="AW227" s="248"/>
      <c r="AX227" s="248"/>
      <c r="AY227" s="248"/>
    </row>
    <row r="228" spans="1:51">
      <c r="A228" s="244"/>
      <c r="B228" s="244"/>
      <c r="C228" s="286"/>
      <c r="D228" s="287"/>
      <c r="E228" s="244"/>
      <c r="F228" s="280"/>
      <c r="G228" s="282"/>
      <c r="H228" s="244"/>
      <c r="I228" s="244"/>
      <c r="J228" s="244"/>
      <c r="K228" s="244"/>
      <c r="L228" s="244"/>
      <c r="M228" s="244"/>
      <c r="N228" s="244"/>
      <c r="O228" s="244"/>
      <c r="P228" s="244"/>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248"/>
      <c r="AW228" s="248"/>
      <c r="AX228" s="248"/>
      <c r="AY228" s="248"/>
    </row>
    <row r="229" spans="1:51">
      <c r="A229" s="244"/>
      <c r="B229" s="244"/>
      <c r="C229" s="286"/>
      <c r="D229" s="287"/>
      <c r="E229" s="244"/>
      <c r="F229" s="280"/>
      <c r="G229" s="282"/>
      <c r="H229" s="244"/>
      <c r="I229" s="244"/>
      <c r="J229" s="244"/>
      <c r="K229" s="244"/>
      <c r="L229" s="244"/>
      <c r="M229" s="244"/>
      <c r="N229" s="244"/>
      <c r="O229" s="244"/>
      <c r="P229" s="244"/>
      <c r="Q229" s="248"/>
      <c r="R229" s="248"/>
      <c r="S229" s="248"/>
      <c r="T229" s="248"/>
      <c r="U229" s="248"/>
      <c r="V229" s="248"/>
      <c r="W229" s="248"/>
      <c r="X229" s="248"/>
      <c r="Y229" s="248"/>
      <c r="Z229" s="248"/>
      <c r="AA229" s="248"/>
      <c r="AB229" s="248"/>
      <c r="AC229" s="248"/>
      <c r="AD229" s="248"/>
      <c r="AE229" s="248"/>
      <c r="AF229" s="248"/>
      <c r="AG229" s="248"/>
      <c r="AH229" s="248"/>
      <c r="AI229" s="248"/>
      <c r="AJ229" s="248"/>
      <c r="AK229" s="248"/>
      <c r="AL229" s="248"/>
      <c r="AM229" s="248"/>
      <c r="AN229" s="248"/>
      <c r="AO229" s="248"/>
      <c r="AP229" s="248"/>
      <c r="AQ229" s="248"/>
      <c r="AR229" s="248"/>
      <c r="AS229" s="248"/>
      <c r="AT229" s="248"/>
      <c r="AU229" s="248"/>
      <c r="AV229" s="248"/>
      <c r="AW229" s="248"/>
      <c r="AX229" s="248"/>
      <c r="AY229" s="248"/>
    </row>
    <row r="230" spans="1:51">
      <c r="A230" s="244"/>
      <c r="B230" s="244"/>
      <c r="C230" s="286"/>
      <c r="D230" s="287"/>
      <c r="E230" s="244"/>
      <c r="F230" s="280"/>
      <c r="G230" s="282"/>
      <c r="H230" s="244"/>
      <c r="I230" s="244"/>
      <c r="J230" s="244"/>
      <c r="K230" s="244"/>
      <c r="L230" s="244"/>
      <c r="M230" s="244"/>
      <c r="N230" s="244"/>
      <c r="O230" s="244"/>
      <c r="P230" s="244"/>
      <c r="Q230" s="248"/>
      <c r="R230" s="248"/>
      <c r="S230" s="248"/>
      <c r="T230" s="248"/>
      <c r="U230" s="248"/>
      <c r="V230" s="248"/>
      <c r="W230" s="248"/>
      <c r="X230" s="248"/>
      <c r="Y230" s="248"/>
      <c r="Z230" s="248"/>
      <c r="AA230" s="248"/>
      <c r="AB230" s="248"/>
      <c r="AC230" s="248"/>
      <c r="AD230" s="248"/>
      <c r="AE230" s="248"/>
      <c r="AF230" s="248"/>
      <c r="AG230" s="248"/>
      <c r="AH230" s="248"/>
      <c r="AI230" s="248"/>
      <c r="AJ230" s="248"/>
      <c r="AK230" s="248"/>
      <c r="AL230" s="248"/>
      <c r="AM230" s="248"/>
      <c r="AN230" s="248"/>
      <c r="AO230" s="248"/>
      <c r="AP230" s="248"/>
      <c r="AQ230" s="248"/>
      <c r="AR230" s="248"/>
      <c r="AS230" s="248"/>
      <c r="AT230" s="248"/>
      <c r="AU230" s="248"/>
      <c r="AV230" s="248"/>
      <c r="AW230" s="248"/>
      <c r="AX230" s="248"/>
      <c r="AY230" s="248"/>
    </row>
    <row r="231" spans="1:51">
      <c r="A231" s="244"/>
      <c r="B231" s="244"/>
      <c r="C231" s="286"/>
      <c r="D231" s="287"/>
      <c r="E231" s="244"/>
      <c r="F231" s="280"/>
      <c r="G231" s="282"/>
      <c r="H231" s="244"/>
      <c r="I231" s="244"/>
      <c r="J231" s="244"/>
      <c r="K231" s="244"/>
      <c r="L231" s="244"/>
      <c r="M231" s="244"/>
      <c r="N231" s="244"/>
      <c r="O231" s="244"/>
      <c r="P231" s="244"/>
      <c r="Q231" s="248"/>
      <c r="R231" s="248"/>
      <c r="S231" s="248"/>
      <c r="T231" s="248"/>
      <c r="U231" s="248"/>
      <c r="V231" s="248"/>
      <c r="W231" s="248"/>
      <c r="X231" s="248"/>
      <c r="Y231" s="248"/>
      <c r="Z231" s="248"/>
      <c r="AA231" s="248"/>
      <c r="AB231" s="248"/>
      <c r="AC231" s="248"/>
      <c r="AD231" s="248"/>
      <c r="AE231" s="248"/>
      <c r="AF231" s="248"/>
      <c r="AG231" s="248"/>
      <c r="AH231" s="248"/>
      <c r="AI231" s="248"/>
      <c r="AJ231" s="248"/>
      <c r="AK231" s="248"/>
      <c r="AL231" s="248"/>
      <c r="AM231" s="248"/>
      <c r="AN231" s="248"/>
      <c r="AO231" s="248"/>
      <c r="AP231" s="248"/>
      <c r="AQ231" s="248"/>
      <c r="AR231" s="248"/>
      <c r="AS231" s="248"/>
      <c r="AT231" s="248"/>
      <c r="AU231" s="248"/>
      <c r="AV231" s="248"/>
      <c r="AW231" s="248"/>
      <c r="AX231" s="248"/>
      <c r="AY231" s="248"/>
    </row>
    <row r="232" spans="1:51">
      <c r="A232" s="244"/>
      <c r="B232" s="244"/>
      <c r="C232" s="286"/>
      <c r="D232" s="287"/>
      <c r="E232" s="244"/>
      <c r="F232" s="280"/>
      <c r="G232" s="282"/>
      <c r="H232" s="244"/>
      <c r="I232" s="244"/>
      <c r="J232" s="244"/>
      <c r="K232" s="244"/>
      <c r="L232" s="244"/>
      <c r="M232" s="244"/>
      <c r="N232" s="244"/>
      <c r="O232" s="244"/>
      <c r="P232" s="244"/>
      <c r="Q232" s="248"/>
      <c r="R232" s="248"/>
      <c r="S232" s="248"/>
      <c r="T232" s="248"/>
      <c r="U232" s="248"/>
      <c r="V232" s="248"/>
      <c r="W232" s="248"/>
      <c r="X232" s="248"/>
      <c r="Y232" s="248"/>
      <c r="Z232" s="248"/>
      <c r="AA232" s="248"/>
      <c r="AB232" s="248"/>
      <c r="AC232" s="248"/>
      <c r="AD232" s="248"/>
      <c r="AE232" s="248"/>
      <c r="AF232" s="248"/>
      <c r="AG232" s="248"/>
      <c r="AH232" s="248"/>
      <c r="AI232" s="248"/>
      <c r="AJ232" s="248"/>
      <c r="AK232" s="248"/>
      <c r="AL232" s="248"/>
      <c r="AM232" s="248"/>
      <c r="AN232" s="248"/>
      <c r="AO232" s="248"/>
      <c r="AP232" s="248"/>
      <c r="AQ232" s="248"/>
      <c r="AR232" s="248"/>
      <c r="AS232" s="248"/>
      <c r="AT232" s="248"/>
      <c r="AU232" s="248"/>
      <c r="AV232" s="248"/>
      <c r="AW232" s="248"/>
      <c r="AX232" s="248"/>
      <c r="AY232" s="248"/>
    </row>
    <row r="233" spans="1:51">
      <c r="A233" s="244"/>
      <c r="B233" s="244"/>
      <c r="C233" s="286"/>
      <c r="D233" s="287"/>
      <c r="E233" s="244"/>
      <c r="F233" s="280"/>
      <c r="G233" s="282"/>
      <c r="H233" s="244"/>
      <c r="I233" s="244"/>
      <c r="J233" s="244"/>
      <c r="K233" s="244"/>
      <c r="L233" s="244"/>
      <c r="M233" s="244"/>
      <c r="N233" s="244"/>
      <c r="O233" s="244"/>
      <c r="P233" s="244"/>
      <c r="Q233" s="248"/>
      <c r="R233" s="248"/>
      <c r="S233" s="248"/>
      <c r="T233" s="248"/>
      <c r="U233" s="248"/>
      <c r="V233" s="248"/>
      <c r="W233" s="248"/>
      <c r="X233" s="248"/>
      <c r="Y233" s="248"/>
      <c r="Z233" s="248"/>
      <c r="AA233" s="248"/>
      <c r="AB233" s="248"/>
      <c r="AC233" s="248"/>
      <c r="AD233" s="248"/>
      <c r="AE233" s="248"/>
      <c r="AF233" s="248"/>
      <c r="AG233" s="248"/>
      <c r="AH233" s="248"/>
      <c r="AI233" s="248"/>
      <c r="AJ233" s="248"/>
      <c r="AK233" s="248"/>
      <c r="AL233" s="248"/>
      <c r="AM233" s="248"/>
      <c r="AN233" s="248"/>
      <c r="AO233" s="248"/>
      <c r="AP233" s="248"/>
      <c r="AQ233" s="248"/>
      <c r="AR233" s="248"/>
      <c r="AS233" s="248"/>
      <c r="AT233" s="248"/>
      <c r="AU233" s="248"/>
      <c r="AV233" s="248"/>
      <c r="AW233" s="248"/>
      <c r="AX233" s="248"/>
      <c r="AY233" s="248"/>
    </row>
    <row r="234" spans="1:51">
      <c r="A234" s="244"/>
      <c r="B234" s="244"/>
      <c r="C234" s="286"/>
      <c r="D234" s="287"/>
      <c r="E234" s="244"/>
      <c r="F234" s="280"/>
      <c r="G234" s="282"/>
      <c r="H234" s="244"/>
      <c r="I234" s="244"/>
      <c r="J234" s="244"/>
      <c r="K234" s="244"/>
      <c r="L234" s="244"/>
      <c r="M234" s="244"/>
      <c r="N234" s="244"/>
      <c r="O234" s="244"/>
      <c r="P234" s="244"/>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c r="AX234" s="248"/>
      <c r="AY234" s="248"/>
    </row>
    <row r="235" spans="1:51">
      <c r="A235" s="244"/>
      <c r="B235" s="244"/>
      <c r="C235" s="286"/>
      <c r="D235" s="287"/>
      <c r="E235" s="244"/>
      <c r="F235" s="280"/>
      <c r="G235" s="282"/>
      <c r="H235" s="244"/>
      <c r="I235" s="244"/>
      <c r="J235" s="244"/>
      <c r="K235" s="244"/>
      <c r="L235" s="244"/>
      <c r="M235" s="244"/>
      <c r="N235" s="244"/>
      <c r="O235" s="244"/>
      <c r="P235" s="244"/>
      <c r="Q235" s="248"/>
      <c r="R235" s="248"/>
      <c r="S235" s="248"/>
      <c r="T235" s="248"/>
      <c r="U235" s="248"/>
      <c r="V235" s="248"/>
      <c r="W235" s="248"/>
      <c r="X235" s="248"/>
      <c r="Y235" s="248"/>
      <c r="Z235" s="248"/>
      <c r="AA235" s="248"/>
      <c r="AB235" s="248"/>
      <c r="AC235" s="248"/>
      <c r="AD235" s="248"/>
      <c r="AE235" s="248"/>
      <c r="AF235" s="248"/>
      <c r="AG235" s="248"/>
      <c r="AH235" s="248"/>
      <c r="AI235" s="248"/>
      <c r="AJ235" s="248"/>
      <c r="AK235" s="248"/>
      <c r="AL235" s="248"/>
      <c r="AM235" s="248"/>
      <c r="AN235" s="248"/>
      <c r="AO235" s="248"/>
      <c r="AP235" s="248"/>
      <c r="AQ235" s="248"/>
      <c r="AR235" s="248"/>
      <c r="AS235" s="248"/>
      <c r="AT235" s="248"/>
      <c r="AU235" s="248"/>
      <c r="AV235" s="248"/>
      <c r="AW235" s="248"/>
      <c r="AX235" s="248"/>
      <c r="AY235" s="248"/>
    </row>
    <row r="236" spans="1:51">
      <c r="A236" s="244"/>
      <c r="B236" s="244"/>
      <c r="C236" s="286"/>
      <c r="D236" s="287"/>
      <c r="E236" s="244"/>
      <c r="F236" s="280"/>
      <c r="G236" s="282"/>
      <c r="H236" s="244"/>
      <c r="I236" s="244"/>
      <c r="J236" s="244"/>
      <c r="K236" s="244"/>
      <c r="L236" s="244"/>
      <c r="M236" s="244"/>
      <c r="N236" s="244"/>
      <c r="O236" s="244"/>
      <c r="P236" s="244"/>
      <c r="Q236" s="248"/>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48"/>
      <c r="AS236" s="248"/>
      <c r="AT236" s="248"/>
      <c r="AU236" s="248"/>
      <c r="AV236" s="248"/>
      <c r="AW236" s="248"/>
      <c r="AX236" s="248"/>
      <c r="AY236" s="248"/>
    </row>
    <row r="237" spans="1:51">
      <c r="A237" s="244"/>
      <c r="B237" s="244"/>
      <c r="C237" s="286"/>
      <c r="D237" s="287"/>
      <c r="E237" s="244"/>
      <c r="F237" s="280"/>
      <c r="G237" s="282"/>
      <c r="H237" s="244"/>
      <c r="I237" s="244"/>
      <c r="J237" s="244"/>
      <c r="K237" s="244"/>
      <c r="L237" s="244"/>
      <c r="M237" s="244"/>
      <c r="N237" s="244"/>
      <c r="O237" s="244"/>
      <c r="P237" s="244"/>
      <c r="Q237" s="248"/>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48"/>
      <c r="AS237" s="248"/>
      <c r="AT237" s="248"/>
      <c r="AU237" s="248"/>
      <c r="AV237" s="248"/>
      <c r="AW237" s="248"/>
      <c r="AX237" s="248"/>
      <c r="AY237" s="248"/>
    </row>
    <row r="238" spans="1:51">
      <c r="A238" s="244"/>
      <c r="B238" s="244"/>
      <c r="C238" s="286"/>
      <c r="D238" s="287"/>
      <c r="E238" s="244"/>
      <c r="F238" s="280"/>
      <c r="G238" s="282"/>
      <c r="H238" s="244"/>
      <c r="I238" s="244"/>
      <c r="J238" s="244"/>
      <c r="K238" s="244"/>
      <c r="L238" s="244"/>
      <c r="M238" s="244"/>
      <c r="N238" s="244"/>
      <c r="O238" s="244"/>
      <c r="P238" s="244"/>
      <c r="Q238" s="248"/>
      <c r="R238" s="248"/>
      <c r="S238" s="248"/>
      <c r="T238" s="248"/>
      <c r="U238" s="248"/>
      <c r="V238" s="248"/>
      <c r="W238" s="248"/>
      <c r="X238" s="248"/>
      <c r="Y238" s="248"/>
      <c r="Z238" s="248"/>
      <c r="AA238" s="248"/>
      <c r="AB238" s="248"/>
      <c r="AC238" s="248"/>
      <c r="AD238" s="248"/>
      <c r="AE238" s="248"/>
      <c r="AF238" s="248"/>
      <c r="AG238" s="248"/>
      <c r="AH238" s="248"/>
      <c r="AI238" s="248"/>
      <c r="AJ238" s="248"/>
      <c r="AK238" s="248"/>
      <c r="AL238" s="248"/>
      <c r="AM238" s="248"/>
      <c r="AN238" s="248"/>
      <c r="AO238" s="248"/>
      <c r="AP238" s="248"/>
      <c r="AQ238" s="248"/>
      <c r="AR238" s="248"/>
      <c r="AS238" s="248"/>
      <c r="AT238" s="248"/>
      <c r="AU238" s="248"/>
      <c r="AV238" s="248"/>
      <c r="AW238" s="248"/>
      <c r="AX238" s="248"/>
      <c r="AY238" s="248"/>
    </row>
    <row r="239" spans="1:51">
      <c r="A239" s="244"/>
      <c r="B239" s="244"/>
      <c r="C239" s="286"/>
      <c r="D239" s="287"/>
      <c r="E239" s="244"/>
      <c r="F239" s="280"/>
      <c r="G239" s="282"/>
      <c r="H239" s="244"/>
      <c r="I239" s="244"/>
      <c r="J239" s="244"/>
      <c r="K239" s="244"/>
      <c r="L239" s="244"/>
      <c r="M239" s="244"/>
      <c r="N239" s="244"/>
      <c r="O239" s="244"/>
      <c r="P239" s="244"/>
      <c r="Q239" s="248"/>
      <c r="R239" s="248"/>
      <c r="S239" s="248"/>
      <c r="T239" s="248"/>
      <c r="U239" s="248"/>
      <c r="V239" s="248"/>
      <c r="W239" s="248"/>
      <c r="X239" s="248"/>
      <c r="Y239" s="248"/>
      <c r="Z239" s="248"/>
      <c r="AA239" s="248"/>
      <c r="AB239" s="248"/>
      <c r="AC239" s="248"/>
      <c r="AD239" s="248"/>
      <c r="AE239" s="248"/>
      <c r="AF239" s="248"/>
      <c r="AG239" s="248"/>
      <c r="AH239" s="248"/>
      <c r="AI239" s="248"/>
      <c r="AJ239" s="248"/>
      <c r="AK239" s="248"/>
      <c r="AL239" s="248"/>
      <c r="AM239" s="248"/>
      <c r="AN239" s="248"/>
      <c r="AO239" s="248"/>
      <c r="AP239" s="248"/>
      <c r="AQ239" s="248"/>
      <c r="AR239" s="248"/>
      <c r="AS239" s="248"/>
      <c r="AT239" s="248"/>
      <c r="AU239" s="248"/>
      <c r="AV239" s="248"/>
      <c r="AW239" s="248"/>
      <c r="AX239" s="248"/>
      <c r="AY239" s="248"/>
    </row>
    <row r="240" spans="1:51">
      <c r="A240" s="244"/>
      <c r="B240" s="244"/>
      <c r="C240" s="286"/>
      <c r="D240" s="287"/>
      <c r="E240" s="244"/>
      <c r="F240" s="280"/>
      <c r="G240" s="282"/>
      <c r="H240" s="244"/>
      <c r="I240" s="244"/>
      <c r="J240" s="244"/>
      <c r="K240" s="244"/>
      <c r="L240" s="244"/>
      <c r="M240" s="244"/>
      <c r="N240" s="244"/>
      <c r="O240" s="244"/>
      <c r="P240" s="244"/>
      <c r="Q240" s="248"/>
      <c r="R240" s="248"/>
      <c r="S240" s="248"/>
      <c r="T240" s="248"/>
      <c r="U240" s="248"/>
      <c r="V240" s="248"/>
      <c r="W240" s="248"/>
      <c r="X240" s="248"/>
      <c r="Y240" s="248"/>
      <c r="Z240" s="248"/>
      <c r="AA240" s="248"/>
      <c r="AB240" s="248"/>
      <c r="AC240" s="248"/>
      <c r="AD240" s="248"/>
      <c r="AE240" s="248"/>
      <c r="AF240" s="248"/>
      <c r="AG240" s="248"/>
      <c r="AH240" s="248"/>
      <c r="AI240" s="248"/>
      <c r="AJ240" s="248"/>
      <c r="AK240" s="248"/>
      <c r="AL240" s="248"/>
      <c r="AM240" s="248"/>
      <c r="AN240" s="248"/>
      <c r="AO240" s="248"/>
      <c r="AP240" s="248"/>
      <c r="AQ240" s="248"/>
      <c r="AR240" s="248"/>
      <c r="AS240" s="248"/>
      <c r="AT240" s="248"/>
      <c r="AU240" s="248"/>
      <c r="AV240" s="248"/>
      <c r="AW240" s="248"/>
      <c r="AX240" s="248"/>
      <c r="AY240" s="248"/>
    </row>
    <row r="241" spans="1:51">
      <c r="A241" s="244"/>
      <c r="B241" s="244"/>
      <c r="C241" s="286"/>
      <c r="D241" s="287"/>
      <c r="E241" s="244"/>
      <c r="F241" s="280"/>
      <c r="G241" s="282"/>
      <c r="H241" s="244"/>
      <c r="I241" s="244"/>
      <c r="J241" s="244"/>
      <c r="K241" s="244"/>
      <c r="L241" s="244"/>
      <c r="M241" s="244"/>
      <c r="N241" s="244"/>
      <c r="O241" s="244"/>
      <c r="P241" s="244"/>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c r="AX241" s="248"/>
      <c r="AY241" s="248"/>
    </row>
    <row r="242" spans="1:51">
      <c r="A242" s="244"/>
      <c r="B242" s="244"/>
      <c r="C242" s="286"/>
      <c r="D242" s="287"/>
      <c r="E242" s="244"/>
      <c r="F242" s="280"/>
      <c r="G242" s="282"/>
      <c r="H242" s="244"/>
      <c r="I242" s="244"/>
      <c r="J242" s="244"/>
      <c r="K242" s="244"/>
      <c r="L242" s="244"/>
      <c r="M242" s="244"/>
      <c r="N242" s="244"/>
      <c r="O242" s="244"/>
      <c r="P242" s="244"/>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c r="AX242" s="248"/>
      <c r="AY242" s="248"/>
    </row>
    <row r="243" spans="1:51">
      <c r="A243" s="244"/>
      <c r="B243" s="244"/>
      <c r="C243" s="286"/>
      <c r="D243" s="287"/>
      <c r="E243" s="244"/>
      <c r="F243" s="280"/>
      <c r="G243" s="282"/>
      <c r="H243" s="244"/>
      <c r="I243" s="244"/>
      <c r="J243" s="244"/>
      <c r="K243" s="244"/>
      <c r="L243" s="244"/>
      <c r="M243" s="244"/>
      <c r="N243" s="244"/>
      <c r="O243" s="244"/>
      <c r="P243" s="244"/>
      <c r="Q243" s="248"/>
      <c r="R243" s="248"/>
      <c r="S243" s="248"/>
      <c r="T243" s="248"/>
      <c r="U243" s="248"/>
      <c r="V243" s="248"/>
      <c r="W243" s="248"/>
      <c r="X243" s="248"/>
      <c r="Y243" s="248"/>
      <c r="Z243" s="248"/>
      <c r="AA243" s="248"/>
      <c r="AB243" s="248"/>
      <c r="AC243" s="248"/>
      <c r="AD243" s="248"/>
      <c r="AE243" s="248"/>
      <c r="AF243" s="248"/>
      <c r="AG243" s="248"/>
      <c r="AH243" s="248"/>
      <c r="AI243" s="248"/>
      <c r="AJ243" s="248"/>
      <c r="AK243" s="248"/>
      <c r="AL243" s="248"/>
      <c r="AM243" s="248"/>
      <c r="AN243" s="248"/>
      <c r="AO243" s="248"/>
      <c r="AP243" s="248"/>
      <c r="AQ243" s="248"/>
      <c r="AR243" s="248"/>
      <c r="AS243" s="248"/>
      <c r="AT243" s="248"/>
      <c r="AU243" s="248"/>
      <c r="AV243" s="248"/>
      <c r="AW243" s="248"/>
      <c r="AX243" s="248"/>
      <c r="AY243" s="248"/>
    </row>
    <row r="244" spans="1:51">
      <c r="A244" s="244"/>
      <c r="B244" s="244"/>
      <c r="C244" s="286"/>
      <c r="D244" s="287"/>
      <c r="E244" s="244"/>
      <c r="F244" s="280"/>
      <c r="G244" s="282"/>
      <c r="H244" s="244"/>
      <c r="I244" s="244"/>
      <c r="J244" s="244"/>
      <c r="K244" s="244"/>
      <c r="L244" s="244"/>
      <c r="M244" s="244"/>
      <c r="N244" s="244"/>
      <c r="O244" s="244"/>
      <c r="P244" s="244"/>
      <c r="Q244" s="248"/>
      <c r="R244" s="248"/>
      <c r="S244" s="248"/>
      <c r="T244" s="248"/>
      <c r="U244" s="248"/>
      <c r="V244" s="248"/>
      <c r="W244" s="248"/>
      <c r="X244" s="248"/>
      <c r="Y244" s="248"/>
      <c r="Z244" s="248"/>
      <c r="AA244" s="248"/>
      <c r="AB244" s="248"/>
      <c r="AC244" s="248"/>
      <c r="AD244" s="248"/>
      <c r="AE244" s="248"/>
      <c r="AF244" s="248"/>
      <c r="AG244" s="248"/>
      <c r="AH244" s="248"/>
      <c r="AI244" s="248"/>
      <c r="AJ244" s="248"/>
      <c r="AK244" s="248"/>
      <c r="AL244" s="248"/>
      <c r="AM244" s="248"/>
      <c r="AN244" s="248"/>
      <c r="AO244" s="248"/>
      <c r="AP244" s="248"/>
      <c r="AQ244" s="248"/>
      <c r="AR244" s="248"/>
      <c r="AS244" s="248"/>
      <c r="AT244" s="248"/>
      <c r="AU244" s="248"/>
      <c r="AV244" s="248"/>
      <c r="AW244" s="248"/>
      <c r="AX244" s="248"/>
      <c r="AY244" s="248"/>
    </row>
    <row r="245" spans="1:51">
      <c r="A245" s="244"/>
      <c r="B245" s="244"/>
      <c r="C245" s="286"/>
      <c r="D245" s="287"/>
      <c r="E245" s="244"/>
      <c r="F245" s="280"/>
      <c r="G245" s="282"/>
      <c r="H245" s="244"/>
      <c r="I245" s="244"/>
      <c r="J245" s="244"/>
      <c r="K245" s="244"/>
      <c r="L245" s="244"/>
      <c r="M245" s="244"/>
      <c r="N245" s="244"/>
      <c r="O245" s="244"/>
      <c r="P245" s="244"/>
      <c r="Q245" s="248"/>
      <c r="R245" s="248"/>
      <c r="S245" s="248"/>
      <c r="T245" s="248"/>
      <c r="U245" s="248"/>
      <c r="V245" s="248"/>
      <c r="W245" s="248"/>
      <c r="X245" s="248"/>
      <c r="Y245" s="248"/>
      <c r="Z245" s="248"/>
      <c r="AA245" s="248"/>
      <c r="AB245" s="248"/>
      <c r="AC245" s="248"/>
      <c r="AD245" s="248"/>
      <c r="AE245" s="248"/>
      <c r="AF245" s="248"/>
      <c r="AG245" s="248"/>
      <c r="AH245" s="248"/>
      <c r="AI245" s="248"/>
      <c r="AJ245" s="248"/>
      <c r="AK245" s="248"/>
      <c r="AL245" s="248"/>
      <c r="AM245" s="248"/>
      <c r="AN245" s="248"/>
      <c r="AO245" s="248"/>
      <c r="AP245" s="248"/>
      <c r="AQ245" s="248"/>
      <c r="AR245" s="248"/>
      <c r="AS245" s="248"/>
      <c r="AT245" s="248"/>
      <c r="AU245" s="248"/>
      <c r="AV245" s="248"/>
      <c r="AW245" s="248"/>
      <c r="AX245" s="248"/>
      <c r="AY245" s="248"/>
    </row>
    <row r="246" spans="1:51">
      <c r="A246" s="244"/>
      <c r="B246" s="244"/>
      <c r="C246" s="286"/>
      <c r="D246" s="287"/>
      <c r="E246" s="244"/>
      <c r="F246" s="280"/>
      <c r="G246" s="282"/>
      <c r="H246" s="244"/>
      <c r="I246" s="244"/>
      <c r="J246" s="244"/>
      <c r="K246" s="244"/>
      <c r="L246" s="244"/>
      <c r="M246" s="244"/>
      <c r="N246" s="244"/>
      <c r="O246" s="244"/>
      <c r="P246" s="244"/>
      <c r="Q246" s="248"/>
      <c r="R246" s="248"/>
      <c r="S246" s="248"/>
      <c r="T246" s="248"/>
      <c r="U246" s="248"/>
      <c r="V246" s="248"/>
      <c r="W246" s="248"/>
      <c r="X246" s="248"/>
      <c r="Y246" s="248"/>
      <c r="Z246" s="248"/>
      <c r="AA246" s="248"/>
      <c r="AB246" s="248"/>
      <c r="AC246" s="248"/>
      <c r="AD246" s="248"/>
      <c r="AE246" s="248"/>
      <c r="AF246" s="248"/>
      <c r="AG246" s="248"/>
      <c r="AH246" s="248"/>
      <c r="AI246" s="248"/>
      <c r="AJ246" s="248"/>
      <c r="AK246" s="248"/>
      <c r="AL246" s="248"/>
      <c r="AM246" s="248"/>
      <c r="AN246" s="248"/>
      <c r="AO246" s="248"/>
      <c r="AP246" s="248"/>
      <c r="AQ246" s="248"/>
      <c r="AR246" s="248"/>
      <c r="AS246" s="248"/>
      <c r="AT246" s="248"/>
      <c r="AU246" s="248"/>
      <c r="AV246" s="248"/>
      <c r="AW246" s="248"/>
      <c r="AX246" s="248"/>
      <c r="AY246" s="248"/>
    </row>
    <row r="247" spans="1:51">
      <c r="A247" s="244"/>
      <c r="B247" s="244"/>
      <c r="C247" s="286"/>
      <c r="D247" s="287"/>
      <c r="E247" s="244"/>
      <c r="F247" s="280"/>
      <c r="G247" s="282"/>
      <c r="H247" s="244"/>
      <c r="I247" s="244"/>
      <c r="J247" s="244"/>
      <c r="K247" s="244"/>
      <c r="L247" s="244"/>
      <c r="M247" s="244"/>
      <c r="N247" s="244"/>
      <c r="O247" s="244"/>
      <c r="P247" s="244"/>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248"/>
      <c r="AW247" s="248"/>
      <c r="AX247" s="248"/>
      <c r="AY247" s="248"/>
    </row>
    <row r="248" spans="1:51">
      <c r="A248" s="244"/>
      <c r="B248" s="244"/>
      <c r="C248" s="286"/>
      <c r="D248" s="287"/>
      <c r="E248" s="244"/>
      <c r="F248" s="280"/>
      <c r="G248" s="282"/>
      <c r="H248" s="244"/>
      <c r="I248" s="244"/>
      <c r="J248" s="244"/>
      <c r="K248" s="244"/>
      <c r="L248" s="244"/>
      <c r="M248" s="244"/>
      <c r="N248" s="244"/>
      <c r="O248" s="244"/>
      <c r="P248" s="244"/>
      <c r="Q248" s="248"/>
      <c r="R248" s="248"/>
      <c r="S248" s="248"/>
      <c r="T248" s="248"/>
      <c r="U248" s="248"/>
      <c r="V248" s="248"/>
      <c r="W248" s="248"/>
      <c r="X248" s="248"/>
      <c r="Y248" s="248"/>
      <c r="Z248" s="248"/>
      <c r="AA248" s="248"/>
      <c r="AB248" s="248"/>
      <c r="AC248" s="248"/>
      <c r="AD248" s="248"/>
      <c r="AE248" s="248"/>
      <c r="AF248" s="248"/>
      <c r="AG248" s="248"/>
      <c r="AH248" s="248"/>
      <c r="AI248" s="248"/>
      <c r="AJ248" s="248"/>
      <c r="AK248" s="248"/>
      <c r="AL248" s="248"/>
      <c r="AM248" s="248"/>
      <c r="AN248" s="248"/>
      <c r="AO248" s="248"/>
      <c r="AP248" s="248"/>
      <c r="AQ248" s="248"/>
      <c r="AR248" s="248"/>
      <c r="AS248" s="248"/>
      <c r="AT248" s="248"/>
      <c r="AU248" s="248"/>
      <c r="AV248" s="248"/>
      <c r="AW248" s="248"/>
      <c r="AX248" s="248"/>
      <c r="AY248" s="248"/>
    </row>
    <row r="249" spans="1:51">
      <c r="A249" s="244"/>
      <c r="B249" s="244"/>
      <c r="C249" s="286"/>
      <c r="D249" s="287"/>
      <c r="E249" s="244"/>
      <c r="F249" s="280"/>
      <c r="G249" s="282"/>
      <c r="H249" s="244"/>
      <c r="I249" s="244"/>
      <c r="J249" s="244"/>
      <c r="K249" s="244"/>
      <c r="L249" s="244"/>
      <c r="M249" s="244"/>
      <c r="N249" s="244"/>
      <c r="O249" s="244"/>
      <c r="P249" s="244"/>
      <c r="Q249" s="248"/>
      <c r="R249" s="248"/>
      <c r="S249" s="248"/>
      <c r="T249" s="248"/>
      <c r="U249" s="248"/>
      <c r="V249" s="248"/>
      <c r="W249" s="248"/>
      <c r="X249" s="248"/>
      <c r="Y249" s="248"/>
      <c r="Z249" s="248"/>
      <c r="AA249" s="248"/>
      <c r="AB249" s="248"/>
      <c r="AC249" s="248"/>
      <c r="AD249" s="248"/>
      <c r="AE249" s="248"/>
      <c r="AF249" s="248"/>
      <c r="AG249" s="248"/>
      <c r="AH249" s="248"/>
      <c r="AI249" s="248"/>
      <c r="AJ249" s="248"/>
      <c r="AK249" s="248"/>
      <c r="AL249" s="248"/>
      <c r="AM249" s="248"/>
      <c r="AN249" s="248"/>
      <c r="AO249" s="248"/>
      <c r="AP249" s="248"/>
      <c r="AQ249" s="248"/>
      <c r="AR249" s="248"/>
      <c r="AS249" s="248"/>
      <c r="AT249" s="248"/>
      <c r="AU249" s="248"/>
      <c r="AV249" s="248"/>
      <c r="AW249" s="248"/>
      <c r="AX249" s="248"/>
      <c r="AY249" s="248"/>
    </row>
    <row r="250" spans="1:51">
      <c r="A250" s="244"/>
      <c r="B250" s="244"/>
      <c r="C250" s="286"/>
      <c r="D250" s="287"/>
      <c r="E250" s="244"/>
      <c r="F250" s="280"/>
      <c r="G250" s="282"/>
      <c r="H250" s="244"/>
      <c r="I250" s="244"/>
      <c r="J250" s="244"/>
      <c r="K250" s="244"/>
      <c r="L250" s="244"/>
      <c r="M250" s="244"/>
      <c r="N250" s="244"/>
      <c r="O250" s="244"/>
      <c r="P250" s="244"/>
      <c r="Q250" s="248"/>
      <c r="R250" s="248"/>
      <c r="S250" s="248"/>
      <c r="T250" s="248"/>
      <c r="U250" s="248"/>
      <c r="V250" s="248"/>
      <c r="W250" s="248"/>
      <c r="X250" s="248"/>
      <c r="Y250" s="248"/>
      <c r="Z250" s="248"/>
      <c r="AA250" s="248"/>
      <c r="AB250" s="248"/>
      <c r="AC250" s="248"/>
      <c r="AD250" s="248"/>
      <c r="AE250" s="248"/>
      <c r="AF250" s="248"/>
      <c r="AG250" s="248"/>
      <c r="AH250" s="248"/>
      <c r="AI250" s="248"/>
      <c r="AJ250" s="248"/>
      <c r="AK250" s="248"/>
      <c r="AL250" s="248"/>
      <c r="AM250" s="248"/>
      <c r="AN250" s="248"/>
      <c r="AO250" s="248"/>
      <c r="AP250" s="248"/>
      <c r="AQ250" s="248"/>
      <c r="AR250" s="248"/>
      <c r="AS250" s="248"/>
      <c r="AT250" s="248"/>
      <c r="AU250" s="248"/>
      <c r="AV250" s="248"/>
      <c r="AW250" s="248"/>
      <c r="AX250" s="248"/>
      <c r="AY250" s="248"/>
    </row>
    <row r="251" spans="1:51">
      <c r="A251" s="244"/>
      <c r="B251" s="244"/>
      <c r="C251" s="286"/>
      <c r="D251" s="287"/>
      <c r="E251" s="244"/>
      <c r="F251" s="280"/>
      <c r="G251" s="282"/>
      <c r="H251" s="244"/>
      <c r="I251" s="244"/>
      <c r="J251" s="244"/>
      <c r="K251" s="244"/>
      <c r="L251" s="244"/>
      <c r="M251" s="244"/>
      <c r="N251" s="244"/>
      <c r="O251" s="244"/>
      <c r="P251" s="244"/>
      <c r="Q251" s="248"/>
      <c r="R251" s="248"/>
      <c r="S251" s="248"/>
      <c r="T251" s="248"/>
      <c r="U251" s="248"/>
      <c r="V251" s="248"/>
      <c r="W251" s="248"/>
      <c r="X251" s="248"/>
      <c r="Y251" s="248"/>
      <c r="Z251" s="248"/>
      <c r="AA251" s="248"/>
      <c r="AB251" s="248"/>
      <c r="AC251" s="248"/>
      <c r="AD251" s="248"/>
      <c r="AE251" s="248"/>
      <c r="AF251" s="248"/>
      <c r="AG251" s="248"/>
      <c r="AH251" s="248"/>
      <c r="AI251" s="248"/>
      <c r="AJ251" s="248"/>
      <c r="AK251" s="248"/>
      <c r="AL251" s="248"/>
      <c r="AM251" s="248"/>
      <c r="AN251" s="248"/>
      <c r="AO251" s="248"/>
      <c r="AP251" s="248"/>
      <c r="AQ251" s="248"/>
      <c r="AR251" s="248"/>
      <c r="AS251" s="248"/>
      <c r="AT251" s="248"/>
      <c r="AU251" s="248"/>
      <c r="AV251" s="248"/>
      <c r="AW251" s="248"/>
      <c r="AX251" s="248"/>
      <c r="AY251" s="248"/>
    </row>
    <row r="252" spans="1:51">
      <c r="A252" s="244"/>
      <c r="B252" s="244"/>
      <c r="C252" s="286"/>
      <c r="D252" s="287"/>
      <c r="E252" s="244"/>
      <c r="F252" s="280"/>
      <c r="G252" s="282"/>
      <c r="H252" s="244"/>
      <c r="I252" s="244"/>
      <c r="J252" s="244"/>
      <c r="K252" s="244"/>
      <c r="L252" s="244"/>
      <c r="M252" s="244"/>
      <c r="N252" s="244"/>
      <c r="O252" s="244"/>
      <c r="P252" s="244"/>
      <c r="Q252" s="248"/>
      <c r="R252" s="248"/>
      <c r="S252" s="248"/>
      <c r="T252" s="248"/>
      <c r="U252" s="248"/>
      <c r="V252" s="248"/>
      <c r="W252" s="248"/>
      <c r="X252" s="248"/>
      <c r="Y252" s="248"/>
      <c r="Z252" s="248"/>
      <c r="AA252" s="248"/>
      <c r="AB252" s="248"/>
      <c r="AC252" s="248"/>
      <c r="AD252" s="248"/>
      <c r="AE252" s="248"/>
      <c r="AF252" s="248"/>
      <c r="AG252" s="248"/>
      <c r="AH252" s="248"/>
      <c r="AI252" s="248"/>
      <c r="AJ252" s="248"/>
      <c r="AK252" s="248"/>
      <c r="AL252" s="248"/>
      <c r="AM252" s="248"/>
      <c r="AN252" s="248"/>
      <c r="AO252" s="248"/>
      <c r="AP252" s="248"/>
      <c r="AQ252" s="248"/>
      <c r="AR252" s="248"/>
      <c r="AS252" s="248"/>
      <c r="AT252" s="248"/>
      <c r="AU252" s="248"/>
      <c r="AV252" s="248"/>
      <c r="AW252" s="248"/>
      <c r="AX252" s="248"/>
      <c r="AY252" s="248"/>
    </row>
    <row r="253" spans="1:51">
      <c r="A253" s="244"/>
      <c r="B253" s="244"/>
      <c r="C253" s="286"/>
      <c r="D253" s="287"/>
      <c r="E253" s="244"/>
      <c r="F253" s="280"/>
      <c r="G253" s="282"/>
      <c r="H253" s="244"/>
      <c r="I253" s="244"/>
      <c r="J253" s="244"/>
      <c r="K253" s="244"/>
      <c r="L253" s="244"/>
      <c r="M253" s="244"/>
      <c r="N253" s="244"/>
      <c r="O253" s="244"/>
      <c r="P253" s="244"/>
      <c r="Q253" s="248"/>
      <c r="R253" s="248"/>
      <c r="S253" s="248"/>
      <c r="T253" s="248"/>
      <c r="U253" s="248"/>
      <c r="V253" s="248"/>
      <c r="W253" s="248"/>
      <c r="X253" s="248"/>
      <c r="Y253" s="248"/>
      <c r="Z253" s="248"/>
      <c r="AA253" s="248"/>
      <c r="AB253" s="248"/>
      <c r="AC253" s="248"/>
      <c r="AD253" s="248"/>
      <c r="AE253" s="248"/>
      <c r="AF253" s="248"/>
      <c r="AG253" s="248"/>
      <c r="AH253" s="248"/>
      <c r="AI253" s="248"/>
      <c r="AJ253" s="248"/>
      <c r="AK253" s="248"/>
      <c r="AL253" s="248"/>
      <c r="AM253" s="248"/>
      <c r="AN253" s="248"/>
      <c r="AO253" s="248"/>
      <c r="AP253" s="248"/>
      <c r="AQ253" s="248"/>
      <c r="AR253" s="248"/>
      <c r="AS253" s="248"/>
      <c r="AT253" s="248"/>
      <c r="AU253" s="248"/>
      <c r="AV253" s="248"/>
      <c r="AW253" s="248"/>
      <c r="AX253" s="248"/>
      <c r="AY253" s="248"/>
    </row>
    <row r="254" spans="1:51">
      <c r="A254" s="244"/>
      <c r="B254" s="244"/>
      <c r="C254" s="286"/>
      <c r="D254" s="287"/>
      <c r="E254" s="244"/>
      <c r="F254" s="280"/>
      <c r="G254" s="282"/>
      <c r="H254" s="244"/>
      <c r="I254" s="244"/>
      <c r="J254" s="244"/>
      <c r="K254" s="244"/>
      <c r="L254" s="244"/>
      <c r="M254" s="244"/>
      <c r="N254" s="244"/>
      <c r="O254" s="244"/>
      <c r="P254" s="244"/>
      <c r="Q254" s="248"/>
      <c r="R254" s="248"/>
      <c r="S254" s="248"/>
      <c r="T254" s="248"/>
      <c r="U254" s="248"/>
      <c r="V254" s="248"/>
      <c r="W254" s="248"/>
      <c r="X254" s="248"/>
      <c r="Y254" s="248"/>
      <c r="Z254" s="248"/>
      <c r="AA254" s="248"/>
      <c r="AB254" s="248"/>
      <c r="AC254" s="248"/>
      <c r="AD254" s="248"/>
      <c r="AE254" s="248"/>
      <c r="AF254" s="248"/>
      <c r="AG254" s="248"/>
      <c r="AH254" s="248"/>
      <c r="AI254" s="248"/>
      <c r="AJ254" s="248"/>
      <c r="AK254" s="248"/>
      <c r="AL254" s="248"/>
      <c r="AM254" s="248"/>
      <c r="AN254" s="248"/>
      <c r="AO254" s="248"/>
      <c r="AP254" s="248"/>
      <c r="AQ254" s="248"/>
      <c r="AR254" s="248"/>
      <c r="AS254" s="248"/>
      <c r="AT254" s="248"/>
      <c r="AU254" s="248"/>
      <c r="AV254" s="248"/>
      <c r="AW254" s="248"/>
      <c r="AX254" s="248"/>
      <c r="AY254" s="248"/>
    </row>
    <row r="255" spans="1:51">
      <c r="A255" s="244"/>
      <c r="B255" s="244"/>
      <c r="C255" s="286"/>
      <c r="D255" s="287"/>
      <c r="E255" s="244"/>
      <c r="F255" s="280"/>
      <c r="G255" s="282"/>
      <c r="H255" s="244"/>
      <c r="I255" s="244"/>
      <c r="J255" s="244"/>
      <c r="K255" s="244"/>
      <c r="L255" s="244"/>
      <c r="M255" s="244"/>
      <c r="N255" s="244"/>
      <c r="O255" s="244"/>
      <c r="P255" s="244"/>
      <c r="Q255" s="248"/>
      <c r="R255" s="248"/>
      <c r="S255" s="248"/>
      <c r="T255" s="248"/>
      <c r="U255" s="248"/>
      <c r="V255" s="248"/>
      <c r="W255" s="248"/>
      <c r="X255" s="248"/>
      <c r="Y255" s="248"/>
      <c r="Z255" s="248"/>
      <c r="AA255" s="248"/>
      <c r="AB255" s="248"/>
      <c r="AC255" s="248"/>
      <c r="AD255" s="248"/>
      <c r="AE255" s="248"/>
      <c r="AF255" s="248"/>
      <c r="AG255" s="248"/>
      <c r="AH255" s="248"/>
      <c r="AI255" s="248"/>
      <c r="AJ255" s="248"/>
      <c r="AK255" s="248"/>
      <c r="AL255" s="248"/>
      <c r="AM255" s="248"/>
      <c r="AN255" s="248"/>
      <c r="AO255" s="248"/>
      <c r="AP255" s="248"/>
      <c r="AQ255" s="248"/>
      <c r="AR255" s="248"/>
      <c r="AS255" s="248"/>
      <c r="AT255" s="248"/>
      <c r="AU255" s="248"/>
      <c r="AV255" s="248"/>
      <c r="AW255" s="248"/>
      <c r="AX255" s="248"/>
      <c r="AY255" s="248"/>
    </row>
    <row r="256" spans="1:51">
      <c r="A256" s="244"/>
      <c r="B256" s="244"/>
      <c r="C256" s="286"/>
      <c r="D256" s="287"/>
      <c r="E256" s="244"/>
      <c r="F256" s="280"/>
      <c r="G256" s="282"/>
      <c r="H256" s="244"/>
      <c r="I256" s="244"/>
      <c r="J256" s="244"/>
      <c r="K256" s="244"/>
      <c r="L256" s="244"/>
      <c r="M256" s="244"/>
      <c r="N256" s="244"/>
      <c r="O256" s="244"/>
      <c r="P256" s="244"/>
      <c r="Q256" s="248"/>
      <c r="R256" s="248"/>
      <c r="S256" s="248"/>
      <c r="T256" s="248"/>
      <c r="U256" s="248"/>
      <c r="V256" s="248"/>
      <c r="W256" s="248"/>
      <c r="X256" s="248"/>
      <c r="Y256" s="248"/>
      <c r="Z256" s="248"/>
      <c r="AA256" s="248"/>
      <c r="AB256" s="248"/>
      <c r="AC256" s="248"/>
      <c r="AD256" s="248"/>
      <c r="AE256" s="248"/>
      <c r="AF256" s="248"/>
      <c r="AG256" s="248"/>
      <c r="AH256" s="248"/>
      <c r="AI256" s="248"/>
      <c r="AJ256" s="248"/>
      <c r="AK256" s="248"/>
      <c r="AL256" s="248"/>
      <c r="AM256" s="248"/>
      <c r="AN256" s="248"/>
      <c r="AO256" s="248"/>
      <c r="AP256" s="248"/>
      <c r="AQ256" s="248"/>
      <c r="AR256" s="248"/>
      <c r="AS256" s="248"/>
      <c r="AT256" s="248"/>
      <c r="AU256" s="248"/>
      <c r="AV256" s="248"/>
      <c r="AW256" s="248"/>
      <c r="AX256" s="248"/>
      <c r="AY256" s="248"/>
    </row>
    <row r="257" spans="1:51">
      <c r="A257" s="244"/>
      <c r="B257" s="244"/>
      <c r="C257" s="286"/>
      <c r="D257" s="287"/>
      <c r="E257" s="244"/>
      <c r="F257" s="280"/>
      <c r="G257" s="282"/>
      <c r="H257" s="244"/>
      <c r="I257" s="244"/>
      <c r="J257" s="244"/>
      <c r="K257" s="244"/>
      <c r="L257" s="244"/>
      <c r="M257" s="244"/>
      <c r="N257" s="244"/>
      <c r="O257" s="244"/>
      <c r="P257" s="244"/>
      <c r="Q257" s="248"/>
      <c r="R257" s="248"/>
      <c r="S257" s="248"/>
      <c r="T257" s="248"/>
      <c r="U257" s="248"/>
      <c r="V257" s="248"/>
      <c r="W257" s="248"/>
      <c r="X257" s="248"/>
      <c r="Y257" s="248"/>
      <c r="Z257" s="248"/>
      <c r="AA257" s="248"/>
      <c r="AB257" s="248"/>
      <c r="AC257" s="248"/>
      <c r="AD257" s="248"/>
      <c r="AE257" s="248"/>
      <c r="AF257" s="248"/>
      <c r="AG257" s="248"/>
      <c r="AH257" s="248"/>
      <c r="AI257" s="248"/>
      <c r="AJ257" s="248"/>
      <c r="AK257" s="248"/>
      <c r="AL257" s="248"/>
      <c r="AM257" s="248"/>
      <c r="AN257" s="248"/>
      <c r="AO257" s="248"/>
      <c r="AP257" s="248"/>
      <c r="AQ257" s="248"/>
      <c r="AR257" s="248"/>
      <c r="AS257" s="248"/>
      <c r="AT257" s="248"/>
      <c r="AU257" s="248"/>
      <c r="AV257" s="248"/>
      <c r="AW257" s="248"/>
      <c r="AX257" s="248"/>
      <c r="AY257" s="248"/>
    </row>
    <row r="258" spans="1:51">
      <c r="A258" s="244"/>
      <c r="B258" s="244"/>
      <c r="C258" s="286"/>
      <c r="D258" s="287"/>
      <c r="E258" s="244"/>
      <c r="F258" s="280"/>
      <c r="G258" s="282"/>
      <c r="H258" s="244"/>
      <c r="I258" s="244"/>
      <c r="J258" s="244"/>
      <c r="K258" s="244"/>
      <c r="L258" s="244"/>
      <c r="M258" s="244"/>
      <c r="N258" s="244"/>
      <c r="O258" s="244"/>
      <c r="P258" s="244"/>
      <c r="Q258" s="248"/>
      <c r="R258" s="248"/>
      <c r="S258" s="248"/>
      <c r="T258" s="248"/>
      <c r="U258" s="248"/>
      <c r="V258" s="248"/>
      <c r="W258" s="248"/>
      <c r="X258" s="248"/>
      <c r="Y258" s="248"/>
      <c r="Z258" s="248"/>
      <c r="AA258" s="248"/>
      <c r="AB258" s="248"/>
      <c r="AC258" s="248"/>
      <c r="AD258" s="248"/>
      <c r="AE258" s="248"/>
      <c r="AF258" s="248"/>
      <c r="AG258" s="248"/>
      <c r="AH258" s="248"/>
      <c r="AI258" s="248"/>
      <c r="AJ258" s="248"/>
      <c r="AK258" s="248"/>
      <c r="AL258" s="248"/>
      <c r="AM258" s="248"/>
      <c r="AN258" s="248"/>
      <c r="AO258" s="248"/>
      <c r="AP258" s="248"/>
      <c r="AQ258" s="248"/>
      <c r="AR258" s="248"/>
      <c r="AS258" s="248"/>
      <c r="AT258" s="248"/>
      <c r="AU258" s="248"/>
      <c r="AV258" s="248"/>
      <c r="AW258" s="248"/>
      <c r="AX258" s="248"/>
      <c r="AY258" s="248"/>
    </row>
    <row r="259" spans="1:51">
      <c r="A259" s="244"/>
      <c r="B259" s="244"/>
      <c r="C259" s="286"/>
      <c r="D259" s="287"/>
      <c r="E259" s="244"/>
      <c r="F259" s="280"/>
      <c r="G259" s="282"/>
      <c r="H259" s="244"/>
      <c r="I259" s="244"/>
      <c r="J259" s="244"/>
      <c r="K259" s="244"/>
      <c r="L259" s="244"/>
      <c r="M259" s="244"/>
      <c r="N259" s="244"/>
      <c r="O259" s="244"/>
      <c r="P259" s="244"/>
      <c r="Q259" s="248"/>
      <c r="R259" s="248"/>
      <c r="S259" s="248"/>
      <c r="T259" s="248"/>
      <c r="U259" s="248"/>
      <c r="V259" s="248"/>
      <c r="W259" s="248"/>
      <c r="X259" s="248"/>
      <c r="Y259" s="248"/>
      <c r="Z259" s="248"/>
      <c r="AA259" s="248"/>
      <c r="AB259" s="248"/>
      <c r="AC259" s="248"/>
      <c r="AD259" s="248"/>
      <c r="AE259" s="248"/>
      <c r="AF259" s="248"/>
      <c r="AG259" s="248"/>
      <c r="AH259" s="248"/>
      <c r="AI259" s="248"/>
      <c r="AJ259" s="248"/>
      <c r="AK259" s="248"/>
      <c r="AL259" s="248"/>
      <c r="AM259" s="248"/>
      <c r="AN259" s="248"/>
      <c r="AO259" s="248"/>
      <c r="AP259" s="248"/>
      <c r="AQ259" s="248"/>
      <c r="AR259" s="248"/>
      <c r="AS259" s="248"/>
      <c r="AT259" s="248"/>
      <c r="AU259" s="248"/>
      <c r="AV259" s="248"/>
      <c r="AW259" s="248"/>
      <c r="AX259" s="248"/>
      <c r="AY259" s="248"/>
    </row>
    <row r="260" spans="1:51">
      <c r="A260" s="244"/>
      <c r="B260" s="244"/>
      <c r="C260" s="286"/>
      <c r="D260" s="287"/>
      <c r="E260" s="244"/>
      <c r="F260" s="280"/>
      <c r="G260" s="282"/>
      <c r="H260" s="244"/>
      <c r="I260" s="244"/>
      <c r="J260" s="244"/>
      <c r="K260" s="244"/>
      <c r="L260" s="244"/>
      <c r="M260" s="244"/>
      <c r="N260" s="244"/>
      <c r="O260" s="244"/>
      <c r="P260" s="244"/>
      <c r="Q260" s="248"/>
      <c r="R260" s="248"/>
      <c r="S260" s="248"/>
      <c r="T260" s="248"/>
      <c r="U260" s="248"/>
      <c r="V260" s="248"/>
      <c r="W260" s="248"/>
      <c r="X260" s="248"/>
      <c r="Y260" s="248"/>
      <c r="Z260" s="248"/>
      <c r="AA260" s="248"/>
      <c r="AB260" s="248"/>
      <c r="AC260" s="248"/>
      <c r="AD260" s="248"/>
      <c r="AE260" s="248"/>
      <c r="AF260" s="248"/>
      <c r="AG260" s="248"/>
      <c r="AH260" s="248"/>
      <c r="AI260" s="248"/>
      <c r="AJ260" s="248"/>
      <c r="AK260" s="248"/>
      <c r="AL260" s="248"/>
      <c r="AM260" s="248"/>
      <c r="AN260" s="248"/>
      <c r="AO260" s="248"/>
      <c r="AP260" s="248"/>
      <c r="AQ260" s="248"/>
      <c r="AR260" s="248"/>
      <c r="AS260" s="248"/>
      <c r="AT260" s="248"/>
      <c r="AU260" s="248"/>
      <c r="AV260" s="248"/>
      <c r="AW260" s="248"/>
      <c r="AX260" s="248"/>
      <c r="AY260" s="248"/>
    </row>
    <row r="261" spans="1:51">
      <c r="A261" s="244"/>
      <c r="B261" s="244"/>
      <c r="C261" s="286"/>
      <c r="D261" s="287"/>
      <c r="E261" s="244"/>
      <c r="F261" s="280"/>
      <c r="G261" s="282"/>
      <c r="H261" s="244"/>
      <c r="I261" s="244"/>
      <c r="J261" s="244"/>
      <c r="K261" s="244"/>
      <c r="L261" s="244"/>
      <c r="M261" s="244"/>
      <c r="N261" s="244"/>
      <c r="O261" s="244"/>
      <c r="P261" s="244"/>
      <c r="Q261" s="248"/>
      <c r="R261" s="248"/>
      <c r="S261" s="248"/>
      <c r="T261" s="248"/>
      <c r="U261" s="248"/>
      <c r="V261" s="248"/>
      <c r="W261" s="248"/>
      <c r="X261" s="248"/>
      <c r="Y261" s="248"/>
      <c r="Z261" s="248"/>
      <c r="AA261" s="248"/>
      <c r="AB261" s="248"/>
      <c r="AC261" s="248"/>
      <c r="AD261" s="248"/>
      <c r="AE261" s="248"/>
      <c r="AF261" s="248"/>
      <c r="AG261" s="248"/>
      <c r="AH261" s="248"/>
      <c r="AI261" s="248"/>
      <c r="AJ261" s="248"/>
      <c r="AK261" s="248"/>
      <c r="AL261" s="248"/>
      <c r="AM261" s="248"/>
      <c r="AN261" s="248"/>
      <c r="AO261" s="248"/>
      <c r="AP261" s="248"/>
      <c r="AQ261" s="248"/>
      <c r="AR261" s="248"/>
      <c r="AS261" s="248"/>
      <c r="AT261" s="248"/>
      <c r="AU261" s="248"/>
      <c r="AV261" s="248"/>
      <c r="AW261" s="248"/>
      <c r="AX261" s="248"/>
      <c r="AY261" s="248"/>
    </row>
    <row r="262" spans="1:51">
      <c r="A262" s="244"/>
      <c r="B262" s="244"/>
      <c r="C262" s="286"/>
      <c r="D262" s="287"/>
      <c r="E262" s="244"/>
      <c r="F262" s="280"/>
      <c r="G262" s="282"/>
      <c r="H262" s="244"/>
      <c r="I262" s="244"/>
      <c r="J262" s="244"/>
      <c r="K262" s="244"/>
      <c r="L262" s="244"/>
      <c r="M262" s="244"/>
      <c r="N262" s="244"/>
      <c r="O262" s="244"/>
      <c r="P262" s="244"/>
      <c r="Q262" s="248"/>
      <c r="R262" s="248"/>
      <c r="S262" s="248"/>
      <c r="T262" s="248"/>
      <c r="U262" s="248"/>
      <c r="V262" s="248"/>
      <c r="W262" s="248"/>
      <c r="X262" s="248"/>
      <c r="Y262" s="248"/>
      <c r="Z262" s="248"/>
      <c r="AA262" s="248"/>
      <c r="AB262" s="248"/>
      <c r="AC262" s="248"/>
      <c r="AD262" s="248"/>
      <c r="AE262" s="248"/>
      <c r="AF262" s="248"/>
      <c r="AG262" s="248"/>
      <c r="AH262" s="248"/>
      <c r="AI262" s="248"/>
      <c r="AJ262" s="248"/>
      <c r="AK262" s="248"/>
      <c r="AL262" s="248"/>
      <c r="AM262" s="248"/>
      <c r="AN262" s="248"/>
      <c r="AO262" s="248"/>
      <c r="AP262" s="248"/>
      <c r="AQ262" s="248"/>
      <c r="AR262" s="248"/>
      <c r="AS262" s="248"/>
      <c r="AT262" s="248"/>
      <c r="AU262" s="248"/>
      <c r="AV262" s="248"/>
      <c r="AW262" s="248"/>
      <c r="AX262" s="248"/>
      <c r="AY262" s="248"/>
    </row>
    <row r="263" spans="1:51">
      <c r="A263" s="244"/>
      <c r="B263" s="244"/>
      <c r="C263" s="286"/>
      <c r="D263" s="287"/>
      <c r="E263" s="244"/>
      <c r="F263" s="280"/>
      <c r="G263" s="282"/>
      <c r="H263" s="244"/>
      <c r="I263" s="244"/>
      <c r="J263" s="244"/>
      <c r="K263" s="244"/>
      <c r="L263" s="244"/>
      <c r="M263" s="244"/>
      <c r="N263" s="244"/>
      <c r="O263" s="244"/>
      <c r="P263" s="244"/>
      <c r="Q263" s="248"/>
      <c r="R263" s="248"/>
      <c r="S263" s="248"/>
      <c r="T263" s="248"/>
      <c r="U263" s="248"/>
      <c r="V263" s="248"/>
      <c r="W263" s="248"/>
      <c r="X263" s="248"/>
      <c r="Y263" s="248"/>
      <c r="Z263" s="248"/>
      <c r="AA263" s="248"/>
      <c r="AB263" s="248"/>
      <c r="AC263" s="248"/>
      <c r="AD263" s="248"/>
      <c r="AE263" s="248"/>
      <c r="AF263" s="248"/>
      <c r="AG263" s="248"/>
      <c r="AH263" s="248"/>
      <c r="AI263" s="248"/>
      <c r="AJ263" s="248"/>
      <c r="AK263" s="248"/>
      <c r="AL263" s="248"/>
      <c r="AM263" s="248"/>
      <c r="AN263" s="248"/>
      <c r="AO263" s="248"/>
      <c r="AP263" s="248"/>
      <c r="AQ263" s="248"/>
      <c r="AR263" s="248"/>
      <c r="AS263" s="248"/>
      <c r="AT263" s="248"/>
      <c r="AU263" s="248"/>
      <c r="AV263" s="248"/>
      <c r="AW263" s="248"/>
      <c r="AX263" s="248"/>
      <c r="AY263" s="248"/>
    </row>
    <row r="264" spans="1:51">
      <c r="A264" s="244"/>
      <c r="B264" s="244"/>
      <c r="C264" s="286"/>
      <c r="D264" s="287"/>
      <c r="E264" s="244"/>
      <c r="F264" s="280"/>
      <c r="G264" s="282"/>
      <c r="H264" s="244"/>
      <c r="I264" s="244"/>
      <c r="J264" s="244"/>
      <c r="K264" s="244"/>
      <c r="L264" s="244"/>
      <c r="M264" s="244"/>
      <c r="N264" s="244"/>
      <c r="O264" s="244"/>
      <c r="P264" s="244"/>
      <c r="Q264" s="248"/>
      <c r="R264" s="248"/>
      <c r="S264" s="248"/>
      <c r="T264" s="248"/>
      <c r="U264" s="248"/>
      <c r="V264" s="248"/>
      <c r="W264" s="248"/>
      <c r="X264" s="248"/>
      <c r="Y264" s="248"/>
      <c r="Z264" s="248"/>
      <c r="AA264" s="248"/>
      <c r="AB264" s="248"/>
      <c r="AC264" s="248"/>
      <c r="AD264" s="248"/>
      <c r="AE264" s="248"/>
      <c r="AF264" s="248"/>
      <c r="AG264" s="248"/>
      <c r="AH264" s="248"/>
      <c r="AI264" s="248"/>
      <c r="AJ264" s="248"/>
      <c r="AK264" s="248"/>
      <c r="AL264" s="248"/>
      <c r="AM264" s="248"/>
      <c r="AN264" s="248"/>
      <c r="AO264" s="248"/>
      <c r="AP264" s="248"/>
      <c r="AQ264" s="248"/>
      <c r="AR264" s="248"/>
      <c r="AS264" s="248"/>
      <c r="AT264" s="248"/>
      <c r="AU264" s="248"/>
      <c r="AV264" s="248"/>
      <c r="AW264" s="248"/>
      <c r="AX264" s="248"/>
      <c r="AY264" s="248"/>
    </row>
    <row r="265" spans="1:51">
      <c r="A265" s="244"/>
      <c r="B265" s="244"/>
      <c r="C265" s="286"/>
      <c r="D265" s="287"/>
      <c r="E265" s="244"/>
      <c r="F265" s="280"/>
      <c r="G265" s="282"/>
      <c r="H265" s="244"/>
      <c r="I265" s="244"/>
      <c r="J265" s="244"/>
      <c r="K265" s="244"/>
      <c r="L265" s="244"/>
      <c r="M265" s="244"/>
      <c r="N265" s="244"/>
      <c r="O265" s="244"/>
      <c r="P265" s="244"/>
      <c r="Q265" s="248"/>
      <c r="R265" s="248"/>
      <c r="S265" s="248"/>
      <c r="T265" s="248"/>
      <c r="U265" s="248"/>
      <c r="V265" s="248"/>
      <c r="W265" s="248"/>
      <c r="X265" s="248"/>
      <c r="Y265" s="248"/>
      <c r="Z265" s="248"/>
      <c r="AA265" s="248"/>
      <c r="AB265" s="248"/>
      <c r="AC265" s="248"/>
      <c r="AD265" s="248"/>
      <c r="AE265" s="248"/>
      <c r="AF265" s="248"/>
      <c r="AG265" s="248"/>
      <c r="AH265" s="248"/>
      <c r="AI265" s="248"/>
      <c r="AJ265" s="248"/>
      <c r="AK265" s="248"/>
      <c r="AL265" s="248"/>
      <c r="AM265" s="248"/>
      <c r="AN265" s="248"/>
      <c r="AO265" s="248"/>
      <c r="AP265" s="248"/>
      <c r="AQ265" s="248"/>
      <c r="AR265" s="248"/>
      <c r="AS265" s="248"/>
      <c r="AT265" s="248"/>
      <c r="AU265" s="248"/>
      <c r="AV265" s="248"/>
      <c r="AW265" s="248"/>
      <c r="AX265" s="248"/>
      <c r="AY265" s="248"/>
    </row>
    <row r="266" spans="1:51">
      <c r="A266" s="244"/>
      <c r="B266" s="244"/>
      <c r="C266" s="286"/>
      <c r="D266" s="287"/>
      <c r="E266" s="244"/>
      <c r="F266" s="280"/>
      <c r="G266" s="282"/>
      <c r="H266" s="244"/>
      <c r="I266" s="244"/>
      <c r="J266" s="244"/>
      <c r="K266" s="244"/>
      <c r="L266" s="244"/>
      <c r="M266" s="244"/>
      <c r="N266" s="244"/>
      <c r="O266" s="244"/>
      <c r="P266" s="244"/>
      <c r="Q266" s="248"/>
      <c r="R266" s="248"/>
      <c r="S266" s="248"/>
      <c r="T266" s="248"/>
      <c r="U266" s="248"/>
      <c r="V266" s="248"/>
      <c r="W266" s="248"/>
      <c r="X266" s="248"/>
      <c r="Y266" s="248"/>
      <c r="Z266" s="248"/>
      <c r="AA266" s="248"/>
      <c r="AB266" s="248"/>
      <c r="AC266" s="248"/>
      <c r="AD266" s="248"/>
      <c r="AE266" s="248"/>
      <c r="AF266" s="248"/>
      <c r="AG266" s="248"/>
      <c r="AH266" s="248"/>
      <c r="AI266" s="248"/>
      <c r="AJ266" s="248"/>
      <c r="AK266" s="248"/>
      <c r="AL266" s="248"/>
      <c r="AM266" s="248"/>
      <c r="AN266" s="248"/>
      <c r="AO266" s="248"/>
      <c r="AP266" s="248"/>
      <c r="AQ266" s="248"/>
      <c r="AR266" s="248"/>
      <c r="AS266" s="248"/>
      <c r="AT266" s="248"/>
      <c r="AU266" s="248"/>
      <c r="AV266" s="248"/>
      <c r="AW266" s="248"/>
      <c r="AX266" s="248"/>
      <c r="AY266" s="248"/>
    </row>
    <row r="267" spans="1:51">
      <c r="A267" s="244"/>
      <c r="B267" s="244"/>
      <c r="C267" s="286"/>
      <c r="D267" s="287"/>
      <c r="E267" s="244"/>
      <c r="F267" s="280"/>
      <c r="G267" s="282"/>
      <c r="H267" s="244"/>
      <c r="I267" s="244"/>
      <c r="J267" s="244"/>
      <c r="K267" s="244"/>
      <c r="L267" s="244"/>
      <c r="M267" s="244"/>
      <c r="N267" s="244"/>
      <c r="O267" s="244"/>
      <c r="P267" s="244"/>
      <c r="Q267" s="248"/>
      <c r="R267" s="248"/>
      <c r="S267" s="248"/>
      <c r="T267" s="248"/>
      <c r="U267" s="248"/>
      <c r="V267" s="248"/>
      <c r="W267" s="248"/>
      <c r="X267" s="248"/>
      <c r="Y267" s="248"/>
      <c r="Z267" s="248"/>
      <c r="AA267" s="248"/>
      <c r="AB267" s="248"/>
      <c r="AC267" s="248"/>
      <c r="AD267" s="248"/>
      <c r="AE267" s="248"/>
      <c r="AF267" s="248"/>
      <c r="AG267" s="248"/>
      <c r="AH267" s="248"/>
      <c r="AI267" s="248"/>
      <c r="AJ267" s="248"/>
      <c r="AK267" s="248"/>
      <c r="AL267" s="248"/>
      <c r="AM267" s="248"/>
      <c r="AN267" s="248"/>
      <c r="AO267" s="248"/>
      <c r="AP267" s="248"/>
      <c r="AQ267" s="248"/>
      <c r="AR267" s="248"/>
      <c r="AS267" s="248"/>
      <c r="AT267" s="248"/>
      <c r="AU267" s="248"/>
      <c r="AV267" s="248"/>
      <c r="AW267" s="248"/>
      <c r="AX267" s="248"/>
      <c r="AY267" s="248"/>
    </row>
    <row r="268" spans="1:51">
      <c r="A268" s="244"/>
      <c r="B268" s="244"/>
      <c r="C268" s="286"/>
      <c r="D268" s="287"/>
      <c r="E268" s="244"/>
      <c r="F268" s="280"/>
      <c r="G268" s="282"/>
      <c r="H268" s="244"/>
      <c r="I268" s="244"/>
      <c r="J268" s="244"/>
      <c r="K268" s="244"/>
      <c r="L268" s="244"/>
      <c r="M268" s="244"/>
      <c r="N268" s="244"/>
      <c r="O268" s="244"/>
      <c r="P268" s="244"/>
      <c r="Q268" s="248"/>
      <c r="R268" s="248"/>
      <c r="S268" s="248"/>
      <c r="T268" s="248"/>
      <c r="U268" s="248"/>
      <c r="V268" s="248"/>
      <c r="W268" s="248"/>
      <c r="X268" s="248"/>
      <c r="Y268" s="248"/>
      <c r="Z268" s="248"/>
      <c r="AA268" s="248"/>
      <c r="AB268" s="248"/>
      <c r="AC268" s="248"/>
      <c r="AD268" s="248"/>
      <c r="AE268" s="248"/>
      <c r="AF268" s="248"/>
      <c r="AG268" s="248"/>
      <c r="AH268" s="248"/>
      <c r="AI268" s="248"/>
      <c r="AJ268" s="248"/>
      <c r="AK268" s="248"/>
      <c r="AL268" s="248"/>
      <c r="AM268" s="248"/>
      <c r="AN268" s="248"/>
      <c r="AO268" s="248"/>
      <c r="AP268" s="248"/>
      <c r="AQ268" s="248"/>
      <c r="AR268" s="248"/>
      <c r="AS268" s="248"/>
      <c r="AT268" s="248"/>
      <c r="AU268" s="248"/>
      <c r="AV268" s="248"/>
      <c r="AW268" s="248"/>
      <c r="AX268" s="248"/>
      <c r="AY268" s="248"/>
    </row>
    <row r="269" spans="1:51">
      <c r="A269" s="244"/>
      <c r="B269" s="244"/>
      <c r="C269" s="286"/>
      <c r="D269" s="287"/>
      <c r="E269" s="244"/>
      <c r="F269" s="280"/>
      <c r="G269" s="282"/>
      <c r="H269" s="244"/>
      <c r="I269" s="244"/>
      <c r="J269" s="244"/>
      <c r="K269" s="244"/>
      <c r="L269" s="244"/>
      <c r="M269" s="244"/>
      <c r="N269" s="244"/>
      <c r="O269" s="244"/>
      <c r="P269" s="244"/>
      <c r="Q269" s="248"/>
      <c r="R269" s="248"/>
      <c r="S269" s="248"/>
      <c r="T269" s="248"/>
      <c r="U269" s="248"/>
      <c r="V269" s="248"/>
      <c r="W269" s="248"/>
      <c r="X269" s="248"/>
      <c r="Y269" s="248"/>
      <c r="Z269" s="248"/>
      <c r="AA269" s="248"/>
      <c r="AB269" s="248"/>
      <c r="AC269" s="248"/>
      <c r="AD269" s="248"/>
      <c r="AE269" s="248"/>
      <c r="AF269" s="248"/>
      <c r="AG269" s="248"/>
      <c r="AH269" s="248"/>
      <c r="AI269" s="248"/>
      <c r="AJ269" s="248"/>
      <c r="AK269" s="248"/>
      <c r="AL269" s="248"/>
      <c r="AM269" s="248"/>
      <c r="AN269" s="248"/>
      <c r="AO269" s="248"/>
      <c r="AP269" s="248"/>
      <c r="AQ269" s="248"/>
      <c r="AR269" s="248"/>
      <c r="AS269" s="248"/>
      <c r="AT269" s="248"/>
      <c r="AU269" s="248"/>
      <c r="AV269" s="248"/>
      <c r="AW269" s="248"/>
      <c r="AX269" s="248"/>
      <c r="AY269" s="248"/>
    </row>
    <row r="270" spans="1:51">
      <c r="A270" s="244"/>
      <c r="B270" s="244"/>
      <c r="C270" s="286"/>
      <c r="D270" s="287"/>
      <c r="E270" s="244"/>
      <c r="F270" s="280"/>
      <c r="G270" s="282"/>
      <c r="H270" s="244"/>
      <c r="I270" s="244"/>
      <c r="J270" s="244"/>
      <c r="K270" s="244"/>
      <c r="L270" s="244"/>
      <c r="M270" s="244"/>
      <c r="N270" s="244"/>
      <c r="O270" s="244"/>
      <c r="P270" s="244"/>
      <c r="Q270" s="248"/>
      <c r="R270" s="248"/>
      <c r="S270" s="248"/>
      <c r="T270" s="248"/>
      <c r="U270" s="248"/>
      <c r="V270" s="248"/>
      <c r="W270" s="248"/>
      <c r="X270" s="248"/>
      <c r="Y270" s="248"/>
      <c r="Z270" s="248"/>
      <c r="AA270" s="248"/>
      <c r="AB270" s="248"/>
      <c r="AC270" s="248"/>
      <c r="AD270" s="248"/>
      <c r="AE270" s="248"/>
      <c r="AF270" s="248"/>
      <c r="AG270" s="248"/>
      <c r="AH270" s="248"/>
      <c r="AI270" s="248"/>
      <c r="AJ270" s="248"/>
      <c r="AK270" s="248"/>
      <c r="AL270" s="248"/>
      <c r="AM270" s="248"/>
      <c r="AN270" s="248"/>
      <c r="AO270" s="248"/>
      <c r="AP270" s="248"/>
      <c r="AQ270" s="248"/>
      <c r="AR270" s="248"/>
      <c r="AS270" s="248"/>
      <c r="AT270" s="248"/>
      <c r="AU270" s="248"/>
      <c r="AV270" s="248"/>
      <c r="AW270" s="248"/>
      <c r="AX270" s="248"/>
      <c r="AY270" s="248"/>
    </row>
    <row r="271" spans="1:51">
      <c r="A271" s="244"/>
      <c r="B271" s="244"/>
      <c r="C271" s="286"/>
      <c r="D271" s="287"/>
      <c r="E271" s="244"/>
      <c r="F271" s="280"/>
      <c r="G271" s="282"/>
      <c r="H271" s="244"/>
      <c r="I271" s="244"/>
      <c r="J271" s="244"/>
      <c r="K271" s="244"/>
      <c r="L271" s="244"/>
      <c r="M271" s="244"/>
      <c r="N271" s="244"/>
      <c r="O271" s="244"/>
      <c r="P271" s="244"/>
      <c r="Q271" s="248"/>
      <c r="R271" s="248"/>
      <c r="S271" s="248"/>
      <c r="T271" s="248"/>
      <c r="U271" s="248"/>
      <c r="V271" s="248"/>
      <c r="W271" s="248"/>
      <c r="X271" s="248"/>
      <c r="Y271" s="248"/>
      <c r="Z271" s="248"/>
      <c r="AA271" s="248"/>
      <c r="AB271" s="248"/>
      <c r="AC271" s="248"/>
      <c r="AD271" s="248"/>
      <c r="AE271" s="248"/>
      <c r="AF271" s="248"/>
      <c r="AG271" s="248"/>
      <c r="AH271" s="248"/>
      <c r="AI271" s="248"/>
      <c r="AJ271" s="248"/>
      <c r="AK271" s="248"/>
      <c r="AL271" s="248"/>
      <c r="AM271" s="248"/>
      <c r="AN271" s="248"/>
      <c r="AO271" s="248"/>
      <c r="AP271" s="248"/>
      <c r="AQ271" s="248"/>
      <c r="AR271" s="248"/>
      <c r="AS271" s="248"/>
      <c r="AT271" s="248"/>
      <c r="AU271" s="248"/>
      <c r="AV271" s="248"/>
      <c r="AW271" s="248"/>
      <c r="AX271" s="248"/>
      <c r="AY271" s="248"/>
    </row>
    <row r="272" spans="1:51">
      <c r="A272" s="244"/>
      <c r="B272" s="244"/>
      <c r="C272" s="286"/>
      <c r="D272" s="287"/>
      <c r="E272" s="244"/>
      <c r="F272" s="280"/>
      <c r="G272" s="282"/>
      <c r="H272" s="244"/>
      <c r="I272" s="244"/>
      <c r="J272" s="244"/>
      <c r="K272" s="244"/>
      <c r="L272" s="244"/>
      <c r="M272" s="244"/>
      <c r="N272" s="244"/>
      <c r="O272" s="244"/>
      <c r="P272" s="244"/>
      <c r="Q272" s="248"/>
      <c r="R272" s="248"/>
      <c r="S272" s="248"/>
      <c r="T272" s="248"/>
      <c r="U272" s="248"/>
      <c r="V272" s="248"/>
      <c r="W272" s="248"/>
      <c r="X272" s="248"/>
      <c r="Y272" s="248"/>
      <c r="Z272" s="248"/>
      <c r="AA272" s="248"/>
      <c r="AB272" s="248"/>
      <c r="AC272" s="248"/>
      <c r="AD272" s="248"/>
      <c r="AE272" s="248"/>
      <c r="AF272" s="248"/>
      <c r="AG272" s="248"/>
      <c r="AH272" s="248"/>
      <c r="AI272" s="248"/>
      <c r="AJ272" s="248"/>
      <c r="AK272" s="248"/>
      <c r="AL272" s="248"/>
      <c r="AM272" s="248"/>
      <c r="AN272" s="248"/>
      <c r="AO272" s="248"/>
      <c r="AP272" s="248"/>
      <c r="AQ272" s="248"/>
      <c r="AR272" s="248"/>
      <c r="AS272" s="248"/>
      <c r="AT272" s="248"/>
      <c r="AU272" s="248"/>
      <c r="AV272" s="248"/>
      <c r="AW272" s="248"/>
      <c r="AX272" s="248"/>
      <c r="AY272" s="248"/>
    </row>
    <row r="273" spans="1:51">
      <c r="A273" s="244"/>
      <c r="B273" s="244"/>
      <c r="C273" s="286"/>
      <c r="D273" s="287"/>
      <c r="E273" s="244"/>
      <c r="F273" s="280"/>
      <c r="G273" s="282"/>
      <c r="H273" s="244"/>
      <c r="I273" s="244"/>
      <c r="J273" s="244"/>
      <c r="K273" s="244"/>
      <c r="L273" s="244"/>
      <c r="M273" s="244"/>
      <c r="N273" s="244"/>
      <c r="O273" s="244"/>
      <c r="P273" s="244"/>
      <c r="Q273" s="248"/>
      <c r="R273" s="248"/>
      <c r="S273" s="248"/>
      <c r="T273" s="248"/>
      <c r="U273" s="248"/>
      <c r="V273" s="248"/>
      <c r="W273" s="248"/>
      <c r="X273" s="248"/>
      <c r="Y273" s="248"/>
      <c r="Z273" s="248"/>
      <c r="AA273" s="248"/>
      <c r="AB273" s="248"/>
      <c r="AC273" s="248"/>
      <c r="AD273" s="248"/>
      <c r="AE273" s="248"/>
      <c r="AF273" s="248"/>
      <c r="AG273" s="248"/>
      <c r="AH273" s="248"/>
      <c r="AI273" s="248"/>
      <c r="AJ273" s="248"/>
      <c r="AK273" s="248"/>
      <c r="AL273" s="248"/>
      <c r="AM273" s="248"/>
      <c r="AN273" s="248"/>
      <c r="AO273" s="248"/>
      <c r="AP273" s="248"/>
      <c r="AQ273" s="248"/>
      <c r="AR273" s="248"/>
      <c r="AS273" s="248"/>
      <c r="AT273" s="248"/>
      <c r="AU273" s="248"/>
      <c r="AV273" s="248"/>
      <c r="AW273" s="248"/>
      <c r="AX273" s="248"/>
      <c r="AY273" s="248"/>
    </row>
    <row r="274" spans="1:51">
      <c r="A274" s="244"/>
      <c r="B274" s="244"/>
      <c r="C274" s="286"/>
      <c r="D274" s="287"/>
      <c r="E274" s="244"/>
      <c r="F274" s="280"/>
      <c r="G274" s="282"/>
      <c r="H274" s="244"/>
      <c r="I274" s="244"/>
      <c r="J274" s="244"/>
      <c r="K274" s="244"/>
      <c r="L274" s="244"/>
      <c r="M274" s="244"/>
      <c r="N274" s="244"/>
      <c r="O274" s="244"/>
      <c r="P274" s="244"/>
      <c r="Q274" s="248"/>
      <c r="R274" s="248"/>
      <c r="S274" s="248"/>
      <c r="T274" s="248"/>
      <c r="U274" s="248"/>
      <c r="V274" s="248"/>
      <c r="W274" s="248"/>
      <c r="X274" s="248"/>
      <c r="Y274" s="248"/>
      <c r="Z274" s="248"/>
      <c r="AA274" s="248"/>
      <c r="AB274" s="248"/>
      <c r="AC274" s="248"/>
      <c r="AD274" s="248"/>
      <c r="AE274" s="248"/>
      <c r="AF274" s="248"/>
      <c r="AG274" s="248"/>
      <c r="AH274" s="248"/>
      <c r="AI274" s="248"/>
      <c r="AJ274" s="248"/>
      <c r="AK274" s="248"/>
      <c r="AL274" s="248"/>
      <c r="AM274" s="248"/>
      <c r="AN274" s="248"/>
      <c r="AO274" s="248"/>
      <c r="AP274" s="248"/>
      <c r="AQ274" s="248"/>
      <c r="AR274" s="248"/>
      <c r="AS274" s="248"/>
      <c r="AT274" s="248"/>
      <c r="AU274" s="248"/>
      <c r="AV274" s="248"/>
      <c r="AW274" s="248"/>
      <c r="AX274" s="248"/>
      <c r="AY274" s="248"/>
    </row>
    <row r="275" spans="1:51">
      <c r="A275" s="244"/>
      <c r="B275" s="244"/>
      <c r="C275" s="286"/>
      <c r="D275" s="287"/>
      <c r="E275" s="244"/>
      <c r="F275" s="280"/>
      <c r="G275" s="282"/>
      <c r="H275" s="244"/>
      <c r="I275" s="244"/>
      <c r="J275" s="244"/>
      <c r="K275" s="244"/>
      <c r="L275" s="244"/>
      <c r="M275" s="244"/>
      <c r="N275" s="244"/>
      <c r="O275" s="244"/>
      <c r="P275" s="244"/>
      <c r="Q275" s="248"/>
      <c r="R275" s="248"/>
      <c r="S275" s="248"/>
      <c r="T275" s="248"/>
      <c r="U275" s="248"/>
      <c r="V275" s="248"/>
      <c r="W275" s="248"/>
      <c r="X275" s="248"/>
      <c r="Y275" s="248"/>
      <c r="Z275" s="248"/>
      <c r="AA275" s="248"/>
      <c r="AB275" s="248"/>
      <c r="AC275" s="248"/>
      <c r="AD275" s="248"/>
      <c r="AE275" s="248"/>
      <c r="AF275" s="248"/>
      <c r="AG275" s="248"/>
      <c r="AH275" s="248"/>
      <c r="AI275" s="248"/>
      <c r="AJ275" s="248"/>
      <c r="AK275" s="248"/>
      <c r="AL275" s="248"/>
      <c r="AM275" s="248"/>
      <c r="AN275" s="248"/>
      <c r="AO275" s="248"/>
      <c r="AP275" s="248"/>
      <c r="AQ275" s="248"/>
      <c r="AR275" s="248"/>
      <c r="AS275" s="248"/>
      <c r="AT275" s="248"/>
      <c r="AU275" s="248"/>
      <c r="AV275" s="248"/>
      <c r="AW275" s="248"/>
      <c r="AX275" s="248"/>
      <c r="AY275" s="248"/>
    </row>
    <row r="276" spans="1:51">
      <c r="A276" s="244"/>
      <c r="B276" s="244"/>
      <c r="C276" s="286"/>
      <c r="D276" s="287"/>
      <c r="E276" s="244"/>
      <c r="F276" s="280"/>
      <c r="G276" s="282"/>
      <c r="H276" s="244"/>
      <c r="I276" s="244"/>
      <c r="J276" s="244"/>
      <c r="K276" s="244"/>
      <c r="L276" s="244"/>
      <c r="M276" s="244"/>
      <c r="N276" s="244"/>
      <c r="O276" s="244"/>
      <c r="P276" s="244"/>
      <c r="Q276" s="248"/>
      <c r="R276" s="248"/>
      <c r="S276" s="248"/>
      <c r="T276" s="248"/>
      <c r="U276" s="248"/>
      <c r="V276" s="248"/>
      <c r="W276" s="248"/>
      <c r="X276" s="248"/>
      <c r="Y276" s="248"/>
      <c r="Z276" s="248"/>
      <c r="AA276" s="248"/>
      <c r="AB276" s="248"/>
      <c r="AC276" s="248"/>
      <c r="AD276" s="248"/>
      <c r="AE276" s="248"/>
      <c r="AF276" s="248"/>
      <c r="AG276" s="248"/>
      <c r="AH276" s="248"/>
      <c r="AI276" s="248"/>
      <c r="AJ276" s="248"/>
      <c r="AK276" s="248"/>
      <c r="AL276" s="248"/>
      <c r="AM276" s="248"/>
      <c r="AN276" s="248"/>
      <c r="AO276" s="248"/>
      <c r="AP276" s="248"/>
      <c r="AQ276" s="248"/>
      <c r="AR276" s="248"/>
      <c r="AS276" s="248"/>
      <c r="AT276" s="248"/>
      <c r="AU276" s="248"/>
      <c r="AV276" s="248"/>
      <c r="AW276" s="248"/>
      <c r="AX276" s="248"/>
      <c r="AY276" s="248"/>
    </row>
    <row r="277" spans="1:51">
      <c r="A277" s="244"/>
      <c r="B277" s="244"/>
      <c r="C277" s="286"/>
      <c r="D277" s="287"/>
      <c r="E277" s="244"/>
      <c r="F277" s="280"/>
      <c r="G277" s="282"/>
      <c r="H277" s="244"/>
      <c r="I277" s="244"/>
      <c r="J277" s="244"/>
      <c r="K277" s="244"/>
      <c r="L277" s="244"/>
      <c r="M277" s="244"/>
      <c r="N277" s="244"/>
      <c r="O277" s="244"/>
      <c r="P277" s="244"/>
      <c r="Q277" s="248"/>
      <c r="R277" s="248"/>
      <c r="S277" s="248"/>
      <c r="T277" s="248"/>
      <c r="U277" s="248"/>
      <c r="V277" s="248"/>
      <c r="W277" s="248"/>
      <c r="X277" s="248"/>
      <c r="Y277" s="248"/>
      <c r="Z277" s="248"/>
      <c r="AA277" s="248"/>
      <c r="AB277" s="248"/>
      <c r="AC277" s="248"/>
      <c r="AD277" s="248"/>
      <c r="AE277" s="248"/>
      <c r="AF277" s="248"/>
      <c r="AG277" s="248"/>
      <c r="AH277" s="248"/>
      <c r="AI277" s="248"/>
      <c r="AJ277" s="248"/>
      <c r="AK277" s="248"/>
      <c r="AL277" s="248"/>
      <c r="AM277" s="248"/>
      <c r="AN277" s="248"/>
      <c r="AO277" s="248"/>
      <c r="AP277" s="248"/>
      <c r="AQ277" s="248"/>
      <c r="AR277" s="248"/>
      <c r="AS277" s="248"/>
      <c r="AT277" s="248"/>
      <c r="AU277" s="248"/>
      <c r="AV277" s="248"/>
      <c r="AW277" s="248"/>
      <c r="AX277" s="248"/>
      <c r="AY277" s="248"/>
    </row>
    <row r="278" spans="1:51">
      <c r="A278" s="244"/>
      <c r="B278" s="244"/>
      <c r="C278" s="286"/>
      <c r="D278" s="287"/>
      <c r="E278" s="244"/>
      <c r="F278" s="280"/>
      <c r="G278" s="282"/>
      <c r="H278" s="244"/>
      <c r="I278" s="244"/>
      <c r="J278" s="244"/>
      <c r="K278" s="244"/>
      <c r="L278" s="244"/>
      <c r="M278" s="244"/>
      <c r="N278" s="244"/>
      <c r="O278" s="244"/>
      <c r="P278" s="244"/>
      <c r="Q278" s="248"/>
      <c r="R278" s="248"/>
      <c r="S278" s="248"/>
      <c r="T278" s="248"/>
      <c r="U278" s="248"/>
      <c r="V278" s="248"/>
      <c r="W278" s="248"/>
      <c r="X278" s="248"/>
      <c r="Y278" s="248"/>
      <c r="Z278" s="248"/>
      <c r="AA278" s="248"/>
      <c r="AB278" s="248"/>
      <c r="AC278" s="248"/>
      <c r="AD278" s="248"/>
      <c r="AE278" s="248"/>
      <c r="AF278" s="248"/>
      <c r="AG278" s="248"/>
      <c r="AH278" s="248"/>
      <c r="AI278" s="248"/>
      <c r="AJ278" s="248"/>
      <c r="AK278" s="248"/>
      <c r="AL278" s="248"/>
      <c r="AM278" s="248"/>
      <c r="AN278" s="248"/>
      <c r="AO278" s="248"/>
      <c r="AP278" s="248"/>
      <c r="AQ278" s="248"/>
      <c r="AR278" s="248"/>
      <c r="AS278" s="248"/>
      <c r="AT278" s="248"/>
      <c r="AU278" s="248"/>
      <c r="AV278" s="248"/>
      <c r="AW278" s="248"/>
      <c r="AX278" s="248"/>
      <c r="AY278" s="248"/>
    </row>
    <row r="279" spans="1:51">
      <c r="A279" s="244"/>
      <c r="B279" s="244"/>
      <c r="C279" s="286"/>
      <c r="D279" s="287"/>
      <c r="E279" s="244"/>
      <c r="F279" s="280"/>
      <c r="G279" s="282"/>
      <c r="H279" s="244"/>
      <c r="I279" s="244"/>
      <c r="J279" s="244"/>
      <c r="K279" s="244"/>
      <c r="L279" s="244"/>
      <c r="M279" s="244"/>
      <c r="N279" s="244"/>
      <c r="O279" s="244"/>
      <c r="P279" s="244"/>
      <c r="Q279" s="248"/>
      <c r="R279" s="248"/>
      <c r="S279" s="248"/>
      <c r="T279" s="248"/>
      <c r="U279" s="248"/>
      <c r="V279" s="248"/>
      <c r="W279" s="248"/>
      <c r="X279" s="248"/>
      <c r="Y279" s="248"/>
      <c r="Z279" s="248"/>
      <c r="AA279" s="248"/>
      <c r="AB279" s="248"/>
      <c r="AC279" s="248"/>
      <c r="AD279" s="248"/>
      <c r="AE279" s="248"/>
      <c r="AF279" s="248"/>
      <c r="AG279" s="248"/>
      <c r="AH279" s="248"/>
      <c r="AI279" s="248"/>
      <c r="AJ279" s="248"/>
      <c r="AK279" s="248"/>
      <c r="AL279" s="248"/>
      <c r="AM279" s="248"/>
      <c r="AN279" s="248"/>
      <c r="AO279" s="248"/>
      <c r="AP279" s="248"/>
      <c r="AQ279" s="248"/>
      <c r="AR279" s="248"/>
      <c r="AS279" s="248"/>
      <c r="AT279" s="248"/>
      <c r="AU279" s="248"/>
      <c r="AV279" s="248"/>
      <c r="AW279" s="248"/>
      <c r="AX279" s="248"/>
      <c r="AY279" s="248"/>
    </row>
    <row r="280" spans="1:51">
      <c r="A280" s="244"/>
      <c r="B280" s="244"/>
      <c r="C280" s="286"/>
      <c r="D280" s="287"/>
      <c r="E280" s="244"/>
      <c r="F280" s="280"/>
      <c r="G280" s="282"/>
      <c r="H280" s="244"/>
      <c r="I280" s="244"/>
      <c r="J280" s="244"/>
      <c r="K280" s="244"/>
      <c r="L280" s="244"/>
      <c r="M280" s="244"/>
      <c r="N280" s="244"/>
      <c r="O280" s="244"/>
      <c r="P280" s="244"/>
      <c r="Q280" s="248"/>
      <c r="R280" s="248"/>
      <c r="S280" s="248"/>
      <c r="T280" s="248"/>
      <c r="U280" s="248"/>
      <c r="V280" s="248"/>
      <c r="W280" s="248"/>
      <c r="X280" s="248"/>
      <c r="Y280" s="248"/>
      <c r="Z280" s="248"/>
      <c r="AA280" s="248"/>
      <c r="AB280" s="248"/>
      <c r="AC280" s="248"/>
      <c r="AD280" s="248"/>
      <c r="AE280" s="248"/>
      <c r="AF280" s="248"/>
      <c r="AG280" s="248"/>
      <c r="AH280" s="248"/>
      <c r="AI280" s="248"/>
      <c r="AJ280" s="248"/>
      <c r="AK280" s="248"/>
      <c r="AL280" s="248"/>
      <c r="AM280" s="248"/>
      <c r="AN280" s="248"/>
      <c r="AO280" s="248"/>
      <c r="AP280" s="248"/>
      <c r="AQ280" s="248"/>
      <c r="AR280" s="248"/>
      <c r="AS280" s="248"/>
      <c r="AT280" s="248"/>
      <c r="AU280" s="248"/>
      <c r="AV280" s="248"/>
      <c r="AW280" s="248"/>
      <c r="AX280" s="248"/>
      <c r="AY280" s="248"/>
    </row>
    <row r="281" spans="1:51">
      <c r="A281" s="244"/>
      <c r="B281" s="244"/>
      <c r="C281" s="286"/>
      <c r="D281" s="287"/>
      <c r="E281" s="244"/>
      <c r="F281" s="280"/>
      <c r="G281" s="282"/>
      <c r="H281" s="244"/>
      <c r="I281" s="244"/>
      <c r="J281" s="244"/>
      <c r="K281" s="244"/>
      <c r="L281" s="244"/>
      <c r="M281" s="244"/>
      <c r="N281" s="244"/>
      <c r="O281" s="244"/>
      <c r="P281" s="244"/>
      <c r="Q281" s="248"/>
      <c r="R281" s="248"/>
      <c r="S281" s="248"/>
      <c r="T281" s="248"/>
      <c r="U281" s="248"/>
      <c r="V281" s="248"/>
      <c r="W281" s="248"/>
      <c r="X281" s="248"/>
      <c r="Y281" s="248"/>
      <c r="Z281" s="248"/>
      <c r="AA281" s="248"/>
      <c r="AB281" s="248"/>
      <c r="AC281" s="248"/>
      <c r="AD281" s="248"/>
      <c r="AE281" s="248"/>
      <c r="AF281" s="248"/>
      <c r="AG281" s="248"/>
      <c r="AH281" s="248"/>
      <c r="AI281" s="248"/>
      <c r="AJ281" s="248"/>
      <c r="AK281" s="248"/>
      <c r="AL281" s="248"/>
      <c r="AM281" s="248"/>
      <c r="AN281" s="248"/>
      <c r="AO281" s="248"/>
      <c r="AP281" s="248"/>
      <c r="AQ281" s="248"/>
      <c r="AR281" s="248"/>
      <c r="AS281" s="248"/>
      <c r="AT281" s="248"/>
      <c r="AU281" s="248"/>
      <c r="AV281" s="248"/>
      <c r="AW281" s="248"/>
      <c r="AX281" s="248"/>
      <c r="AY281" s="248"/>
    </row>
    <row r="282" spans="1:51">
      <c r="A282" s="244"/>
      <c r="B282" s="244"/>
      <c r="C282" s="286"/>
      <c r="D282" s="287"/>
      <c r="E282" s="244"/>
      <c r="F282" s="280"/>
      <c r="G282" s="282"/>
      <c r="H282" s="244"/>
      <c r="I282" s="244"/>
      <c r="J282" s="244"/>
      <c r="K282" s="244"/>
      <c r="L282" s="244"/>
      <c r="M282" s="244"/>
      <c r="N282" s="244"/>
      <c r="O282" s="244"/>
      <c r="P282" s="244"/>
      <c r="Q282" s="248"/>
      <c r="R282" s="248"/>
      <c r="S282" s="248"/>
      <c r="T282" s="248"/>
      <c r="U282" s="248"/>
      <c r="V282" s="248"/>
      <c r="W282" s="248"/>
      <c r="X282" s="248"/>
      <c r="Y282" s="248"/>
      <c r="Z282" s="248"/>
      <c r="AA282" s="248"/>
      <c r="AB282" s="248"/>
      <c r="AC282" s="248"/>
      <c r="AD282" s="248"/>
      <c r="AE282" s="248"/>
      <c r="AF282" s="248"/>
      <c r="AG282" s="248"/>
      <c r="AH282" s="248"/>
      <c r="AI282" s="248"/>
      <c r="AJ282" s="248"/>
      <c r="AK282" s="248"/>
      <c r="AL282" s="248"/>
      <c r="AM282" s="248"/>
      <c r="AN282" s="248"/>
      <c r="AO282" s="248"/>
      <c r="AP282" s="248"/>
      <c r="AQ282" s="248"/>
      <c r="AR282" s="248"/>
      <c r="AS282" s="248"/>
      <c r="AT282" s="248"/>
      <c r="AU282" s="248"/>
      <c r="AV282" s="248"/>
      <c r="AW282" s="248"/>
      <c r="AX282" s="248"/>
      <c r="AY282" s="248"/>
    </row>
    <row r="283" spans="1:51">
      <c r="A283" s="244"/>
      <c r="B283" s="244"/>
      <c r="C283" s="286"/>
      <c r="D283" s="287"/>
      <c r="E283" s="244"/>
      <c r="F283" s="280"/>
      <c r="G283" s="282"/>
      <c r="H283" s="244"/>
      <c r="I283" s="244"/>
      <c r="J283" s="244"/>
      <c r="K283" s="244"/>
      <c r="L283" s="244"/>
      <c r="M283" s="244"/>
      <c r="N283" s="244"/>
      <c r="O283" s="244"/>
      <c r="P283" s="244"/>
      <c r="Q283" s="248"/>
      <c r="R283" s="248"/>
      <c r="S283" s="248"/>
      <c r="T283" s="248"/>
      <c r="U283" s="248"/>
      <c r="V283" s="248"/>
      <c r="W283" s="248"/>
      <c r="X283" s="248"/>
      <c r="Y283" s="248"/>
      <c r="Z283" s="248"/>
      <c r="AA283" s="248"/>
      <c r="AB283" s="248"/>
      <c r="AC283" s="248"/>
      <c r="AD283" s="248"/>
      <c r="AE283" s="248"/>
      <c r="AF283" s="248"/>
      <c r="AG283" s="248"/>
      <c r="AH283" s="248"/>
      <c r="AI283" s="248"/>
      <c r="AJ283" s="248"/>
      <c r="AK283" s="248"/>
      <c r="AL283" s="248"/>
      <c r="AM283" s="248"/>
      <c r="AN283" s="248"/>
      <c r="AO283" s="248"/>
      <c r="AP283" s="248"/>
      <c r="AQ283" s="248"/>
      <c r="AR283" s="248"/>
      <c r="AS283" s="248"/>
      <c r="AT283" s="248"/>
      <c r="AU283" s="248"/>
      <c r="AV283" s="248"/>
      <c r="AW283" s="248"/>
      <c r="AX283" s="248"/>
      <c r="AY283" s="248"/>
    </row>
    <row r="284" spans="1:51">
      <c r="A284" s="244"/>
      <c r="B284" s="244"/>
      <c r="C284" s="286"/>
      <c r="D284" s="287"/>
      <c r="E284" s="244"/>
      <c r="F284" s="280"/>
      <c r="G284" s="282"/>
      <c r="H284" s="244"/>
      <c r="I284" s="244"/>
      <c r="J284" s="244"/>
      <c r="K284" s="244"/>
      <c r="L284" s="244"/>
      <c r="M284" s="244"/>
      <c r="N284" s="244"/>
      <c r="O284" s="244"/>
      <c r="P284" s="244"/>
      <c r="Q284" s="248"/>
      <c r="R284" s="248"/>
      <c r="S284" s="248"/>
      <c r="T284" s="248"/>
      <c r="U284" s="248"/>
      <c r="V284" s="248"/>
      <c r="W284" s="248"/>
      <c r="X284" s="248"/>
      <c r="Y284" s="248"/>
      <c r="Z284" s="248"/>
      <c r="AA284" s="248"/>
      <c r="AB284" s="248"/>
      <c r="AC284" s="248"/>
      <c r="AD284" s="248"/>
      <c r="AE284" s="248"/>
      <c r="AF284" s="248"/>
      <c r="AG284" s="248"/>
      <c r="AH284" s="248"/>
      <c r="AI284" s="248"/>
      <c r="AJ284" s="248"/>
      <c r="AK284" s="248"/>
      <c r="AL284" s="248"/>
      <c r="AM284" s="248"/>
      <c r="AN284" s="248"/>
      <c r="AO284" s="248"/>
      <c r="AP284" s="248"/>
      <c r="AQ284" s="248"/>
      <c r="AR284" s="248"/>
      <c r="AS284" s="248"/>
      <c r="AT284" s="248"/>
      <c r="AU284" s="248"/>
      <c r="AV284" s="248"/>
      <c r="AW284" s="248"/>
      <c r="AX284" s="248"/>
      <c r="AY284" s="248"/>
    </row>
    <row r="285" spans="1:51">
      <c r="A285" s="244"/>
      <c r="B285" s="244"/>
      <c r="C285" s="286"/>
      <c r="D285" s="287"/>
      <c r="E285" s="244"/>
      <c r="F285" s="280"/>
      <c r="G285" s="282"/>
      <c r="H285" s="244"/>
      <c r="I285" s="244"/>
      <c r="J285" s="244"/>
      <c r="K285" s="244"/>
      <c r="L285" s="244"/>
      <c r="M285" s="244"/>
      <c r="N285" s="244"/>
      <c r="O285" s="244"/>
      <c r="P285" s="244"/>
      <c r="Q285" s="248"/>
      <c r="R285" s="248"/>
      <c r="S285" s="248"/>
      <c r="T285" s="248"/>
      <c r="U285" s="248"/>
      <c r="V285" s="248"/>
      <c r="W285" s="248"/>
      <c r="X285" s="248"/>
      <c r="Y285" s="248"/>
      <c r="Z285" s="248"/>
      <c r="AA285" s="248"/>
      <c r="AB285" s="248"/>
      <c r="AC285" s="248"/>
      <c r="AD285" s="248"/>
      <c r="AE285" s="248"/>
      <c r="AF285" s="248"/>
      <c r="AG285" s="248"/>
      <c r="AH285" s="248"/>
      <c r="AI285" s="248"/>
      <c r="AJ285" s="248"/>
      <c r="AK285" s="248"/>
      <c r="AL285" s="248"/>
      <c r="AM285" s="248"/>
      <c r="AN285" s="248"/>
      <c r="AO285" s="248"/>
      <c r="AP285" s="248"/>
      <c r="AQ285" s="248"/>
      <c r="AR285" s="248"/>
      <c r="AS285" s="248"/>
      <c r="AT285" s="248"/>
      <c r="AU285" s="248"/>
      <c r="AV285" s="248"/>
      <c r="AW285" s="248"/>
      <c r="AX285" s="248"/>
      <c r="AY285" s="248"/>
    </row>
    <row r="286" spans="1:51">
      <c r="A286" s="244"/>
      <c r="B286" s="244"/>
      <c r="C286" s="286"/>
      <c r="D286" s="287"/>
      <c r="E286" s="244"/>
      <c r="F286" s="280"/>
      <c r="G286" s="282"/>
      <c r="H286" s="244"/>
      <c r="I286" s="244"/>
      <c r="J286" s="244"/>
      <c r="K286" s="244"/>
      <c r="L286" s="244"/>
      <c r="M286" s="244"/>
      <c r="N286" s="244"/>
      <c r="O286" s="244"/>
      <c r="P286" s="244"/>
      <c r="Q286" s="248"/>
      <c r="R286" s="248"/>
      <c r="S286" s="248"/>
      <c r="T286" s="248"/>
      <c r="U286" s="248"/>
      <c r="V286" s="248"/>
      <c r="W286" s="248"/>
      <c r="X286" s="248"/>
      <c r="Y286" s="248"/>
      <c r="Z286" s="248"/>
      <c r="AA286" s="248"/>
      <c r="AB286" s="248"/>
      <c r="AC286" s="248"/>
      <c r="AD286" s="248"/>
      <c r="AE286" s="248"/>
      <c r="AF286" s="248"/>
      <c r="AG286" s="248"/>
      <c r="AH286" s="248"/>
      <c r="AI286" s="248"/>
      <c r="AJ286" s="248"/>
      <c r="AK286" s="248"/>
      <c r="AL286" s="248"/>
      <c r="AM286" s="248"/>
      <c r="AN286" s="248"/>
      <c r="AO286" s="248"/>
      <c r="AP286" s="248"/>
      <c r="AQ286" s="248"/>
      <c r="AR286" s="248"/>
      <c r="AS286" s="248"/>
      <c r="AT286" s="248"/>
      <c r="AU286" s="248"/>
      <c r="AV286" s="248"/>
      <c r="AW286" s="248"/>
      <c r="AX286" s="248"/>
      <c r="AY286" s="248"/>
    </row>
    <row r="287" spans="1:51">
      <c r="A287" s="244"/>
      <c r="B287" s="244"/>
      <c r="C287" s="286"/>
      <c r="D287" s="287"/>
      <c r="E287" s="244"/>
      <c r="F287" s="280"/>
      <c r="G287" s="282"/>
      <c r="H287" s="244"/>
      <c r="I287" s="244"/>
      <c r="J287" s="244"/>
      <c r="K287" s="244"/>
      <c r="L287" s="244"/>
      <c r="M287" s="244"/>
      <c r="N287" s="244"/>
      <c r="O287" s="244"/>
      <c r="P287" s="244"/>
      <c r="Q287" s="248"/>
      <c r="R287" s="248"/>
      <c r="S287" s="248"/>
      <c r="T287" s="248"/>
      <c r="U287" s="248"/>
      <c r="V287" s="248"/>
      <c r="W287" s="248"/>
      <c r="X287" s="248"/>
      <c r="Y287" s="248"/>
      <c r="Z287" s="248"/>
      <c r="AA287" s="248"/>
      <c r="AB287" s="248"/>
      <c r="AC287" s="248"/>
      <c r="AD287" s="248"/>
      <c r="AE287" s="248"/>
      <c r="AF287" s="248"/>
      <c r="AG287" s="248"/>
      <c r="AH287" s="248"/>
      <c r="AI287" s="248"/>
      <c r="AJ287" s="248"/>
      <c r="AK287" s="248"/>
      <c r="AL287" s="248"/>
      <c r="AM287" s="248"/>
      <c r="AN287" s="248"/>
      <c r="AO287" s="248"/>
      <c r="AP287" s="248"/>
      <c r="AQ287" s="248"/>
      <c r="AR287" s="248"/>
      <c r="AS287" s="248"/>
      <c r="AT287" s="248"/>
      <c r="AU287" s="248"/>
      <c r="AV287" s="248"/>
      <c r="AW287" s="248"/>
      <c r="AX287" s="248"/>
      <c r="AY287" s="248"/>
    </row>
    <row r="288" spans="1:51">
      <c r="A288" s="244"/>
      <c r="B288" s="244"/>
      <c r="C288" s="286"/>
      <c r="D288" s="287"/>
      <c r="E288" s="244"/>
      <c r="F288" s="280"/>
      <c r="G288" s="282"/>
      <c r="H288" s="244"/>
      <c r="I288" s="244"/>
      <c r="J288" s="244"/>
      <c r="K288" s="244"/>
      <c r="L288" s="244"/>
      <c r="M288" s="244"/>
      <c r="N288" s="244"/>
      <c r="O288" s="244"/>
      <c r="P288" s="244"/>
      <c r="Q288" s="248"/>
      <c r="R288" s="248"/>
      <c r="S288" s="248"/>
      <c r="T288" s="248"/>
      <c r="U288" s="248"/>
      <c r="V288" s="248"/>
      <c r="W288" s="248"/>
      <c r="X288" s="248"/>
      <c r="Y288" s="248"/>
      <c r="Z288" s="248"/>
      <c r="AA288" s="248"/>
      <c r="AB288" s="248"/>
      <c r="AC288" s="248"/>
      <c r="AD288" s="248"/>
      <c r="AE288" s="248"/>
      <c r="AF288" s="248"/>
      <c r="AG288" s="248"/>
      <c r="AH288" s="248"/>
      <c r="AI288" s="248"/>
      <c r="AJ288" s="248"/>
      <c r="AK288" s="248"/>
      <c r="AL288" s="248"/>
      <c r="AM288" s="248"/>
      <c r="AN288" s="248"/>
      <c r="AO288" s="248"/>
      <c r="AP288" s="248"/>
      <c r="AQ288" s="248"/>
      <c r="AR288" s="248"/>
      <c r="AS288" s="248"/>
      <c r="AT288" s="248"/>
      <c r="AU288" s="248"/>
      <c r="AV288" s="248"/>
      <c r="AW288" s="248"/>
      <c r="AX288" s="248"/>
      <c r="AY288" s="248"/>
    </row>
    <row r="289" spans="1:51">
      <c r="A289" s="244"/>
      <c r="B289" s="244"/>
      <c r="C289" s="286"/>
      <c r="D289" s="287"/>
      <c r="E289" s="244"/>
      <c r="F289" s="280"/>
      <c r="G289" s="282"/>
      <c r="H289" s="244"/>
      <c r="I289" s="244"/>
      <c r="J289" s="244"/>
      <c r="K289" s="244"/>
      <c r="L289" s="244"/>
      <c r="M289" s="244"/>
      <c r="N289" s="244"/>
      <c r="O289" s="244"/>
      <c r="P289" s="244"/>
      <c r="Q289" s="248"/>
      <c r="R289" s="248"/>
      <c r="S289" s="248"/>
      <c r="T289" s="248"/>
      <c r="U289" s="248"/>
      <c r="V289" s="248"/>
      <c r="W289" s="248"/>
      <c r="X289" s="248"/>
      <c r="Y289" s="248"/>
      <c r="Z289" s="248"/>
      <c r="AA289" s="248"/>
      <c r="AB289" s="248"/>
      <c r="AC289" s="248"/>
      <c r="AD289" s="248"/>
      <c r="AE289" s="248"/>
      <c r="AF289" s="248"/>
      <c r="AG289" s="248"/>
      <c r="AH289" s="248"/>
      <c r="AI289" s="248"/>
      <c r="AJ289" s="248"/>
      <c r="AK289" s="248"/>
      <c r="AL289" s="248"/>
      <c r="AM289" s="248"/>
      <c r="AN289" s="248"/>
      <c r="AO289" s="248"/>
      <c r="AP289" s="248"/>
      <c r="AQ289" s="248"/>
      <c r="AR289" s="248"/>
      <c r="AS289" s="248"/>
      <c r="AT289" s="248"/>
      <c r="AU289" s="248"/>
      <c r="AV289" s="248"/>
      <c r="AW289" s="248"/>
      <c r="AX289" s="248"/>
      <c r="AY289" s="248"/>
    </row>
    <row r="290" spans="1:51">
      <c r="A290" s="244"/>
      <c r="B290" s="244"/>
      <c r="C290" s="286"/>
      <c r="D290" s="287"/>
      <c r="E290" s="244"/>
      <c r="F290" s="280"/>
      <c r="G290" s="282"/>
      <c r="H290" s="244"/>
      <c r="I290" s="244"/>
      <c r="J290" s="244"/>
      <c r="K290" s="244"/>
      <c r="L290" s="244"/>
      <c r="M290" s="244"/>
      <c r="N290" s="244"/>
      <c r="O290" s="244"/>
      <c r="P290" s="244"/>
      <c r="Q290" s="248"/>
      <c r="R290" s="248"/>
      <c r="S290" s="248"/>
      <c r="T290" s="248"/>
      <c r="U290" s="248"/>
      <c r="V290" s="248"/>
      <c r="W290" s="248"/>
      <c r="X290" s="248"/>
      <c r="Y290" s="248"/>
      <c r="Z290" s="248"/>
      <c r="AA290" s="248"/>
      <c r="AB290" s="248"/>
      <c r="AC290" s="248"/>
      <c r="AD290" s="248"/>
      <c r="AE290" s="248"/>
      <c r="AF290" s="248"/>
      <c r="AG290" s="248"/>
      <c r="AH290" s="248"/>
      <c r="AI290" s="248"/>
      <c r="AJ290" s="248"/>
      <c r="AK290" s="248"/>
      <c r="AL290" s="248"/>
      <c r="AM290" s="248"/>
      <c r="AN290" s="248"/>
      <c r="AO290" s="248"/>
      <c r="AP290" s="248"/>
      <c r="AQ290" s="248"/>
      <c r="AR290" s="248"/>
      <c r="AS290" s="248"/>
      <c r="AT290" s="248"/>
      <c r="AU290" s="248"/>
      <c r="AV290" s="248"/>
      <c r="AW290" s="248"/>
      <c r="AX290" s="248"/>
      <c r="AY290" s="248"/>
    </row>
    <row r="291" spans="1:51">
      <c r="A291" s="244"/>
      <c r="B291" s="244"/>
      <c r="C291" s="286"/>
      <c r="D291" s="287"/>
      <c r="E291" s="244"/>
      <c r="F291" s="280"/>
      <c r="G291" s="282"/>
      <c r="H291" s="244"/>
      <c r="I291" s="244"/>
      <c r="J291" s="244"/>
      <c r="K291" s="244"/>
      <c r="L291" s="244"/>
      <c r="M291" s="244"/>
      <c r="N291" s="244"/>
      <c r="O291" s="244"/>
      <c r="P291" s="244"/>
      <c r="Q291" s="248"/>
      <c r="R291" s="248"/>
      <c r="S291" s="248"/>
      <c r="T291" s="248"/>
      <c r="U291" s="248"/>
      <c r="V291" s="248"/>
      <c r="W291" s="248"/>
      <c r="X291" s="248"/>
      <c r="Y291" s="248"/>
      <c r="Z291" s="248"/>
      <c r="AA291" s="248"/>
      <c r="AB291" s="248"/>
      <c r="AC291" s="248"/>
      <c r="AD291" s="248"/>
      <c r="AE291" s="248"/>
      <c r="AF291" s="248"/>
      <c r="AG291" s="248"/>
      <c r="AH291" s="248"/>
      <c r="AI291" s="248"/>
      <c r="AJ291" s="248"/>
      <c r="AK291" s="248"/>
      <c r="AL291" s="248"/>
      <c r="AM291" s="248"/>
      <c r="AN291" s="248"/>
      <c r="AO291" s="248"/>
      <c r="AP291" s="248"/>
      <c r="AQ291" s="248"/>
      <c r="AR291" s="248"/>
      <c r="AS291" s="248"/>
      <c r="AT291" s="248"/>
      <c r="AU291" s="248"/>
      <c r="AV291" s="248"/>
      <c r="AW291" s="248"/>
      <c r="AX291" s="248"/>
      <c r="AY291" s="248"/>
    </row>
    <row r="292" spans="1:51">
      <c r="A292" s="244"/>
      <c r="B292" s="244"/>
      <c r="C292" s="286"/>
      <c r="D292" s="287"/>
      <c r="E292" s="244"/>
      <c r="F292" s="280"/>
      <c r="G292" s="282"/>
      <c r="H292" s="244"/>
      <c r="I292" s="244"/>
      <c r="J292" s="244"/>
      <c r="K292" s="244"/>
      <c r="L292" s="244"/>
      <c r="M292" s="244"/>
      <c r="N292" s="244"/>
      <c r="O292" s="244"/>
      <c r="P292" s="244"/>
      <c r="Q292" s="248"/>
      <c r="R292" s="248"/>
      <c r="S292" s="248"/>
      <c r="T292" s="248"/>
      <c r="U292" s="248"/>
      <c r="V292" s="248"/>
      <c r="W292" s="248"/>
      <c r="X292" s="248"/>
      <c r="Y292" s="248"/>
      <c r="Z292" s="248"/>
      <c r="AA292" s="248"/>
      <c r="AB292" s="248"/>
      <c r="AC292" s="248"/>
      <c r="AD292" s="248"/>
      <c r="AE292" s="248"/>
      <c r="AF292" s="248"/>
      <c r="AG292" s="248"/>
      <c r="AH292" s="248"/>
      <c r="AI292" s="248"/>
      <c r="AJ292" s="248"/>
      <c r="AK292" s="248"/>
      <c r="AL292" s="248"/>
      <c r="AM292" s="248"/>
      <c r="AN292" s="248"/>
      <c r="AO292" s="248"/>
      <c r="AP292" s="248"/>
      <c r="AQ292" s="248"/>
      <c r="AR292" s="248"/>
      <c r="AS292" s="248"/>
      <c r="AT292" s="248"/>
      <c r="AU292" s="248"/>
      <c r="AV292" s="248"/>
      <c r="AW292" s="248"/>
      <c r="AX292" s="248"/>
      <c r="AY292" s="248"/>
    </row>
    <row r="293" spans="1:51">
      <c r="A293" s="244"/>
      <c r="B293" s="244"/>
      <c r="C293" s="286"/>
      <c r="D293" s="287"/>
      <c r="E293" s="244"/>
      <c r="F293" s="280"/>
      <c r="G293" s="282"/>
      <c r="H293" s="244"/>
      <c r="I293" s="244"/>
      <c r="J293" s="244"/>
      <c r="K293" s="244"/>
      <c r="L293" s="244"/>
      <c r="M293" s="244"/>
      <c r="N293" s="244"/>
      <c r="O293" s="244"/>
      <c r="P293" s="244"/>
      <c r="Q293" s="248"/>
      <c r="R293" s="248"/>
      <c r="S293" s="248"/>
      <c r="T293" s="248"/>
      <c r="U293" s="248"/>
      <c r="V293" s="248"/>
      <c r="W293" s="248"/>
      <c r="X293" s="248"/>
      <c r="Y293" s="248"/>
      <c r="Z293" s="248"/>
      <c r="AA293" s="248"/>
      <c r="AB293" s="248"/>
      <c r="AC293" s="248"/>
      <c r="AD293" s="248"/>
      <c r="AE293" s="248"/>
      <c r="AF293" s="248"/>
      <c r="AG293" s="248"/>
      <c r="AH293" s="248"/>
      <c r="AI293" s="248"/>
      <c r="AJ293" s="248"/>
      <c r="AK293" s="248"/>
      <c r="AL293" s="248"/>
      <c r="AM293" s="248"/>
      <c r="AN293" s="248"/>
      <c r="AO293" s="248"/>
      <c r="AP293" s="248"/>
      <c r="AQ293" s="248"/>
      <c r="AR293" s="248"/>
      <c r="AS293" s="248"/>
      <c r="AT293" s="248"/>
      <c r="AU293" s="248"/>
      <c r="AV293" s="248"/>
      <c r="AW293" s="248"/>
      <c r="AX293" s="248"/>
      <c r="AY293" s="248"/>
    </row>
    <row r="294" spans="1:51">
      <c r="A294" s="244"/>
      <c r="B294" s="244"/>
      <c r="C294" s="286"/>
      <c r="D294" s="287"/>
      <c r="E294" s="244"/>
      <c r="F294" s="280"/>
      <c r="G294" s="282"/>
      <c r="H294" s="244"/>
      <c r="I294" s="244"/>
      <c r="J294" s="244"/>
      <c r="K294" s="244"/>
      <c r="L294" s="244"/>
      <c r="M294" s="244"/>
      <c r="N294" s="244"/>
      <c r="O294" s="244"/>
      <c r="P294" s="244"/>
      <c r="Q294" s="248"/>
      <c r="R294" s="248"/>
      <c r="S294" s="248"/>
      <c r="T294" s="248"/>
      <c r="U294" s="248"/>
      <c r="V294" s="248"/>
      <c r="W294" s="248"/>
      <c r="X294" s="248"/>
      <c r="Y294" s="248"/>
      <c r="Z294" s="248"/>
      <c r="AA294" s="248"/>
      <c r="AB294" s="248"/>
      <c r="AC294" s="248"/>
      <c r="AD294" s="248"/>
      <c r="AE294" s="248"/>
      <c r="AF294" s="248"/>
      <c r="AG294" s="248"/>
      <c r="AH294" s="248"/>
      <c r="AI294" s="248"/>
      <c r="AJ294" s="248"/>
      <c r="AK294" s="248"/>
      <c r="AL294" s="248"/>
      <c r="AM294" s="248"/>
      <c r="AN294" s="248"/>
      <c r="AO294" s="248"/>
      <c r="AP294" s="248"/>
      <c r="AQ294" s="248"/>
      <c r="AR294" s="248"/>
      <c r="AS294" s="248"/>
      <c r="AT294" s="248"/>
      <c r="AU294" s="248"/>
      <c r="AV294" s="248"/>
      <c r="AW294" s="248"/>
      <c r="AX294" s="248"/>
      <c r="AY294" s="248"/>
    </row>
    <row r="295" spans="1:51">
      <c r="A295" s="244"/>
      <c r="B295" s="244"/>
      <c r="C295" s="286"/>
      <c r="D295" s="287"/>
      <c r="E295" s="244"/>
      <c r="F295" s="280"/>
      <c r="G295" s="282"/>
      <c r="H295" s="244"/>
      <c r="I295" s="244"/>
      <c r="J295" s="244"/>
      <c r="K295" s="244"/>
      <c r="L295" s="244"/>
      <c r="M295" s="244"/>
      <c r="N295" s="244"/>
      <c r="O295" s="244"/>
      <c r="P295" s="244"/>
      <c r="Q295" s="248"/>
      <c r="R295" s="248"/>
      <c r="S295" s="248"/>
      <c r="T295" s="248"/>
      <c r="U295" s="248"/>
      <c r="V295" s="248"/>
      <c r="W295" s="248"/>
      <c r="X295" s="248"/>
      <c r="Y295" s="248"/>
      <c r="Z295" s="248"/>
      <c r="AA295" s="248"/>
      <c r="AB295" s="248"/>
      <c r="AC295" s="248"/>
      <c r="AD295" s="248"/>
      <c r="AE295" s="248"/>
      <c r="AF295" s="248"/>
      <c r="AG295" s="248"/>
      <c r="AH295" s="248"/>
      <c r="AI295" s="248"/>
      <c r="AJ295" s="248"/>
      <c r="AK295" s="248"/>
      <c r="AL295" s="248"/>
      <c r="AM295" s="248"/>
      <c r="AN295" s="248"/>
      <c r="AO295" s="248"/>
      <c r="AP295" s="248"/>
      <c r="AQ295" s="248"/>
      <c r="AR295" s="248"/>
      <c r="AS295" s="248"/>
      <c r="AT295" s="248"/>
      <c r="AU295" s="248"/>
      <c r="AV295" s="248"/>
      <c r="AW295" s="248"/>
      <c r="AX295" s="248"/>
      <c r="AY295" s="248"/>
    </row>
    <row r="296" spans="1:51">
      <c r="A296" s="244"/>
      <c r="B296" s="244"/>
      <c r="C296" s="286"/>
      <c r="D296" s="287"/>
      <c r="E296" s="244"/>
      <c r="F296" s="280"/>
      <c r="G296" s="282"/>
      <c r="H296" s="244"/>
      <c r="I296" s="244"/>
      <c r="J296" s="244"/>
      <c r="K296" s="244"/>
      <c r="L296" s="244"/>
      <c r="M296" s="244"/>
      <c r="N296" s="244"/>
      <c r="O296" s="244"/>
      <c r="P296" s="244"/>
      <c r="Q296" s="248"/>
      <c r="R296" s="248"/>
      <c r="S296" s="248"/>
      <c r="T296" s="248"/>
      <c r="U296" s="248"/>
      <c r="V296" s="248"/>
      <c r="W296" s="248"/>
      <c r="X296" s="248"/>
      <c r="Y296" s="248"/>
      <c r="Z296" s="248"/>
      <c r="AA296" s="248"/>
      <c r="AB296" s="248"/>
      <c r="AC296" s="248"/>
      <c r="AD296" s="248"/>
      <c r="AE296" s="248"/>
      <c r="AF296" s="248"/>
      <c r="AG296" s="248"/>
      <c r="AH296" s="248"/>
      <c r="AI296" s="248"/>
      <c r="AJ296" s="248"/>
      <c r="AK296" s="248"/>
      <c r="AL296" s="248"/>
      <c r="AM296" s="248"/>
      <c r="AN296" s="248"/>
      <c r="AO296" s="248"/>
      <c r="AP296" s="248"/>
      <c r="AQ296" s="248"/>
      <c r="AR296" s="248"/>
      <c r="AS296" s="248"/>
      <c r="AT296" s="248"/>
      <c r="AU296" s="248"/>
      <c r="AV296" s="248"/>
      <c r="AW296" s="248"/>
      <c r="AX296" s="248"/>
      <c r="AY296" s="248"/>
    </row>
    <row r="297" spans="1:51">
      <c r="A297" s="244"/>
      <c r="B297" s="244"/>
      <c r="C297" s="286"/>
      <c r="D297" s="287"/>
      <c r="E297" s="244"/>
      <c r="F297" s="280"/>
      <c r="G297" s="282"/>
      <c r="H297" s="244"/>
      <c r="I297" s="244"/>
      <c r="J297" s="244"/>
      <c r="K297" s="244"/>
      <c r="L297" s="244"/>
      <c r="M297" s="244"/>
      <c r="N297" s="244"/>
      <c r="O297" s="244"/>
      <c r="P297" s="244"/>
      <c r="Q297" s="248"/>
      <c r="R297" s="248"/>
      <c r="S297" s="248"/>
      <c r="T297" s="248"/>
      <c r="U297" s="248"/>
      <c r="V297" s="248"/>
      <c r="W297" s="248"/>
      <c r="X297" s="248"/>
      <c r="Y297" s="248"/>
      <c r="Z297" s="248"/>
      <c r="AA297" s="248"/>
      <c r="AB297" s="248"/>
      <c r="AC297" s="248"/>
      <c r="AD297" s="248"/>
      <c r="AE297" s="248"/>
      <c r="AF297" s="248"/>
      <c r="AG297" s="248"/>
      <c r="AH297" s="248"/>
      <c r="AI297" s="248"/>
      <c r="AJ297" s="248"/>
      <c r="AK297" s="248"/>
      <c r="AL297" s="248"/>
      <c r="AM297" s="248"/>
      <c r="AN297" s="248"/>
      <c r="AO297" s="248"/>
      <c r="AP297" s="248"/>
      <c r="AQ297" s="248"/>
      <c r="AR297" s="248"/>
      <c r="AS297" s="248"/>
      <c r="AT297" s="248"/>
      <c r="AU297" s="248"/>
      <c r="AV297" s="248"/>
      <c r="AW297" s="248"/>
      <c r="AX297" s="248"/>
      <c r="AY297" s="248"/>
    </row>
    <row r="298" spans="1:51">
      <c r="A298" s="244"/>
      <c r="B298" s="244"/>
      <c r="C298" s="286"/>
      <c r="D298" s="287"/>
      <c r="E298" s="244"/>
      <c r="F298" s="280"/>
      <c r="G298" s="282"/>
      <c r="H298" s="244"/>
      <c r="I298" s="244"/>
      <c r="J298" s="244"/>
      <c r="K298" s="244"/>
      <c r="L298" s="244"/>
      <c r="M298" s="244"/>
      <c r="N298" s="244"/>
      <c r="O298" s="244"/>
      <c r="P298" s="244"/>
      <c r="Q298" s="248"/>
      <c r="R298" s="248"/>
      <c r="S298" s="248"/>
      <c r="T298" s="248"/>
      <c r="U298" s="248"/>
      <c r="V298" s="248"/>
      <c r="W298" s="248"/>
      <c r="X298" s="248"/>
      <c r="Y298" s="248"/>
      <c r="Z298" s="248"/>
      <c r="AA298" s="248"/>
      <c r="AB298" s="248"/>
      <c r="AC298" s="248"/>
      <c r="AD298" s="248"/>
      <c r="AE298" s="248"/>
      <c r="AF298" s="248"/>
      <c r="AG298" s="248"/>
      <c r="AH298" s="248"/>
      <c r="AI298" s="248"/>
      <c r="AJ298" s="248"/>
      <c r="AK298" s="248"/>
      <c r="AL298" s="248"/>
      <c r="AM298" s="248"/>
      <c r="AN298" s="248"/>
      <c r="AO298" s="248"/>
      <c r="AP298" s="248"/>
      <c r="AQ298" s="248"/>
      <c r="AR298" s="248"/>
      <c r="AS298" s="248"/>
      <c r="AT298" s="248"/>
      <c r="AU298" s="248"/>
      <c r="AV298" s="248"/>
      <c r="AW298" s="248"/>
      <c r="AX298" s="248"/>
      <c r="AY298" s="248"/>
    </row>
    <row r="299" spans="1:51">
      <c r="A299" s="244"/>
      <c r="B299" s="244"/>
      <c r="C299" s="286"/>
      <c r="D299" s="287"/>
      <c r="E299" s="244"/>
      <c r="F299" s="280"/>
      <c r="G299" s="282"/>
      <c r="H299" s="244"/>
      <c r="I299" s="244"/>
      <c r="J299" s="244"/>
      <c r="K299" s="244"/>
      <c r="L299" s="244"/>
      <c r="M299" s="244"/>
      <c r="N299" s="244"/>
      <c r="O299" s="244"/>
      <c r="P299" s="244"/>
      <c r="Q299" s="248"/>
      <c r="R299" s="248"/>
      <c r="S299" s="248"/>
      <c r="T299" s="248"/>
      <c r="U299" s="248"/>
      <c r="V299" s="248"/>
      <c r="W299" s="248"/>
      <c r="X299" s="248"/>
      <c r="Y299" s="248"/>
      <c r="Z299" s="248"/>
      <c r="AA299" s="248"/>
      <c r="AB299" s="248"/>
      <c r="AC299" s="248"/>
      <c r="AD299" s="248"/>
      <c r="AE299" s="248"/>
      <c r="AF299" s="248"/>
      <c r="AG299" s="248"/>
      <c r="AH299" s="248"/>
      <c r="AI299" s="248"/>
      <c r="AJ299" s="248"/>
      <c r="AK299" s="248"/>
      <c r="AL299" s="248"/>
      <c r="AM299" s="248"/>
      <c r="AN299" s="248"/>
      <c r="AO299" s="248"/>
      <c r="AP299" s="248"/>
      <c r="AQ299" s="248"/>
      <c r="AR299" s="248"/>
      <c r="AS299" s="248"/>
      <c r="AT299" s="248"/>
      <c r="AU299" s="248"/>
      <c r="AV299" s="248"/>
      <c r="AW299" s="248"/>
      <c r="AX299" s="248"/>
      <c r="AY299" s="248"/>
    </row>
    <row r="300" spans="1:51">
      <c r="A300" s="244"/>
      <c r="B300" s="244"/>
      <c r="C300" s="286"/>
      <c r="D300" s="287"/>
      <c r="E300" s="244"/>
      <c r="F300" s="280"/>
      <c r="G300" s="282"/>
      <c r="H300" s="244"/>
      <c r="I300" s="244"/>
      <c r="J300" s="244"/>
      <c r="K300" s="244"/>
      <c r="L300" s="244"/>
      <c r="M300" s="244"/>
      <c r="N300" s="244"/>
      <c r="O300" s="244"/>
      <c r="P300" s="244"/>
      <c r="Q300" s="248"/>
      <c r="R300" s="248"/>
      <c r="S300" s="248"/>
      <c r="T300" s="248"/>
      <c r="U300" s="248"/>
      <c r="V300" s="248"/>
      <c r="W300" s="248"/>
      <c r="X300" s="248"/>
      <c r="Y300" s="248"/>
      <c r="Z300" s="248"/>
      <c r="AA300" s="248"/>
      <c r="AB300" s="248"/>
      <c r="AC300" s="248"/>
      <c r="AD300" s="248"/>
      <c r="AE300" s="248"/>
      <c r="AF300" s="248"/>
      <c r="AG300" s="248"/>
      <c r="AH300" s="248"/>
      <c r="AI300" s="248"/>
      <c r="AJ300" s="248"/>
      <c r="AK300" s="248"/>
      <c r="AL300" s="248"/>
      <c r="AM300" s="248"/>
      <c r="AN300" s="248"/>
      <c r="AO300" s="248"/>
      <c r="AP300" s="248"/>
      <c r="AQ300" s="248"/>
      <c r="AR300" s="248"/>
      <c r="AS300" s="248"/>
      <c r="AT300" s="248"/>
      <c r="AU300" s="248"/>
      <c r="AV300" s="248"/>
      <c r="AW300" s="248"/>
      <c r="AX300" s="248"/>
      <c r="AY300" s="248"/>
    </row>
    <row r="301" spans="1:51">
      <c r="A301" s="244"/>
      <c r="B301" s="244"/>
      <c r="C301" s="286"/>
      <c r="D301" s="287"/>
      <c r="E301" s="244"/>
      <c r="F301" s="280"/>
      <c r="G301" s="282"/>
      <c r="H301" s="244"/>
      <c r="I301" s="244"/>
      <c r="J301" s="244"/>
      <c r="K301" s="244"/>
      <c r="L301" s="244"/>
      <c r="M301" s="244"/>
      <c r="N301" s="244"/>
      <c r="O301" s="244"/>
      <c r="P301" s="244"/>
      <c r="Q301" s="248"/>
      <c r="R301" s="248"/>
      <c r="S301" s="248"/>
      <c r="T301" s="248"/>
      <c r="U301" s="248"/>
      <c r="V301" s="248"/>
      <c r="W301" s="248"/>
      <c r="X301" s="248"/>
      <c r="Y301" s="248"/>
      <c r="Z301" s="248"/>
      <c r="AA301" s="248"/>
      <c r="AB301" s="248"/>
      <c r="AC301" s="248"/>
      <c r="AD301" s="248"/>
      <c r="AE301" s="248"/>
      <c r="AF301" s="248"/>
      <c r="AG301" s="248"/>
      <c r="AH301" s="248"/>
      <c r="AI301" s="248"/>
      <c r="AJ301" s="248"/>
      <c r="AK301" s="248"/>
      <c r="AL301" s="248"/>
      <c r="AM301" s="248"/>
      <c r="AN301" s="248"/>
      <c r="AO301" s="248"/>
      <c r="AP301" s="248"/>
      <c r="AQ301" s="248"/>
      <c r="AR301" s="248"/>
      <c r="AS301" s="248"/>
      <c r="AT301" s="248"/>
      <c r="AU301" s="248"/>
      <c r="AV301" s="248"/>
      <c r="AW301" s="248"/>
      <c r="AX301" s="248"/>
      <c r="AY301" s="248"/>
    </row>
    <row r="302" spans="1:51">
      <c r="A302" s="244"/>
      <c r="B302" s="244"/>
      <c r="C302" s="286"/>
      <c r="D302" s="287"/>
      <c r="E302" s="244"/>
      <c r="F302" s="280"/>
      <c r="G302" s="282"/>
      <c r="H302" s="244"/>
      <c r="I302" s="244"/>
      <c r="J302" s="244"/>
      <c r="K302" s="244"/>
      <c r="L302" s="244"/>
      <c r="M302" s="244"/>
      <c r="N302" s="244"/>
      <c r="O302" s="244"/>
      <c r="P302" s="244"/>
      <c r="Q302" s="248"/>
      <c r="R302" s="248"/>
      <c r="S302" s="248"/>
      <c r="T302" s="248"/>
      <c r="U302" s="248"/>
      <c r="V302" s="248"/>
      <c r="W302" s="248"/>
      <c r="X302" s="248"/>
      <c r="Y302" s="248"/>
      <c r="Z302" s="248"/>
      <c r="AA302" s="248"/>
      <c r="AB302" s="248"/>
      <c r="AC302" s="248"/>
      <c r="AD302" s="248"/>
      <c r="AE302" s="248"/>
      <c r="AF302" s="248"/>
      <c r="AG302" s="248"/>
      <c r="AH302" s="248"/>
      <c r="AI302" s="248"/>
      <c r="AJ302" s="248"/>
      <c r="AK302" s="248"/>
      <c r="AL302" s="248"/>
      <c r="AM302" s="248"/>
      <c r="AN302" s="248"/>
      <c r="AO302" s="248"/>
      <c r="AP302" s="248"/>
      <c r="AQ302" s="248"/>
      <c r="AR302" s="248"/>
      <c r="AS302" s="248"/>
      <c r="AT302" s="248"/>
      <c r="AU302" s="248"/>
      <c r="AV302" s="248"/>
      <c r="AW302" s="248"/>
      <c r="AX302" s="248"/>
      <c r="AY302" s="248"/>
    </row>
    <row r="303" spans="1:51">
      <c r="A303" s="244"/>
      <c r="B303" s="244"/>
      <c r="C303" s="286"/>
      <c r="D303" s="287"/>
      <c r="E303" s="244"/>
      <c r="F303" s="280"/>
      <c r="G303" s="282"/>
      <c r="H303" s="244"/>
      <c r="I303" s="244"/>
      <c r="J303" s="244"/>
      <c r="K303" s="244"/>
      <c r="L303" s="244"/>
      <c r="M303" s="244"/>
      <c r="N303" s="244"/>
      <c r="O303" s="244"/>
      <c r="P303" s="244"/>
      <c r="Q303" s="248"/>
      <c r="R303" s="248"/>
      <c r="S303" s="248"/>
      <c r="T303" s="248"/>
      <c r="U303" s="248"/>
      <c r="V303" s="248"/>
      <c r="W303" s="248"/>
      <c r="X303" s="248"/>
      <c r="Y303" s="248"/>
      <c r="Z303" s="248"/>
      <c r="AA303" s="248"/>
      <c r="AB303" s="248"/>
      <c r="AC303" s="248"/>
      <c r="AD303" s="248"/>
      <c r="AE303" s="248"/>
      <c r="AF303" s="248"/>
      <c r="AG303" s="248"/>
      <c r="AH303" s="248"/>
      <c r="AI303" s="248"/>
      <c r="AJ303" s="248"/>
      <c r="AK303" s="248"/>
      <c r="AL303" s="248"/>
      <c r="AM303" s="248"/>
      <c r="AN303" s="248"/>
      <c r="AO303" s="248"/>
      <c r="AP303" s="248"/>
      <c r="AQ303" s="248"/>
      <c r="AR303" s="248"/>
      <c r="AS303" s="248"/>
      <c r="AT303" s="248"/>
      <c r="AU303" s="248"/>
      <c r="AV303" s="248"/>
      <c r="AW303" s="248"/>
      <c r="AX303" s="248"/>
      <c r="AY303" s="248"/>
    </row>
    <row r="304" spans="1:51">
      <c r="A304" s="244"/>
      <c r="B304" s="244"/>
      <c r="C304" s="286"/>
      <c r="D304" s="287"/>
      <c r="E304" s="244"/>
      <c r="F304" s="280"/>
      <c r="G304" s="282"/>
      <c r="H304" s="244"/>
      <c r="I304" s="244"/>
      <c r="J304" s="244"/>
      <c r="K304" s="244"/>
      <c r="L304" s="244"/>
      <c r="M304" s="244"/>
      <c r="N304" s="244"/>
      <c r="O304" s="244"/>
      <c r="P304" s="244"/>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row>
    <row r="305" spans="1:51">
      <c r="A305" s="244"/>
      <c r="B305" s="244"/>
      <c r="C305" s="286"/>
      <c r="D305" s="287"/>
      <c r="E305" s="244"/>
      <c r="F305" s="280"/>
      <c r="G305" s="282"/>
      <c r="H305" s="244"/>
      <c r="I305" s="244"/>
      <c r="J305" s="244"/>
      <c r="K305" s="244"/>
      <c r="L305" s="244"/>
      <c r="M305" s="244"/>
      <c r="N305" s="244"/>
      <c r="O305" s="244"/>
      <c r="P305" s="244"/>
      <c r="Q305" s="248"/>
      <c r="R305" s="248"/>
      <c r="S305" s="248"/>
      <c r="T305" s="248"/>
      <c r="U305" s="248"/>
      <c r="V305" s="248"/>
      <c r="W305" s="248"/>
      <c r="X305" s="248"/>
      <c r="Y305" s="248"/>
      <c r="Z305" s="248"/>
      <c r="AA305" s="248"/>
      <c r="AB305" s="248"/>
      <c r="AC305" s="248"/>
      <c r="AD305" s="248"/>
      <c r="AE305" s="248"/>
      <c r="AF305" s="248"/>
      <c r="AG305" s="248"/>
      <c r="AH305" s="248"/>
      <c r="AI305" s="248"/>
      <c r="AJ305" s="248"/>
      <c r="AK305" s="248"/>
      <c r="AL305" s="248"/>
      <c r="AM305" s="248"/>
      <c r="AN305" s="248"/>
      <c r="AO305" s="248"/>
      <c r="AP305" s="248"/>
      <c r="AQ305" s="248"/>
      <c r="AR305" s="248"/>
      <c r="AS305" s="248"/>
      <c r="AT305" s="248"/>
      <c r="AU305" s="248"/>
      <c r="AV305" s="248"/>
      <c r="AW305" s="248"/>
      <c r="AX305" s="248"/>
      <c r="AY305" s="248"/>
    </row>
    <row r="306" spans="1:51">
      <c r="A306" s="244"/>
      <c r="B306" s="244"/>
      <c r="C306" s="286"/>
      <c r="D306" s="287"/>
      <c r="E306" s="244"/>
      <c r="F306" s="280"/>
      <c r="G306" s="282"/>
      <c r="H306" s="244"/>
      <c r="I306" s="244"/>
      <c r="J306" s="244"/>
      <c r="K306" s="244"/>
      <c r="L306" s="244"/>
      <c r="M306" s="244"/>
      <c r="N306" s="244"/>
      <c r="O306" s="244"/>
      <c r="P306" s="244"/>
      <c r="Q306" s="248"/>
      <c r="R306" s="248"/>
      <c r="S306" s="248"/>
      <c r="T306" s="248"/>
      <c r="U306" s="248"/>
      <c r="V306" s="248"/>
      <c r="W306" s="248"/>
      <c r="X306" s="248"/>
      <c r="Y306" s="248"/>
      <c r="Z306" s="248"/>
      <c r="AA306" s="248"/>
      <c r="AB306" s="248"/>
      <c r="AC306" s="248"/>
      <c r="AD306" s="248"/>
      <c r="AE306" s="248"/>
      <c r="AF306" s="248"/>
      <c r="AG306" s="248"/>
      <c r="AH306" s="248"/>
      <c r="AI306" s="248"/>
      <c r="AJ306" s="248"/>
      <c r="AK306" s="248"/>
      <c r="AL306" s="248"/>
      <c r="AM306" s="248"/>
      <c r="AN306" s="248"/>
      <c r="AO306" s="248"/>
      <c r="AP306" s="248"/>
      <c r="AQ306" s="248"/>
      <c r="AR306" s="248"/>
      <c r="AS306" s="248"/>
      <c r="AT306" s="248"/>
      <c r="AU306" s="248"/>
      <c r="AV306" s="248"/>
      <c r="AW306" s="248"/>
      <c r="AX306" s="248"/>
      <c r="AY306" s="248"/>
    </row>
    <row r="307" spans="1:51">
      <c r="A307" s="244"/>
      <c r="B307" s="244"/>
      <c r="C307" s="286"/>
      <c r="D307" s="287"/>
      <c r="E307" s="244"/>
      <c r="F307" s="280"/>
      <c r="G307" s="282"/>
      <c r="H307" s="244"/>
      <c r="I307" s="244"/>
      <c r="J307" s="244"/>
      <c r="K307" s="244"/>
      <c r="L307" s="244"/>
      <c r="M307" s="244"/>
      <c r="N307" s="244"/>
      <c r="O307" s="244"/>
      <c r="P307" s="244"/>
      <c r="Q307" s="248"/>
      <c r="R307" s="248"/>
      <c r="S307" s="248"/>
      <c r="T307" s="248"/>
      <c r="U307" s="248"/>
      <c r="V307" s="248"/>
      <c r="W307" s="248"/>
      <c r="X307" s="248"/>
      <c r="Y307" s="248"/>
      <c r="Z307" s="248"/>
      <c r="AA307" s="248"/>
      <c r="AB307" s="248"/>
      <c r="AC307" s="248"/>
      <c r="AD307" s="248"/>
      <c r="AE307" s="248"/>
      <c r="AF307" s="248"/>
      <c r="AG307" s="248"/>
      <c r="AH307" s="248"/>
      <c r="AI307" s="248"/>
      <c r="AJ307" s="248"/>
      <c r="AK307" s="248"/>
      <c r="AL307" s="248"/>
      <c r="AM307" s="248"/>
      <c r="AN307" s="248"/>
      <c r="AO307" s="248"/>
      <c r="AP307" s="248"/>
      <c r="AQ307" s="248"/>
      <c r="AR307" s="248"/>
      <c r="AS307" s="248"/>
      <c r="AT307" s="248"/>
      <c r="AU307" s="248"/>
      <c r="AV307" s="248"/>
      <c r="AW307" s="248"/>
      <c r="AX307" s="248"/>
      <c r="AY307" s="248"/>
    </row>
    <row r="308" spans="1:51">
      <c r="A308" s="244"/>
      <c r="B308" s="244"/>
      <c r="C308" s="286"/>
      <c r="D308" s="287"/>
      <c r="E308" s="244"/>
      <c r="F308" s="280"/>
      <c r="G308" s="282"/>
      <c r="H308" s="244"/>
      <c r="I308" s="244"/>
      <c r="J308" s="244"/>
      <c r="K308" s="244"/>
      <c r="L308" s="244"/>
      <c r="M308" s="244"/>
      <c r="N308" s="244"/>
      <c r="O308" s="244"/>
      <c r="P308" s="244"/>
      <c r="Q308" s="248"/>
      <c r="R308" s="248"/>
      <c r="S308" s="248"/>
      <c r="T308" s="248"/>
      <c r="U308" s="248"/>
      <c r="V308" s="248"/>
      <c r="W308" s="248"/>
      <c r="X308" s="248"/>
      <c r="Y308" s="248"/>
      <c r="Z308" s="248"/>
      <c r="AA308" s="248"/>
      <c r="AB308" s="248"/>
      <c r="AC308" s="248"/>
      <c r="AD308" s="248"/>
      <c r="AE308" s="248"/>
      <c r="AF308" s="248"/>
      <c r="AG308" s="248"/>
      <c r="AH308" s="248"/>
      <c r="AI308" s="248"/>
      <c r="AJ308" s="248"/>
      <c r="AK308" s="248"/>
      <c r="AL308" s="248"/>
      <c r="AM308" s="248"/>
      <c r="AN308" s="248"/>
      <c r="AO308" s="248"/>
      <c r="AP308" s="248"/>
      <c r="AQ308" s="248"/>
      <c r="AR308" s="248"/>
      <c r="AS308" s="248"/>
      <c r="AT308" s="248"/>
      <c r="AU308" s="248"/>
      <c r="AV308" s="248"/>
      <c r="AW308" s="248"/>
      <c r="AX308" s="248"/>
      <c r="AY308" s="248"/>
    </row>
    <row r="309" spans="1:51">
      <c r="A309" s="244"/>
      <c r="B309" s="244"/>
      <c r="C309" s="286"/>
      <c r="D309" s="287"/>
      <c r="E309" s="244"/>
      <c r="F309" s="280"/>
      <c r="G309" s="282"/>
      <c r="H309" s="244"/>
      <c r="I309" s="244"/>
      <c r="J309" s="244"/>
      <c r="K309" s="244"/>
      <c r="L309" s="244"/>
      <c r="M309" s="244"/>
      <c r="N309" s="244"/>
      <c r="O309" s="244"/>
      <c r="P309" s="244"/>
      <c r="Q309" s="248"/>
      <c r="R309" s="248"/>
      <c r="S309" s="248"/>
      <c r="T309" s="248"/>
      <c r="U309" s="248"/>
      <c r="V309" s="248"/>
      <c r="W309" s="248"/>
      <c r="X309" s="248"/>
      <c r="Y309" s="248"/>
      <c r="Z309" s="248"/>
      <c r="AA309" s="248"/>
      <c r="AB309" s="248"/>
      <c r="AC309" s="248"/>
      <c r="AD309" s="248"/>
      <c r="AE309" s="248"/>
      <c r="AF309" s="248"/>
      <c r="AG309" s="248"/>
      <c r="AH309" s="248"/>
      <c r="AI309" s="248"/>
      <c r="AJ309" s="248"/>
      <c r="AK309" s="248"/>
      <c r="AL309" s="248"/>
      <c r="AM309" s="248"/>
      <c r="AN309" s="248"/>
      <c r="AO309" s="248"/>
      <c r="AP309" s="248"/>
      <c r="AQ309" s="248"/>
      <c r="AR309" s="248"/>
      <c r="AS309" s="248"/>
      <c r="AT309" s="248"/>
      <c r="AU309" s="248"/>
      <c r="AV309" s="248"/>
      <c r="AW309" s="248"/>
      <c r="AX309" s="248"/>
      <c r="AY309" s="248"/>
    </row>
    <row r="310" spans="1:51">
      <c r="A310" s="244"/>
      <c r="B310" s="244"/>
      <c r="C310" s="286"/>
      <c r="D310" s="287"/>
      <c r="E310" s="244"/>
      <c r="F310" s="280"/>
      <c r="G310" s="282"/>
      <c r="H310" s="244"/>
      <c r="I310" s="244"/>
      <c r="J310" s="244"/>
      <c r="K310" s="244"/>
      <c r="L310" s="244"/>
      <c r="M310" s="244"/>
      <c r="N310" s="244"/>
      <c r="O310" s="244"/>
      <c r="P310" s="244"/>
      <c r="Q310" s="248"/>
      <c r="R310" s="248"/>
      <c r="S310" s="248"/>
      <c r="T310" s="248"/>
      <c r="U310" s="248"/>
      <c r="V310" s="248"/>
      <c r="W310" s="248"/>
      <c r="X310" s="248"/>
      <c r="Y310" s="248"/>
      <c r="Z310" s="248"/>
      <c r="AA310" s="248"/>
      <c r="AB310" s="248"/>
      <c r="AC310" s="248"/>
      <c r="AD310" s="248"/>
      <c r="AE310" s="248"/>
      <c r="AF310" s="248"/>
      <c r="AG310" s="248"/>
      <c r="AH310" s="248"/>
      <c r="AI310" s="248"/>
      <c r="AJ310" s="248"/>
      <c r="AK310" s="248"/>
      <c r="AL310" s="248"/>
      <c r="AM310" s="248"/>
      <c r="AN310" s="248"/>
      <c r="AO310" s="248"/>
      <c r="AP310" s="248"/>
      <c r="AQ310" s="248"/>
      <c r="AR310" s="248"/>
      <c r="AS310" s="248"/>
      <c r="AT310" s="248"/>
      <c r="AU310" s="248"/>
      <c r="AV310" s="248"/>
      <c r="AW310" s="248"/>
      <c r="AX310" s="248"/>
      <c r="AY310" s="248"/>
    </row>
    <row r="311" spans="1:51">
      <c r="A311" s="244"/>
      <c r="B311" s="244"/>
      <c r="C311" s="286"/>
      <c r="D311" s="287"/>
      <c r="E311" s="244"/>
      <c r="F311" s="280"/>
      <c r="G311" s="282"/>
      <c r="H311" s="244"/>
      <c r="I311" s="244"/>
      <c r="J311" s="244"/>
      <c r="K311" s="244"/>
      <c r="L311" s="244"/>
      <c r="M311" s="244"/>
      <c r="N311" s="244"/>
      <c r="O311" s="244"/>
      <c r="P311" s="244"/>
      <c r="Q311" s="248"/>
      <c r="R311" s="248"/>
      <c r="S311" s="248"/>
      <c r="T311" s="248"/>
      <c r="U311" s="248"/>
      <c r="V311" s="248"/>
      <c r="W311" s="248"/>
      <c r="X311" s="248"/>
      <c r="Y311" s="248"/>
      <c r="Z311" s="248"/>
      <c r="AA311" s="248"/>
      <c r="AB311" s="248"/>
      <c r="AC311" s="248"/>
      <c r="AD311" s="248"/>
      <c r="AE311" s="248"/>
      <c r="AF311" s="248"/>
      <c r="AG311" s="248"/>
      <c r="AH311" s="248"/>
      <c r="AI311" s="248"/>
      <c r="AJ311" s="248"/>
      <c r="AK311" s="248"/>
      <c r="AL311" s="248"/>
      <c r="AM311" s="248"/>
      <c r="AN311" s="248"/>
      <c r="AO311" s="248"/>
      <c r="AP311" s="248"/>
      <c r="AQ311" s="248"/>
      <c r="AR311" s="248"/>
      <c r="AS311" s="248"/>
      <c r="AT311" s="248"/>
      <c r="AU311" s="248"/>
      <c r="AV311" s="248"/>
      <c r="AW311" s="248"/>
      <c r="AX311" s="248"/>
      <c r="AY311" s="248"/>
    </row>
    <row r="312" spans="1:51">
      <c r="A312" s="244"/>
      <c r="B312" s="244"/>
      <c r="C312" s="286"/>
      <c r="D312" s="287"/>
      <c r="E312" s="244"/>
      <c r="F312" s="280"/>
      <c r="G312" s="282"/>
      <c r="H312" s="244"/>
      <c r="I312" s="244"/>
      <c r="J312" s="244"/>
      <c r="K312" s="244"/>
      <c r="L312" s="244"/>
      <c r="M312" s="244"/>
      <c r="N312" s="244"/>
      <c r="O312" s="244"/>
      <c r="P312" s="244"/>
      <c r="Q312" s="248"/>
      <c r="R312" s="248"/>
      <c r="S312" s="248"/>
      <c r="T312" s="248"/>
      <c r="U312" s="248"/>
      <c r="V312" s="248"/>
      <c r="W312" s="248"/>
      <c r="X312" s="248"/>
      <c r="Y312" s="248"/>
      <c r="Z312" s="248"/>
      <c r="AA312" s="248"/>
      <c r="AB312" s="248"/>
      <c r="AC312" s="248"/>
      <c r="AD312" s="248"/>
      <c r="AE312" s="248"/>
      <c r="AF312" s="248"/>
      <c r="AG312" s="248"/>
      <c r="AH312" s="248"/>
      <c r="AI312" s="248"/>
      <c r="AJ312" s="248"/>
      <c r="AK312" s="248"/>
      <c r="AL312" s="248"/>
      <c r="AM312" s="248"/>
      <c r="AN312" s="248"/>
      <c r="AO312" s="248"/>
      <c r="AP312" s="248"/>
      <c r="AQ312" s="248"/>
      <c r="AR312" s="248"/>
      <c r="AS312" s="248"/>
      <c r="AT312" s="248"/>
      <c r="AU312" s="248"/>
      <c r="AV312" s="248"/>
      <c r="AW312" s="248"/>
      <c r="AX312" s="248"/>
      <c r="AY312" s="248"/>
    </row>
    <row r="313" spans="1:51">
      <c r="A313" s="244"/>
      <c r="B313" s="244"/>
      <c r="C313" s="286"/>
      <c r="D313" s="287"/>
      <c r="E313" s="244"/>
      <c r="F313" s="280"/>
      <c r="G313" s="282"/>
      <c r="H313" s="244"/>
      <c r="I313" s="244"/>
      <c r="J313" s="244"/>
      <c r="K313" s="244"/>
      <c r="L313" s="244"/>
      <c r="M313" s="244"/>
      <c r="N313" s="244"/>
      <c r="O313" s="244"/>
      <c r="P313" s="244"/>
      <c r="Q313" s="248"/>
      <c r="R313" s="248"/>
      <c r="S313" s="248"/>
      <c r="T313" s="248"/>
      <c r="U313" s="248"/>
      <c r="V313" s="248"/>
      <c r="W313" s="248"/>
      <c r="X313" s="248"/>
      <c r="Y313" s="248"/>
      <c r="Z313" s="248"/>
      <c r="AA313" s="248"/>
      <c r="AB313" s="248"/>
      <c r="AC313" s="248"/>
      <c r="AD313" s="248"/>
      <c r="AE313" s="248"/>
      <c r="AF313" s="248"/>
      <c r="AG313" s="248"/>
      <c r="AH313" s="248"/>
      <c r="AI313" s="248"/>
      <c r="AJ313" s="248"/>
      <c r="AK313" s="248"/>
      <c r="AL313" s="248"/>
      <c r="AM313" s="248"/>
      <c r="AN313" s="248"/>
      <c r="AO313" s="248"/>
      <c r="AP313" s="248"/>
      <c r="AQ313" s="248"/>
      <c r="AR313" s="248"/>
      <c r="AS313" s="248"/>
      <c r="AT313" s="248"/>
      <c r="AU313" s="248"/>
      <c r="AV313" s="248"/>
      <c r="AW313" s="248"/>
      <c r="AX313" s="248"/>
      <c r="AY313" s="248"/>
    </row>
    <row r="314" spans="1:51">
      <c r="A314" s="244"/>
      <c r="B314" s="244"/>
      <c r="C314" s="286"/>
      <c r="D314" s="287"/>
      <c r="E314" s="244"/>
      <c r="F314" s="280"/>
      <c r="G314" s="282"/>
      <c r="H314" s="244"/>
      <c r="I314" s="244"/>
      <c r="J314" s="244"/>
      <c r="K314" s="244"/>
      <c r="L314" s="244"/>
      <c r="M314" s="244"/>
      <c r="N314" s="244"/>
      <c r="O314" s="244"/>
      <c r="P314" s="244"/>
      <c r="Q314" s="248"/>
      <c r="R314" s="248"/>
      <c r="S314" s="248"/>
      <c r="T314" s="248"/>
      <c r="U314" s="248"/>
      <c r="V314" s="248"/>
      <c r="W314" s="248"/>
      <c r="X314" s="248"/>
      <c r="Y314" s="248"/>
      <c r="Z314" s="248"/>
      <c r="AA314" s="248"/>
      <c r="AB314" s="248"/>
      <c r="AC314" s="248"/>
      <c r="AD314" s="248"/>
      <c r="AE314" s="248"/>
      <c r="AF314" s="248"/>
      <c r="AG314" s="248"/>
      <c r="AH314" s="248"/>
      <c r="AI314" s="248"/>
      <c r="AJ314" s="248"/>
      <c r="AK314" s="248"/>
      <c r="AL314" s="248"/>
      <c r="AM314" s="248"/>
      <c r="AN314" s="248"/>
      <c r="AO314" s="248"/>
      <c r="AP314" s="248"/>
      <c r="AQ314" s="248"/>
      <c r="AR314" s="248"/>
      <c r="AS314" s="248"/>
      <c r="AT314" s="248"/>
      <c r="AU314" s="248"/>
      <c r="AV314" s="248"/>
      <c r="AW314" s="248"/>
      <c r="AX314" s="248"/>
      <c r="AY314" s="248"/>
    </row>
    <row r="315" spans="1:51">
      <c r="A315" s="244"/>
      <c r="B315" s="244"/>
      <c r="C315" s="286"/>
      <c r="D315" s="287"/>
      <c r="E315" s="244"/>
      <c r="F315" s="280"/>
      <c r="G315" s="282"/>
      <c r="H315" s="244"/>
      <c r="I315" s="244"/>
      <c r="J315" s="244"/>
      <c r="K315" s="244"/>
      <c r="L315" s="244"/>
      <c r="M315" s="244"/>
      <c r="N315" s="244"/>
      <c r="O315" s="244"/>
      <c r="P315" s="244"/>
      <c r="Q315" s="248"/>
      <c r="R315" s="248"/>
      <c r="S315" s="248"/>
      <c r="T315" s="248"/>
      <c r="U315" s="248"/>
      <c r="V315" s="248"/>
      <c r="W315" s="248"/>
      <c r="X315" s="248"/>
      <c r="Y315" s="248"/>
      <c r="Z315" s="248"/>
      <c r="AA315" s="248"/>
      <c r="AB315" s="248"/>
      <c r="AC315" s="248"/>
      <c r="AD315" s="248"/>
      <c r="AE315" s="248"/>
      <c r="AF315" s="248"/>
      <c r="AG315" s="248"/>
      <c r="AH315" s="248"/>
      <c r="AI315" s="248"/>
      <c r="AJ315" s="248"/>
      <c r="AK315" s="248"/>
      <c r="AL315" s="248"/>
      <c r="AM315" s="248"/>
      <c r="AN315" s="248"/>
      <c r="AO315" s="248"/>
      <c r="AP315" s="248"/>
      <c r="AQ315" s="248"/>
      <c r="AR315" s="248"/>
      <c r="AS315" s="248"/>
      <c r="AT315" s="248"/>
      <c r="AU315" s="248"/>
      <c r="AV315" s="248"/>
      <c r="AW315" s="248"/>
      <c r="AX315" s="248"/>
      <c r="AY315" s="248"/>
    </row>
    <row r="316" spans="1:51">
      <c r="A316" s="244"/>
      <c r="B316" s="244"/>
      <c r="C316" s="286"/>
      <c r="D316" s="287"/>
      <c r="E316" s="244"/>
      <c r="F316" s="280"/>
      <c r="G316" s="282"/>
      <c r="H316" s="244"/>
      <c r="I316" s="244"/>
      <c r="J316" s="244"/>
      <c r="K316" s="244"/>
      <c r="L316" s="244"/>
      <c r="M316" s="244"/>
      <c r="N316" s="244"/>
      <c r="O316" s="244"/>
      <c r="P316" s="244"/>
      <c r="Q316" s="248"/>
      <c r="R316" s="248"/>
      <c r="S316" s="248"/>
      <c r="T316" s="248"/>
      <c r="U316" s="248"/>
      <c r="V316" s="248"/>
      <c r="W316" s="248"/>
      <c r="X316" s="248"/>
      <c r="Y316" s="248"/>
      <c r="Z316" s="248"/>
      <c r="AA316" s="248"/>
      <c r="AB316" s="248"/>
      <c r="AC316" s="248"/>
      <c r="AD316" s="248"/>
      <c r="AE316" s="248"/>
      <c r="AF316" s="248"/>
      <c r="AG316" s="248"/>
      <c r="AH316" s="248"/>
      <c r="AI316" s="248"/>
      <c r="AJ316" s="248"/>
      <c r="AK316" s="248"/>
      <c r="AL316" s="248"/>
      <c r="AM316" s="248"/>
      <c r="AN316" s="248"/>
      <c r="AO316" s="248"/>
      <c r="AP316" s="248"/>
      <c r="AQ316" s="248"/>
      <c r="AR316" s="248"/>
      <c r="AS316" s="248"/>
      <c r="AT316" s="248"/>
      <c r="AU316" s="248"/>
      <c r="AV316" s="248"/>
      <c r="AW316" s="248"/>
      <c r="AX316" s="248"/>
      <c r="AY316" s="248"/>
    </row>
    <row r="317" spans="1:51">
      <c r="A317" s="244"/>
      <c r="B317" s="244"/>
      <c r="C317" s="286"/>
      <c r="D317" s="287"/>
      <c r="E317" s="244"/>
      <c r="F317" s="280"/>
      <c r="G317" s="282"/>
      <c r="H317" s="244"/>
      <c r="I317" s="244"/>
      <c r="J317" s="244"/>
      <c r="K317" s="244"/>
      <c r="L317" s="244"/>
      <c r="M317" s="244"/>
      <c r="N317" s="244"/>
      <c r="O317" s="244"/>
      <c r="P317" s="244"/>
      <c r="Q317" s="248"/>
      <c r="R317" s="248"/>
      <c r="S317" s="248"/>
      <c r="T317" s="248"/>
      <c r="U317" s="248"/>
      <c r="V317" s="248"/>
      <c r="W317" s="248"/>
      <c r="X317" s="248"/>
      <c r="Y317" s="248"/>
      <c r="Z317" s="248"/>
      <c r="AA317" s="248"/>
      <c r="AB317" s="248"/>
      <c r="AC317" s="248"/>
      <c r="AD317" s="248"/>
      <c r="AE317" s="248"/>
      <c r="AF317" s="248"/>
      <c r="AG317" s="248"/>
      <c r="AH317" s="248"/>
      <c r="AI317" s="248"/>
      <c r="AJ317" s="248"/>
      <c r="AK317" s="248"/>
      <c r="AL317" s="248"/>
      <c r="AM317" s="248"/>
      <c r="AN317" s="248"/>
      <c r="AO317" s="248"/>
      <c r="AP317" s="248"/>
      <c r="AQ317" s="248"/>
      <c r="AR317" s="248"/>
      <c r="AS317" s="248"/>
      <c r="AT317" s="248"/>
      <c r="AU317" s="248"/>
      <c r="AV317" s="248"/>
      <c r="AW317" s="248"/>
      <c r="AX317" s="248"/>
      <c r="AY317" s="248"/>
    </row>
    <row r="318" spans="1:51">
      <c r="A318" s="244"/>
      <c r="B318" s="244"/>
      <c r="C318" s="286"/>
      <c r="D318" s="287"/>
      <c r="E318" s="244"/>
      <c r="F318" s="280"/>
      <c r="G318" s="282"/>
      <c r="H318" s="244"/>
      <c r="I318" s="244"/>
      <c r="J318" s="244"/>
      <c r="K318" s="244"/>
      <c r="L318" s="244"/>
      <c r="M318" s="244"/>
      <c r="N318" s="244"/>
      <c r="O318" s="244"/>
      <c r="P318" s="244"/>
    </row>
    <row r="319" spans="1:51">
      <c r="A319" s="244"/>
      <c r="B319" s="244"/>
      <c r="C319" s="286"/>
      <c r="D319" s="287"/>
      <c r="E319" s="244"/>
      <c r="F319" s="280"/>
      <c r="G319" s="282"/>
      <c r="H319" s="244"/>
      <c r="I319" s="244"/>
      <c r="J319" s="244"/>
      <c r="K319" s="244"/>
      <c r="L319" s="244"/>
      <c r="M319" s="244"/>
      <c r="N319" s="244"/>
      <c r="O319" s="244"/>
      <c r="P319" s="244"/>
    </row>
    <row r="320" spans="1:51">
      <c r="A320" s="244"/>
      <c r="B320" s="244"/>
      <c r="C320" s="286"/>
      <c r="D320" s="287"/>
      <c r="E320" s="244"/>
      <c r="F320" s="280"/>
      <c r="G320" s="282"/>
      <c r="H320" s="244"/>
      <c r="I320" s="244"/>
      <c r="J320" s="244"/>
      <c r="K320" s="244"/>
      <c r="L320" s="244"/>
      <c r="M320" s="244"/>
      <c r="N320" s="244"/>
      <c r="O320" s="244"/>
      <c r="P320" s="244"/>
    </row>
    <row r="321" spans="1:16">
      <c r="A321" s="244"/>
      <c r="B321" s="244"/>
      <c r="C321" s="286"/>
      <c r="D321" s="287"/>
      <c r="E321" s="244"/>
      <c r="F321" s="280"/>
      <c r="G321" s="282"/>
      <c r="H321" s="244"/>
      <c r="I321" s="244"/>
      <c r="J321" s="244"/>
      <c r="K321" s="244"/>
      <c r="L321" s="244"/>
      <c r="M321" s="244"/>
      <c r="N321" s="244"/>
      <c r="O321" s="244"/>
      <c r="P321" s="244"/>
    </row>
    <row r="322" spans="1:16">
      <c r="A322" s="244"/>
      <c r="B322" s="244"/>
      <c r="C322" s="286"/>
      <c r="D322" s="287"/>
      <c r="E322" s="244"/>
      <c r="F322" s="280"/>
      <c r="G322" s="282"/>
      <c r="H322" s="244"/>
      <c r="I322" s="244"/>
      <c r="J322" s="244"/>
      <c r="K322" s="244"/>
      <c r="L322" s="244"/>
      <c r="M322" s="244"/>
      <c r="N322" s="244"/>
      <c r="O322" s="244"/>
      <c r="P322" s="244"/>
    </row>
    <row r="323" spans="1:16">
      <c r="A323" s="244"/>
      <c r="B323" s="244"/>
      <c r="C323" s="286"/>
      <c r="D323" s="287"/>
      <c r="E323" s="244"/>
      <c r="F323" s="280"/>
      <c r="G323" s="282"/>
      <c r="H323" s="244"/>
      <c r="I323" s="244"/>
      <c r="J323" s="244"/>
      <c r="K323" s="244"/>
      <c r="L323" s="244"/>
      <c r="M323" s="244"/>
      <c r="N323" s="244"/>
      <c r="O323" s="244"/>
      <c r="P323" s="244"/>
    </row>
    <row r="324" spans="1:16">
      <c r="A324" s="244"/>
      <c r="B324" s="244"/>
      <c r="C324" s="286"/>
      <c r="D324" s="287"/>
      <c r="E324" s="244"/>
      <c r="F324" s="280"/>
      <c r="G324" s="282"/>
      <c r="H324" s="244"/>
      <c r="I324" s="244"/>
      <c r="J324" s="244"/>
      <c r="K324" s="244"/>
      <c r="L324" s="244"/>
      <c r="M324" s="244"/>
      <c r="N324" s="244"/>
      <c r="O324" s="244"/>
      <c r="P324" s="244"/>
    </row>
    <row r="325" spans="1:16">
      <c r="A325" s="244"/>
      <c r="B325" s="244"/>
      <c r="C325" s="286"/>
      <c r="D325" s="287"/>
      <c r="E325" s="244"/>
      <c r="F325" s="280"/>
      <c r="G325" s="282"/>
      <c r="H325" s="244"/>
      <c r="I325" s="244"/>
      <c r="J325" s="244"/>
      <c r="K325" s="244"/>
      <c r="L325" s="244"/>
      <c r="M325" s="244"/>
      <c r="N325" s="244"/>
      <c r="O325" s="244"/>
      <c r="P325" s="244"/>
    </row>
    <row r="326" spans="1:16">
      <c r="A326" s="244"/>
      <c r="B326" s="244"/>
      <c r="C326" s="286"/>
      <c r="D326" s="287"/>
      <c r="E326" s="244"/>
      <c r="F326" s="280"/>
      <c r="G326" s="282"/>
      <c r="H326" s="244"/>
      <c r="I326" s="244"/>
      <c r="J326" s="244"/>
      <c r="K326" s="244"/>
      <c r="L326" s="244"/>
      <c r="M326" s="244"/>
      <c r="N326" s="244"/>
      <c r="O326" s="244"/>
      <c r="P326" s="244"/>
    </row>
    <row r="327" spans="1:16">
      <c r="A327" s="244"/>
      <c r="B327" s="244"/>
      <c r="C327" s="286"/>
      <c r="D327" s="287"/>
      <c r="E327" s="244"/>
      <c r="F327" s="280"/>
      <c r="G327" s="282"/>
      <c r="H327" s="244"/>
      <c r="I327" s="244"/>
      <c r="J327" s="244"/>
      <c r="K327" s="244"/>
      <c r="L327" s="244"/>
      <c r="M327" s="244"/>
      <c r="N327" s="244"/>
      <c r="O327" s="244"/>
      <c r="P327" s="244"/>
    </row>
    <row r="328" spans="1:16">
      <c r="A328" s="244"/>
      <c r="B328" s="244"/>
      <c r="C328" s="286"/>
      <c r="D328" s="287"/>
      <c r="E328" s="244"/>
      <c r="F328" s="280"/>
      <c r="G328" s="282"/>
      <c r="H328" s="244"/>
      <c r="I328" s="244"/>
      <c r="J328" s="244"/>
      <c r="K328" s="244"/>
      <c r="L328" s="244"/>
      <c r="M328" s="244"/>
      <c r="N328" s="244"/>
      <c r="O328" s="244"/>
      <c r="P328" s="244"/>
    </row>
    <row r="329" spans="1:16">
      <c r="A329" s="244"/>
      <c r="B329" s="244"/>
      <c r="C329" s="286"/>
      <c r="D329" s="287"/>
      <c r="E329" s="244"/>
      <c r="F329" s="280"/>
      <c r="G329" s="282"/>
      <c r="H329" s="244"/>
      <c r="I329" s="244"/>
      <c r="J329" s="244"/>
      <c r="K329" s="244"/>
      <c r="L329" s="244"/>
      <c r="M329" s="244"/>
      <c r="N329" s="244"/>
      <c r="O329" s="244"/>
      <c r="P329" s="244"/>
    </row>
    <row r="330" spans="1:16">
      <c r="A330" s="244"/>
      <c r="B330" s="244"/>
      <c r="C330" s="286"/>
      <c r="D330" s="287"/>
      <c r="E330" s="244"/>
      <c r="F330" s="280"/>
      <c r="G330" s="282"/>
      <c r="H330" s="244"/>
      <c r="I330" s="244"/>
      <c r="J330" s="244"/>
      <c r="K330" s="244"/>
      <c r="L330" s="244"/>
      <c r="M330" s="244"/>
      <c r="N330" s="244"/>
      <c r="O330" s="244"/>
      <c r="P330" s="244"/>
    </row>
    <row r="331" spans="1:16">
      <c r="A331" s="244"/>
      <c r="B331" s="244"/>
      <c r="C331" s="286"/>
      <c r="D331" s="287"/>
      <c r="E331" s="244"/>
      <c r="F331" s="280"/>
      <c r="G331" s="282"/>
      <c r="H331" s="244"/>
      <c r="I331" s="244"/>
      <c r="J331" s="244"/>
      <c r="K331" s="244"/>
      <c r="L331" s="244"/>
      <c r="M331" s="244"/>
      <c r="N331" s="244"/>
      <c r="O331" s="244"/>
      <c r="P331" s="244"/>
    </row>
    <row r="332" spans="1:16">
      <c r="A332" s="244"/>
      <c r="B332" s="244"/>
      <c r="C332" s="286"/>
      <c r="D332" s="287"/>
      <c r="E332" s="244"/>
      <c r="F332" s="280"/>
      <c r="G332" s="282"/>
      <c r="H332" s="244"/>
      <c r="I332" s="244"/>
      <c r="J332" s="244"/>
      <c r="K332" s="244"/>
      <c r="L332" s="244"/>
      <c r="M332" s="244"/>
      <c r="N332" s="244"/>
      <c r="O332" s="244"/>
      <c r="P332" s="244"/>
    </row>
    <row r="333" spans="1:16">
      <c r="A333" s="244"/>
      <c r="B333" s="244"/>
      <c r="C333" s="286"/>
      <c r="D333" s="287"/>
      <c r="E333" s="244"/>
      <c r="F333" s="280"/>
      <c r="G333" s="282"/>
      <c r="H333" s="244"/>
      <c r="I333" s="244"/>
      <c r="J333" s="244"/>
      <c r="K333" s="244"/>
      <c r="L333" s="244"/>
      <c r="M333" s="244"/>
      <c r="N333" s="244"/>
      <c r="O333" s="244"/>
      <c r="P333" s="244"/>
    </row>
    <row r="334" spans="1:16">
      <c r="A334" s="244"/>
      <c r="B334" s="244"/>
      <c r="C334" s="286"/>
      <c r="D334" s="287"/>
      <c r="E334" s="244"/>
      <c r="F334" s="280"/>
      <c r="G334" s="282"/>
      <c r="H334" s="244"/>
      <c r="I334" s="244"/>
      <c r="J334" s="244"/>
      <c r="K334" s="244"/>
      <c r="L334" s="244"/>
      <c r="M334" s="244"/>
      <c r="N334" s="244"/>
      <c r="O334" s="244"/>
      <c r="P334" s="244"/>
    </row>
    <row r="335" spans="1:16">
      <c r="A335" s="244"/>
      <c r="B335" s="244"/>
      <c r="C335" s="286"/>
      <c r="D335" s="287"/>
      <c r="E335" s="244"/>
      <c r="F335" s="280"/>
      <c r="G335" s="282"/>
      <c r="H335" s="244"/>
      <c r="I335" s="244"/>
      <c r="J335" s="244"/>
      <c r="K335" s="244"/>
      <c r="L335" s="244"/>
      <c r="M335" s="244"/>
      <c r="N335" s="244"/>
      <c r="O335" s="244"/>
      <c r="P335" s="244"/>
    </row>
    <row r="336" spans="1:16">
      <c r="A336" s="244"/>
      <c r="B336" s="244"/>
      <c r="C336" s="286"/>
      <c r="D336" s="287"/>
      <c r="E336" s="244"/>
      <c r="F336" s="280"/>
      <c r="G336" s="282"/>
      <c r="H336" s="244"/>
      <c r="I336" s="244"/>
      <c r="J336" s="244"/>
      <c r="K336" s="244"/>
      <c r="L336" s="244"/>
      <c r="M336" s="244"/>
      <c r="N336" s="244"/>
      <c r="O336" s="244"/>
      <c r="P336" s="244"/>
    </row>
    <row r="337" spans="1:16">
      <c r="A337" s="244"/>
      <c r="B337" s="244"/>
      <c r="C337" s="286"/>
      <c r="D337" s="287"/>
      <c r="E337" s="244"/>
      <c r="F337" s="280"/>
      <c r="G337" s="282"/>
      <c r="H337" s="244"/>
      <c r="I337" s="244"/>
      <c r="J337" s="244"/>
      <c r="K337" s="244"/>
      <c r="L337" s="244"/>
      <c r="M337" s="244"/>
      <c r="N337" s="244"/>
      <c r="O337" s="244"/>
      <c r="P337" s="244"/>
    </row>
    <row r="338" spans="1:16">
      <c r="A338" s="244"/>
      <c r="B338" s="244"/>
      <c r="C338" s="286"/>
      <c r="D338" s="287"/>
      <c r="E338" s="244"/>
      <c r="F338" s="280"/>
      <c r="G338" s="282"/>
      <c r="H338" s="244"/>
      <c r="I338" s="244"/>
      <c r="J338" s="244"/>
      <c r="K338" s="244"/>
      <c r="L338" s="244"/>
      <c r="M338" s="244"/>
      <c r="N338" s="244"/>
      <c r="O338" s="244"/>
      <c r="P338" s="244"/>
    </row>
    <row r="339" spans="1:16">
      <c r="A339" s="244"/>
      <c r="B339" s="244"/>
      <c r="C339" s="286"/>
      <c r="D339" s="287"/>
      <c r="E339" s="244"/>
      <c r="F339" s="280"/>
      <c r="G339" s="282"/>
      <c r="H339" s="244"/>
      <c r="I339" s="244"/>
      <c r="J339" s="244"/>
      <c r="K339" s="244"/>
      <c r="L339" s="244"/>
      <c r="M339" s="244"/>
      <c r="N339" s="244"/>
      <c r="O339" s="244"/>
      <c r="P339" s="244"/>
    </row>
    <row r="340" spans="1:16">
      <c r="A340" s="244"/>
      <c r="B340" s="244"/>
      <c r="C340" s="286"/>
      <c r="D340" s="287"/>
      <c r="E340" s="244"/>
      <c r="F340" s="280"/>
      <c r="G340" s="282"/>
      <c r="H340" s="244"/>
      <c r="I340" s="244"/>
      <c r="J340" s="244"/>
      <c r="K340" s="244"/>
      <c r="L340" s="244"/>
      <c r="M340" s="244"/>
      <c r="N340" s="244"/>
      <c r="O340" s="244"/>
      <c r="P340" s="244"/>
    </row>
    <row r="341" spans="1:16">
      <c r="A341" s="244"/>
      <c r="B341" s="244"/>
      <c r="C341" s="286"/>
      <c r="D341" s="287"/>
      <c r="E341" s="244"/>
      <c r="F341" s="280"/>
      <c r="G341" s="282"/>
      <c r="H341" s="244"/>
      <c r="I341" s="244"/>
      <c r="J341" s="244"/>
      <c r="K341" s="244"/>
      <c r="L341" s="244"/>
      <c r="M341" s="244"/>
      <c r="N341" s="244"/>
      <c r="O341" s="244"/>
      <c r="P341" s="244"/>
    </row>
    <row r="342" spans="1:16">
      <c r="A342" s="244"/>
      <c r="B342" s="244"/>
      <c r="C342" s="286"/>
      <c r="D342" s="287"/>
      <c r="E342" s="244"/>
      <c r="F342" s="280"/>
      <c r="G342" s="282"/>
      <c r="H342" s="244"/>
      <c r="I342" s="244"/>
      <c r="J342" s="244"/>
      <c r="K342" s="244"/>
      <c r="L342" s="244"/>
      <c r="M342" s="244"/>
      <c r="N342" s="244"/>
      <c r="O342" s="244"/>
      <c r="P342" s="244"/>
    </row>
    <row r="343" spans="1:16">
      <c r="A343" s="244"/>
      <c r="B343" s="244"/>
      <c r="C343" s="286"/>
      <c r="D343" s="287"/>
      <c r="E343" s="244"/>
      <c r="F343" s="280"/>
      <c r="G343" s="282"/>
      <c r="H343" s="244"/>
      <c r="I343" s="244"/>
      <c r="J343" s="244"/>
      <c r="K343" s="244"/>
      <c r="L343" s="244"/>
      <c r="M343" s="244"/>
      <c r="N343" s="244"/>
      <c r="O343" s="244"/>
      <c r="P343" s="244"/>
    </row>
    <row r="344" spans="1:16">
      <c r="A344" s="244"/>
      <c r="B344" s="244"/>
      <c r="C344" s="286"/>
      <c r="D344" s="287"/>
      <c r="E344" s="244"/>
      <c r="F344" s="280"/>
      <c r="G344" s="282"/>
      <c r="H344" s="244"/>
      <c r="I344" s="244"/>
      <c r="J344" s="244"/>
      <c r="K344" s="244"/>
      <c r="L344" s="244"/>
      <c r="M344" s="244"/>
      <c r="N344" s="244"/>
      <c r="O344" s="244"/>
      <c r="P344" s="244"/>
    </row>
    <row r="345" spans="1:16">
      <c r="A345" s="244"/>
      <c r="B345" s="244"/>
      <c r="C345" s="286"/>
      <c r="D345" s="287"/>
      <c r="E345" s="244"/>
      <c r="F345" s="280"/>
      <c r="G345" s="282"/>
      <c r="H345" s="244"/>
      <c r="I345" s="244"/>
      <c r="J345" s="244"/>
      <c r="K345" s="244"/>
      <c r="L345" s="244"/>
      <c r="M345" s="244"/>
      <c r="N345" s="244"/>
      <c r="O345" s="244"/>
      <c r="P345" s="244"/>
    </row>
    <row r="346" spans="1:16">
      <c r="A346" s="244"/>
      <c r="B346" s="244"/>
      <c r="C346" s="286"/>
      <c r="D346" s="287"/>
      <c r="E346" s="244"/>
      <c r="F346" s="280"/>
      <c r="G346" s="282"/>
      <c r="H346" s="244"/>
      <c r="I346" s="244"/>
      <c r="J346" s="244"/>
      <c r="K346" s="244"/>
      <c r="L346" s="244"/>
      <c r="M346" s="244"/>
      <c r="N346" s="244"/>
      <c r="O346" s="244"/>
      <c r="P346" s="244"/>
    </row>
    <row r="347" spans="1:16">
      <c r="A347" s="244"/>
      <c r="B347" s="244"/>
      <c r="C347" s="286"/>
      <c r="D347" s="287"/>
      <c r="E347" s="244"/>
      <c r="F347" s="280"/>
      <c r="G347" s="282"/>
      <c r="H347" s="244"/>
      <c r="I347" s="244"/>
      <c r="J347" s="244"/>
      <c r="K347" s="244"/>
      <c r="L347" s="244"/>
      <c r="M347" s="244"/>
      <c r="N347" s="244"/>
      <c r="O347" s="244"/>
      <c r="P347" s="244"/>
    </row>
    <row r="348" spans="1:16">
      <c r="A348" s="244"/>
      <c r="B348" s="244"/>
      <c r="C348" s="286"/>
      <c r="D348" s="287"/>
      <c r="E348" s="244"/>
      <c r="F348" s="280"/>
      <c r="G348" s="282"/>
      <c r="H348" s="244"/>
      <c r="I348" s="244"/>
      <c r="J348" s="244"/>
      <c r="K348" s="244"/>
      <c r="L348" s="244"/>
      <c r="M348" s="244"/>
      <c r="N348" s="244"/>
      <c r="O348" s="244"/>
      <c r="P348" s="244"/>
    </row>
    <row r="349" spans="1:16">
      <c r="A349" s="244"/>
      <c r="B349" s="244"/>
      <c r="C349" s="286"/>
      <c r="D349" s="287"/>
      <c r="E349" s="244"/>
      <c r="F349" s="280"/>
      <c r="G349" s="282"/>
      <c r="H349" s="244"/>
      <c r="I349" s="244"/>
      <c r="J349" s="244"/>
      <c r="K349" s="244"/>
      <c r="L349" s="244"/>
      <c r="M349" s="244"/>
      <c r="N349" s="244"/>
      <c r="O349" s="244"/>
      <c r="P349" s="244"/>
    </row>
    <row r="350" spans="1:16">
      <c r="A350" s="244"/>
      <c r="B350" s="244"/>
      <c r="C350" s="286"/>
      <c r="D350" s="287"/>
      <c r="E350" s="244"/>
      <c r="F350" s="280"/>
      <c r="G350" s="282"/>
      <c r="H350" s="244"/>
      <c r="I350" s="244"/>
      <c r="J350" s="244"/>
      <c r="K350" s="244"/>
      <c r="L350" s="244"/>
      <c r="M350" s="244"/>
      <c r="N350" s="244"/>
      <c r="O350" s="244"/>
      <c r="P350" s="244"/>
    </row>
    <row r="351" spans="1:16">
      <c r="A351" s="244"/>
      <c r="B351" s="244"/>
      <c r="C351" s="286"/>
      <c r="D351" s="287"/>
      <c r="E351" s="244"/>
      <c r="F351" s="280"/>
      <c r="G351" s="282"/>
      <c r="H351" s="244"/>
      <c r="I351" s="244"/>
      <c r="J351" s="244"/>
      <c r="K351" s="244"/>
      <c r="L351" s="244"/>
      <c r="M351" s="244"/>
      <c r="N351" s="244"/>
      <c r="O351" s="244"/>
      <c r="P351" s="244"/>
    </row>
    <row r="352" spans="1:16">
      <c r="A352" s="244"/>
      <c r="B352" s="244"/>
      <c r="C352" s="286"/>
      <c r="D352" s="287"/>
      <c r="E352" s="244"/>
      <c r="F352" s="280"/>
      <c r="G352" s="282"/>
      <c r="H352" s="244"/>
      <c r="I352" s="244"/>
      <c r="J352" s="244"/>
      <c r="K352" s="244"/>
      <c r="L352" s="244"/>
      <c r="M352" s="244"/>
      <c r="N352" s="244"/>
      <c r="O352" s="244"/>
      <c r="P352" s="244"/>
    </row>
    <row r="353" spans="1:16">
      <c r="A353" s="244"/>
      <c r="B353" s="244"/>
      <c r="C353" s="286"/>
      <c r="D353" s="287"/>
      <c r="E353" s="244"/>
      <c r="F353" s="280"/>
      <c r="G353" s="282"/>
      <c r="H353" s="244"/>
      <c r="I353" s="244"/>
      <c r="J353" s="244"/>
      <c r="K353" s="244"/>
      <c r="L353" s="244"/>
      <c r="M353" s="244"/>
      <c r="N353" s="244"/>
      <c r="O353" s="244"/>
      <c r="P353" s="244"/>
    </row>
    <row r="354" spans="1:16">
      <c r="A354" s="244"/>
      <c r="B354" s="244"/>
      <c r="C354" s="286"/>
      <c r="D354" s="287"/>
      <c r="E354" s="244"/>
      <c r="F354" s="280"/>
      <c r="G354" s="282"/>
      <c r="H354" s="244"/>
      <c r="I354" s="244"/>
      <c r="J354" s="244"/>
      <c r="K354" s="244"/>
      <c r="L354" s="244"/>
      <c r="M354" s="244"/>
      <c r="N354" s="244"/>
      <c r="O354" s="244"/>
      <c r="P354" s="244"/>
    </row>
    <row r="355" spans="1:16">
      <c r="A355" s="244"/>
      <c r="B355" s="244"/>
      <c r="C355" s="286"/>
      <c r="D355" s="287"/>
      <c r="E355" s="244"/>
      <c r="F355" s="280"/>
      <c r="G355" s="282"/>
      <c r="H355" s="244"/>
      <c r="I355" s="244"/>
      <c r="J355" s="244"/>
      <c r="K355" s="244"/>
      <c r="L355" s="244"/>
      <c r="M355" s="244"/>
      <c r="N355" s="244"/>
      <c r="O355" s="244"/>
      <c r="P355" s="244"/>
    </row>
    <row r="356" spans="1:16">
      <c r="H356" s="288"/>
      <c r="I356" s="288"/>
      <c r="J356" s="244"/>
      <c r="K356" s="244"/>
      <c r="L356" s="244"/>
      <c r="M356" s="244"/>
      <c r="N356" s="244"/>
      <c r="O356" s="244"/>
      <c r="P356" s="244"/>
    </row>
    <row r="357" spans="1:16">
      <c r="H357" s="244"/>
      <c r="I357" s="244"/>
      <c r="J357" s="244"/>
      <c r="K357" s="244"/>
      <c r="L357" s="244"/>
      <c r="M357" s="244"/>
      <c r="N357" s="244"/>
      <c r="O357" s="244"/>
      <c r="P357" s="244"/>
    </row>
    <row r="358" spans="1:16">
      <c r="H358" s="244"/>
      <c r="I358" s="244"/>
      <c r="J358" s="244"/>
      <c r="K358" s="244"/>
      <c r="L358" s="244"/>
      <c r="M358" s="244"/>
      <c r="N358" s="244"/>
      <c r="O358" s="244"/>
      <c r="P358" s="244"/>
    </row>
    <row r="359" spans="1:16">
      <c r="H359" s="244"/>
      <c r="I359" s="244"/>
      <c r="J359" s="244"/>
      <c r="K359" s="244"/>
      <c r="L359" s="244"/>
      <c r="M359" s="244"/>
      <c r="N359" s="244"/>
      <c r="O359" s="244"/>
      <c r="P359" s="244"/>
    </row>
    <row r="360" spans="1:16">
      <c r="H360" s="244"/>
      <c r="I360" s="244"/>
      <c r="J360" s="244"/>
      <c r="K360" s="244"/>
      <c r="L360" s="244"/>
      <c r="M360" s="244"/>
      <c r="N360" s="244"/>
      <c r="O360" s="244"/>
      <c r="P360" s="244"/>
    </row>
    <row r="361" spans="1:16">
      <c r="H361" s="244"/>
      <c r="I361" s="244"/>
      <c r="J361" s="244"/>
      <c r="K361" s="244"/>
      <c r="L361" s="244"/>
      <c r="M361" s="244"/>
      <c r="N361" s="244"/>
      <c r="O361" s="244"/>
      <c r="P361" s="244"/>
    </row>
    <row r="362" spans="1:16">
      <c r="H362" s="244"/>
      <c r="I362" s="244"/>
      <c r="J362" s="244"/>
      <c r="K362" s="244"/>
      <c r="L362" s="244"/>
      <c r="M362" s="244"/>
      <c r="N362" s="244"/>
      <c r="O362" s="244"/>
      <c r="P362" s="244"/>
    </row>
    <row r="363" spans="1:16">
      <c r="H363" s="244"/>
      <c r="I363" s="244"/>
      <c r="J363" s="244"/>
      <c r="K363" s="244"/>
      <c r="L363" s="244"/>
      <c r="M363" s="244"/>
      <c r="N363" s="244"/>
      <c r="O363" s="244"/>
      <c r="P363" s="244"/>
    </row>
    <row r="364" spans="1:16">
      <c r="H364" s="244"/>
      <c r="I364" s="244"/>
      <c r="J364" s="244"/>
      <c r="K364" s="244"/>
      <c r="L364" s="244"/>
      <c r="M364" s="244"/>
      <c r="N364" s="244"/>
      <c r="O364" s="244"/>
      <c r="P364" s="244"/>
    </row>
    <row r="365" spans="1:16">
      <c r="H365" s="244"/>
      <c r="I365" s="244"/>
      <c r="J365" s="244"/>
      <c r="K365" s="244"/>
      <c r="L365" s="244"/>
      <c r="M365" s="244"/>
      <c r="N365" s="244"/>
      <c r="O365" s="244"/>
      <c r="P365" s="244"/>
    </row>
    <row r="366" spans="1:16">
      <c r="H366" s="244"/>
      <c r="I366" s="244"/>
      <c r="J366" s="244"/>
      <c r="K366" s="244"/>
      <c r="L366" s="244"/>
      <c r="M366" s="244"/>
      <c r="N366" s="244"/>
      <c r="O366" s="244"/>
      <c r="P366" s="244"/>
    </row>
    <row r="367" spans="1:16">
      <c r="H367" s="244"/>
      <c r="I367" s="244"/>
      <c r="J367" s="244"/>
      <c r="K367" s="244"/>
      <c r="L367" s="244"/>
      <c r="M367" s="244"/>
      <c r="N367" s="244"/>
      <c r="O367" s="244"/>
      <c r="P367" s="244"/>
    </row>
    <row r="368" spans="1:16">
      <c r="H368" s="244"/>
      <c r="I368" s="244"/>
      <c r="J368" s="244"/>
      <c r="K368" s="244"/>
      <c r="L368" s="244"/>
      <c r="M368" s="244"/>
      <c r="N368" s="244"/>
      <c r="O368" s="244"/>
      <c r="P368" s="244"/>
    </row>
    <row r="369" spans="8:16">
      <c r="H369" s="244"/>
      <c r="I369" s="244"/>
      <c r="J369" s="244"/>
      <c r="K369" s="244"/>
      <c r="L369" s="244"/>
      <c r="M369" s="244"/>
      <c r="N369" s="244"/>
      <c r="O369" s="244"/>
      <c r="P369" s="244"/>
    </row>
    <row r="370" spans="8:16">
      <c r="H370" s="244"/>
      <c r="I370" s="244"/>
      <c r="J370" s="244"/>
      <c r="K370" s="244"/>
      <c r="L370" s="244"/>
      <c r="M370" s="244"/>
      <c r="N370" s="244"/>
      <c r="O370" s="244"/>
      <c r="P370" s="244"/>
    </row>
    <row r="371" spans="8:16">
      <c r="H371" s="244"/>
      <c r="I371" s="244"/>
      <c r="J371" s="244"/>
      <c r="K371" s="244"/>
      <c r="L371" s="244"/>
      <c r="M371" s="244"/>
      <c r="N371" s="244"/>
      <c r="O371" s="244"/>
      <c r="P371" s="244"/>
    </row>
    <row r="372" spans="8:16">
      <c r="H372" s="244"/>
      <c r="I372" s="244"/>
      <c r="J372" s="244"/>
      <c r="K372" s="244"/>
      <c r="L372" s="244"/>
      <c r="M372" s="244"/>
      <c r="N372" s="244"/>
      <c r="O372" s="244"/>
      <c r="P372" s="244"/>
    </row>
    <row r="373" spans="8:16">
      <c r="H373" s="244"/>
      <c r="I373" s="244"/>
      <c r="J373" s="244"/>
      <c r="K373" s="244"/>
      <c r="L373" s="244"/>
      <c r="M373" s="244"/>
      <c r="N373" s="244"/>
      <c r="O373" s="244"/>
      <c r="P373" s="244"/>
    </row>
    <row r="374" spans="8:16">
      <c r="H374" s="244"/>
      <c r="I374" s="244"/>
      <c r="J374" s="244"/>
      <c r="K374" s="244"/>
      <c r="L374" s="244"/>
      <c r="M374" s="244"/>
      <c r="N374" s="244"/>
      <c r="O374" s="244"/>
      <c r="P374" s="244"/>
    </row>
    <row r="375" spans="8:16">
      <c r="H375" s="244"/>
      <c r="I375" s="244"/>
      <c r="J375" s="244"/>
      <c r="K375" s="244"/>
      <c r="L375" s="244"/>
      <c r="M375" s="244"/>
      <c r="N375" s="244"/>
      <c r="O375" s="244"/>
      <c r="P375" s="244"/>
    </row>
    <row r="376" spans="8:16">
      <c r="H376" s="244"/>
      <c r="I376" s="244"/>
      <c r="J376" s="244"/>
      <c r="K376" s="244"/>
      <c r="L376" s="244"/>
      <c r="M376" s="244"/>
      <c r="N376" s="244"/>
      <c r="O376" s="244"/>
      <c r="P376" s="244"/>
    </row>
    <row r="377" spans="8:16">
      <c r="H377" s="244"/>
      <c r="I377" s="244"/>
      <c r="J377" s="244"/>
      <c r="K377" s="244"/>
      <c r="L377" s="244"/>
      <c r="M377" s="244"/>
      <c r="N377" s="244"/>
      <c r="O377" s="244"/>
      <c r="P377" s="244"/>
    </row>
    <row r="378" spans="8:16">
      <c r="H378" s="244"/>
      <c r="I378" s="244"/>
      <c r="J378" s="244"/>
      <c r="K378" s="244"/>
      <c r="L378" s="244"/>
      <c r="M378" s="244"/>
      <c r="N378" s="244"/>
      <c r="O378" s="244"/>
      <c r="P378" s="244"/>
    </row>
    <row r="379" spans="8:16">
      <c r="H379" s="244"/>
      <c r="I379" s="244"/>
      <c r="J379" s="244"/>
      <c r="K379" s="244"/>
      <c r="L379" s="244"/>
      <c r="M379" s="244"/>
      <c r="N379" s="244"/>
      <c r="O379" s="244"/>
      <c r="P379" s="244"/>
    </row>
    <row r="380" spans="8:16">
      <c r="H380" s="244"/>
      <c r="I380" s="244"/>
      <c r="J380" s="244"/>
      <c r="K380" s="244"/>
      <c r="L380" s="244"/>
      <c r="M380" s="244"/>
      <c r="N380" s="244"/>
      <c r="O380" s="244"/>
      <c r="P380" s="244"/>
    </row>
    <row r="381" spans="8:16">
      <c r="H381" s="244"/>
      <c r="I381" s="244"/>
      <c r="J381" s="244"/>
      <c r="K381" s="244"/>
      <c r="L381" s="244"/>
      <c r="M381" s="244"/>
      <c r="N381" s="244"/>
      <c r="O381" s="244"/>
      <c r="P381" s="244"/>
    </row>
    <row r="382" spans="8:16">
      <c r="H382" s="244"/>
      <c r="I382" s="244"/>
      <c r="J382" s="244"/>
      <c r="K382" s="244"/>
      <c r="L382" s="244"/>
      <c r="M382" s="244"/>
      <c r="N382" s="244"/>
      <c r="O382" s="244"/>
      <c r="P382" s="244"/>
    </row>
    <row r="383" spans="8:16">
      <c r="H383" s="244"/>
      <c r="I383" s="244"/>
      <c r="J383" s="244"/>
      <c r="K383" s="244"/>
      <c r="L383" s="244"/>
      <c r="M383" s="244"/>
      <c r="N383" s="244"/>
      <c r="O383" s="244"/>
      <c r="P383" s="244"/>
    </row>
    <row r="384" spans="8:16">
      <c r="H384" s="244"/>
      <c r="I384" s="244"/>
      <c r="J384" s="244"/>
      <c r="K384" s="244"/>
      <c r="L384" s="244"/>
      <c r="M384" s="244"/>
      <c r="N384" s="244"/>
      <c r="O384" s="244"/>
      <c r="P384" s="244"/>
    </row>
    <row r="385" spans="8:16">
      <c r="H385" s="244"/>
      <c r="I385" s="244"/>
      <c r="J385" s="244"/>
      <c r="K385" s="244"/>
      <c r="L385" s="244"/>
      <c r="M385" s="244"/>
      <c r="N385" s="244"/>
      <c r="O385" s="244"/>
      <c r="P385" s="244"/>
    </row>
    <row r="386" spans="8:16">
      <c r="H386" s="244"/>
      <c r="I386" s="244"/>
      <c r="J386" s="244"/>
      <c r="K386" s="244"/>
      <c r="L386" s="244"/>
      <c r="M386" s="244"/>
      <c r="N386" s="244"/>
      <c r="O386" s="244"/>
      <c r="P386" s="244"/>
    </row>
    <row r="387" spans="8:16">
      <c r="H387" s="244"/>
      <c r="I387" s="244"/>
      <c r="J387" s="244"/>
      <c r="K387" s="244"/>
      <c r="L387" s="244"/>
      <c r="M387" s="244"/>
      <c r="N387" s="244"/>
      <c r="O387" s="244"/>
      <c r="P387" s="244"/>
    </row>
    <row r="388" spans="8:16">
      <c r="H388" s="244"/>
      <c r="I388" s="244"/>
      <c r="J388" s="244"/>
      <c r="K388" s="244"/>
      <c r="L388" s="244"/>
      <c r="M388" s="244"/>
      <c r="N388" s="244"/>
      <c r="O388" s="244"/>
      <c r="P388" s="244"/>
    </row>
    <row r="389" spans="8:16">
      <c r="H389" s="244"/>
      <c r="I389" s="244"/>
      <c r="J389" s="244"/>
      <c r="K389" s="244"/>
      <c r="L389" s="244"/>
      <c r="M389" s="244"/>
      <c r="N389" s="244"/>
      <c r="O389" s="244"/>
      <c r="P389" s="244"/>
    </row>
    <row r="390" spans="8:16">
      <c r="H390" s="244"/>
      <c r="I390" s="244"/>
      <c r="J390" s="244"/>
      <c r="K390" s="244"/>
      <c r="L390" s="244"/>
      <c r="M390" s="244"/>
      <c r="N390" s="244"/>
      <c r="O390" s="244"/>
      <c r="P390" s="244"/>
    </row>
    <row r="391" spans="8:16">
      <c r="H391" s="244"/>
      <c r="I391" s="244"/>
      <c r="J391" s="244"/>
      <c r="K391" s="244"/>
      <c r="L391" s="244"/>
      <c r="M391" s="244"/>
      <c r="N391" s="244"/>
      <c r="O391" s="244"/>
      <c r="P391" s="244"/>
    </row>
    <row r="392" spans="8:16">
      <c r="H392" s="244"/>
      <c r="I392" s="244"/>
      <c r="J392" s="244"/>
      <c r="K392" s="244"/>
      <c r="L392" s="244"/>
      <c r="M392" s="244"/>
      <c r="N392" s="244"/>
      <c r="O392" s="244"/>
      <c r="P392" s="244"/>
    </row>
    <row r="393" spans="8:16">
      <c r="H393" s="244"/>
      <c r="I393" s="244"/>
      <c r="J393" s="244"/>
      <c r="K393" s="244"/>
      <c r="L393" s="244"/>
      <c r="M393" s="244"/>
      <c r="N393" s="244"/>
      <c r="O393" s="244"/>
      <c r="P393" s="244"/>
    </row>
  </sheetData>
  <sheetProtection formatCells="0" selectLockedCells="1"/>
  <mergeCells count="6">
    <mergeCell ref="C22:D22"/>
    <mergeCell ref="C17:D17"/>
    <mergeCell ref="F17:G17"/>
    <mergeCell ref="C1:G3"/>
    <mergeCell ref="C4:D4"/>
    <mergeCell ref="F4:G4"/>
  </mergeCells>
  <phoneticPr fontId="7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allowBlank="1" type="list" errorStyle="stop" showInputMessage="1" promptTitle="点数" prompt="在此输入数字" showErrorMessage="1" errorTitle="错误" error="请输入1~100内的数字">
          <x14:formula1>
            <xm:f>疯狂附表!$A$2:$A$102</xm:f>
          </x14:formula1>
          <xm:sqref>F19</xm:sqref>
        </x14:dataValidation>
        <x14:dataValidation allowBlank="1" type="list" errorStyle="stop" showInputMessage="1" promptTitle="点数" prompt="在此输入数字" showErrorMessage="1" errorTitle="错误" error="请输入1~100内的数字">
          <x14:formula1>
            <xm:f>疯狂附表!$A$2:$A$102</xm:f>
          </x14:formula1>
          <xm:sqref>C19</xm:sqref>
        </x14:dataValidation>
      </x14:dataValidations>
    </ext>
  </extLst>
</worksheet>
</file>

<file path=xl/worksheets/sheet7.xml><?xml version="1.0" encoding="utf-8"?>
<worksheet xmlns="http://schemas.openxmlformats.org/spreadsheetml/2006/main" xmlns:r="http://schemas.openxmlformats.org/officeDocument/2006/relationships">
  <dimension ref="A1:AC46"/>
  <sheetViews>
    <sheetView showGridLines="0" topLeftCell="E1" zoomScale="85" workbookViewId="0">
      <selection activeCell="X24" sqref="X24"/>
    </sheetView>
  </sheetViews>
  <sheetFormatPr defaultColWidth="8.25" defaultRowHeight="16.5"/>
  <cols>
    <col min="1" max="1" width="8.25" style="289" customWidth="1"/>
    <col min="2" max="2" width="13" style="289" customWidth="1"/>
    <col min="3" max="3" width="8.25" style="289" customWidth="1"/>
    <col min="4" max="4" width="10.125" style="289" customWidth="1"/>
    <col min="5" max="5" width="7.375" style="289" customWidth="1"/>
    <col min="6" max="6" width="9.5" style="289" customWidth="1"/>
    <col min="7" max="7" width="9.25" style="289" customWidth="1"/>
    <col min="8" max="8" width="13.375" style="289" customWidth="1"/>
    <col min="9" max="9" width="15" style="289" customWidth="1"/>
    <col min="10" max="10" width="11.25" style="289" customWidth="1"/>
    <col min="11" max="11" width="9.5" style="289" customWidth="1"/>
    <col min="12" max="12" width="8.375" style="289" customWidth="1"/>
    <col min="13" max="13" width="8.625" style="289" customWidth="1"/>
    <col min="14" max="14" width="13.5" style="289" customWidth="1"/>
    <col min="15" max="15" width="17.375" style="289" customWidth="1"/>
    <col min="16" max="16" width="9.375" style="289" customWidth="1"/>
    <col min="17" max="17" width="8.25" style="289" customWidth="1"/>
    <col min="18" max="18" width="10.25" style="289" customWidth="1"/>
    <col min="19" max="19" width="9.875" style="289" customWidth="1"/>
    <col min="20" max="20" width="12.75" style="289" customWidth="1"/>
    <col min="21" max="21" width="16.375" style="289" customWidth="1"/>
    <col min="22" max="22" width="12.25" style="289" customWidth="1"/>
    <col min="23" max="23" width="3.5" style="289" customWidth="1"/>
    <col min="24" max="24" width="8.25" style="289" customWidth="1"/>
    <col min="25" max="25" width="10.125" style="289" customWidth="1"/>
    <col min="26" max="26" width="10.75" style="289" customWidth="1"/>
    <col min="27" max="27" width="13.75" style="289" customWidth="1"/>
    <col min="28" max="28" width="3.875" style="289" customWidth="1"/>
    <col min="29" max="30" width="8.25" style="289" customWidth="1"/>
    <col min="31" max="16384" width="8.25" style="289"/>
  </cols>
  <sheetData>
    <row r="1" spans="1:29" ht="16.5" customHeight="1">
      <c r="A1" s="882" t="s">
        <v>194</v>
      </c>
      <c r="B1" s="882"/>
      <c r="C1" s="882"/>
      <c r="D1" s="882"/>
      <c r="E1" s="882"/>
      <c r="F1" s="882"/>
      <c r="G1" s="882"/>
      <c r="H1" s="882"/>
      <c r="I1" s="882"/>
      <c r="J1" s="882"/>
      <c r="K1" s="882"/>
      <c r="L1" s="882"/>
      <c r="M1" s="882"/>
      <c r="N1" s="882"/>
      <c r="O1" s="882"/>
      <c r="P1" s="882"/>
      <c r="Q1" s="882"/>
      <c r="R1" s="882"/>
      <c r="S1" s="882"/>
    </row>
    <row r="2" spans="1:29" s="11" customFormat="1" ht="16.5" customHeight="1">
      <c r="A2" s="882" t="s">
        <v>195</v>
      </c>
      <c r="B2" s="882"/>
      <c r="C2" s="882"/>
      <c r="D2" s="882"/>
      <c r="E2" s="882"/>
      <c r="F2" s="882"/>
      <c r="G2" s="882"/>
      <c r="H2" s="882"/>
      <c r="I2" s="882"/>
      <c r="J2" s="882"/>
      <c r="K2" s="882"/>
      <c r="L2" s="882"/>
      <c r="M2" s="882"/>
      <c r="N2" s="882"/>
      <c r="O2" s="882"/>
      <c r="P2" s="882"/>
      <c r="Q2" s="882"/>
      <c r="R2" s="882"/>
      <c r="S2" s="882"/>
    </row>
    <row r="3" spans="1:29">
      <c r="F3" s="883" t="s">
        <v>1471</v>
      </c>
      <c r="G3" s="884"/>
      <c r="H3" s="884"/>
      <c r="I3" s="884"/>
      <c r="J3" s="885"/>
      <c r="K3" s="12"/>
      <c r="L3" s="12"/>
    </row>
    <row r="4" spans="1:29" ht="16.5" hidden="1" customHeight="1">
      <c r="D4" s="12"/>
      <c r="E4" s="881" t="s">
        <v>1631</v>
      </c>
      <c r="F4" s="881"/>
      <c r="G4" s="881"/>
      <c r="H4" s="881"/>
      <c r="I4" s="881"/>
      <c r="J4" s="881"/>
      <c r="K4" s="881" t="s">
        <v>1637</v>
      </c>
      <c r="L4" s="881"/>
      <c r="M4" s="881"/>
      <c r="N4" s="881"/>
      <c r="O4" s="881"/>
      <c r="P4" s="881"/>
      <c r="Q4" s="881" t="s">
        <v>1630</v>
      </c>
      <c r="R4" s="881"/>
      <c r="S4" s="881"/>
      <c r="T4" s="881"/>
      <c r="U4" s="881"/>
      <c r="V4" s="881"/>
      <c r="W4" s="12"/>
      <c r="Z4" s="12"/>
      <c r="AA4" s="12"/>
      <c r="AB4" s="12"/>
      <c r="AC4" s="12"/>
    </row>
    <row r="5" spans="1:29" ht="20.100000000000001" hidden="1" customHeight="1">
      <c r="D5" s="12"/>
      <c r="E5" s="12"/>
      <c r="F5" s="12" t="s">
        <v>1632</v>
      </c>
      <c r="G5" s="12" t="s">
        <v>1633</v>
      </c>
      <c r="H5" s="12" t="s">
        <v>1634</v>
      </c>
      <c r="I5" s="12" t="s">
        <v>1635</v>
      </c>
      <c r="J5" s="12" t="s">
        <v>1636</v>
      </c>
      <c r="K5" s="12"/>
      <c r="L5" s="12" t="s">
        <v>1632</v>
      </c>
      <c r="M5" s="12" t="s">
        <v>1633</v>
      </c>
      <c r="N5" s="12" t="s">
        <v>1634</v>
      </c>
      <c r="O5" s="12" t="s">
        <v>1635</v>
      </c>
      <c r="P5" s="12" t="s">
        <v>1636</v>
      </c>
      <c r="Q5" s="12"/>
      <c r="R5" s="12" t="s">
        <v>196</v>
      </c>
      <c r="S5" s="12" t="s">
        <v>154</v>
      </c>
      <c r="T5" s="12" t="s">
        <v>197</v>
      </c>
      <c r="U5" s="12" t="s">
        <v>198</v>
      </c>
      <c r="V5" s="12" t="s">
        <v>199</v>
      </c>
      <c r="W5" s="12"/>
      <c r="Z5" s="12"/>
      <c r="AA5" s="12"/>
      <c r="AB5" s="12"/>
      <c r="AC5" s="12"/>
    </row>
    <row r="6" spans="1:29" ht="50.1" hidden="1" customHeight="1">
      <c r="D6" s="12"/>
      <c r="E6" s="12">
        <v>1</v>
      </c>
      <c r="F6" s="12" t="s">
        <v>200</v>
      </c>
      <c r="G6" s="12" t="s">
        <v>1629</v>
      </c>
      <c r="H6" s="12">
        <v>0.5</v>
      </c>
      <c r="I6" s="12" t="s">
        <v>209</v>
      </c>
      <c r="J6" s="12">
        <v>0.5</v>
      </c>
      <c r="K6" s="12">
        <v>1</v>
      </c>
      <c r="L6" s="12" t="s">
        <v>200</v>
      </c>
      <c r="M6" s="12" t="s">
        <v>208</v>
      </c>
      <c r="N6" s="12">
        <v>10</v>
      </c>
      <c r="O6" s="12" t="s">
        <v>209</v>
      </c>
      <c r="P6" s="12">
        <v>10</v>
      </c>
      <c r="Q6" s="12">
        <v>1</v>
      </c>
      <c r="R6" s="12" t="s">
        <v>200</v>
      </c>
      <c r="S6" s="12" t="s">
        <v>208</v>
      </c>
      <c r="T6" s="290" t="str">
        <f>T15</f>
        <v>例：1</v>
      </c>
      <c r="U6" s="290" t="str">
        <f t="shared" ref="U6:V6" si="0">U15</f>
        <v>例：1</v>
      </c>
      <c r="V6" s="290" t="str">
        <f t="shared" si="0"/>
        <v>例：1</v>
      </c>
      <c r="W6" s="12"/>
      <c r="Z6" s="12"/>
      <c r="AA6" s="12"/>
      <c r="AB6" s="12"/>
      <c r="AC6" s="12"/>
    </row>
    <row r="7" spans="1:29" ht="50.1" hidden="1" customHeight="1">
      <c r="D7" s="12"/>
      <c r="E7" s="12">
        <v>2</v>
      </c>
      <c r="F7" s="12" t="s">
        <v>201</v>
      </c>
      <c r="G7" s="12" t="s">
        <v>1628</v>
      </c>
      <c r="H7" s="12">
        <f>CR*1</f>
        <v>10</v>
      </c>
      <c r="I7" s="12">
        <f>CR*10</f>
        <v>100</v>
      </c>
      <c r="J7" s="12">
        <v>2</v>
      </c>
      <c r="K7" s="12">
        <v>2</v>
      </c>
      <c r="L7" s="12" t="s">
        <v>201</v>
      </c>
      <c r="M7" s="12" t="s">
        <v>1628</v>
      </c>
      <c r="N7" s="291">
        <f>CR*20</f>
        <v>200</v>
      </c>
      <c r="O7" s="291">
        <f>CR*200</f>
        <v>2000</v>
      </c>
      <c r="P7" s="12">
        <v>40</v>
      </c>
      <c r="Q7" s="12">
        <v>2</v>
      </c>
      <c r="R7" s="12" t="s">
        <v>201</v>
      </c>
      <c r="S7" s="12" t="s">
        <v>1628</v>
      </c>
      <c r="T7" s="290" t="str">
        <f t="shared" ref="T7:V7" si="1">T16</f>
        <v>例：1</v>
      </c>
      <c r="U7" s="290" t="str">
        <f t="shared" si="1"/>
        <v>例：1</v>
      </c>
      <c r="V7" s="290" t="str">
        <f t="shared" si="1"/>
        <v>例：1</v>
      </c>
      <c r="W7" s="12"/>
    </row>
    <row r="8" spans="1:29" ht="50.1" hidden="1" customHeight="1">
      <c r="D8" s="12"/>
      <c r="E8" s="12">
        <v>3</v>
      </c>
      <c r="F8" s="12" t="s">
        <v>203</v>
      </c>
      <c r="G8" s="12" t="s">
        <v>1627</v>
      </c>
      <c r="H8" s="291">
        <f>CR*2</f>
        <v>20</v>
      </c>
      <c r="I8" s="291">
        <f>CR*50</f>
        <v>500</v>
      </c>
      <c r="J8" s="12">
        <v>10</v>
      </c>
      <c r="K8" s="12">
        <v>3</v>
      </c>
      <c r="L8" s="12" t="s">
        <v>203</v>
      </c>
      <c r="M8" s="12" t="s">
        <v>1627</v>
      </c>
      <c r="N8" s="291">
        <f>CR*40</f>
        <v>400</v>
      </c>
      <c r="O8" s="291">
        <f>CR*1000</f>
        <v>10000</v>
      </c>
      <c r="P8" s="12">
        <v>200</v>
      </c>
      <c r="Q8" s="12">
        <v>3</v>
      </c>
      <c r="R8" s="12" t="s">
        <v>203</v>
      </c>
      <c r="S8" s="12" t="s">
        <v>1626</v>
      </c>
      <c r="T8" s="290" t="str">
        <f t="shared" ref="T8:V8" si="2">T17</f>
        <v>例：1</v>
      </c>
      <c r="U8" s="290" t="str">
        <f t="shared" si="2"/>
        <v>例：1</v>
      </c>
      <c r="V8" s="290" t="str">
        <f t="shared" si="2"/>
        <v>例：1</v>
      </c>
      <c r="W8" s="12"/>
    </row>
    <row r="9" spans="1:29" ht="50.1" hidden="1" customHeight="1">
      <c r="D9" s="12"/>
      <c r="E9" s="12">
        <v>4</v>
      </c>
      <c r="F9" s="12" t="s">
        <v>207</v>
      </c>
      <c r="G9" s="12" t="s">
        <v>206</v>
      </c>
      <c r="H9" s="291">
        <f>CR*5</f>
        <v>50</v>
      </c>
      <c r="I9" s="291">
        <f>CR*500</f>
        <v>5000</v>
      </c>
      <c r="J9" s="12">
        <v>50</v>
      </c>
      <c r="K9" s="12">
        <v>4</v>
      </c>
      <c r="L9" s="12" t="s">
        <v>207</v>
      </c>
      <c r="M9" s="12" t="s">
        <v>206</v>
      </c>
      <c r="N9" s="291">
        <f>CR*100</f>
        <v>1000</v>
      </c>
      <c r="O9" s="291">
        <f>CR*10000</f>
        <v>100000</v>
      </c>
      <c r="P9" s="12">
        <v>1000</v>
      </c>
      <c r="Q9" s="12">
        <v>4</v>
      </c>
      <c r="R9" s="12" t="s">
        <v>207</v>
      </c>
      <c r="S9" s="12" t="s">
        <v>206</v>
      </c>
      <c r="T9" s="290" t="str">
        <f t="shared" ref="T9:V9" si="3">T18</f>
        <v>例：1</v>
      </c>
      <c r="U9" s="290" t="str">
        <f t="shared" si="3"/>
        <v>例：1</v>
      </c>
      <c r="V9" s="290" t="str">
        <f t="shared" si="3"/>
        <v>例：1</v>
      </c>
      <c r="W9" s="12"/>
    </row>
    <row r="10" spans="1:29" ht="50.1" hidden="1" customHeight="1">
      <c r="D10" s="12"/>
      <c r="E10" s="12">
        <v>5</v>
      </c>
      <c r="F10" s="12" t="s">
        <v>212</v>
      </c>
      <c r="G10" s="12" t="s">
        <v>213</v>
      </c>
      <c r="H10" s="291">
        <f>CR*20</f>
        <v>200</v>
      </c>
      <c r="I10" s="291">
        <f>CR*2000</f>
        <v>20000</v>
      </c>
      <c r="J10" s="12">
        <v>250</v>
      </c>
      <c r="K10" s="12">
        <v>5</v>
      </c>
      <c r="L10" s="12" t="s">
        <v>212</v>
      </c>
      <c r="M10" s="12" t="s">
        <v>213</v>
      </c>
      <c r="N10" s="291">
        <f>CR*400</f>
        <v>4000</v>
      </c>
      <c r="O10" s="291">
        <f>CR*40000</f>
        <v>400000</v>
      </c>
      <c r="P10" s="12">
        <v>5000</v>
      </c>
      <c r="Q10" s="12">
        <v>5</v>
      </c>
      <c r="R10" s="12" t="s">
        <v>212</v>
      </c>
      <c r="S10" s="12" t="s">
        <v>213</v>
      </c>
      <c r="T10" s="290" t="str">
        <f t="shared" ref="T10:V10" si="4">T19</f>
        <v>例：1</v>
      </c>
      <c r="U10" s="290" t="str">
        <f t="shared" si="4"/>
        <v>例：1</v>
      </c>
      <c r="V10" s="290" t="str">
        <f t="shared" si="4"/>
        <v>例：1</v>
      </c>
      <c r="W10" s="12"/>
    </row>
    <row r="11" spans="1:29" ht="50.1" hidden="1" customHeight="1">
      <c r="D11" s="12"/>
      <c r="E11" s="12">
        <v>6</v>
      </c>
      <c r="F11" s="12" t="s">
        <v>215</v>
      </c>
      <c r="G11" s="12">
        <v>99</v>
      </c>
      <c r="H11" s="12">
        <v>50000</v>
      </c>
      <c r="I11" s="12" t="s">
        <v>214</v>
      </c>
      <c r="J11" s="12">
        <v>5000</v>
      </c>
      <c r="K11" s="12">
        <v>6</v>
      </c>
      <c r="L11" s="12" t="s">
        <v>215</v>
      </c>
      <c r="M11" s="12">
        <v>99</v>
      </c>
      <c r="N11" s="12" t="s">
        <v>222</v>
      </c>
      <c r="O11" s="12" t="s">
        <v>223</v>
      </c>
      <c r="P11" s="12">
        <v>100000</v>
      </c>
      <c r="Q11" s="12">
        <v>6</v>
      </c>
      <c r="R11" s="12" t="s">
        <v>215</v>
      </c>
      <c r="S11" s="12">
        <v>99</v>
      </c>
      <c r="T11" s="290" t="str">
        <f t="shared" ref="T11:V11" si="5">T20</f>
        <v>例：1</v>
      </c>
      <c r="U11" s="290" t="str">
        <f t="shared" si="5"/>
        <v>例：1</v>
      </c>
      <c r="V11" s="290" t="str">
        <f t="shared" si="5"/>
        <v>例：1</v>
      </c>
      <c r="W11" s="12"/>
    </row>
    <row r="12" spans="1:29">
      <c r="E12" s="292"/>
    </row>
    <row r="13" spans="1:29" ht="16.5" customHeight="1">
      <c r="E13" s="12"/>
      <c r="F13" s="892" t="s">
        <v>1631</v>
      </c>
      <c r="G13" s="893"/>
      <c r="H13" s="893"/>
      <c r="I13" s="893"/>
      <c r="J13" s="893"/>
      <c r="K13" s="12"/>
      <c r="L13" s="892" t="s">
        <v>1637</v>
      </c>
      <c r="M13" s="893"/>
      <c r="N13" s="893"/>
      <c r="O13" s="893"/>
      <c r="P13" s="894"/>
      <c r="Q13" s="12"/>
      <c r="R13" s="892" t="s">
        <v>1645</v>
      </c>
      <c r="S13" s="893"/>
      <c r="T13" s="893"/>
      <c r="U13" s="893"/>
      <c r="V13" s="894"/>
      <c r="W13" s="878" t="s">
        <v>1651</v>
      </c>
    </row>
    <row r="14" spans="1:29" s="12" customFormat="1" ht="16.5" customHeight="1">
      <c r="F14" s="293" t="s">
        <v>1632</v>
      </c>
      <c r="G14" s="294" t="s">
        <v>1633</v>
      </c>
      <c r="H14" s="294" t="s">
        <v>1634</v>
      </c>
      <c r="I14" s="294" t="s">
        <v>1635</v>
      </c>
      <c r="J14" s="295" t="s">
        <v>1636</v>
      </c>
      <c r="L14" s="293" t="s">
        <v>1632</v>
      </c>
      <c r="M14" s="294" t="s">
        <v>1633</v>
      </c>
      <c r="N14" s="294" t="s">
        <v>1634</v>
      </c>
      <c r="O14" s="294" t="s">
        <v>1635</v>
      </c>
      <c r="P14" s="295" t="s">
        <v>1636</v>
      </c>
      <c r="R14" s="293" t="s">
        <v>196</v>
      </c>
      <c r="S14" s="294" t="s">
        <v>154</v>
      </c>
      <c r="T14" s="294" t="s">
        <v>197</v>
      </c>
      <c r="U14" s="294" t="s">
        <v>198</v>
      </c>
      <c r="V14" s="295" t="s">
        <v>199</v>
      </c>
      <c r="W14" s="879"/>
    </row>
    <row r="15" spans="1:29" s="12" customFormat="1" ht="33" customHeight="1">
      <c r="F15" s="296" t="s">
        <v>200</v>
      </c>
      <c r="G15" s="297" t="s">
        <v>1629</v>
      </c>
      <c r="H15" s="298">
        <v>0.5</v>
      </c>
      <c r="I15" s="297" t="s">
        <v>209</v>
      </c>
      <c r="J15" s="299">
        <v>0.5</v>
      </c>
      <c r="L15" s="296" t="s">
        <v>200</v>
      </c>
      <c r="M15" s="297" t="s">
        <v>208</v>
      </c>
      <c r="N15" s="297">
        <v>10</v>
      </c>
      <c r="O15" s="297" t="s">
        <v>209</v>
      </c>
      <c r="P15" s="299">
        <v>10</v>
      </c>
      <c r="R15" s="296" t="s">
        <v>200</v>
      </c>
      <c r="S15" s="297" t="s">
        <v>208</v>
      </c>
      <c r="T15" s="300" t="s">
        <v>1649</v>
      </c>
      <c r="U15" s="301" t="s">
        <v>1650</v>
      </c>
      <c r="V15" s="302" t="s">
        <v>1650</v>
      </c>
      <c r="W15" s="879"/>
    </row>
    <row r="16" spans="1:29" s="12" customFormat="1" ht="33" customHeight="1">
      <c r="F16" s="303" t="s">
        <v>201</v>
      </c>
      <c r="G16" s="304" t="s">
        <v>1628</v>
      </c>
      <c r="H16" s="305" t="s">
        <v>1638</v>
      </c>
      <c r="I16" s="305" t="s">
        <v>202</v>
      </c>
      <c r="J16" s="306">
        <v>2</v>
      </c>
      <c r="L16" s="303" t="s">
        <v>201</v>
      </c>
      <c r="M16" s="304" t="s">
        <v>1628</v>
      </c>
      <c r="N16" s="305" t="s">
        <v>216</v>
      </c>
      <c r="O16" s="305" t="s">
        <v>217</v>
      </c>
      <c r="P16" s="306">
        <v>40</v>
      </c>
      <c r="R16" s="303" t="s">
        <v>201</v>
      </c>
      <c r="S16" s="304" t="s">
        <v>1628</v>
      </c>
      <c r="T16" s="307" t="s">
        <v>1650</v>
      </c>
      <c r="U16" s="307" t="s">
        <v>1648</v>
      </c>
      <c r="V16" s="308" t="s">
        <v>1648</v>
      </c>
      <c r="W16" s="879"/>
    </row>
    <row r="17" spans="1:23" s="12" customFormat="1" ht="33" customHeight="1">
      <c r="F17" s="296" t="s">
        <v>203</v>
      </c>
      <c r="G17" s="297" t="s">
        <v>1627</v>
      </c>
      <c r="H17" s="309" t="s">
        <v>204</v>
      </c>
      <c r="I17" s="309" t="s">
        <v>205</v>
      </c>
      <c r="J17" s="310">
        <v>10</v>
      </c>
      <c r="L17" s="296" t="s">
        <v>203</v>
      </c>
      <c r="M17" s="297" t="s">
        <v>1627</v>
      </c>
      <c r="N17" s="309" t="s">
        <v>218</v>
      </c>
      <c r="O17" s="309" t="s">
        <v>219</v>
      </c>
      <c r="P17" s="310">
        <v>200</v>
      </c>
      <c r="R17" s="296" t="s">
        <v>203</v>
      </c>
      <c r="S17" s="297" t="s">
        <v>1626</v>
      </c>
      <c r="T17" s="311" t="s">
        <v>1648</v>
      </c>
      <c r="U17" s="311" t="s">
        <v>1648</v>
      </c>
      <c r="V17" s="312" t="s">
        <v>1648</v>
      </c>
      <c r="W17" s="879"/>
    </row>
    <row r="18" spans="1:23" s="12" customFormat="1" ht="33" customHeight="1">
      <c r="F18" s="303" t="s">
        <v>207</v>
      </c>
      <c r="G18" s="313" t="s">
        <v>206</v>
      </c>
      <c r="H18" s="305" t="s">
        <v>210</v>
      </c>
      <c r="I18" s="305" t="s">
        <v>211</v>
      </c>
      <c r="J18" s="306">
        <v>50</v>
      </c>
      <c r="L18" s="303" t="s">
        <v>207</v>
      </c>
      <c r="M18" s="313" t="s">
        <v>206</v>
      </c>
      <c r="N18" s="305" t="s">
        <v>220</v>
      </c>
      <c r="O18" s="305" t="s">
        <v>221</v>
      </c>
      <c r="P18" s="306">
        <v>1000</v>
      </c>
      <c r="R18" s="303" t="s">
        <v>207</v>
      </c>
      <c r="S18" s="313" t="s">
        <v>206</v>
      </c>
      <c r="T18" s="307" t="s">
        <v>1648</v>
      </c>
      <c r="U18" s="307" t="s">
        <v>1648</v>
      </c>
      <c r="V18" s="308" t="s">
        <v>1648</v>
      </c>
      <c r="W18" s="879"/>
    </row>
    <row r="19" spans="1:23" s="12" customFormat="1" ht="48" customHeight="1">
      <c r="F19" s="296" t="s">
        <v>212</v>
      </c>
      <c r="G19" s="297" t="s">
        <v>213</v>
      </c>
      <c r="H19" s="309" t="s">
        <v>1640</v>
      </c>
      <c r="I19" s="309" t="s">
        <v>1639</v>
      </c>
      <c r="J19" s="310">
        <v>250</v>
      </c>
      <c r="L19" s="296" t="s">
        <v>212</v>
      </c>
      <c r="M19" s="297" t="s">
        <v>213</v>
      </c>
      <c r="N19" s="309" t="s">
        <v>1642</v>
      </c>
      <c r="O19" s="309" t="s">
        <v>1641</v>
      </c>
      <c r="P19" s="310">
        <v>5000</v>
      </c>
      <c r="R19" s="296" t="s">
        <v>212</v>
      </c>
      <c r="S19" s="297" t="s">
        <v>213</v>
      </c>
      <c r="T19" s="311" t="s">
        <v>1648</v>
      </c>
      <c r="U19" s="311" t="s">
        <v>1648</v>
      </c>
      <c r="V19" s="312" t="s">
        <v>1648</v>
      </c>
      <c r="W19" s="879"/>
    </row>
    <row r="20" spans="1:23" s="12" customFormat="1" ht="33" customHeight="1">
      <c r="F20" s="314" t="s">
        <v>215</v>
      </c>
      <c r="G20" s="315">
        <v>99</v>
      </c>
      <c r="H20" s="316">
        <v>50000</v>
      </c>
      <c r="I20" s="315" t="s">
        <v>214</v>
      </c>
      <c r="J20" s="317">
        <v>5000</v>
      </c>
      <c r="L20" s="314" t="s">
        <v>215</v>
      </c>
      <c r="M20" s="315">
        <v>99</v>
      </c>
      <c r="N20" s="316" t="s">
        <v>222</v>
      </c>
      <c r="O20" s="315" t="s">
        <v>223</v>
      </c>
      <c r="P20" s="317">
        <v>100000</v>
      </c>
      <c r="R20" s="314" t="s">
        <v>215</v>
      </c>
      <c r="S20" s="315">
        <v>99</v>
      </c>
      <c r="T20" s="318" t="s">
        <v>1648</v>
      </c>
      <c r="U20" s="319" t="s">
        <v>1648</v>
      </c>
      <c r="V20" s="320" t="s">
        <v>1648</v>
      </c>
      <c r="W20" s="880"/>
    </row>
    <row r="21" spans="1:23" s="12" customFormat="1">
      <c r="A21" s="289"/>
      <c r="B21" s="289"/>
      <c r="C21" s="289"/>
      <c r="D21" s="289"/>
      <c r="Q21" s="289"/>
      <c r="R21" s="289"/>
      <c r="S21" s="289"/>
      <c r="U21" s="321" t="s">
        <v>1646</v>
      </c>
      <c r="V21" s="322" t="s">
        <v>1647</v>
      </c>
    </row>
    <row r="22" spans="1:23" s="12" customFormat="1">
      <c r="F22" s="898" t="s">
        <v>1611</v>
      </c>
      <c r="G22" s="899"/>
      <c r="H22" s="899"/>
      <c r="I22" s="899"/>
      <c r="J22" s="900"/>
    </row>
    <row r="23" spans="1:23" s="12" customFormat="1" ht="51.75" customHeight="1">
      <c r="F23" s="889" t="s">
        <v>1612</v>
      </c>
      <c r="G23" s="890"/>
      <c r="H23" s="890"/>
      <c r="I23" s="890"/>
      <c r="J23" s="891"/>
    </row>
    <row r="24" spans="1:23" s="12" customFormat="1">
      <c r="F24" s="895" t="s">
        <v>1613</v>
      </c>
      <c r="G24" s="896"/>
      <c r="H24" s="896"/>
      <c r="I24" s="896"/>
      <c r="J24" s="897"/>
    </row>
    <row r="25" spans="1:23" s="12" customFormat="1" ht="73.5" customHeight="1">
      <c r="B25" s="292"/>
      <c r="F25" s="889" t="s">
        <v>1614</v>
      </c>
      <c r="G25" s="890"/>
      <c r="H25" s="890"/>
      <c r="I25" s="890"/>
      <c r="J25" s="891"/>
    </row>
    <row r="26" spans="1:23" s="12" customFormat="1">
      <c r="F26" s="895" t="s">
        <v>1615</v>
      </c>
      <c r="G26" s="896"/>
      <c r="H26" s="896"/>
      <c r="I26" s="896"/>
      <c r="J26" s="897"/>
    </row>
    <row r="27" spans="1:23" s="12" customFormat="1" ht="74.25" customHeight="1">
      <c r="F27" s="889" t="s">
        <v>1616</v>
      </c>
      <c r="G27" s="890"/>
      <c r="H27" s="890"/>
      <c r="I27" s="890"/>
      <c r="J27" s="891"/>
    </row>
    <row r="28" spans="1:23" s="12" customFormat="1">
      <c r="F28" s="895" t="s">
        <v>1617</v>
      </c>
      <c r="G28" s="896"/>
      <c r="H28" s="896"/>
      <c r="I28" s="896"/>
      <c r="J28" s="897"/>
    </row>
    <row r="29" spans="1:23" s="12" customFormat="1" ht="72.75" customHeight="1">
      <c r="F29" s="889" t="s">
        <v>1618</v>
      </c>
      <c r="G29" s="890"/>
      <c r="H29" s="890"/>
      <c r="I29" s="890"/>
      <c r="J29" s="891"/>
    </row>
    <row r="30" spans="1:23" s="12" customFormat="1">
      <c r="F30" s="895" t="s">
        <v>1619</v>
      </c>
      <c r="G30" s="896"/>
      <c r="H30" s="896"/>
      <c r="I30" s="896"/>
      <c r="J30" s="897"/>
    </row>
    <row r="31" spans="1:23" s="12" customFormat="1" ht="85.5" customHeight="1">
      <c r="F31" s="889" t="s">
        <v>1622</v>
      </c>
      <c r="G31" s="890"/>
      <c r="H31" s="890"/>
      <c r="I31" s="890"/>
      <c r="J31" s="891"/>
    </row>
    <row r="32" spans="1:23" s="12" customFormat="1">
      <c r="F32" s="895" t="s">
        <v>1620</v>
      </c>
      <c r="G32" s="896"/>
      <c r="H32" s="896"/>
      <c r="I32" s="896"/>
      <c r="J32" s="897"/>
    </row>
    <row r="33" spans="1:19" s="12" customFormat="1" ht="40.5" customHeight="1">
      <c r="F33" s="886" t="s">
        <v>1621</v>
      </c>
      <c r="G33" s="887"/>
      <c r="H33" s="887"/>
      <c r="I33" s="887"/>
      <c r="J33" s="888"/>
    </row>
    <row r="34" spans="1:19" s="12" customFormat="1" ht="17.25" customHeight="1"/>
    <row r="35" spans="1:19" s="12" customFormat="1"/>
    <row r="36" spans="1:19" s="12" customFormat="1"/>
    <row r="37" spans="1:19">
      <c r="A37" s="12"/>
      <c r="B37" s="12"/>
      <c r="C37" s="12"/>
      <c r="D37" s="12"/>
      <c r="E37" s="12"/>
      <c r="F37" s="12"/>
      <c r="G37" s="12"/>
      <c r="H37" s="12"/>
      <c r="I37" s="12"/>
      <c r="J37" s="12"/>
      <c r="K37" s="12"/>
      <c r="L37" s="12"/>
      <c r="M37" s="12"/>
      <c r="N37" s="12"/>
      <c r="O37" s="12"/>
      <c r="P37" s="12"/>
      <c r="Q37" s="12"/>
      <c r="R37" s="12"/>
      <c r="S37" s="12"/>
    </row>
    <row r="38" spans="1:19">
      <c r="A38" s="12"/>
      <c r="B38" s="12"/>
      <c r="C38" s="12"/>
      <c r="D38" s="12"/>
      <c r="E38" s="12"/>
      <c r="F38" s="12"/>
      <c r="G38" s="12"/>
      <c r="H38" s="12"/>
      <c r="I38" s="12"/>
      <c r="J38" s="12"/>
      <c r="K38" s="12"/>
      <c r="L38" s="12"/>
      <c r="M38" s="12"/>
      <c r="N38" s="12"/>
      <c r="O38" s="12"/>
      <c r="P38" s="12"/>
      <c r="Q38" s="12"/>
      <c r="R38" s="12"/>
      <c r="S38" s="12"/>
    </row>
    <row r="39" spans="1:19">
      <c r="A39" s="12"/>
      <c r="B39" s="12"/>
      <c r="C39" s="12"/>
      <c r="D39" s="12"/>
      <c r="E39" s="12"/>
      <c r="F39" s="12"/>
      <c r="G39" s="12"/>
      <c r="H39" s="12"/>
      <c r="I39" s="12"/>
      <c r="J39" s="12"/>
      <c r="K39" s="12"/>
      <c r="L39" s="12"/>
      <c r="M39" s="12"/>
      <c r="N39" s="12"/>
      <c r="O39" s="12"/>
      <c r="P39" s="12"/>
      <c r="Q39" s="12"/>
      <c r="R39" s="12"/>
      <c r="S39" s="12"/>
    </row>
    <row r="40" spans="1:19">
      <c r="A40" s="12"/>
      <c r="B40" s="12"/>
      <c r="C40" s="12"/>
      <c r="D40" s="12"/>
      <c r="E40" s="12"/>
      <c r="F40" s="12"/>
      <c r="G40" s="12"/>
      <c r="H40" s="12"/>
      <c r="I40" s="12"/>
      <c r="J40" s="12"/>
      <c r="K40" s="12"/>
      <c r="L40" s="12"/>
      <c r="M40" s="12"/>
      <c r="N40" s="12"/>
      <c r="O40" s="12"/>
      <c r="P40" s="12"/>
      <c r="Q40" s="12"/>
      <c r="R40" s="12"/>
      <c r="S40" s="12"/>
    </row>
    <row r="41" spans="1:19">
      <c r="A41" s="12"/>
      <c r="B41" s="292"/>
      <c r="C41" s="12"/>
      <c r="D41" s="12"/>
      <c r="E41" s="12"/>
      <c r="F41" s="12"/>
      <c r="G41" s="12"/>
      <c r="H41" s="12"/>
      <c r="I41" s="12"/>
      <c r="J41" s="12"/>
      <c r="K41" s="12"/>
      <c r="L41" s="12"/>
      <c r="M41" s="12"/>
      <c r="N41" s="12"/>
      <c r="O41" s="12"/>
      <c r="P41" s="12"/>
      <c r="Q41" s="12"/>
      <c r="R41" s="12"/>
      <c r="S41" s="12"/>
    </row>
    <row r="42" spans="1:19">
      <c r="A42" s="12"/>
      <c r="B42" s="12"/>
      <c r="C42" s="12"/>
      <c r="D42" s="12"/>
      <c r="E42" s="12"/>
      <c r="F42" s="12"/>
      <c r="G42" s="12"/>
      <c r="H42" s="12"/>
      <c r="I42" s="12"/>
      <c r="J42" s="12"/>
      <c r="K42" s="12"/>
      <c r="L42" s="12"/>
      <c r="M42" s="12"/>
      <c r="N42" s="12"/>
      <c r="O42" s="12"/>
      <c r="P42" s="12"/>
      <c r="Q42" s="12"/>
      <c r="R42" s="12"/>
      <c r="S42" s="12"/>
    </row>
    <row r="43" spans="1:19">
      <c r="A43" s="12"/>
      <c r="B43" s="12"/>
      <c r="C43" s="12"/>
      <c r="D43" s="12"/>
      <c r="E43" s="12"/>
      <c r="F43" s="12"/>
      <c r="G43" s="12"/>
      <c r="H43" s="12"/>
      <c r="I43" s="12"/>
      <c r="J43" s="12"/>
      <c r="K43" s="12"/>
      <c r="L43" s="12"/>
      <c r="M43" s="12"/>
      <c r="N43" s="12"/>
      <c r="O43" s="12"/>
      <c r="P43" s="12"/>
      <c r="Q43" s="12"/>
      <c r="R43" s="12"/>
      <c r="S43" s="12"/>
    </row>
    <row r="44" spans="1:19">
      <c r="A44" s="12"/>
      <c r="B44" s="12"/>
      <c r="C44" s="12"/>
      <c r="D44" s="12"/>
      <c r="E44" s="12"/>
      <c r="F44" s="12"/>
      <c r="G44" s="12"/>
      <c r="H44" s="12"/>
      <c r="I44" s="12"/>
      <c r="J44" s="12"/>
      <c r="K44" s="12"/>
      <c r="L44" s="12"/>
      <c r="M44" s="12"/>
      <c r="N44" s="12"/>
      <c r="O44" s="12"/>
      <c r="P44" s="12"/>
      <c r="Q44" s="12"/>
      <c r="R44" s="12"/>
      <c r="S44" s="12"/>
    </row>
    <row r="45" spans="1:19">
      <c r="E45" s="12"/>
      <c r="F45" s="12"/>
      <c r="G45" s="12"/>
      <c r="H45" s="12"/>
      <c r="I45" s="12"/>
      <c r="J45" s="12"/>
      <c r="K45" s="12"/>
      <c r="L45" s="12"/>
    </row>
    <row r="46" spans="1:19">
      <c r="E46" s="12"/>
      <c r="F46" s="12"/>
      <c r="G46" s="12"/>
      <c r="H46" s="12"/>
      <c r="I46" s="12"/>
      <c r="J46" s="12"/>
      <c r="K46" s="12"/>
      <c r="L46" s="12"/>
    </row>
  </sheetData>
  <sheetProtection formatCells="0" selectLockedCells="1"/>
  <mergeCells count="22">
    <mergeCell ref="F33:J33"/>
    <mergeCell ref="F23:J23"/>
    <mergeCell ref="L13:P13"/>
    <mergeCell ref="R13:V13"/>
    <mergeCell ref="F13:J13"/>
    <mergeCell ref="F30:J30"/>
    <mergeCell ref="F32:J32"/>
    <mergeCell ref="F31:J31"/>
    <mergeCell ref="F22:J22"/>
    <mergeCell ref="F24:J24"/>
    <mergeCell ref="F26:J26"/>
    <mergeCell ref="F27:J27"/>
    <mergeCell ref="F28:J28"/>
    <mergeCell ref="F25:J25"/>
    <mergeCell ref="F29:J29"/>
    <mergeCell ref="W13:W20"/>
    <mergeCell ref="Q4:V4"/>
    <mergeCell ref="A2:S2"/>
    <mergeCell ref="A1:S1"/>
    <mergeCell ref="K4:P4"/>
    <mergeCell ref="F3:J3"/>
    <mergeCell ref="E4:J4"/>
  </mergeCells>
  <phoneticPr fontId="7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2"/>
  <sheetViews>
    <sheetView showGridLines="0" workbookViewId="0">
      <selection activeCell="F28" sqref="F28"/>
    </sheetView>
  </sheetViews>
  <sheetFormatPr defaultColWidth="9.875" defaultRowHeight="14.25"/>
  <cols>
    <col min="1" max="1" width="9.5" style="215" customWidth="1"/>
    <col min="2" max="2" width="8" style="323" customWidth="1"/>
    <col min="3" max="3" width="6.25" style="323" customWidth="1"/>
    <col min="4" max="4" width="9.875" style="215" customWidth="1"/>
    <col min="5" max="5" width="11.25" style="215" customWidth="1"/>
    <col min="6" max="6" width="10.375" style="215" customWidth="1"/>
    <col min="7" max="8" width="9.875" style="215" customWidth="1"/>
    <col min="9" max="16384" width="9.875" style="215"/>
  </cols>
  <sheetData>
    <row r="1" spans="1:10">
      <c r="A1" s="324" t="s">
        <v>101</v>
      </c>
      <c r="B1" s="325" t="s">
        <v>102</v>
      </c>
      <c r="C1" s="326" t="s">
        <v>146</v>
      </c>
      <c r="E1" s="324" t="s">
        <v>2</v>
      </c>
      <c r="F1" s="326" t="s">
        <v>147</v>
      </c>
      <c r="J1" s="327"/>
    </row>
    <row r="2" spans="1:10">
      <c r="A2" s="328">
        <v>0</v>
      </c>
      <c r="B2" s="329" t="s">
        <v>244</v>
      </c>
      <c r="C2" s="330">
        <v>0</v>
      </c>
      <c r="E2" s="331">
        <f>人物卡!C6</f>
        <v>21</v>
      </c>
      <c r="F2" s="332">
        <f>IF((人物卡!C6&lt;40)*AND(人物卡!C6&gt;=0),0,IF(人物卡!C6&lt;50,1,IF(人物卡!C6&lt;60,2,IF(人物卡!C6&lt;70,3,IF(人物卡!C6&lt;80,4,IF(人物卡!C6&lt;90,5))))))</f>
        <v>0</v>
      </c>
    </row>
    <row r="3" spans="1:10">
      <c r="A3" s="333">
        <v>2</v>
      </c>
      <c r="B3" s="334">
        <v>-2</v>
      </c>
      <c r="C3" s="335">
        <v>-2</v>
      </c>
    </row>
    <row r="4" spans="1:10">
      <c r="A4" s="328">
        <v>65</v>
      </c>
      <c r="B4" s="329">
        <v>-1</v>
      </c>
      <c r="C4" s="330">
        <v>-1</v>
      </c>
    </row>
    <row r="5" spans="1:10">
      <c r="A5" s="333">
        <v>85</v>
      </c>
      <c r="B5" s="334">
        <v>0</v>
      </c>
      <c r="C5" s="335">
        <v>0</v>
      </c>
    </row>
    <row r="6" spans="1:10">
      <c r="A6" s="328">
        <v>125</v>
      </c>
      <c r="B6" s="329" t="s">
        <v>119</v>
      </c>
      <c r="C6" s="330">
        <v>1</v>
      </c>
    </row>
    <row r="7" spans="1:10">
      <c r="A7" s="333">
        <v>165</v>
      </c>
      <c r="B7" s="334" t="s">
        <v>120</v>
      </c>
      <c r="C7" s="335">
        <v>2</v>
      </c>
    </row>
    <row r="8" spans="1:10">
      <c r="A8" s="328">
        <v>205</v>
      </c>
      <c r="B8" s="329" t="s">
        <v>121</v>
      </c>
      <c r="C8" s="330">
        <v>3</v>
      </c>
    </row>
    <row r="9" spans="1:10">
      <c r="A9" s="333">
        <v>285</v>
      </c>
      <c r="B9" s="334" t="s">
        <v>122</v>
      </c>
      <c r="C9" s="335">
        <v>4</v>
      </c>
      <c r="E9" s="901" t="s">
        <v>153</v>
      </c>
      <c r="F9" s="902"/>
    </row>
    <row r="10" spans="1:10">
      <c r="A10" s="328">
        <v>365</v>
      </c>
      <c r="B10" s="329" t="s">
        <v>123</v>
      </c>
      <c r="C10" s="330">
        <v>5</v>
      </c>
      <c r="E10" s="336" t="s">
        <v>148</v>
      </c>
      <c r="F10" s="330">
        <f>人物卡!J3</f>
        <v>55</v>
      </c>
    </row>
    <row r="11" spans="1:10">
      <c r="A11" s="333">
        <v>445</v>
      </c>
      <c r="B11" s="334" t="s">
        <v>124</v>
      </c>
      <c r="C11" s="335">
        <v>6</v>
      </c>
      <c r="E11" s="333" t="s">
        <v>149</v>
      </c>
      <c r="F11" s="335">
        <f>人物卡!M3</f>
        <v>55</v>
      </c>
    </row>
    <row r="12" spans="1:10">
      <c r="A12" s="328">
        <v>525</v>
      </c>
      <c r="B12" s="329" t="s">
        <v>125</v>
      </c>
      <c r="C12" s="330">
        <v>7</v>
      </c>
      <c r="E12" s="336" t="s">
        <v>156</v>
      </c>
      <c r="F12" s="330">
        <f>人物卡!J7</f>
        <v>70</v>
      </c>
    </row>
    <row r="13" spans="1:10">
      <c r="A13" s="333">
        <v>605</v>
      </c>
      <c r="B13" s="334" t="s">
        <v>126</v>
      </c>
      <c r="C13" s="335">
        <v>8</v>
      </c>
      <c r="E13" s="333" t="s">
        <v>157</v>
      </c>
      <c r="F13" s="335" t="b">
        <f>IF(F10&gt;F12,TRUE())</f>
        <v>0</v>
      </c>
    </row>
    <row r="14" spans="1:10">
      <c r="A14" s="328">
        <v>685</v>
      </c>
      <c r="B14" s="329" t="s">
        <v>127</v>
      </c>
      <c r="C14" s="330">
        <v>9</v>
      </c>
      <c r="E14" s="336" t="s">
        <v>158</v>
      </c>
      <c r="F14" s="330" t="b">
        <f>IF(F11&gt;F12,TRUE())</f>
        <v>0</v>
      </c>
    </row>
    <row r="15" spans="1:10">
      <c r="A15" s="333">
        <v>765</v>
      </c>
      <c r="B15" s="334" t="s">
        <v>128</v>
      </c>
      <c r="C15" s="335">
        <v>10</v>
      </c>
      <c r="E15" s="333" t="s">
        <v>159</v>
      </c>
      <c r="F15" s="335" t="b">
        <f>IF(F10=F12,TRUE())</f>
        <v>0</v>
      </c>
    </row>
    <row r="16" spans="1:10">
      <c r="A16" s="328">
        <v>845</v>
      </c>
      <c r="B16" s="329" t="s">
        <v>129</v>
      </c>
      <c r="C16" s="330">
        <v>11</v>
      </c>
      <c r="E16" s="336" t="s">
        <v>160</v>
      </c>
      <c r="F16" s="330" t="b">
        <f>IF(F11=F12,TRUE())</f>
        <v>0</v>
      </c>
    </row>
    <row r="17" spans="1:6">
      <c r="A17" s="333">
        <v>925</v>
      </c>
      <c r="B17" s="334" t="s">
        <v>130</v>
      </c>
      <c r="C17" s="335">
        <v>12</v>
      </c>
      <c r="E17" s="333" t="s">
        <v>161</v>
      </c>
      <c r="F17" s="335" t="b">
        <f>IF(F10&lt;F12,TRUE())</f>
        <v>1</v>
      </c>
    </row>
    <row r="18" spans="1:6">
      <c r="A18" s="328">
        <v>1005</v>
      </c>
      <c r="B18" s="329" t="s">
        <v>131</v>
      </c>
      <c r="C18" s="330">
        <v>13</v>
      </c>
      <c r="E18" s="336" t="s">
        <v>162</v>
      </c>
      <c r="F18" s="330" t="b">
        <f>IF(F11&lt;F12,TRUE())</f>
        <v>1</v>
      </c>
    </row>
    <row r="19" spans="1:6">
      <c r="A19" s="333">
        <v>1085</v>
      </c>
      <c r="B19" s="334" t="s">
        <v>132</v>
      </c>
      <c r="C19" s="335">
        <v>14</v>
      </c>
      <c r="E19" s="333" t="s">
        <v>163</v>
      </c>
      <c r="F19" s="335" t="b">
        <f>AND(F17:F18)</f>
        <v>1</v>
      </c>
    </row>
    <row r="20" spans="1:6">
      <c r="A20" s="328">
        <v>1165</v>
      </c>
      <c r="B20" s="329" t="s">
        <v>133</v>
      </c>
      <c r="C20" s="330">
        <v>15</v>
      </c>
      <c r="E20" s="336" t="s">
        <v>151</v>
      </c>
      <c r="F20" s="330" t="b">
        <f>AND(F13:F14)</f>
        <v>0</v>
      </c>
    </row>
    <row r="21" spans="1:6">
      <c r="A21" s="333">
        <v>1245</v>
      </c>
      <c r="B21" s="334" t="s">
        <v>134</v>
      </c>
      <c r="C21" s="335">
        <v>16</v>
      </c>
      <c r="E21" s="333" t="s">
        <v>150</v>
      </c>
      <c r="F21" s="335" t="b">
        <f>AND(F15:F16)</f>
        <v>0</v>
      </c>
    </row>
    <row r="22" spans="1:6">
      <c r="A22" s="328">
        <v>1325</v>
      </c>
      <c r="B22" s="329" t="s">
        <v>135</v>
      </c>
      <c r="C22" s="330">
        <v>17</v>
      </c>
      <c r="E22" s="336" t="s">
        <v>152</v>
      </c>
      <c r="F22" s="330" t="b">
        <f>OR(F13:F14)</f>
        <v>0</v>
      </c>
    </row>
    <row r="23" spans="1:6">
      <c r="A23" s="333">
        <v>1405</v>
      </c>
      <c r="B23" s="334" t="s">
        <v>136</v>
      </c>
      <c r="C23" s="335">
        <v>18</v>
      </c>
      <c r="E23" s="333" t="s">
        <v>237</v>
      </c>
      <c r="F23" s="335">
        <f>IF(OR(F15:F16),8,0)</f>
        <v>0</v>
      </c>
    </row>
    <row r="24" spans="1:6">
      <c r="A24" s="328">
        <v>1485</v>
      </c>
      <c r="B24" s="329" t="s">
        <v>137</v>
      </c>
      <c r="C24" s="330">
        <v>19</v>
      </c>
      <c r="E24" s="336" t="s">
        <v>164</v>
      </c>
      <c r="F24" s="330">
        <f>IF(F19,7,0)</f>
        <v>7</v>
      </c>
    </row>
    <row r="25" spans="1:6">
      <c r="A25" s="333">
        <v>1565</v>
      </c>
      <c r="B25" s="334" t="s">
        <v>138</v>
      </c>
      <c r="C25" s="335">
        <v>20</v>
      </c>
      <c r="E25" s="333" t="s">
        <v>165</v>
      </c>
      <c r="F25" s="335">
        <f>IF(F20,9,0)</f>
        <v>0</v>
      </c>
    </row>
    <row r="26" spans="1:6">
      <c r="A26" s="328">
        <v>1645</v>
      </c>
      <c r="B26" s="329" t="s">
        <v>139</v>
      </c>
      <c r="C26" s="330">
        <v>21</v>
      </c>
      <c r="E26" s="336" t="s">
        <v>166</v>
      </c>
      <c r="F26" s="330">
        <f>IF(OR(F21:F22),8,0)</f>
        <v>0</v>
      </c>
    </row>
    <row r="27" spans="1:6">
      <c r="A27" s="333">
        <v>1725</v>
      </c>
      <c r="B27" s="334" t="s">
        <v>140</v>
      </c>
      <c r="C27" s="335">
        <v>22</v>
      </c>
      <c r="E27" s="333" t="s">
        <v>1392</v>
      </c>
      <c r="F27" s="335">
        <f>MAX(F23:F26)</f>
        <v>7</v>
      </c>
    </row>
    <row r="28" spans="1:6">
      <c r="A28" s="328">
        <v>1805</v>
      </c>
      <c r="B28" s="329" t="s">
        <v>141</v>
      </c>
      <c r="C28" s="330">
        <v>23</v>
      </c>
      <c r="E28" s="337" t="s">
        <v>1391</v>
      </c>
      <c r="F28" s="338">
        <f>F27-F2</f>
        <v>7</v>
      </c>
    </row>
    <row r="29" spans="1:6">
      <c r="A29" s="333">
        <v>1885</v>
      </c>
      <c r="B29" s="334" t="s">
        <v>142</v>
      </c>
      <c r="C29" s="335">
        <v>24</v>
      </c>
    </row>
    <row r="30" spans="1:6">
      <c r="A30" s="328">
        <v>1965</v>
      </c>
      <c r="B30" s="329" t="s">
        <v>143</v>
      </c>
      <c r="C30" s="330">
        <v>25</v>
      </c>
    </row>
    <row r="31" spans="1:6">
      <c r="A31" s="333">
        <v>2045</v>
      </c>
      <c r="B31" s="334" t="s">
        <v>144</v>
      </c>
      <c r="C31" s="335">
        <v>26</v>
      </c>
    </row>
    <row r="32" spans="1:6">
      <c r="A32" s="339">
        <v>2125</v>
      </c>
      <c r="B32" s="340" t="s">
        <v>145</v>
      </c>
      <c r="C32" s="332">
        <v>27</v>
      </c>
    </row>
    <row r="34" spans="1:19">
      <c r="A34" s="341" t="s">
        <v>1433</v>
      </c>
      <c r="B34" s="342" t="s">
        <v>1434</v>
      </c>
    </row>
    <row r="35" spans="1:19" ht="28.5">
      <c r="A35" s="343" t="s">
        <v>1478</v>
      </c>
      <c r="B35" s="344">
        <f>STR</f>
        <v>55</v>
      </c>
    </row>
    <row r="36" spans="1:19" ht="28.5">
      <c r="A36" s="345" t="s">
        <v>1477</v>
      </c>
      <c r="B36" s="346">
        <f>DEX</f>
        <v>55</v>
      </c>
    </row>
    <row r="37" spans="1:19" ht="28.5">
      <c r="A37" s="343" t="s">
        <v>1476</v>
      </c>
      <c r="B37" s="344">
        <f>POW</f>
        <v>55</v>
      </c>
    </row>
    <row r="38" spans="1:19" ht="28.5">
      <c r="A38" s="345" t="s">
        <v>1475</v>
      </c>
      <c r="B38" s="346">
        <f>CON</f>
        <v>60</v>
      </c>
    </row>
    <row r="39" spans="1:19" ht="28.5">
      <c r="A39" s="343" t="s">
        <v>1474</v>
      </c>
      <c r="B39" s="344">
        <f>APP</f>
        <v>70</v>
      </c>
    </row>
    <row r="40" spans="1:19" ht="28.5">
      <c r="A40" s="345" t="s">
        <v>107</v>
      </c>
      <c r="B40" s="346">
        <f>EDU</f>
        <v>80</v>
      </c>
    </row>
    <row r="41" spans="1:19" ht="28.5">
      <c r="A41" s="343" t="s">
        <v>1473</v>
      </c>
      <c r="B41" s="347">
        <f>SIZ</f>
        <v>70</v>
      </c>
    </row>
    <row r="42" spans="1:19" ht="28.5">
      <c r="A42" s="348" t="s">
        <v>170</v>
      </c>
      <c r="B42" s="349">
        <f>INT</f>
        <v>65</v>
      </c>
    </row>
    <row r="43" spans="1:19">
      <c r="B43" s="215"/>
      <c r="C43" s="215"/>
    </row>
    <row r="45" spans="1:19">
      <c r="A45" s="350" t="s">
        <v>1430</v>
      </c>
      <c r="B45" s="351" t="s">
        <v>1431</v>
      </c>
      <c r="C45" s="903" t="s">
        <v>1432</v>
      </c>
      <c r="D45" s="903"/>
      <c r="E45" s="903"/>
      <c r="F45" s="903"/>
      <c r="G45" s="903"/>
      <c r="H45" s="903"/>
      <c r="I45" s="903"/>
      <c r="J45" s="903"/>
      <c r="K45" s="903"/>
      <c r="L45" s="903"/>
      <c r="M45" s="903"/>
      <c r="N45" s="903"/>
      <c r="O45" s="903"/>
      <c r="P45" s="903"/>
      <c r="Q45" s="904"/>
      <c r="R45" s="351" t="s">
        <v>1435</v>
      </c>
      <c r="S45" s="352" t="s">
        <v>1442</v>
      </c>
    </row>
    <row r="46" spans="1:19">
      <c r="A46" s="353" t="s">
        <v>1424</v>
      </c>
      <c r="B46" s="354">
        <f t="shared" ref="B46:B51" si="0">($R46/$S46)*10+20</f>
        <v>83.333333333333329</v>
      </c>
      <c r="C46" s="355">
        <f>SUM(人物卡!$G$33:$I$35)</f>
        <v>5</v>
      </c>
      <c r="D46" s="356">
        <f>SUM(人物卡!$G$28:$I$28)</f>
        <v>33</v>
      </c>
      <c r="E46" s="356">
        <f>SUM(人物卡!$G$36:$I$38)</f>
        <v>0</v>
      </c>
      <c r="F46" s="356">
        <f>SUM(人物卡!$G$47:$I$47)</f>
        <v>0</v>
      </c>
      <c r="G46" s="356">
        <f>SUM(人物卡!$R$40:$T$40)</f>
        <v>0</v>
      </c>
      <c r="H46" s="356">
        <f>SUM(人物卡!$R$43:$T$43)</f>
        <v>0</v>
      </c>
      <c r="I46" s="356" t="s">
        <v>1441</v>
      </c>
      <c r="J46" s="356" t="s">
        <v>1441</v>
      </c>
      <c r="K46" s="356" t="s">
        <v>1441</v>
      </c>
      <c r="L46" s="356" t="s">
        <v>1441</v>
      </c>
      <c r="M46" s="356" t="s">
        <v>1441</v>
      </c>
      <c r="N46" s="356" t="s">
        <v>1441</v>
      </c>
      <c r="O46" s="356" t="s">
        <v>1441</v>
      </c>
      <c r="P46" s="356" t="s">
        <v>1441</v>
      </c>
      <c r="Q46" s="357" t="s">
        <v>1441</v>
      </c>
      <c r="R46" s="358">
        <f>SUM($C46:$O46)</f>
        <v>38</v>
      </c>
      <c r="S46" s="359">
        <f t="shared" ref="S46:S51" si="1">COUNT($C46:$Q46)</f>
        <v>6</v>
      </c>
    </row>
    <row r="47" spans="1:19">
      <c r="A47" s="360" t="s">
        <v>1427</v>
      </c>
      <c r="B47" s="361">
        <f t="shared" si="0"/>
        <v>86.666666666666671</v>
      </c>
      <c r="C47" s="362">
        <f>SUM(人物卡!$G$19:$I$21)</f>
        <v>60</v>
      </c>
      <c r="D47" s="334">
        <f>SUM(人物卡!$G$29:$I$29)</f>
        <v>0</v>
      </c>
      <c r="E47" s="334">
        <f>SUM(人物卡!$G$27:$I$27)</f>
        <v>0</v>
      </c>
      <c r="F47" s="334">
        <f>SUM(人物卡!$G$30:$I$30)</f>
        <v>0</v>
      </c>
      <c r="G47" s="334">
        <f>SUM(人物卡!$R$18:$T$18)</f>
        <v>0</v>
      </c>
      <c r="H47" s="334">
        <f>SUM(人物卡!$R$19:$T$19)</f>
        <v>40</v>
      </c>
      <c r="I47" s="334">
        <f>SUM(人物卡!$R$24:$T$24)</f>
        <v>0</v>
      </c>
      <c r="J47" s="334">
        <f>SUM(人物卡!$R$26:$T$26)</f>
        <v>0</v>
      </c>
      <c r="K47" s="334">
        <f>SUM(人物卡!$R$29:$T$29)</f>
        <v>0</v>
      </c>
      <c r="L47" s="334">
        <f>SUM(人物卡!$R$33:$T$33)</f>
        <v>0</v>
      </c>
      <c r="M47" s="334">
        <f>SUM(人物卡!$R$38:$T$38)</f>
        <v>0</v>
      </c>
      <c r="N47" s="334">
        <f>SUM(人物卡!$R$44:$T$48)</f>
        <v>0</v>
      </c>
      <c r="O47" s="334">
        <f>SUM(人物卡!$R$37:$T$37)</f>
        <v>0</v>
      </c>
      <c r="P47" s="334">
        <f>SUM(人物卡!$R$39:$T$39)</f>
        <v>0</v>
      </c>
      <c r="Q47" s="363">
        <f>SUM(人物卡!$R$41:$T$41)</f>
        <v>0</v>
      </c>
      <c r="R47" s="361">
        <f>SUM($C47:$O47)</f>
        <v>100</v>
      </c>
      <c r="S47" s="364">
        <f t="shared" si="1"/>
        <v>15</v>
      </c>
    </row>
    <row r="48" spans="1:19">
      <c r="A48" s="365" t="s">
        <v>1428</v>
      </c>
      <c r="B48" s="366">
        <f t="shared" si="0"/>
        <v>20</v>
      </c>
      <c r="C48" s="367">
        <f>SUM(人物卡!$G$39:$I$39)</f>
        <v>0</v>
      </c>
      <c r="D48" s="368">
        <f>SUM(人物卡!$R$20:$T$20)</f>
        <v>0</v>
      </c>
      <c r="E48" s="368">
        <f>SUM(人物卡!$R$27:$T$27)</f>
        <v>0</v>
      </c>
      <c r="F48" s="368">
        <f>SUM(人物卡!$R$42:$T$42)</f>
        <v>0</v>
      </c>
      <c r="G48" s="368" t="s">
        <v>1441</v>
      </c>
      <c r="H48" s="368" t="s">
        <v>1441</v>
      </c>
      <c r="I48" s="368" t="s">
        <v>1441</v>
      </c>
      <c r="J48" s="368" t="s">
        <v>1441</v>
      </c>
      <c r="K48" s="368" t="s">
        <v>1441</v>
      </c>
      <c r="L48" s="368" t="s">
        <v>1441</v>
      </c>
      <c r="M48" s="368" t="s">
        <v>1441</v>
      </c>
      <c r="N48" s="368" t="s">
        <v>1441</v>
      </c>
      <c r="O48" s="368" t="s">
        <v>1441</v>
      </c>
      <c r="P48" s="368" t="s">
        <v>1441</v>
      </c>
      <c r="Q48" s="369" t="s">
        <v>1441</v>
      </c>
      <c r="R48" s="366">
        <f>SUM($C48:$O48)</f>
        <v>0</v>
      </c>
      <c r="S48" s="370">
        <f t="shared" si="1"/>
        <v>4</v>
      </c>
    </row>
    <row r="49" spans="1:19">
      <c r="A49" s="360" t="s">
        <v>1426</v>
      </c>
      <c r="B49" s="361">
        <f t="shared" si="0"/>
        <v>133.75</v>
      </c>
      <c r="C49" s="362">
        <f>SUM(人物卡!$G$15:$I$15)</f>
        <v>0</v>
      </c>
      <c r="D49" s="334">
        <f>SUM(人物卡!$R$28:$T$28)</f>
        <v>42</v>
      </c>
      <c r="E49" s="334">
        <f>SUM(人物卡!$G$22:$I$22)</f>
        <v>0</v>
      </c>
      <c r="F49" s="334">
        <f>SUM(人物卡!$G$32:$I$32)</f>
        <v>0</v>
      </c>
      <c r="G49" s="334">
        <f>SUM(人物卡!$G$41:$I$41)</f>
        <v>0</v>
      </c>
      <c r="H49" s="334">
        <f>SUM(人物卡!$G$43:$I$45)</f>
        <v>49</v>
      </c>
      <c r="I49" s="334">
        <f>SUM(人物卡!$G$46:$I$46)</f>
        <v>0</v>
      </c>
      <c r="J49" s="334">
        <f>SUM(人物卡!$R$25:$T$25)</f>
        <v>0</v>
      </c>
      <c r="K49" s="334" t="s">
        <v>1441</v>
      </c>
      <c r="L49" s="334" t="s">
        <v>1441</v>
      </c>
      <c r="M49" s="334" t="s">
        <v>1441</v>
      </c>
      <c r="N49" s="334" t="s">
        <v>1441</v>
      </c>
      <c r="O49" s="334" t="s">
        <v>1441</v>
      </c>
      <c r="P49" s="334" t="s">
        <v>1441</v>
      </c>
      <c r="Q49" s="363" t="s">
        <v>1441</v>
      </c>
      <c r="R49" s="361">
        <f>SUM($C49:$O49)</f>
        <v>91</v>
      </c>
      <c r="S49" s="364">
        <f t="shared" si="1"/>
        <v>8</v>
      </c>
    </row>
    <row r="50" spans="1:19">
      <c r="A50" s="365" t="s">
        <v>1425</v>
      </c>
      <c r="B50" s="366">
        <f t="shared" si="0"/>
        <v>65</v>
      </c>
      <c r="C50" s="367">
        <f>SUM(人物卡!$G$18:$I$18)</f>
        <v>0</v>
      </c>
      <c r="D50" s="368">
        <f>SUM(人物卡!$G$24:$I$24)</f>
        <v>0</v>
      </c>
      <c r="E50" s="368">
        <f>SUM(人物卡!$G$31:$I$31)</f>
        <v>0</v>
      </c>
      <c r="F50" s="368">
        <f>SUM(人物卡!$R$21:$T$21)</f>
        <v>0</v>
      </c>
      <c r="G50" s="368">
        <f>SUM(人物卡!$R$23:$T$23)</f>
        <v>0</v>
      </c>
      <c r="H50" s="368">
        <f>SUM(人物卡!$R$30:$T$32)</f>
        <v>0</v>
      </c>
      <c r="I50" s="368">
        <f>SUM(人物卡!$G$40:$I$40)</f>
        <v>45</v>
      </c>
      <c r="J50" s="368">
        <f>SUM(人物卡!$R$15:$T$15)</f>
        <v>0</v>
      </c>
      <c r="K50" s="368">
        <f>SUM(人物卡!$G$17:$I$17)</f>
        <v>0</v>
      </c>
      <c r="L50" s="368">
        <f>SUM(人物卡!$G$16:$I$16)</f>
        <v>0</v>
      </c>
      <c r="M50" s="368" t="s">
        <v>1441</v>
      </c>
      <c r="N50" s="368" t="s">
        <v>1441</v>
      </c>
      <c r="O50" s="368" t="s">
        <v>1441</v>
      </c>
      <c r="P50" s="368" t="s">
        <v>1441</v>
      </c>
      <c r="Q50" s="369" t="s">
        <v>1441</v>
      </c>
      <c r="R50" s="366">
        <f>SUM($C50:$O50)</f>
        <v>45</v>
      </c>
      <c r="S50" s="370">
        <f t="shared" si="1"/>
        <v>10</v>
      </c>
    </row>
    <row r="51" spans="1:19">
      <c r="A51" s="371" t="s">
        <v>1429</v>
      </c>
      <c r="B51" s="372">
        <f t="shared" si="0"/>
        <v>125.55555555555556</v>
      </c>
      <c r="C51" s="373">
        <f>SUM(人物卡!$R$16:$T$16)</f>
        <v>45</v>
      </c>
      <c r="D51" s="374">
        <f>SUM(人物卡!$R$17:$T$17)</f>
        <v>50</v>
      </c>
      <c r="E51" s="374">
        <f>SUM(人物卡!$R$22:$T$22)</f>
        <v>0</v>
      </c>
      <c r="F51" s="374">
        <f>SUM(人物卡!$R$34:$T$34)</f>
        <v>0</v>
      </c>
      <c r="G51" s="374">
        <f>SUM(人物卡!$R$35:$T$35)</f>
        <v>0</v>
      </c>
      <c r="H51" s="374">
        <f>SUM(人物卡!$R$36:$T$36)</f>
        <v>0</v>
      </c>
      <c r="I51" s="374">
        <f>SUM(人物卡!$G$48:$I$48)</f>
        <v>0</v>
      </c>
      <c r="J51" s="374">
        <f>SUM(人物卡!$G$42:$I$42)</f>
        <v>0</v>
      </c>
      <c r="K51" s="374">
        <f>SUM(人物卡!$G$23:$I$23)</f>
        <v>0</v>
      </c>
      <c r="L51" s="374" t="s">
        <v>1463</v>
      </c>
      <c r="M51" s="374" t="s">
        <v>1463</v>
      </c>
      <c r="N51" s="374" t="s">
        <v>1463</v>
      </c>
      <c r="O51" s="374" t="s">
        <v>1463</v>
      </c>
      <c r="P51" s="374" t="s">
        <v>1463</v>
      </c>
      <c r="Q51" s="375" t="s">
        <v>1463</v>
      </c>
      <c r="R51" s="372">
        <f>SUM($C51:$M51)</f>
        <v>95</v>
      </c>
      <c r="S51" s="376">
        <f t="shared" si="1"/>
        <v>9</v>
      </c>
    </row>
    <row r="52" spans="1:19">
      <c r="R52" s="215">
        <f>SUM(R46:R51)</f>
        <v>369</v>
      </c>
      <c r="S52" s="215">
        <f>SUM(S46:S51)</f>
        <v>52</v>
      </c>
    </row>
  </sheetData>
  <mergeCells count="2">
    <mergeCell ref="E9:F9"/>
    <mergeCell ref="C45:Q45"/>
  </mergeCells>
  <phoneticPr fontId="7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D104"/>
  <sheetViews>
    <sheetView workbookViewId="0">
      <selection activeCell="B33" sqref="B33"/>
    </sheetView>
  </sheetViews>
  <sheetFormatPr defaultColWidth="10" defaultRowHeight="14.25"/>
  <cols>
    <col min="2" max="2" width="67.75" style="241" customWidth="1"/>
    <col min="4" max="4" width="74.75" style="241" customWidth="1"/>
  </cols>
  <sheetData>
    <row r="1" spans="1:4">
      <c r="B1" s="377" t="s">
        <v>238</v>
      </c>
      <c r="D1" s="377" t="s">
        <v>239</v>
      </c>
    </row>
    <row r="2" spans="1:4" ht="27">
      <c r="A2">
        <v>0</v>
      </c>
      <c r="B2" s="378" t="s">
        <v>240</v>
      </c>
      <c r="C2">
        <v>0</v>
      </c>
      <c r="D2" s="378" t="s">
        <v>243</v>
      </c>
    </row>
    <row r="3" spans="1:4">
      <c r="A3">
        <v>1</v>
      </c>
      <c r="B3" s="378" t="s">
        <v>257</v>
      </c>
      <c r="C3">
        <v>1</v>
      </c>
      <c r="D3" s="378" t="s">
        <v>357</v>
      </c>
    </row>
    <row r="4" spans="1:4">
      <c r="A4">
        <v>2</v>
      </c>
      <c r="B4" s="378" t="s">
        <v>258</v>
      </c>
      <c r="C4">
        <v>2</v>
      </c>
      <c r="D4" s="378" t="s">
        <v>358</v>
      </c>
    </row>
    <row r="5" spans="1:4">
      <c r="A5">
        <v>3</v>
      </c>
      <c r="B5" s="378" t="s">
        <v>259</v>
      </c>
      <c r="C5">
        <v>3</v>
      </c>
      <c r="D5" s="378" t="s">
        <v>359</v>
      </c>
    </row>
    <row r="6" spans="1:4">
      <c r="A6">
        <v>4</v>
      </c>
      <c r="B6" s="378" t="s">
        <v>260</v>
      </c>
      <c r="C6">
        <v>4</v>
      </c>
      <c r="D6" s="378" t="s">
        <v>360</v>
      </c>
    </row>
    <row r="7" spans="1:4">
      <c r="A7">
        <v>5</v>
      </c>
      <c r="B7" s="378" t="s">
        <v>261</v>
      </c>
      <c r="C7">
        <v>5</v>
      </c>
      <c r="D7" s="378" t="s">
        <v>361</v>
      </c>
    </row>
    <row r="8" spans="1:4">
      <c r="A8">
        <v>6</v>
      </c>
      <c r="B8" s="378" t="s">
        <v>262</v>
      </c>
      <c r="C8">
        <v>6</v>
      </c>
      <c r="D8" s="378" t="s">
        <v>362</v>
      </c>
    </row>
    <row r="9" spans="1:4">
      <c r="A9">
        <v>7</v>
      </c>
      <c r="B9" s="378" t="s">
        <v>263</v>
      </c>
      <c r="C9">
        <v>7</v>
      </c>
      <c r="D9" s="378" t="s">
        <v>363</v>
      </c>
    </row>
    <row r="10" spans="1:4">
      <c r="A10">
        <v>8</v>
      </c>
      <c r="B10" s="378" t="s">
        <v>264</v>
      </c>
      <c r="C10">
        <v>8</v>
      </c>
      <c r="D10" s="378" t="s">
        <v>364</v>
      </c>
    </row>
    <row r="11" spans="1:4">
      <c r="A11">
        <v>9</v>
      </c>
      <c r="B11" s="378" t="s">
        <v>265</v>
      </c>
      <c r="C11">
        <v>9</v>
      </c>
      <c r="D11" s="378" t="s">
        <v>365</v>
      </c>
    </row>
    <row r="12" spans="1:4">
      <c r="A12">
        <v>10</v>
      </c>
      <c r="B12" s="378" t="s">
        <v>266</v>
      </c>
      <c r="C12">
        <v>10</v>
      </c>
      <c r="D12" s="378" t="s">
        <v>366</v>
      </c>
    </row>
    <row r="13" spans="1:4">
      <c r="A13">
        <v>11</v>
      </c>
      <c r="B13" s="378" t="s">
        <v>267</v>
      </c>
      <c r="C13">
        <v>11</v>
      </c>
      <c r="D13" s="378" t="s">
        <v>367</v>
      </c>
    </row>
    <row r="14" spans="1:4">
      <c r="A14">
        <v>12</v>
      </c>
      <c r="B14" s="378" t="s">
        <v>268</v>
      </c>
      <c r="C14">
        <v>12</v>
      </c>
      <c r="D14" s="378" t="s">
        <v>368</v>
      </c>
    </row>
    <row r="15" spans="1:4">
      <c r="A15">
        <v>13</v>
      </c>
      <c r="B15" s="378" t="s">
        <v>269</v>
      </c>
      <c r="C15">
        <v>13</v>
      </c>
      <c r="D15" s="378" t="s">
        <v>369</v>
      </c>
    </row>
    <row r="16" spans="1:4">
      <c r="A16">
        <v>14</v>
      </c>
      <c r="B16" s="378" t="s">
        <v>270</v>
      </c>
      <c r="C16">
        <v>14</v>
      </c>
      <c r="D16" s="378" t="s">
        <v>370</v>
      </c>
    </row>
    <row r="17" spans="1:4">
      <c r="A17">
        <v>15</v>
      </c>
      <c r="B17" s="378" t="s">
        <v>356</v>
      </c>
      <c r="C17">
        <v>15</v>
      </c>
      <c r="D17" s="378" t="s">
        <v>371</v>
      </c>
    </row>
    <row r="18" spans="1:4" ht="27">
      <c r="A18">
        <v>16</v>
      </c>
      <c r="B18" s="378" t="s">
        <v>355</v>
      </c>
      <c r="C18">
        <v>16</v>
      </c>
      <c r="D18" s="378" t="s">
        <v>372</v>
      </c>
    </row>
    <row r="19" spans="1:4">
      <c r="A19">
        <v>17</v>
      </c>
      <c r="B19" s="378" t="s">
        <v>354</v>
      </c>
      <c r="C19">
        <v>17</v>
      </c>
      <c r="D19" s="378" t="s">
        <v>373</v>
      </c>
    </row>
    <row r="20" spans="1:4">
      <c r="A20">
        <v>18</v>
      </c>
      <c r="B20" s="378" t="s">
        <v>353</v>
      </c>
      <c r="C20">
        <v>18</v>
      </c>
      <c r="D20" s="378" t="s">
        <v>374</v>
      </c>
    </row>
    <row r="21" spans="1:4">
      <c r="A21">
        <v>19</v>
      </c>
      <c r="B21" s="378" t="s">
        <v>352</v>
      </c>
      <c r="C21">
        <v>19</v>
      </c>
      <c r="D21" s="378" t="s">
        <v>375</v>
      </c>
    </row>
    <row r="22" spans="1:4">
      <c r="A22">
        <v>20</v>
      </c>
      <c r="B22" s="378" t="s">
        <v>351</v>
      </c>
      <c r="C22">
        <v>20</v>
      </c>
      <c r="D22" s="378" t="s">
        <v>376</v>
      </c>
    </row>
    <row r="23" spans="1:4">
      <c r="A23">
        <v>21</v>
      </c>
      <c r="B23" s="378" t="s">
        <v>350</v>
      </c>
      <c r="C23">
        <v>21</v>
      </c>
      <c r="D23" s="378" t="s">
        <v>377</v>
      </c>
    </row>
    <row r="24" spans="1:4">
      <c r="A24">
        <v>22</v>
      </c>
      <c r="B24" s="378" t="s">
        <v>349</v>
      </c>
      <c r="C24">
        <v>22</v>
      </c>
      <c r="D24" s="378" t="s">
        <v>378</v>
      </c>
    </row>
    <row r="25" spans="1:4">
      <c r="A25">
        <v>23</v>
      </c>
      <c r="B25" s="378" t="s">
        <v>348</v>
      </c>
      <c r="C25">
        <v>23</v>
      </c>
      <c r="D25" s="378" t="s">
        <v>379</v>
      </c>
    </row>
    <row r="26" spans="1:4">
      <c r="A26">
        <v>24</v>
      </c>
      <c r="B26" s="378" t="s">
        <v>347</v>
      </c>
      <c r="C26">
        <v>24</v>
      </c>
      <c r="D26" s="378" t="s">
        <v>380</v>
      </c>
    </row>
    <row r="27" spans="1:4">
      <c r="A27">
        <v>25</v>
      </c>
      <c r="B27" s="378" t="s">
        <v>346</v>
      </c>
      <c r="C27">
        <v>25</v>
      </c>
      <c r="D27" s="378" t="s">
        <v>381</v>
      </c>
    </row>
    <row r="28" spans="1:4">
      <c r="A28">
        <v>26</v>
      </c>
      <c r="B28" s="378" t="s">
        <v>345</v>
      </c>
      <c r="C28">
        <v>26</v>
      </c>
      <c r="D28" s="378" t="s">
        <v>382</v>
      </c>
    </row>
    <row r="29" spans="1:4">
      <c r="A29">
        <v>27</v>
      </c>
      <c r="B29" s="378" t="s">
        <v>344</v>
      </c>
      <c r="C29">
        <v>27</v>
      </c>
      <c r="D29" s="378" t="s">
        <v>383</v>
      </c>
    </row>
    <row r="30" spans="1:4">
      <c r="A30">
        <v>28</v>
      </c>
      <c r="B30" s="378" t="s">
        <v>343</v>
      </c>
      <c r="C30">
        <v>28</v>
      </c>
      <c r="D30" s="378" t="s">
        <v>384</v>
      </c>
    </row>
    <row r="31" spans="1:4">
      <c r="A31">
        <v>29</v>
      </c>
      <c r="B31" s="378" t="s">
        <v>342</v>
      </c>
      <c r="C31">
        <v>29</v>
      </c>
      <c r="D31" s="378" t="s">
        <v>385</v>
      </c>
    </row>
    <row r="32" spans="1:4">
      <c r="A32">
        <v>30</v>
      </c>
      <c r="B32" s="378" t="s">
        <v>341</v>
      </c>
      <c r="C32">
        <v>30</v>
      </c>
      <c r="D32" s="378" t="s">
        <v>386</v>
      </c>
    </row>
    <row r="33" spans="1:4">
      <c r="A33">
        <v>31</v>
      </c>
      <c r="B33" s="378" t="s">
        <v>340</v>
      </c>
      <c r="C33">
        <v>31</v>
      </c>
      <c r="D33" s="378" t="s">
        <v>387</v>
      </c>
    </row>
    <row r="34" spans="1:4">
      <c r="A34">
        <v>32</v>
      </c>
      <c r="B34" s="378" t="s">
        <v>339</v>
      </c>
      <c r="C34">
        <v>32</v>
      </c>
      <c r="D34" s="378" t="s">
        <v>388</v>
      </c>
    </row>
    <row r="35" spans="1:4">
      <c r="A35">
        <v>33</v>
      </c>
      <c r="B35" s="378" t="s">
        <v>338</v>
      </c>
      <c r="C35">
        <v>33</v>
      </c>
      <c r="D35" s="378" t="s">
        <v>389</v>
      </c>
    </row>
    <row r="36" spans="1:4">
      <c r="A36">
        <v>34</v>
      </c>
      <c r="B36" s="378" t="s">
        <v>337</v>
      </c>
      <c r="C36">
        <v>34</v>
      </c>
      <c r="D36" s="378" t="s">
        <v>390</v>
      </c>
    </row>
    <row r="37" spans="1:4">
      <c r="A37">
        <v>35</v>
      </c>
      <c r="B37" s="378" t="s">
        <v>336</v>
      </c>
      <c r="C37">
        <v>35</v>
      </c>
      <c r="D37" s="378" t="s">
        <v>391</v>
      </c>
    </row>
    <row r="38" spans="1:4">
      <c r="A38">
        <v>36</v>
      </c>
      <c r="B38" s="378" t="s">
        <v>335</v>
      </c>
      <c r="C38">
        <v>36</v>
      </c>
      <c r="D38" s="378" t="s">
        <v>392</v>
      </c>
    </row>
    <row r="39" spans="1:4">
      <c r="A39">
        <v>37</v>
      </c>
      <c r="B39" s="378" t="s">
        <v>334</v>
      </c>
      <c r="C39">
        <v>37</v>
      </c>
      <c r="D39" s="378" t="s">
        <v>393</v>
      </c>
    </row>
    <row r="40" spans="1:4">
      <c r="A40">
        <v>38</v>
      </c>
      <c r="B40" s="378" t="s">
        <v>333</v>
      </c>
      <c r="C40">
        <v>38</v>
      </c>
      <c r="D40" s="378" t="s">
        <v>456</v>
      </c>
    </row>
    <row r="41" spans="1:4">
      <c r="A41">
        <v>39</v>
      </c>
      <c r="B41" s="378" t="s">
        <v>332</v>
      </c>
      <c r="C41">
        <v>39</v>
      </c>
      <c r="D41" s="378" t="s">
        <v>455</v>
      </c>
    </row>
    <row r="42" spans="1:4">
      <c r="A42">
        <v>40</v>
      </c>
      <c r="B42" s="378" t="s">
        <v>331</v>
      </c>
      <c r="C42">
        <v>40</v>
      </c>
      <c r="D42" s="378" t="s">
        <v>454</v>
      </c>
    </row>
    <row r="43" spans="1:4">
      <c r="A43">
        <v>41</v>
      </c>
      <c r="B43" s="378" t="s">
        <v>330</v>
      </c>
      <c r="C43">
        <v>41</v>
      </c>
      <c r="D43" s="378" t="s">
        <v>453</v>
      </c>
    </row>
    <row r="44" spans="1:4">
      <c r="A44">
        <v>42</v>
      </c>
      <c r="B44" s="378" t="s">
        <v>329</v>
      </c>
      <c r="C44">
        <v>42</v>
      </c>
      <c r="D44" s="378" t="s">
        <v>452</v>
      </c>
    </row>
    <row r="45" spans="1:4">
      <c r="A45">
        <v>43</v>
      </c>
      <c r="B45" s="378" t="s">
        <v>328</v>
      </c>
      <c r="C45">
        <v>43</v>
      </c>
      <c r="D45" s="378" t="s">
        <v>451</v>
      </c>
    </row>
    <row r="46" spans="1:4">
      <c r="A46">
        <v>44</v>
      </c>
      <c r="B46" s="378" t="s">
        <v>327</v>
      </c>
      <c r="C46">
        <v>44</v>
      </c>
      <c r="D46" s="378" t="s">
        <v>450</v>
      </c>
    </row>
    <row r="47" spans="1:4">
      <c r="A47">
        <v>45</v>
      </c>
      <c r="B47" s="378" t="s">
        <v>326</v>
      </c>
      <c r="C47">
        <v>45</v>
      </c>
      <c r="D47" s="378" t="s">
        <v>449</v>
      </c>
    </row>
    <row r="48" spans="1:4">
      <c r="A48">
        <v>46</v>
      </c>
      <c r="B48" s="378" t="s">
        <v>325</v>
      </c>
      <c r="C48">
        <v>46</v>
      </c>
      <c r="D48" s="378" t="s">
        <v>448</v>
      </c>
    </row>
    <row r="49" spans="1:4">
      <c r="A49">
        <v>47</v>
      </c>
      <c r="B49" s="378" t="s">
        <v>324</v>
      </c>
      <c r="C49">
        <v>47</v>
      </c>
      <c r="D49" s="378" t="s">
        <v>447</v>
      </c>
    </row>
    <row r="50" spans="1:4">
      <c r="A50">
        <v>48</v>
      </c>
      <c r="B50" s="378" t="s">
        <v>323</v>
      </c>
      <c r="C50">
        <v>48</v>
      </c>
      <c r="D50" s="378" t="s">
        <v>446</v>
      </c>
    </row>
    <row r="51" spans="1:4">
      <c r="A51">
        <v>49</v>
      </c>
      <c r="B51" s="378" t="s">
        <v>322</v>
      </c>
      <c r="C51">
        <v>49</v>
      </c>
      <c r="D51" s="378" t="s">
        <v>445</v>
      </c>
    </row>
    <row r="52" spans="1:4">
      <c r="A52">
        <v>50</v>
      </c>
      <c r="B52" s="378" t="s">
        <v>321</v>
      </c>
      <c r="C52">
        <v>50</v>
      </c>
      <c r="D52" s="378" t="s">
        <v>444</v>
      </c>
    </row>
    <row r="53" spans="1:4">
      <c r="A53">
        <v>51</v>
      </c>
      <c r="B53" s="378" t="s">
        <v>320</v>
      </c>
      <c r="C53">
        <v>51</v>
      </c>
      <c r="D53" s="378" t="s">
        <v>443</v>
      </c>
    </row>
    <row r="54" spans="1:4">
      <c r="A54">
        <v>52</v>
      </c>
      <c r="B54" s="378" t="s">
        <v>319</v>
      </c>
      <c r="C54">
        <v>52</v>
      </c>
      <c r="D54" s="378" t="s">
        <v>442</v>
      </c>
    </row>
    <row r="55" spans="1:4">
      <c r="A55">
        <v>53</v>
      </c>
      <c r="B55" s="378" t="s">
        <v>318</v>
      </c>
      <c r="C55">
        <v>53</v>
      </c>
      <c r="D55" s="378" t="s">
        <v>441</v>
      </c>
    </row>
    <row r="56" spans="1:4">
      <c r="A56">
        <v>54</v>
      </c>
      <c r="B56" s="378" t="s">
        <v>317</v>
      </c>
      <c r="C56">
        <v>54</v>
      </c>
      <c r="D56" s="378" t="s">
        <v>440</v>
      </c>
    </row>
    <row r="57" spans="1:4">
      <c r="A57">
        <v>55</v>
      </c>
      <c r="B57" s="378" t="s">
        <v>316</v>
      </c>
      <c r="C57">
        <v>55</v>
      </c>
      <c r="D57" s="378" t="s">
        <v>439</v>
      </c>
    </row>
    <row r="58" spans="1:4">
      <c r="A58">
        <v>56</v>
      </c>
      <c r="B58" s="378" t="s">
        <v>315</v>
      </c>
      <c r="C58">
        <v>56</v>
      </c>
      <c r="D58" s="378" t="s">
        <v>438</v>
      </c>
    </row>
    <row r="59" spans="1:4">
      <c r="A59">
        <v>57</v>
      </c>
      <c r="B59" s="378" t="s">
        <v>314</v>
      </c>
      <c r="C59">
        <v>57</v>
      </c>
      <c r="D59" s="378" t="s">
        <v>437</v>
      </c>
    </row>
    <row r="60" spans="1:4">
      <c r="A60">
        <v>58</v>
      </c>
      <c r="B60" s="378" t="s">
        <v>313</v>
      </c>
      <c r="C60">
        <v>58</v>
      </c>
      <c r="D60" s="378" t="s">
        <v>436</v>
      </c>
    </row>
    <row r="61" spans="1:4">
      <c r="A61">
        <v>59</v>
      </c>
      <c r="B61" s="378" t="s">
        <v>312</v>
      </c>
      <c r="C61">
        <v>59</v>
      </c>
      <c r="D61" s="378" t="s">
        <v>435</v>
      </c>
    </row>
    <row r="62" spans="1:4">
      <c r="A62">
        <v>60</v>
      </c>
      <c r="B62" s="378" t="s">
        <v>311</v>
      </c>
      <c r="C62">
        <v>60</v>
      </c>
      <c r="D62" s="378" t="s">
        <v>434</v>
      </c>
    </row>
    <row r="63" spans="1:4">
      <c r="A63">
        <v>61</v>
      </c>
      <c r="B63" s="378" t="s">
        <v>310</v>
      </c>
      <c r="C63">
        <v>61</v>
      </c>
      <c r="D63" s="378" t="s">
        <v>433</v>
      </c>
    </row>
    <row r="64" spans="1:4">
      <c r="A64">
        <v>62</v>
      </c>
      <c r="B64" s="378" t="s">
        <v>309</v>
      </c>
      <c r="C64">
        <v>62</v>
      </c>
      <c r="D64" s="378" t="s">
        <v>432</v>
      </c>
    </row>
    <row r="65" spans="1:4">
      <c r="A65">
        <v>63</v>
      </c>
      <c r="B65" s="378" t="s">
        <v>308</v>
      </c>
      <c r="C65">
        <v>63</v>
      </c>
      <c r="D65" s="378" t="s">
        <v>431</v>
      </c>
    </row>
    <row r="66" spans="1:4">
      <c r="A66">
        <v>64</v>
      </c>
      <c r="B66" s="378" t="s">
        <v>306</v>
      </c>
      <c r="C66">
        <v>64</v>
      </c>
      <c r="D66" s="378" t="s">
        <v>430</v>
      </c>
    </row>
    <row r="67" spans="1:4">
      <c r="A67">
        <v>65</v>
      </c>
      <c r="B67" s="378" t="s">
        <v>307</v>
      </c>
      <c r="C67">
        <v>65</v>
      </c>
      <c r="D67" s="378" t="s">
        <v>429</v>
      </c>
    </row>
    <row r="68" spans="1:4" ht="27">
      <c r="A68">
        <v>66</v>
      </c>
      <c r="B68" s="378" t="s">
        <v>305</v>
      </c>
      <c r="C68">
        <v>66</v>
      </c>
      <c r="D68" s="378" t="s">
        <v>428</v>
      </c>
    </row>
    <row r="69" spans="1:4">
      <c r="A69">
        <v>67</v>
      </c>
      <c r="B69" s="378" t="s">
        <v>304</v>
      </c>
      <c r="C69">
        <v>67</v>
      </c>
      <c r="D69" s="378" t="s">
        <v>427</v>
      </c>
    </row>
    <row r="70" spans="1:4">
      <c r="A70">
        <v>68</v>
      </c>
      <c r="B70" s="378" t="s">
        <v>303</v>
      </c>
      <c r="C70">
        <v>68</v>
      </c>
      <c r="D70" s="378" t="s">
        <v>426</v>
      </c>
    </row>
    <row r="71" spans="1:4">
      <c r="A71">
        <v>69</v>
      </c>
      <c r="B71" s="378" t="s">
        <v>302</v>
      </c>
      <c r="C71">
        <v>69</v>
      </c>
      <c r="D71" s="378" t="s">
        <v>425</v>
      </c>
    </row>
    <row r="72" spans="1:4">
      <c r="A72">
        <v>70</v>
      </c>
      <c r="B72" s="378" t="s">
        <v>301</v>
      </c>
      <c r="C72">
        <v>70</v>
      </c>
      <c r="D72" s="378" t="s">
        <v>424</v>
      </c>
    </row>
    <row r="73" spans="1:4">
      <c r="A73">
        <v>71</v>
      </c>
      <c r="B73" s="378" t="s">
        <v>300</v>
      </c>
      <c r="C73">
        <v>71</v>
      </c>
      <c r="D73" s="378" t="s">
        <v>423</v>
      </c>
    </row>
    <row r="74" spans="1:4">
      <c r="A74">
        <v>72</v>
      </c>
      <c r="B74" s="378" t="s">
        <v>299</v>
      </c>
      <c r="C74">
        <v>72</v>
      </c>
      <c r="D74" s="378" t="s">
        <v>422</v>
      </c>
    </row>
    <row r="75" spans="1:4">
      <c r="A75">
        <v>73</v>
      </c>
      <c r="B75" s="378" t="s">
        <v>298</v>
      </c>
      <c r="C75">
        <v>73</v>
      </c>
      <c r="D75" s="378" t="s">
        <v>421</v>
      </c>
    </row>
    <row r="76" spans="1:4">
      <c r="A76">
        <v>74</v>
      </c>
      <c r="B76" s="378" t="s">
        <v>297</v>
      </c>
      <c r="C76">
        <v>74</v>
      </c>
      <c r="D76" s="378" t="s">
        <v>420</v>
      </c>
    </row>
    <row r="77" spans="1:4">
      <c r="A77">
        <v>75</v>
      </c>
      <c r="B77" s="378" t="s">
        <v>296</v>
      </c>
      <c r="C77">
        <v>75</v>
      </c>
      <c r="D77" s="378" t="s">
        <v>419</v>
      </c>
    </row>
    <row r="78" spans="1:4">
      <c r="A78">
        <v>76</v>
      </c>
      <c r="B78" s="378" t="s">
        <v>295</v>
      </c>
      <c r="C78">
        <v>76</v>
      </c>
      <c r="D78" s="378" t="s">
        <v>418</v>
      </c>
    </row>
    <row r="79" spans="1:4">
      <c r="A79">
        <v>77</v>
      </c>
      <c r="B79" s="378" t="s">
        <v>294</v>
      </c>
      <c r="C79">
        <v>77</v>
      </c>
      <c r="D79" s="378" t="s">
        <v>417</v>
      </c>
    </row>
    <row r="80" spans="1:4">
      <c r="A80">
        <v>78</v>
      </c>
      <c r="B80" s="378" t="s">
        <v>293</v>
      </c>
      <c r="C80">
        <v>78</v>
      </c>
      <c r="D80" s="378" t="s">
        <v>416</v>
      </c>
    </row>
    <row r="81" spans="1:4">
      <c r="A81">
        <v>79</v>
      </c>
      <c r="B81" s="378" t="s">
        <v>292</v>
      </c>
      <c r="C81">
        <v>79</v>
      </c>
      <c r="D81" s="378" t="s">
        <v>415</v>
      </c>
    </row>
    <row r="82" spans="1:4">
      <c r="A82">
        <v>80</v>
      </c>
      <c r="B82" s="378" t="s">
        <v>291</v>
      </c>
      <c r="C82">
        <v>80</v>
      </c>
      <c r="D82" s="378" t="s">
        <v>414</v>
      </c>
    </row>
    <row r="83" spans="1:4">
      <c r="A83">
        <v>81</v>
      </c>
      <c r="B83" s="378" t="s">
        <v>290</v>
      </c>
      <c r="C83">
        <v>81</v>
      </c>
      <c r="D83" s="378" t="s">
        <v>413</v>
      </c>
    </row>
    <row r="84" spans="1:4">
      <c r="A84">
        <v>82</v>
      </c>
      <c r="B84" s="378" t="s">
        <v>289</v>
      </c>
      <c r="C84">
        <v>82</v>
      </c>
      <c r="D84" s="378" t="s">
        <v>412</v>
      </c>
    </row>
    <row r="85" spans="1:4" ht="27">
      <c r="A85">
        <v>83</v>
      </c>
      <c r="B85" s="378" t="s">
        <v>288</v>
      </c>
      <c r="C85">
        <v>83</v>
      </c>
      <c r="D85" s="378" t="s">
        <v>411</v>
      </c>
    </row>
    <row r="86" spans="1:4">
      <c r="A86">
        <v>84</v>
      </c>
      <c r="B86" s="378" t="s">
        <v>287</v>
      </c>
      <c r="C86">
        <v>84</v>
      </c>
      <c r="D86" s="378" t="s">
        <v>410</v>
      </c>
    </row>
    <row r="87" spans="1:4">
      <c r="A87">
        <v>85</v>
      </c>
      <c r="B87" s="378" t="s">
        <v>286</v>
      </c>
      <c r="C87">
        <v>85</v>
      </c>
      <c r="D87" s="378" t="s">
        <v>409</v>
      </c>
    </row>
    <row r="88" spans="1:4">
      <c r="A88">
        <v>86</v>
      </c>
      <c r="B88" s="378" t="s">
        <v>285</v>
      </c>
      <c r="C88">
        <v>86</v>
      </c>
      <c r="D88" s="378" t="s">
        <v>408</v>
      </c>
    </row>
    <row r="89" spans="1:4">
      <c r="A89">
        <v>87</v>
      </c>
      <c r="B89" s="378" t="s">
        <v>284</v>
      </c>
      <c r="C89">
        <v>87</v>
      </c>
      <c r="D89" s="378" t="s">
        <v>407</v>
      </c>
    </row>
    <row r="90" spans="1:4">
      <c r="A90">
        <v>88</v>
      </c>
      <c r="B90" s="378" t="s">
        <v>283</v>
      </c>
      <c r="C90">
        <v>88</v>
      </c>
      <c r="D90" s="378" t="s">
        <v>406</v>
      </c>
    </row>
    <row r="91" spans="1:4">
      <c r="A91">
        <v>89</v>
      </c>
      <c r="B91" s="378" t="s">
        <v>282</v>
      </c>
      <c r="C91">
        <v>89</v>
      </c>
      <c r="D91" s="378" t="s">
        <v>405</v>
      </c>
    </row>
    <row r="92" spans="1:4">
      <c r="A92">
        <v>90</v>
      </c>
      <c r="B92" s="378" t="s">
        <v>281</v>
      </c>
      <c r="C92">
        <v>90</v>
      </c>
      <c r="D92" s="378" t="s">
        <v>404</v>
      </c>
    </row>
    <row r="93" spans="1:4">
      <c r="A93">
        <v>91</v>
      </c>
      <c r="B93" s="378" t="s">
        <v>280</v>
      </c>
      <c r="C93">
        <v>91</v>
      </c>
      <c r="D93" s="378" t="s">
        <v>403</v>
      </c>
    </row>
    <row r="94" spans="1:4">
      <c r="A94">
        <v>92</v>
      </c>
      <c r="B94" s="378" t="s">
        <v>279</v>
      </c>
      <c r="C94">
        <v>92</v>
      </c>
      <c r="D94" s="378" t="s">
        <v>402</v>
      </c>
    </row>
    <row r="95" spans="1:4">
      <c r="A95">
        <v>93</v>
      </c>
      <c r="B95" s="378" t="s">
        <v>278</v>
      </c>
      <c r="C95">
        <v>93</v>
      </c>
      <c r="D95" s="378" t="s">
        <v>401</v>
      </c>
    </row>
    <row r="96" spans="1:4">
      <c r="A96">
        <v>94</v>
      </c>
      <c r="B96" s="378" t="s">
        <v>277</v>
      </c>
      <c r="C96">
        <v>94</v>
      </c>
      <c r="D96" s="378" t="s">
        <v>400</v>
      </c>
    </row>
    <row r="97" spans="1:4">
      <c r="A97">
        <v>95</v>
      </c>
      <c r="B97" s="378" t="s">
        <v>276</v>
      </c>
      <c r="C97">
        <v>95</v>
      </c>
      <c r="D97" s="378" t="s">
        <v>399</v>
      </c>
    </row>
    <row r="98" spans="1:4">
      <c r="A98">
        <v>96</v>
      </c>
      <c r="B98" s="378" t="s">
        <v>275</v>
      </c>
      <c r="C98">
        <v>96</v>
      </c>
      <c r="D98" s="378" t="s">
        <v>398</v>
      </c>
    </row>
    <row r="99" spans="1:4">
      <c r="A99">
        <v>97</v>
      </c>
      <c r="B99" s="378" t="s">
        <v>274</v>
      </c>
      <c r="C99">
        <v>97</v>
      </c>
      <c r="D99" s="378" t="s">
        <v>397</v>
      </c>
    </row>
    <row r="100" spans="1:4">
      <c r="A100">
        <v>98</v>
      </c>
      <c r="B100" s="378" t="s">
        <v>273</v>
      </c>
      <c r="C100">
        <v>98</v>
      </c>
      <c r="D100" s="378" t="s">
        <v>396</v>
      </c>
    </row>
    <row r="101" spans="1:4">
      <c r="A101">
        <v>99</v>
      </c>
      <c r="B101" s="378" t="s">
        <v>272</v>
      </c>
      <c r="C101">
        <v>99</v>
      </c>
      <c r="D101" s="378" t="s">
        <v>395</v>
      </c>
    </row>
    <row r="102" spans="1:4">
      <c r="A102">
        <v>100</v>
      </c>
      <c r="B102" s="378" t="s">
        <v>271</v>
      </c>
      <c r="C102">
        <v>100</v>
      </c>
      <c r="D102" s="378" t="s">
        <v>394</v>
      </c>
    </row>
    <row r="103" spans="1:4" ht="40.5">
      <c r="B103" s="378" t="s">
        <v>241</v>
      </c>
      <c r="D103" s="240"/>
    </row>
    <row r="104" spans="1:4">
      <c r="B104" s="378" t="s">
        <v>242</v>
      </c>
      <c r="D104" s="240"/>
    </row>
  </sheetData>
  <phoneticPr fontId="7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139"/>
  <sheetViews>
    <sheetView workbookViewId="0">
      <selection activeCell="C7" sqref="C7"/>
    </sheetView>
  </sheetViews>
  <sheetFormatPr defaultColWidth="10" defaultRowHeight="14.25"/>
  <cols>
    <col min="1" max="1" width="3.875" style="379" customWidth="1"/>
    <col min="2" max="2" width="19.75" style="380" customWidth="1"/>
    <col min="3" max="3" width="9" style="381" customWidth="1"/>
    <col min="4" max="4" width="12.75" style="381" customWidth="1"/>
    <col min="5" max="5" width="24.375" style="381" customWidth="1"/>
    <col min="6" max="6" width="11.25" style="381" customWidth="1"/>
    <col min="7" max="7" width="12.25" style="382" customWidth="1"/>
    <col min="8" max="8" width="10" style="382" customWidth="1"/>
    <col min="9" max="9" width="50" style="382" customWidth="1"/>
    <col min="10" max="10" width="27.125" style="382" customWidth="1"/>
    <col min="11" max="11" width="3.125" style="382" customWidth="1"/>
    <col min="12" max="14" width="9" style="382" customWidth="1"/>
    <col min="15" max="15" width="24" style="382" customWidth="1"/>
    <col min="16" max="16" width="11.125" customWidth="1"/>
    <col min="20" max="20" width="22.125" customWidth="1"/>
    <col min="21" max="21" width="11" customWidth="1"/>
  </cols>
  <sheetData>
    <row r="1" spans="1:21" ht="14.25" customHeight="1">
      <c r="A1" s="932" t="s">
        <v>1515</v>
      </c>
      <c r="B1" s="933"/>
      <c r="C1" s="933"/>
      <c r="D1" s="933"/>
      <c r="E1" s="933"/>
      <c r="F1" s="934"/>
      <c r="G1" s="914" t="s">
        <v>1653</v>
      </c>
      <c r="H1" s="914"/>
      <c r="I1" s="940"/>
      <c r="J1" s="940"/>
      <c r="K1" s="941"/>
      <c r="L1" s="923" t="s">
        <v>1523</v>
      </c>
      <c r="M1" s="924"/>
      <c r="N1" s="924"/>
      <c r="O1" s="924"/>
      <c r="P1" s="924"/>
      <c r="Q1" s="942" t="s">
        <v>1524</v>
      </c>
      <c r="R1" s="942"/>
      <c r="S1" s="942"/>
      <c r="T1" s="942"/>
      <c r="U1" s="942"/>
    </row>
    <row r="2" spans="1:21" ht="14.25" customHeight="1">
      <c r="A2" s="935" t="s">
        <v>251</v>
      </c>
      <c r="B2" s="925" t="s">
        <v>1654</v>
      </c>
      <c r="C2" s="926"/>
      <c r="D2" s="926"/>
      <c r="E2" s="926"/>
      <c r="F2" s="383">
        <v>43586</v>
      </c>
      <c r="G2" s="937" t="s">
        <v>1492</v>
      </c>
      <c r="H2" s="938"/>
      <c r="I2" s="384" t="s">
        <v>1496</v>
      </c>
      <c r="J2" s="385" t="s">
        <v>1033</v>
      </c>
      <c r="K2" s="929" t="s">
        <v>1479</v>
      </c>
      <c r="L2" s="906" t="s">
        <v>1518</v>
      </c>
      <c r="M2" s="906"/>
      <c r="N2" s="906"/>
      <c r="O2" s="906"/>
      <c r="P2" s="386">
        <v>43343</v>
      </c>
      <c r="Q2" s="906" t="s">
        <v>1423</v>
      </c>
      <c r="R2" s="906" t="s">
        <v>1067</v>
      </c>
      <c r="S2" s="906"/>
      <c r="T2" s="906"/>
      <c r="U2" s="386">
        <v>43040</v>
      </c>
    </row>
    <row r="3" spans="1:21" ht="179.25" customHeight="1">
      <c r="A3" s="935"/>
      <c r="B3" s="927" t="s">
        <v>1652</v>
      </c>
      <c r="C3" s="928"/>
      <c r="D3" s="928"/>
      <c r="E3" s="928"/>
      <c r="F3" s="928"/>
      <c r="G3" s="905" t="s">
        <v>1541</v>
      </c>
      <c r="H3" s="905"/>
      <c r="I3" s="387" t="s">
        <v>1520</v>
      </c>
      <c r="J3" s="387" t="s">
        <v>1494</v>
      </c>
      <c r="K3" s="930"/>
      <c r="L3" s="943" t="s">
        <v>1526</v>
      </c>
      <c r="M3" s="944"/>
      <c r="N3" s="944"/>
      <c r="O3" s="944"/>
      <c r="P3" s="945"/>
      <c r="Q3" s="907" t="s">
        <v>1390</v>
      </c>
      <c r="R3" s="908"/>
      <c r="S3" s="908"/>
      <c r="T3" s="908"/>
      <c r="U3" s="909"/>
    </row>
    <row r="4" spans="1:21" ht="14.25" customHeight="1">
      <c r="A4" s="935"/>
      <c r="B4" s="925" t="s">
        <v>1655</v>
      </c>
      <c r="C4" s="926"/>
      <c r="D4" s="926"/>
      <c r="E4" s="926"/>
      <c r="F4" s="383">
        <v>43528</v>
      </c>
      <c r="G4" s="388"/>
      <c r="H4" s="389"/>
      <c r="I4" s="390" t="s">
        <v>1519</v>
      </c>
      <c r="J4" s="391" t="s">
        <v>1490</v>
      </c>
      <c r="K4" s="930"/>
      <c r="L4" s="906" t="s">
        <v>1488</v>
      </c>
      <c r="M4" s="906"/>
      <c r="N4" s="906"/>
      <c r="O4" s="906"/>
      <c r="P4" s="386">
        <v>43309</v>
      </c>
      <c r="Q4" s="906" t="s">
        <v>1070</v>
      </c>
      <c r="R4" s="906"/>
      <c r="S4" s="906"/>
      <c r="T4" s="906"/>
      <c r="U4" s="386">
        <v>42949</v>
      </c>
    </row>
    <row r="5" spans="1:21" ht="86.25" customHeight="1">
      <c r="A5" s="936"/>
      <c r="B5" s="922" t="s">
        <v>1527</v>
      </c>
      <c r="C5" s="922"/>
      <c r="D5" s="922"/>
      <c r="E5" s="922"/>
      <c r="F5" s="922"/>
      <c r="G5" s="392"/>
      <c r="H5" s="393"/>
      <c r="I5" s="394" t="s">
        <v>1493</v>
      </c>
      <c r="J5" s="395" t="s">
        <v>1495</v>
      </c>
      <c r="K5" s="930"/>
      <c r="L5" s="913" t="s">
        <v>1497</v>
      </c>
      <c r="M5" s="914"/>
      <c r="N5" s="914"/>
      <c r="O5" s="914"/>
      <c r="P5" s="915"/>
      <c r="Q5" s="907" t="s">
        <v>1389</v>
      </c>
      <c r="R5" s="911"/>
      <c r="S5" s="911"/>
      <c r="T5" s="911"/>
      <c r="U5" s="912"/>
    </row>
    <row r="6" spans="1:21" ht="14.25" customHeight="1">
      <c r="A6" s="936"/>
      <c r="B6" s="922"/>
      <c r="C6" s="922"/>
      <c r="D6" s="922"/>
      <c r="E6" s="922"/>
      <c r="F6" s="922"/>
      <c r="G6" s="396"/>
      <c r="H6" s="397"/>
      <c r="I6" s="390" t="s">
        <v>1491</v>
      </c>
      <c r="J6" s="391" t="s">
        <v>1490</v>
      </c>
      <c r="K6" s="930"/>
      <c r="L6" s="906" t="s">
        <v>1486</v>
      </c>
      <c r="M6" s="906"/>
      <c r="N6" s="906"/>
      <c r="O6" s="906"/>
      <c r="P6" s="386">
        <v>43281</v>
      </c>
      <c r="Q6" s="906" t="s">
        <v>482</v>
      </c>
      <c r="R6" s="906"/>
      <c r="S6" s="906"/>
      <c r="T6" s="906"/>
      <c r="U6" s="386">
        <v>42948</v>
      </c>
    </row>
    <row r="7" spans="1:21" ht="214.5" customHeight="1">
      <c r="A7" s="935"/>
      <c r="B7" s="398"/>
      <c r="C7" s="399"/>
      <c r="D7" s="399"/>
      <c r="E7" s="399"/>
      <c r="F7" s="399"/>
      <c r="G7" s="400"/>
      <c r="H7" s="397"/>
      <c r="I7" s="939" t="s">
        <v>1499</v>
      </c>
      <c r="J7" s="919" t="s">
        <v>1498</v>
      </c>
      <c r="K7" s="930"/>
      <c r="L7" s="918" t="s">
        <v>1517</v>
      </c>
      <c r="M7" s="918"/>
      <c r="N7" s="918"/>
      <c r="O7" s="918"/>
      <c r="P7" s="918"/>
      <c r="Q7" s="907" t="s">
        <v>458</v>
      </c>
      <c r="R7" s="911"/>
      <c r="S7" s="911"/>
      <c r="T7" s="911"/>
      <c r="U7" s="912"/>
    </row>
    <row r="8" spans="1:21" ht="14.25" customHeight="1">
      <c r="A8" s="935"/>
      <c r="B8" s="401"/>
      <c r="C8" s="402"/>
      <c r="D8" s="402"/>
      <c r="E8" s="402"/>
      <c r="F8" s="402"/>
      <c r="G8" s="400"/>
      <c r="H8" s="397"/>
      <c r="I8" s="939"/>
      <c r="J8" s="920"/>
      <c r="K8" s="930"/>
      <c r="L8" s="906" t="s">
        <v>1465</v>
      </c>
      <c r="M8" s="906"/>
      <c r="N8" s="906"/>
      <c r="O8" s="906"/>
      <c r="P8" s="386">
        <v>43248</v>
      </c>
      <c r="Q8" s="906" t="s">
        <v>1069</v>
      </c>
      <c r="R8" s="906"/>
      <c r="S8" s="906"/>
      <c r="T8" s="906"/>
      <c r="U8" s="906"/>
    </row>
    <row r="9" spans="1:21" ht="205.5" customHeight="1">
      <c r="A9" s="935"/>
      <c r="B9" s="401"/>
      <c r="C9" s="402"/>
      <c r="D9" s="402"/>
      <c r="E9" s="402"/>
      <c r="F9" s="402"/>
      <c r="G9" s="400"/>
      <c r="H9" s="397"/>
      <c r="I9" s="939"/>
      <c r="J9" s="920"/>
      <c r="K9" s="930"/>
      <c r="L9" s="916" t="s">
        <v>1467</v>
      </c>
      <c r="M9" s="917"/>
      <c r="N9" s="917"/>
      <c r="O9" s="917"/>
      <c r="P9" s="917"/>
      <c r="Q9" s="907" t="s">
        <v>232</v>
      </c>
      <c r="R9" s="911"/>
      <c r="S9" s="911"/>
      <c r="T9" s="911"/>
      <c r="U9" s="912"/>
    </row>
    <row r="10" spans="1:21">
      <c r="A10" s="935"/>
      <c r="B10" s="401"/>
      <c r="C10" s="402"/>
      <c r="D10" s="402"/>
      <c r="E10" s="402"/>
      <c r="F10" s="402"/>
      <c r="G10" s="403"/>
      <c r="H10" s="404"/>
      <c r="I10" s="939"/>
      <c r="J10" s="920"/>
      <c r="K10" s="930"/>
      <c r="L10" s="906" t="s">
        <v>1454</v>
      </c>
      <c r="M10" s="906"/>
      <c r="N10" s="906"/>
      <c r="O10" s="906"/>
      <c r="P10" s="386">
        <v>43218</v>
      </c>
      <c r="Q10" s="906" t="s">
        <v>1068</v>
      </c>
      <c r="R10" s="906"/>
      <c r="S10" s="906"/>
      <c r="T10" s="906"/>
      <c r="U10" s="906"/>
    </row>
    <row r="11" spans="1:21" ht="70.5" customHeight="1">
      <c r="A11" s="935"/>
      <c r="B11" s="401"/>
      <c r="C11" s="402"/>
      <c r="D11" s="402"/>
      <c r="E11" s="402"/>
      <c r="F11" s="402"/>
      <c r="G11" s="403"/>
      <c r="H11" s="404"/>
      <c r="I11" s="939"/>
      <c r="J11" s="920"/>
      <c r="K11" s="930"/>
      <c r="L11" s="910" t="s">
        <v>1453</v>
      </c>
      <c r="M11" s="911"/>
      <c r="N11" s="911"/>
      <c r="O11" s="911"/>
      <c r="P11" s="912"/>
      <c r="Q11" s="918" t="s">
        <v>1525</v>
      </c>
      <c r="R11" s="918"/>
      <c r="S11" s="918"/>
      <c r="T11" s="918"/>
      <c r="U11" s="918"/>
    </row>
    <row r="12" spans="1:21" ht="14.25" customHeight="1">
      <c r="A12" s="935"/>
      <c r="B12" s="401"/>
      <c r="C12" s="402"/>
      <c r="D12" s="402"/>
      <c r="E12" s="402"/>
      <c r="F12" s="402"/>
      <c r="G12" s="403"/>
      <c r="H12" s="404"/>
      <c r="I12" s="939"/>
      <c r="J12" s="920"/>
      <c r="K12" s="930"/>
      <c r="L12" s="906" t="s">
        <v>1420</v>
      </c>
      <c r="M12" s="906"/>
      <c r="N12" s="906"/>
      <c r="O12" s="906"/>
      <c r="P12" s="386">
        <v>43187</v>
      </c>
      <c r="Q12" s="906" t="s">
        <v>481</v>
      </c>
      <c r="R12" s="906"/>
      <c r="S12" s="906"/>
      <c r="T12" s="906"/>
      <c r="U12" s="906"/>
    </row>
    <row r="13" spans="1:21" ht="192.75" customHeight="1">
      <c r="A13" s="935"/>
      <c r="B13" s="401"/>
      <c r="C13" s="402"/>
      <c r="D13" s="402"/>
      <c r="E13" s="402"/>
      <c r="F13" s="402"/>
      <c r="G13" s="403"/>
      <c r="H13" s="404"/>
      <c r="I13" s="939"/>
      <c r="J13" s="920"/>
      <c r="K13" s="930"/>
      <c r="L13" s="916" t="s">
        <v>1462</v>
      </c>
      <c r="M13" s="917"/>
      <c r="N13" s="917"/>
      <c r="O13" s="917"/>
      <c r="P13" s="917"/>
      <c r="Q13" s="916" t="s">
        <v>1277</v>
      </c>
      <c r="R13" s="916"/>
      <c r="S13" s="916"/>
      <c r="T13" s="916"/>
      <c r="U13" s="916"/>
    </row>
    <row r="14" spans="1:21" ht="18" customHeight="1">
      <c r="A14" s="935"/>
      <c r="B14" s="401"/>
      <c r="C14" s="402"/>
      <c r="D14" s="402"/>
      <c r="E14" s="402"/>
      <c r="F14" s="402"/>
      <c r="G14" s="403"/>
      <c r="H14" s="404"/>
      <c r="I14" s="939"/>
      <c r="J14" s="920"/>
      <c r="K14" s="930"/>
      <c r="L14" s="906" t="s">
        <v>1416</v>
      </c>
      <c r="M14" s="906"/>
      <c r="N14" s="906"/>
      <c r="O14" s="906"/>
      <c r="P14" s="386">
        <v>43164</v>
      </c>
    </row>
    <row r="15" spans="1:21" s="405" customFormat="1" ht="69.75" customHeight="1">
      <c r="A15" s="935"/>
      <c r="B15" s="406"/>
      <c r="C15" s="407"/>
      <c r="D15" s="407"/>
      <c r="E15" s="407"/>
      <c r="F15" s="407"/>
      <c r="G15" s="408"/>
      <c r="H15" s="409"/>
      <c r="I15" s="939"/>
      <c r="J15" s="920"/>
      <c r="K15" s="930"/>
      <c r="L15" s="916" t="s">
        <v>1417</v>
      </c>
      <c r="M15" s="917"/>
      <c r="N15" s="917"/>
      <c r="O15" s="917"/>
      <c r="P15" s="917"/>
    </row>
    <row r="16" spans="1:21" ht="18" customHeight="1">
      <c r="A16" s="935"/>
      <c r="B16" s="401"/>
      <c r="C16" s="402"/>
      <c r="D16" s="402"/>
      <c r="E16" s="402"/>
      <c r="F16" s="402"/>
      <c r="G16" s="410"/>
      <c r="H16" s="411"/>
      <c r="I16" s="939"/>
      <c r="J16" s="920"/>
      <c r="K16" s="930"/>
      <c r="L16" s="906" t="s">
        <v>1415</v>
      </c>
      <c r="M16" s="906"/>
      <c r="N16" s="906"/>
      <c r="O16" s="906"/>
      <c r="P16" s="386">
        <v>43153</v>
      </c>
    </row>
    <row r="17" spans="1:16" ht="98.25" customHeight="1">
      <c r="A17" s="935"/>
      <c r="B17" s="401"/>
      <c r="C17" s="402"/>
      <c r="D17" s="402"/>
      <c r="E17" s="402"/>
      <c r="F17" s="402"/>
      <c r="G17" s="412"/>
      <c r="H17" s="413"/>
      <c r="I17" s="939"/>
      <c r="J17" s="920"/>
      <c r="K17" s="930"/>
      <c r="L17" s="916" t="s">
        <v>1516</v>
      </c>
      <c r="M17" s="917"/>
      <c r="N17" s="917"/>
      <c r="O17" s="917"/>
      <c r="P17" s="917"/>
    </row>
    <row r="18" spans="1:16" ht="18" customHeight="1">
      <c r="A18" s="935"/>
      <c r="B18" s="401"/>
      <c r="C18" s="402"/>
      <c r="D18" s="402"/>
      <c r="E18" s="402"/>
      <c r="F18" s="402"/>
      <c r="G18" s="410"/>
      <c r="H18" s="414"/>
      <c r="I18" s="939"/>
      <c r="J18" s="920"/>
      <c r="K18" s="930"/>
    </row>
    <row r="19" spans="1:16" s="415" customFormat="1" ht="375.75" customHeight="1">
      <c r="A19" s="935"/>
      <c r="B19" s="416"/>
      <c r="C19" s="285"/>
      <c r="D19" s="285"/>
      <c r="E19" s="285"/>
      <c r="F19" s="285"/>
      <c r="G19" s="417"/>
      <c r="H19" s="418"/>
      <c r="I19" s="939"/>
      <c r="J19" s="920"/>
      <c r="K19" s="930"/>
    </row>
    <row r="20" spans="1:16" ht="15.75" customHeight="1">
      <c r="A20" s="935"/>
      <c r="B20" s="401"/>
      <c r="C20" s="402"/>
      <c r="D20" s="402"/>
      <c r="E20" s="402"/>
      <c r="F20" s="402"/>
      <c r="G20" s="419"/>
      <c r="H20" s="420"/>
      <c r="I20" s="939"/>
      <c r="J20" s="920"/>
      <c r="K20" s="930"/>
    </row>
    <row r="21" spans="1:16" ht="60" customHeight="1">
      <c r="A21" s="935"/>
      <c r="B21" s="401"/>
      <c r="C21" s="402"/>
      <c r="D21" s="402"/>
      <c r="E21" s="402"/>
      <c r="F21" s="402"/>
      <c r="G21" s="419"/>
      <c r="H21" s="420"/>
      <c r="I21" s="939"/>
      <c r="J21" s="920"/>
      <c r="K21" s="930"/>
    </row>
    <row r="22" spans="1:16" ht="13.5" customHeight="1">
      <c r="A22" s="935"/>
      <c r="B22" s="401"/>
      <c r="C22" s="402"/>
      <c r="D22" s="402"/>
      <c r="E22" s="402"/>
      <c r="F22" s="402"/>
      <c r="G22" s="419"/>
      <c r="H22" s="420"/>
      <c r="I22" s="939"/>
      <c r="J22" s="920"/>
      <c r="K22" s="930"/>
    </row>
    <row r="23" spans="1:16" ht="124.5" customHeight="1">
      <c r="A23" s="935"/>
      <c r="B23" s="401"/>
      <c r="C23" s="402"/>
      <c r="D23" s="402"/>
      <c r="E23" s="402"/>
      <c r="F23" s="402"/>
      <c r="G23" s="419"/>
      <c r="H23" s="420"/>
      <c r="I23" s="939"/>
      <c r="J23" s="920"/>
      <c r="K23" s="930"/>
    </row>
    <row r="24" spans="1:16" ht="13.5" customHeight="1">
      <c r="A24" s="935"/>
      <c r="B24" s="401"/>
      <c r="C24" s="402"/>
      <c r="D24" s="402"/>
      <c r="E24" s="402"/>
      <c r="F24" s="402"/>
      <c r="G24" s="419"/>
      <c r="H24" s="420"/>
      <c r="I24" s="939"/>
      <c r="J24" s="920"/>
      <c r="K24" s="930"/>
    </row>
    <row r="25" spans="1:16" ht="109.5" customHeight="1">
      <c r="A25" s="935"/>
      <c r="B25" s="401"/>
      <c r="C25" s="402"/>
      <c r="D25" s="402"/>
      <c r="E25" s="402"/>
      <c r="F25" s="402"/>
      <c r="G25" s="419"/>
      <c r="H25" s="420"/>
      <c r="I25" s="939"/>
      <c r="J25" s="920"/>
      <c r="K25" s="930"/>
    </row>
    <row r="26" spans="1:16" ht="13.5" customHeight="1">
      <c r="A26" s="935"/>
      <c r="B26" s="401"/>
      <c r="C26" s="402"/>
      <c r="D26" s="402"/>
      <c r="E26" s="402"/>
      <c r="F26" s="402"/>
      <c r="G26" s="419"/>
      <c r="H26" s="420"/>
      <c r="I26" s="939"/>
      <c r="J26" s="920"/>
      <c r="K26" s="930"/>
    </row>
    <row r="27" spans="1:16" ht="68.25" customHeight="1">
      <c r="A27" s="935"/>
      <c r="B27" s="401"/>
      <c r="C27" s="402"/>
      <c r="D27" s="402"/>
      <c r="E27" s="402"/>
      <c r="F27" s="402"/>
      <c r="G27" s="419"/>
      <c r="H27" s="420"/>
      <c r="I27" s="939"/>
      <c r="J27" s="920"/>
      <c r="K27" s="930"/>
    </row>
    <row r="28" spans="1:16" ht="26.25" customHeight="1">
      <c r="A28" s="935"/>
      <c r="B28" s="401"/>
      <c r="C28" s="421"/>
      <c r="D28" s="402"/>
      <c r="E28" s="422"/>
      <c r="G28" s="423"/>
      <c r="H28" s="248"/>
      <c r="I28" s="939"/>
      <c r="J28" s="920"/>
      <c r="K28" s="930"/>
    </row>
    <row r="29" spans="1:16" ht="69" customHeight="1">
      <c r="A29" s="935"/>
      <c r="B29" s="401"/>
      <c r="D29" s="402"/>
      <c r="E29" s="422"/>
      <c r="F29" s="424"/>
      <c r="G29" s="403"/>
      <c r="H29" s="245"/>
      <c r="I29" s="939"/>
      <c r="J29" s="921"/>
      <c r="K29" s="931"/>
    </row>
    <row r="30" spans="1:16">
      <c r="H30"/>
      <c r="I30"/>
      <c r="J30"/>
      <c r="K30"/>
      <c r="L30"/>
      <c r="M30"/>
      <c r="N30"/>
      <c r="O30"/>
    </row>
    <row r="31" spans="1:16">
      <c r="H31"/>
      <c r="I31"/>
      <c r="J31"/>
      <c r="K31"/>
      <c r="L31"/>
      <c r="M31"/>
      <c r="N31"/>
      <c r="O31"/>
    </row>
    <row r="32" spans="1:16">
      <c r="B32" s="425"/>
      <c r="C32" s="426"/>
      <c r="D32" s="426"/>
      <c r="E32" s="426"/>
      <c r="F32" s="426"/>
      <c r="H32"/>
      <c r="I32"/>
      <c r="J32"/>
      <c r="K32"/>
      <c r="L32"/>
      <c r="M32"/>
      <c r="N32"/>
      <c r="O32"/>
    </row>
    <row r="33" spans="8:15">
      <c r="H33"/>
      <c r="I33"/>
      <c r="J33"/>
      <c r="K33"/>
      <c r="L33"/>
      <c r="M33"/>
      <c r="N33"/>
      <c r="O33"/>
    </row>
    <row r="34" spans="8:15">
      <c r="H34"/>
      <c r="I34"/>
      <c r="J34"/>
      <c r="K34"/>
      <c r="L34"/>
      <c r="M34"/>
      <c r="N34"/>
      <c r="O34"/>
    </row>
    <row r="35" spans="8:15">
      <c r="H35"/>
      <c r="I35"/>
      <c r="J35"/>
      <c r="K35"/>
      <c r="L35"/>
      <c r="M35"/>
      <c r="N35"/>
      <c r="O35"/>
    </row>
    <row r="36" spans="8:15">
      <c r="H36"/>
      <c r="I36"/>
      <c r="J36"/>
      <c r="K36"/>
      <c r="L36"/>
      <c r="M36"/>
      <c r="N36"/>
      <c r="O36"/>
    </row>
    <row r="37" spans="8:15">
      <c r="H37"/>
      <c r="I37"/>
      <c r="J37"/>
      <c r="K37"/>
      <c r="L37"/>
      <c r="M37"/>
      <c r="N37"/>
      <c r="O37"/>
    </row>
    <row r="38" spans="8:15">
      <c r="H38"/>
      <c r="I38"/>
      <c r="J38"/>
      <c r="K38"/>
      <c r="L38"/>
      <c r="M38"/>
      <c r="N38"/>
      <c r="O38"/>
    </row>
    <row r="39" spans="8:15">
      <c r="H39"/>
      <c r="I39"/>
      <c r="J39"/>
      <c r="K39"/>
      <c r="L39"/>
      <c r="M39"/>
      <c r="N39"/>
      <c r="O39"/>
    </row>
    <row r="40" spans="8:15">
      <c r="H40"/>
      <c r="I40"/>
      <c r="J40"/>
      <c r="K40"/>
      <c r="L40"/>
      <c r="M40"/>
      <c r="N40"/>
      <c r="O40"/>
    </row>
    <row r="41" spans="8:15">
      <c r="H41"/>
      <c r="I41"/>
      <c r="J41"/>
      <c r="K41"/>
      <c r="L41"/>
      <c r="M41"/>
      <c r="N41"/>
      <c r="O41"/>
    </row>
    <row r="42" spans="8:15">
      <c r="H42"/>
      <c r="I42"/>
      <c r="J42"/>
      <c r="K42"/>
      <c r="L42"/>
      <c r="M42"/>
      <c r="N42"/>
      <c r="O42"/>
    </row>
    <row r="43" spans="8:15">
      <c r="H43"/>
      <c r="I43"/>
      <c r="J43"/>
      <c r="K43"/>
      <c r="L43"/>
      <c r="M43"/>
      <c r="N43"/>
      <c r="O43"/>
    </row>
    <row r="44" spans="8:15">
      <c r="H44"/>
      <c r="I44"/>
      <c r="J44"/>
      <c r="K44"/>
      <c r="L44"/>
      <c r="M44"/>
      <c r="N44"/>
      <c r="O44"/>
    </row>
    <row r="45" spans="8:15">
      <c r="H45"/>
      <c r="I45"/>
      <c r="J45"/>
      <c r="K45"/>
      <c r="L45"/>
      <c r="M45"/>
      <c r="N45"/>
      <c r="O45"/>
    </row>
    <row r="46" spans="8:15">
      <c r="H46"/>
      <c r="I46"/>
      <c r="J46"/>
      <c r="K46"/>
      <c r="L46"/>
      <c r="M46"/>
      <c r="N46"/>
      <c r="O46"/>
    </row>
    <row r="47" spans="8:15">
      <c r="H47"/>
      <c r="I47"/>
      <c r="J47"/>
      <c r="K47"/>
      <c r="L47"/>
      <c r="M47"/>
      <c r="N47"/>
      <c r="O47"/>
    </row>
    <row r="48" spans="8:15">
      <c r="H48"/>
      <c r="I48"/>
      <c r="J48"/>
      <c r="K48"/>
      <c r="L48"/>
      <c r="M48"/>
      <c r="N48"/>
      <c r="O48"/>
    </row>
    <row r="49" spans="8:15">
      <c r="H49"/>
      <c r="I49"/>
      <c r="J49"/>
      <c r="K49"/>
      <c r="L49"/>
      <c r="M49"/>
      <c r="N49"/>
      <c r="O49"/>
    </row>
    <row r="50" spans="8:15">
      <c r="H50"/>
      <c r="I50"/>
      <c r="J50"/>
      <c r="K50"/>
      <c r="L50"/>
      <c r="M50"/>
      <c r="N50"/>
      <c r="O50"/>
    </row>
    <row r="51" spans="8:15">
      <c r="H51"/>
      <c r="I51"/>
      <c r="J51"/>
      <c r="K51"/>
      <c r="L51"/>
      <c r="M51"/>
      <c r="N51"/>
      <c r="O51"/>
    </row>
    <row r="52" spans="8:15">
      <c r="H52"/>
      <c r="I52"/>
      <c r="J52"/>
      <c r="K52"/>
      <c r="L52"/>
      <c r="M52"/>
      <c r="N52"/>
      <c r="O52"/>
    </row>
    <row r="53" spans="8:15">
      <c r="H53"/>
      <c r="I53"/>
      <c r="J53"/>
      <c r="K53"/>
      <c r="L53"/>
      <c r="M53"/>
      <c r="N53"/>
      <c r="O53"/>
    </row>
    <row r="54" spans="8:15">
      <c r="H54"/>
      <c r="I54"/>
      <c r="J54"/>
      <c r="K54"/>
      <c r="L54"/>
      <c r="M54"/>
      <c r="N54"/>
      <c r="O54"/>
    </row>
    <row r="55" spans="8:15">
      <c r="H55"/>
      <c r="I55"/>
      <c r="J55"/>
      <c r="K55"/>
      <c r="L55"/>
      <c r="M55"/>
      <c r="N55"/>
      <c r="O55"/>
    </row>
    <row r="56" spans="8:15">
      <c r="H56"/>
      <c r="I56"/>
      <c r="J56"/>
      <c r="K56"/>
      <c r="L56"/>
      <c r="M56"/>
      <c r="N56"/>
      <c r="O56"/>
    </row>
    <row r="57" spans="8:15">
      <c r="H57"/>
      <c r="I57"/>
      <c r="J57"/>
      <c r="K57"/>
      <c r="L57"/>
      <c r="M57"/>
      <c r="N57"/>
      <c r="O57"/>
    </row>
    <row r="58" spans="8:15">
      <c r="H58"/>
      <c r="I58"/>
      <c r="J58"/>
      <c r="K58"/>
      <c r="L58"/>
      <c r="M58"/>
      <c r="N58"/>
      <c r="O58"/>
    </row>
    <row r="59" spans="8:15">
      <c r="H59"/>
      <c r="I59"/>
      <c r="J59"/>
      <c r="K59"/>
      <c r="L59"/>
      <c r="M59"/>
      <c r="N59"/>
      <c r="O59"/>
    </row>
    <row r="60" spans="8:15">
      <c r="H60"/>
      <c r="I60"/>
      <c r="J60"/>
      <c r="K60"/>
      <c r="L60"/>
      <c r="M60"/>
      <c r="N60"/>
      <c r="O60"/>
    </row>
    <row r="61" spans="8:15">
      <c r="H61"/>
      <c r="I61"/>
      <c r="J61"/>
      <c r="K61"/>
      <c r="L61"/>
      <c r="M61"/>
      <c r="N61"/>
      <c r="O61"/>
    </row>
    <row r="62" spans="8:15">
      <c r="H62"/>
      <c r="I62"/>
      <c r="J62"/>
      <c r="K62"/>
      <c r="L62"/>
      <c r="M62"/>
      <c r="N62"/>
      <c r="O62"/>
    </row>
    <row r="63" spans="8:15">
      <c r="H63"/>
      <c r="I63"/>
      <c r="J63"/>
      <c r="K63"/>
      <c r="L63"/>
      <c r="M63"/>
      <c r="N63"/>
      <c r="O63"/>
    </row>
    <row r="64" spans="8:15">
      <c r="H64"/>
      <c r="I64"/>
      <c r="J64"/>
      <c r="K64"/>
      <c r="L64"/>
      <c r="M64"/>
      <c r="N64"/>
      <c r="O64"/>
    </row>
    <row r="65" spans="8:15">
      <c r="H65"/>
      <c r="I65"/>
      <c r="J65"/>
      <c r="K65"/>
      <c r="L65"/>
      <c r="M65"/>
      <c r="N65"/>
      <c r="O65"/>
    </row>
    <row r="66" spans="8:15">
      <c r="H66"/>
      <c r="I66"/>
      <c r="J66"/>
      <c r="K66"/>
      <c r="L66"/>
      <c r="M66"/>
      <c r="N66"/>
      <c r="O66"/>
    </row>
    <row r="67" spans="8:15">
      <c r="H67"/>
      <c r="I67"/>
      <c r="J67"/>
      <c r="K67"/>
      <c r="L67"/>
      <c r="M67"/>
      <c r="N67"/>
      <c r="O67"/>
    </row>
    <row r="68" spans="8:15">
      <c r="H68"/>
      <c r="I68"/>
      <c r="J68"/>
      <c r="K68"/>
      <c r="L68"/>
      <c r="M68"/>
      <c r="N68"/>
      <c r="O68"/>
    </row>
    <row r="69" spans="8:15">
      <c r="H69"/>
      <c r="I69"/>
      <c r="J69"/>
      <c r="K69"/>
      <c r="L69"/>
      <c r="M69"/>
      <c r="N69"/>
      <c r="O69"/>
    </row>
    <row r="70" spans="8:15">
      <c r="H70"/>
      <c r="I70"/>
      <c r="J70"/>
      <c r="K70"/>
      <c r="L70"/>
      <c r="M70"/>
      <c r="N70"/>
      <c r="O70"/>
    </row>
    <row r="71" spans="8:15">
      <c r="H71"/>
      <c r="I71"/>
      <c r="J71"/>
      <c r="K71"/>
      <c r="L71"/>
      <c r="M71"/>
      <c r="N71"/>
      <c r="O71"/>
    </row>
    <row r="72" spans="8:15">
      <c r="H72"/>
      <c r="I72"/>
      <c r="J72"/>
      <c r="K72"/>
      <c r="L72"/>
      <c r="M72"/>
      <c r="N72"/>
      <c r="O72"/>
    </row>
    <row r="73" spans="8:15">
      <c r="H73"/>
      <c r="I73"/>
      <c r="J73"/>
      <c r="K73"/>
      <c r="L73"/>
      <c r="M73"/>
      <c r="N73"/>
      <c r="O73"/>
    </row>
    <row r="74" spans="8:15">
      <c r="H74"/>
      <c r="I74"/>
      <c r="J74"/>
      <c r="K74"/>
      <c r="L74"/>
      <c r="M74"/>
      <c r="N74"/>
      <c r="O74"/>
    </row>
    <row r="75" spans="8:15">
      <c r="H75"/>
      <c r="I75"/>
      <c r="J75"/>
      <c r="K75"/>
      <c r="L75"/>
      <c r="M75"/>
      <c r="N75"/>
      <c r="O75"/>
    </row>
    <row r="76" spans="8:15">
      <c r="H76"/>
      <c r="I76"/>
      <c r="J76"/>
      <c r="K76"/>
      <c r="L76"/>
      <c r="M76"/>
      <c r="N76"/>
      <c r="O76"/>
    </row>
    <row r="77" spans="8:15">
      <c r="H77"/>
      <c r="I77"/>
      <c r="J77"/>
      <c r="K77"/>
      <c r="L77"/>
      <c r="M77"/>
      <c r="N77"/>
      <c r="O77"/>
    </row>
    <row r="78" spans="8:15">
      <c r="H78"/>
      <c r="I78"/>
      <c r="J78"/>
      <c r="K78"/>
      <c r="L78"/>
      <c r="M78"/>
      <c r="N78"/>
      <c r="O78"/>
    </row>
    <row r="79" spans="8:15">
      <c r="H79"/>
      <c r="I79"/>
      <c r="J79"/>
      <c r="K79"/>
      <c r="L79"/>
      <c r="M79"/>
      <c r="N79"/>
      <c r="O79"/>
    </row>
    <row r="80" spans="8:15">
      <c r="H80"/>
      <c r="I80"/>
      <c r="J80"/>
      <c r="K80"/>
      <c r="L80"/>
      <c r="M80"/>
      <c r="N80"/>
      <c r="O80"/>
    </row>
    <row r="81" spans="8:15">
      <c r="H81"/>
      <c r="I81"/>
      <c r="J81"/>
      <c r="K81"/>
      <c r="L81"/>
      <c r="M81"/>
      <c r="N81"/>
      <c r="O81"/>
    </row>
    <row r="82" spans="8:15">
      <c r="H82"/>
      <c r="I82"/>
      <c r="J82"/>
      <c r="K82"/>
      <c r="L82"/>
      <c r="M82"/>
      <c r="N82"/>
      <c r="O82"/>
    </row>
    <row r="83" spans="8:15">
      <c r="H83"/>
      <c r="I83"/>
      <c r="J83"/>
      <c r="K83"/>
      <c r="L83"/>
      <c r="M83"/>
      <c r="N83"/>
      <c r="O83"/>
    </row>
    <row r="84" spans="8:15">
      <c r="H84"/>
      <c r="I84"/>
      <c r="J84"/>
      <c r="K84"/>
      <c r="L84"/>
      <c r="M84"/>
      <c r="N84"/>
      <c r="O84"/>
    </row>
    <row r="85" spans="8:15">
      <c r="H85"/>
      <c r="I85"/>
      <c r="J85"/>
      <c r="K85"/>
      <c r="L85"/>
      <c r="M85"/>
      <c r="N85"/>
      <c r="O85"/>
    </row>
    <row r="86" spans="8:15">
      <c r="H86"/>
      <c r="I86"/>
      <c r="J86"/>
      <c r="K86"/>
      <c r="L86"/>
      <c r="M86"/>
      <c r="N86"/>
      <c r="O86"/>
    </row>
    <row r="87" spans="8:15">
      <c r="H87"/>
      <c r="I87"/>
      <c r="J87"/>
      <c r="K87"/>
      <c r="L87"/>
      <c r="M87"/>
      <c r="N87"/>
      <c r="O87"/>
    </row>
    <row r="88" spans="8:15">
      <c r="H88"/>
      <c r="I88"/>
      <c r="J88"/>
      <c r="K88"/>
      <c r="L88"/>
      <c r="M88"/>
      <c r="N88"/>
      <c r="O88"/>
    </row>
    <row r="89" spans="8:15">
      <c r="H89"/>
      <c r="I89"/>
      <c r="J89"/>
      <c r="K89"/>
      <c r="L89"/>
      <c r="M89"/>
      <c r="N89"/>
      <c r="O89"/>
    </row>
    <row r="90" spans="8:15">
      <c r="H90"/>
      <c r="I90"/>
      <c r="J90"/>
      <c r="K90"/>
      <c r="L90"/>
      <c r="M90"/>
      <c r="N90"/>
      <c r="O90"/>
    </row>
    <row r="91" spans="8:15">
      <c r="H91"/>
      <c r="I91"/>
      <c r="J91"/>
      <c r="K91"/>
      <c r="L91"/>
      <c r="M91"/>
      <c r="N91"/>
      <c r="O91"/>
    </row>
    <row r="92" spans="8:15">
      <c r="H92"/>
      <c r="I92"/>
      <c r="J92"/>
      <c r="K92"/>
      <c r="L92"/>
      <c r="M92"/>
      <c r="N92"/>
      <c r="O92"/>
    </row>
    <row r="93" spans="8:15">
      <c r="H93"/>
      <c r="I93"/>
      <c r="J93"/>
      <c r="K93"/>
      <c r="L93"/>
      <c r="M93"/>
      <c r="N93"/>
      <c r="O93"/>
    </row>
    <row r="94" spans="8:15">
      <c r="H94"/>
      <c r="I94"/>
      <c r="J94"/>
      <c r="K94"/>
      <c r="L94"/>
      <c r="M94"/>
      <c r="N94"/>
      <c r="O94"/>
    </row>
    <row r="95" spans="8:15">
      <c r="H95"/>
      <c r="I95"/>
      <c r="J95"/>
      <c r="K95"/>
      <c r="L95"/>
      <c r="M95"/>
      <c r="N95"/>
      <c r="O95"/>
    </row>
    <row r="96" spans="8:15">
      <c r="H96"/>
      <c r="I96"/>
      <c r="J96"/>
      <c r="K96"/>
      <c r="L96"/>
      <c r="M96"/>
      <c r="N96"/>
      <c r="O96"/>
    </row>
    <row r="97" spans="8:15">
      <c r="H97"/>
      <c r="I97"/>
      <c r="J97"/>
      <c r="K97"/>
      <c r="L97"/>
      <c r="M97"/>
      <c r="N97"/>
      <c r="O97"/>
    </row>
    <row r="98" spans="8:15">
      <c r="H98"/>
      <c r="I98"/>
      <c r="J98"/>
      <c r="K98"/>
      <c r="L98"/>
      <c r="M98"/>
      <c r="N98"/>
      <c r="O98"/>
    </row>
    <row r="99" spans="8:15">
      <c r="H99"/>
      <c r="I99"/>
      <c r="J99"/>
      <c r="K99"/>
      <c r="L99"/>
      <c r="M99"/>
      <c r="N99"/>
      <c r="O99"/>
    </row>
    <row r="100" spans="8:15">
      <c r="H100"/>
      <c r="I100"/>
      <c r="J100"/>
      <c r="K100"/>
      <c r="L100"/>
      <c r="M100"/>
      <c r="N100"/>
      <c r="O100"/>
    </row>
    <row r="101" spans="8:15">
      <c r="H101"/>
      <c r="I101"/>
      <c r="J101"/>
      <c r="K101"/>
      <c r="L101"/>
      <c r="M101"/>
      <c r="N101"/>
      <c r="O101"/>
    </row>
    <row r="102" spans="8:15">
      <c r="H102"/>
      <c r="I102"/>
      <c r="J102"/>
      <c r="K102"/>
      <c r="L102"/>
      <c r="M102"/>
      <c r="N102"/>
      <c r="O102"/>
    </row>
    <row r="103" spans="8:15">
      <c r="H103"/>
      <c r="I103"/>
      <c r="J103"/>
      <c r="K103"/>
      <c r="L103"/>
      <c r="M103"/>
      <c r="N103"/>
      <c r="O103"/>
    </row>
    <row r="104" spans="8:15">
      <c r="H104"/>
      <c r="I104"/>
      <c r="J104"/>
      <c r="K104"/>
      <c r="L104"/>
      <c r="M104"/>
      <c r="N104"/>
      <c r="O104"/>
    </row>
    <row r="105" spans="8:15">
      <c r="H105"/>
      <c r="I105"/>
      <c r="J105"/>
      <c r="K105"/>
      <c r="L105"/>
      <c r="M105"/>
      <c r="N105"/>
      <c r="O105"/>
    </row>
    <row r="106" spans="8:15">
      <c r="H106"/>
      <c r="I106"/>
      <c r="J106"/>
      <c r="K106"/>
      <c r="L106"/>
      <c r="M106"/>
      <c r="N106"/>
      <c r="O106"/>
    </row>
    <row r="107" spans="8:15">
      <c r="H107"/>
      <c r="I107"/>
      <c r="J107"/>
      <c r="K107"/>
      <c r="L107"/>
      <c r="M107"/>
      <c r="N107"/>
      <c r="O107"/>
    </row>
    <row r="108" spans="8:15">
      <c r="H108"/>
      <c r="I108"/>
      <c r="J108"/>
      <c r="K108"/>
      <c r="L108"/>
      <c r="M108"/>
      <c r="N108"/>
      <c r="O108"/>
    </row>
    <row r="109" spans="8:15">
      <c r="H109"/>
      <c r="I109"/>
      <c r="J109"/>
      <c r="K109"/>
      <c r="L109"/>
      <c r="M109"/>
      <c r="N109"/>
      <c r="O109"/>
    </row>
    <row r="110" spans="8:15">
      <c r="H110"/>
      <c r="I110"/>
      <c r="J110"/>
      <c r="K110"/>
      <c r="L110"/>
      <c r="M110"/>
      <c r="N110"/>
      <c r="O110"/>
    </row>
    <row r="111" spans="8:15">
      <c r="H111"/>
      <c r="I111"/>
      <c r="J111"/>
      <c r="K111"/>
      <c r="L111"/>
      <c r="M111"/>
      <c r="N111"/>
      <c r="O111"/>
    </row>
    <row r="112" spans="8:15">
      <c r="H112"/>
      <c r="I112"/>
      <c r="J112"/>
      <c r="K112"/>
      <c r="L112"/>
      <c r="M112"/>
      <c r="N112"/>
      <c r="O112"/>
    </row>
    <row r="113" spans="8:15">
      <c r="H113"/>
      <c r="I113"/>
      <c r="J113"/>
      <c r="K113"/>
      <c r="L113"/>
      <c r="M113"/>
      <c r="N113"/>
      <c r="O113"/>
    </row>
    <row r="114" spans="8:15">
      <c r="H114"/>
      <c r="I114"/>
      <c r="J114"/>
      <c r="K114"/>
      <c r="L114"/>
      <c r="M114"/>
      <c r="N114"/>
      <c r="O114"/>
    </row>
    <row r="115" spans="8:15">
      <c r="H115"/>
      <c r="I115"/>
      <c r="J115"/>
      <c r="K115"/>
      <c r="L115"/>
      <c r="M115"/>
      <c r="N115"/>
      <c r="O115"/>
    </row>
    <row r="116" spans="8:15">
      <c r="H116"/>
      <c r="I116"/>
      <c r="J116"/>
      <c r="K116"/>
      <c r="L116"/>
      <c r="M116"/>
      <c r="N116"/>
      <c r="O116"/>
    </row>
    <row r="117" spans="8:15">
      <c r="H117"/>
      <c r="I117"/>
      <c r="J117"/>
      <c r="K117"/>
      <c r="L117"/>
      <c r="M117"/>
      <c r="N117"/>
      <c r="O117"/>
    </row>
    <row r="118" spans="8:15">
      <c r="H118"/>
      <c r="I118"/>
      <c r="J118"/>
      <c r="K118"/>
      <c r="L118"/>
      <c r="M118"/>
      <c r="N118"/>
      <c r="O118"/>
    </row>
    <row r="119" spans="8:15">
      <c r="H119"/>
      <c r="I119"/>
      <c r="J119"/>
      <c r="K119"/>
      <c r="L119"/>
      <c r="M119"/>
      <c r="N119"/>
      <c r="O119"/>
    </row>
    <row r="120" spans="8:15">
      <c r="H120"/>
      <c r="I120"/>
      <c r="J120"/>
      <c r="K120"/>
      <c r="L120"/>
      <c r="M120"/>
      <c r="N120"/>
      <c r="O120"/>
    </row>
    <row r="121" spans="8:15">
      <c r="H121"/>
      <c r="I121"/>
      <c r="J121"/>
      <c r="K121"/>
      <c r="L121"/>
      <c r="M121"/>
      <c r="N121"/>
      <c r="O121"/>
    </row>
    <row r="122" spans="8:15">
      <c r="H122"/>
      <c r="I122"/>
      <c r="J122"/>
      <c r="K122"/>
      <c r="L122"/>
      <c r="M122"/>
      <c r="N122"/>
      <c r="O122"/>
    </row>
    <row r="123" spans="8:15">
      <c r="H123"/>
      <c r="I123"/>
      <c r="J123"/>
      <c r="K123"/>
      <c r="L123"/>
      <c r="M123"/>
      <c r="N123"/>
      <c r="O123"/>
    </row>
    <row r="124" spans="8:15">
      <c r="H124"/>
      <c r="I124"/>
      <c r="J124"/>
      <c r="K124"/>
      <c r="L124"/>
      <c r="M124"/>
      <c r="N124"/>
      <c r="O124"/>
    </row>
    <row r="125" spans="8:15">
      <c r="H125"/>
      <c r="I125"/>
      <c r="J125"/>
      <c r="K125"/>
      <c r="L125"/>
      <c r="M125"/>
      <c r="N125"/>
      <c r="O125"/>
    </row>
    <row r="126" spans="8:15">
      <c r="H126"/>
      <c r="I126"/>
      <c r="J126"/>
      <c r="K126"/>
      <c r="L126"/>
      <c r="M126"/>
      <c r="N126"/>
      <c r="O126"/>
    </row>
    <row r="127" spans="8:15">
      <c r="H127"/>
      <c r="I127"/>
      <c r="J127"/>
      <c r="K127"/>
      <c r="L127"/>
      <c r="M127"/>
      <c r="N127"/>
      <c r="O127"/>
    </row>
    <row r="128" spans="8:15">
      <c r="H128"/>
      <c r="I128"/>
      <c r="J128"/>
      <c r="K128"/>
      <c r="L128"/>
      <c r="M128"/>
      <c r="N128"/>
      <c r="O128"/>
    </row>
    <row r="129" spans="8:15">
      <c r="H129"/>
      <c r="I129"/>
      <c r="J129"/>
      <c r="K129"/>
      <c r="L129"/>
      <c r="M129"/>
      <c r="N129"/>
      <c r="O129"/>
    </row>
    <row r="130" spans="8:15">
      <c r="H130"/>
      <c r="I130"/>
      <c r="J130"/>
      <c r="K130"/>
      <c r="L130"/>
      <c r="M130"/>
      <c r="N130"/>
      <c r="O130"/>
    </row>
    <row r="131" spans="8:15">
      <c r="H131"/>
      <c r="I131"/>
      <c r="J131"/>
      <c r="K131"/>
      <c r="L131"/>
      <c r="M131"/>
      <c r="N131"/>
      <c r="O131"/>
    </row>
    <row r="132" spans="8:15">
      <c r="H132"/>
      <c r="I132"/>
      <c r="J132"/>
      <c r="K132"/>
      <c r="L132"/>
      <c r="M132"/>
      <c r="N132"/>
      <c r="O132"/>
    </row>
    <row r="133" spans="8:15">
      <c r="H133"/>
      <c r="I133"/>
      <c r="J133"/>
      <c r="K133"/>
      <c r="L133"/>
      <c r="M133"/>
      <c r="N133"/>
      <c r="O133"/>
    </row>
    <row r="134" spans="8:15">
      <c r="H134"/>
      <c r="I134"/>
      <c r="J134"/>
      <c r="K134"/>
      <c r="L134"/>
      <c r="M134"/>
      <c r="N134"/>
      <c r="O134"/>
    </row>
    <row r="135" spans="8:15">
      <c r="H135"/>
      <c r="I135"/>
      <c r="J135"/>
      <c r="K135"/>
      <c r="L135"/>
      <c r="M135"/>
      <c r="N135"/>
      <c r="O135"/>
    </row>
    <row r="136" spans="8:15">
      <c r="H136"/>
      <c r="I136"/>
      <c r="J136"/>
      <c r="K136"/>
      <c r="L136"/>
      <c r="M136"/>
      <c r="N136"/>
      <c r="O136"/>
    </row>
    <row r="137" spans="8:15">
      <c r="H137"/>
      <c r="I137"/>
      <c r="J137"/>
      <c r="K137"/>
      <c r="L137"/>
      <c r="M137"/>
      <c r="N137"/>
      <c r="O137"/>
    </row>
    <row r="138" spans="8:15">
      <c r="H138"/>
      <c r="I138"/>
      <c r="J138"/>
      <c r="K138"/>
      <c r="L138"/>
      <c r="M138"/>
      <c r="N138"/>
      <c r="O138"/>
    </row>
    <row r="139" spans="8:15">
      <c r="H139"/>
      <c r="I139"/>
      <c r="J139"/>
      <c r="K139"/>
      <c r="L139"/>
      <c r="M139"/>
      <c r="N139"/>
      <c r="O139"/>
    </row>
  </sheetData>
  <sheetProtection formatCells="0" selectLockedCells="1"/>
  <mergeCells count="42">
    <mergeCell ref="Q13:U13"/>
    <mergeCell ref="L15:P15"/>
    <mergeCell ref="L16:O16"/>
    <mergeCell ref="L14:O14"/>
    <mergeCell ref="Q1:U1"/>
    <mergeCell ref="Q2:T2"/>
    <mergeCell ref="Q12:U12"/>
    <mergeCell ref="L13:P13"/>
    <mergeCell ref="Q4:T4"/>
    <mergeCell ref="Q11:U11"/>
    <mergeCell ref="L3:P3"/>
    <mergeCell ref="B5:F6"/>
    <mergeCell ref="L1:P1"/>
    <mergeCell ref="B2:E2"/>
    <mergeCell ref="B3:F3"/>
    <mergeCell ref="K2:K29"/>
    <mergeCell ref="L2:O2"/>
    <mergeCell ref="L12:O12"/>
    <mergeCell ref="B4:E4"/>
    <mergeCell ref="A1:F1"/>
    <mergeCell ref="A2:A29"/>
    <mergeCell ref="G2:H2"/>
    <mergeCell ref="L10:O10"/>
    <mergeCell ref="I7:I29"/>
    <mergeCell ref="G1:K1"/>
    <mergeCell ref="L17:P17"/>
    <mergeCell ref="G3:H3"/>
    <mergeCell ref="Q8:U8"/>
    <mergeCell ref="Q3:U3"/>
    <mergeCell ref="L11:P11"/>
    <mergeCell ref="L4:O4"/>
    <mergeCell ref="L5:P5"/>
    <mergeCell ref="L9:P9"/>
    <mergeCell ref="L7:P7"/>
    <mergeCell ref="L6:O6"/>
    <mergeCell ref="J7:J29"/>
    <mergeCell ref="L8:O8"/>
    <mergeCell ref="Q7:U7"/>
    <mergeCell ref="Q5:U5"/>
    <mergeCell ref="Q6:T6"/>
    <mergeCell ref="Q9:U9"/>
    <mergeCell ref="Q10:U10"/>
  </mergeCells>
  <phoneticPr fontId="7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E122"/>
  <sheetViews>
    <sheetView topLeftCell="J1" zoomScale="115" workbookViewId="0">
      <selection activeCell="V3" sqref="V3"/>
    </sheetView>
  </sheetViews>
  <sheetFormatPr defaultColWidth="10" defaultRowHeight="14.25"/>
  <cols>
    <col min="2" max="2" width="14" customWidth="1"/>
    <col min="3" max="3" width="10.625" customWidth="1"/>
    <col min="4" max="4" width="10.75" customWidth="1"/>
    <col min="5" max="5" width="12" customWidth="1"/>
    <col min="6" max="6" width="12.375" customWidth="1"/>
    <col min="7" max="7" width="12.75" customWidth="1"/>
    <col min="8" max="8" width="11.625" customWidth="1"/>
    <col min="10" max="10" width="11.5" customWidth="1"/>
    <col min="11" max="11" width="15.5" customWidth="1"/>
    <col min="12" max="12" width="8.5" customWidth="1"/>
    <col min="13" max="13" width="8.375" customWidth="1"/>
    <col min="14" max="14" width="7.5" customWidth="1"/>
    <col min="28" max="28" width="9" style="427" customWidth="1"/>
  </cols>
  <sheetData>
    <row r="1" spans="1:31">
      <c r="A1" s="428">
        <v>1</v>
      </c>
      <c r="B1" s="428" t="str">
        <f>职业及经历包!I3</f>
        <v>无</v>
      </c>
      <c r="C1" s="428" t="str">
        <f>职业及经历包!$I4</f>
        <v>无</v>
      </c>
      <c r="D1" s="428" t="str">
        <f>职业及经历包!$I5</f>
        <v>无</v>
      </c>
      <c r="E1" s="428" t="str">
        <f>职业及经历包!$I6</f>
        <v>无</v>
      </c>
      <c r="F1" s="428" t="str">
        <f>职业及经历包!$I7</f>
        <v>无</v>
      </c>
      <c r="G1" s="428" t="str">
        <f>职业及经历包!$I8</f>
        <v>无</v>
      </c>
      <c r="H1" s="428" t="str">
        <f>职业及经历包!$I9</f>
        <v>无</v>
      </c>
      <c r="I1" s="428" t="str">
        <f>职业及经历包!$I10</f>
        <v>无</v>
      </c>
      <c r="J1" s="428" t="s">
        <v>599</v>
      </c>
      <c r="K1" s="428">
        <v>0</v>
      </c>
      <c r="L1" s="428">
        <v>0</v>
      </c>
      <c r="M1" s="428">
        <v>0</v>
      </c>
      <c r="N1" s="428">
        <v>0</v>
      </c>
      <c r="O1" s="428">
        <v>0</v>
      </c>
      <c r="P1" s="428">
        <v>0</v>
      </c>
      <c r="Q1" s="428">
        <v>0</v>
      </c>
      <c r="R1" s="428">
        <v>0</v>
      </c>
      <c r="S1" s="428">
        <v>0</v>
      </c>
      <c r="T1" s="248"/>
      <c r="U1" s="248"/>
      <c r="V1" s="248"/>
      <c r="W1" s="248"/>
      <c r="X1" s="248"/>
      <c r="Y1" s="248"/>
      <c r="Z1" s="248"/>
      <c r="AA1" s="248"/>
      <c r="AE1" s="248"/>
    </row>
    <row r="2" spans="1:31">
      <c r="A2" s="428">
        <v>2</v>
      </c>
      <c r="B2" s="429" t="s">
        <v>483</v>
      </c>
      <c r="C2" s="430" t="s">
        <v>500</v>
      </c>
      <c r="D2" s="430" t="s">
        <v>600</v>
      </c>
      <c r="E2" s="430" t="s">
        <v>501</v>
      </c>
      <c r="F2" s="430" t="s">
        <v>502</v>
      </c>
      <c r="G2" s="430" t="s">
        <v>567</v>
      </c>
      <c r="H2" s="430" t="s">
        <v>559</v>
      </c>
      <c r="I2" s="430" t="s">
        <v>559</v>
      </c>
      <c r="J2" s="428" t="s">
        <v>599</v>
      </c>
      <c r="K2" s="428">
        <v>0</v>
      </c>
      <c r="L2" s="431">
        <v>0</v>
      </c>
      <c r="M2" s="431">
        <v>0</v>
      </c>
      <c r="N2" s="431">
        <v>0</v>
      </c>
      <c r="O2" s="431">
        <v>0</v>
      </c>
      <c r="P2" s="431">
        <v>0</v>
      </c>
      <c r="Q2" s="428">
        <v>0</v>
      </c>
      <c r="R2" s="428">
        <v>0</v>
      </c>
      <c r="S2" s="428">
        <v>0</v>
      </c>
      <c r="T2" s="248"/>
      <c r="U2" s="432" t="s">
        <v>1032</v>
      </c>
      <c r="V2" s="432" t="s">
        <v>1031</v>
      </c>
      <c r="W2" s="432" t="s">
        <v>1033</v>
      </c>
      <c r="X2" s="248"/>
      <c r="Y2" s="433" t="s">
        <v>944</v>
      </c>
      <c r="Z2" s="433"/>
      <c r="AA2" s="434"/>
    </row>
    <row r="3" spans="1:31" ht="16.5">
      <c r="A3" s="428">
        <v>3</v>
      </c>
      <c r="B3" s="430" t="s">
        <v>74</v>
      </c>
      <c r="C3" s="430" t="s">
        <v>504</v>
      </c>
      <c r="D3" s="430" t="s">
        <v>505</v>
      </c>
      <c r="E3" s="430" t="s">
        <v>506</v>
      </c>
      <c r="F3" s="430" t="s">
        <v>503</v>
      </c>
      <c r="G3" s="430" t="s">
        <v>507</v>
      </c>
      <c r="H3" s="430" t="s">
        <v>566</v>
      </c>
      <c r="I3" s="430" t="s">
        <v>560</v>
      </c>
      <c r="J3" s="428" t="s">
        <v>599</v>
      </c>
      <c r="K3" s="428">
        <v>0</v>
      </c>
      <c r="L3" s="428">
        <v>0</v>
      </c>
      <c r="M3" s="428">
        <v>0</v>
      </c>
      <c r="N3" s="428">
        <v>0</v>
      </c>
      <c r="O3" s="428">
        <v>0</v>
      </c>
      <c r="P3" s="428">
        <v>0</v>
      </c>
      <c r="Q3" s="428">
        <v>0</v>
      </c>
      <c r="R3" s="428">
        <v>0</v>
      </c>
      <c r="S3" s="428">
        <v>0</v>
      </c>
      <c r="T3" s="248"/>
      <c r="U3" s="435">
        <v>1</v>
      </c>
      <c r="V3" s="39">
        <f>LOOKUP(人物卡!F$5,职业!$A$1:$A$115,职业!$B$1:$B$115)</f>
        <v>0</v>
      </c>
      <c r="W3" s="435">
        <v>1</v>
      </c>
      <c r="X3" s="248"/>
      <c r="Y3" s="436" t="str">
        <f>IF(LOOKUP(人物卡!$F$5,职业!$A$1:$A$115,职业!$J$1:$J$115)&lt;&gt;0,LOOKUP(人物卡!$F$5,职业!$A$1:$A$115,职业!$K$1:$K$115),0)</f>
        <v>母语</v>
      </c>
      <c r="Z3" s="436" t="str">
        <f>IF(LOOKUP(人物卡!$F$5,职业!$A$1:$A$115,职业!$J$1:$J$115)&lt;&gt;0,LOOKUP(人物卡!$F$5,职业!$A$1:$A$115,职业!$L$1:$L$115))</f>
        <v>外语①</v>
      </c>
      <c r="AA3" s="434"/>
    </row>
    <row r="4" spans="1:31" ht="16.5">
      <c r="A4" s="428">
        <v>4</v>
      </c>
      <c r="B4" s="429" t="s">
        <v>924</v>
      </c>
      <c r="C4" s="430" t="s">
        <v>508</v>
      </c>
      <c r="D4" s="430" t="s">
        <v>927</v>
      </c>
      <c r="E4" s="430" t="s">
        <v>509</v>
      </c>
      <c r="F4" s="430" t="s">
        <v>562</v>
      </c>
      <c r="G4" s="430" t="s">
        <v>510</v>
      </c>
      <c r="H4" s="430" t="s">
        <v>563</v>
      </c>
      <c r="I4" s="430" t="s">
        <v>562</v>
      </c>
      <c r="J4" s="428" t="s">
        <v>599</v>
      </c>
      <c r="K4" s="430">
        <v>0</v>
      </c>
      <c r="L4" s="430">
        <v>0</v>
      </c>
      <c r="M4" s="431">
        <v>0</v>
      </c>
      <c r="N4" s="431">
        <v>0</v>
      </c>
      <c r="O4" s="428">
        <v>0</v>
      </c>
      <c r="P4" s="431">
        <v>0</v>
      </c>
      <c r="Q4" s="428">
        <v>0</v>
      </c>
      <c r="R4" s="428">
        <v>0</v>
      </c>
      <c r="S4" s="428">
        <v>0</v>
      </c>
      <c r="T4" s="248"/>
      <c r="U4" s="435">
        <v>2</v>
      </c>
      <c r="V4" s="39" t="str">
        <f>LOOKUP(人物卡!F$5,职业!$A$1:$A$115,职业!$C$1:$C$115)</f>
        <v>图书馆使用</v>
      </c>
      <c r="W4" s="435">
        <v>1</v>
      </c>
      <c r="X4" s="248"/>
      <c r="Y4" s="946" t="s">
        <v>945</v>
      </c>
      <c r="Z4" s="946"/>
      <c r="AA4" s="434"/>
    </row>
    <row r="5" spans="1:31" ht="16.5">
      <c r="A5" s="428">
        <v>5</v>
      </c>
      <c r="B5" s="429" t="s">
        <v>920</v>
      </c>
      <c r="C5" s="430" t="s">
        <v>508</v>
      </c>
      <c r="D5" s="430" t="s">
        <v>511</v>
      </c>
      <c r="E5" s="430" t="s">
        <v>565</v>
      </c>
      <c r="F5" s="430" t="s">
        <v>510</v>
      </c>
      <c r="G5" s="430" t="s">
        <v>564</v>
      </c>
      <c r="H5" s="430" t="s">
        <v>564</v>
      </c>
      <c r="I5" s="430" t="s">
        <v>570</v>
      </c>
      <c r="J5" s="428" t="s">
        <v>599</v>
      </c>
      <c r="K5" s="428">
        <v>0</v>
      </c>
      <c r="L5" s="428">
        <v>0</v>
      </c>
      <c r="M5" s="428">
        <v>0</v>
      </c>
      <c r="N5" s="428">
        <v>0</v>
      </c>
      <c r="O5" s="428">
        <v>0</v>
      </c>
      <c r="P5" s="428">
        <v>0</v>
      </c>
      <c r="Q5" s="428">
        <v>0</v>
      </c>
      <c r="R5" s="428">
        <v>0</v>
      </c>
      <c r="S5" s="428">
        <v>0</v>
      </c>
      <c r="T5" s="248"/>
      <c r="U5" s="435">
        <v>3</v>
      </c>
      <c r="V5" s="39" t="str">
        <f>LOOKUP(人物卡!F$5,职业!$A$1:$A$115,职业!$D$1:$D$115)</f>
        <v>聆听</v>
      </c>
      <c r="W5" s="435">
        <v>1</v>
      </c>
      <c r="X5" s="248"/>
      <c r="Y5" s="437">
        <f>IF(LOOKUP(人物卡!$F$5,职业!$A$1:$A$115,职业!$J$1:$J$115)&lt;&gt;0,LOOKUP(人物卡!$F$5,职业!$A$1:$A$115,职业!$M$1:$M$115),0)</f>
        <v>0</v>
      </c>
      <c r="Z5" s="437">
        <f>IF(LOOKUP(人物卡!$F$5,职业!$A$1:$A$115,职业!$J$1:$J$115)&lt;&gt;0,LOOKUP(人物卡!$F$5,职业!$A$1:$A$115,职业!$N$1:$N$115)," ")</f>
        <v>0</v>
      </c>
      <c r="AA5" s="434"/>
    </row>
    <row r="6" spans="1:31" ht="16.5">
      <c r="A6" s="428">
        <v>6</v>
      </c>
      <c r="B6" s="429" t="s">
        <v>565</v>
      </c>
      <c r="C6" s="430" t="s">
        <v>1030</v>
      </c>
      <c r="D6" s="430" t="s">
        <v>929</v>
      </c>
      <c r="E6" s="430" t="s">
        <v>500</v>
      </c>
      <c r="F6" s="430" t="s">
        <v>600</v>
      </c>
      <c r="G6" s="430" t="s">
        <v>510</v>
      </c>
      <c r="H6" s="430" t="s">
        <v>512</v>
      </c>
      <c r="I6" s="430" t="s">
        <v>513</v>
      </c>
      <c r="J6" s="428" t="s">
        <v>599</v>
      </c>
      <c r="K6" s="430">
        <v>0</v>
      </c>
      <c r="L6" s="430">
        <v>0</v>
      </c>
      <c r="M6" s="431">
        <v>0</v>
      </c>
      <c r="N6" s="431">
        <v>0</v>
      </c>
      <c r="O6" s="428">
        <v>0</v>
      </c>
      <c r="P6" s="431">
        <v>0</v>
      </c>
      <c r="Q6" s="428">
        <v>0</v>
      </c>
      <c r="R6" s="428">
        <v>0</v>
      </c>
      <c r="S6" s="428">
        <v>0</v>
      </c>
      <c r="T6" s="248"/>
      <c r="U6" s="435">
        <v>4</v>
      </c>
      <c r="V6" s="39" t="str">
        <f>LOOKUP(人物卡!F$5,职业!$A$1:$A$115,职业!$E$1:$E$115)</f>
        <v>任意特长</v>
      </c>
      <c r="W6" s="435">
        <v>1</v>
      </c>
      <c r="X6" s="248"/>
      <c r="Y6" s="946" t="s">
        <v>966</v>
      </c>
      <c r="Z6" s="946"/>
      <c r="AA6" s="434"/>
    </row>
    <row r="7" spans="1:31" ht="16.5">
      <c r="A7" s="428">
        <v>7</v>
      </c>
      <c r="B7" s="430" t="s">
        <v>484</v>
      </c>
      <c r="C7" s="430" t="s">
        <v>501</v>
      </c>
      <c r="D7" s="430" t="s">
        <v>514</v>
      </c>
      <c r="E7" s="430" t="s">
        <v>932</v>
      </c>
      <c r="F7" s="430" t="s">
        <v>515</v>
      </c>
      <c r="G7" s="430" t="s">
        <v>510</v>
      </c>
      <c r="H7" s="430" t="s">
        <v>925</v>
      </c>
      <c r="I7" s="430" t="s">
        <v>926</v>
      </c>
      <c r="J7" s="428" t="s">
        <v>599</v>
      </c>
      <c r="K7" s="428">
        <v>0</v>
      </c>
      <c r="L7" s="428">
        <v>0</v>
      </c>
      <c r="M7" s="428">
        <v>0</v>
      </c>
      <c r="N7" s="428">
        <v>0</v>
      </c>
      <c r="O7" s="428">
        <v>0</v>
      </c>
      <c r="P7" s="428">
        <v>0</v>
      </c>
      <c r="Q7" s="428">
        <v>0</v>
      </c>
      <c r="R7" s="428">
        <v>0</v>
      </c>
      <c r="S7" s="428">
        <v>0</v>
      </c>
      <c r="T7" s="248"/>
      <c r="U7" s="435">
        <v>5</v>
      </c>
      <c r="V7" s="39" t="str">
        <f>LOOKUP(人物卡!F$5,职业!$A$1:$A$115,职业!$F$1:$F$115)</f>
        <v>任意特长</v>
      </c>
      <c r="W7" s="435">
        <v>1</v>
      </c>
      <c r="X7" s="248"/>
      <c r="Y7" s="437">
        <f>IF(LOOKUP(人物卡!$F$5,职业!$A$1:$A$115,职业!$J$1:$J$115)&lt;&gt;0,LOOKUP(人物卡!$F$5,职业!$A$1:$A$115,职业!$O$1:$O$115),0)</f>
        <v>0</v>
      </c>
      <c r="Z7" s="437">
        <f>IF(LOOKUP(人物卡!$F$5,职业!$A$1:$A$115,职业!$J$1:$J$115)&lt;&gt;0,LOOKUP(人物卡!$F$5,职业!$A$1:$A$115,职业!$P$1:$P$115)," ")</f>
        <v>0</v>
      </c>
      <c r="AA7" s="434"/>
    </row>
    <row r="8" spans="1:31" ht="16.5">
      <c r="A8" s="428">
        <v>8</v>
      </c>
      <c r="B8" s="429" t="s">
        <v>82</v>
      </c>
      <c r="C8" s="430" t="s">
        <v>501</v>
      </c>
      <c r="D8" s="430" t="s">
        <v>938</v>
      </c>
      <c r="E8" s="430" t="s">
        <v>510</v>
      </c>
      <c r="F8" s="430" t="s">
        <v>925</v>
      </c>
      <c r="G8" s="430" t="s">
        <v>512</v>
      </c>
      <c r="H8" s="430" t="s">
        <v>513</v>
      </c>
      <c r="I8" s="430" t="s">
        <v>566</v>
      </c>
      <c r="J8" s="428" t="s">
        <v>599</v>
      </c>
      <c r="K8" s="428">
        <v>0</v>
      </c>
      <c r="L8" s="428">
        <v>0</v>
      </c>
      <c r="M8" s="428">
        <v>0</v>
      </c>
      <c r="N8" s="428">
        <v>0</v>
      </c>
      <c r="O8" s="428">
        <v>0</v>
      </c>
      <c r="P8" s="428">
        <v>0</v>
      </c>
      <c r="Q8" s="428">
        <v>0</v>
      </c>
      <c r="R8" s="428">
        <v>0</v>
      </c>
      <c r="S8" s="428">
        <v>0</v>
      </c>
      <c r="T8" s="248"/>
      <c r="U8" s="435">
        <v>6</v>
      </c>
      <c r="V8" s="39" t="str">
        <f>LOOKUP(人物卡!F$5,职业!$A$1:$A$115,职业!$G$1:$G$115)</f>
        <v>任意特长</v>
      </c>
      <c r="W8" s="435">
        <v>1</v>
      </c>
      <c r="X8" s="248"/>
      <c r="Y8" s="946" t="s">
        <v>1005</v>
      </c>
      <c r="Z8" s="946"/>
      <c r="AA8" s="946"/>
    </row>
    <row r="9" spans="1:31" ht="16.5">
      <c r="A9" s="428">
        <v>9</v>
      </c>
      <c r="B9" s="430" t="s">
        <v>490</v>
      </c>
      <c r="C9" s="430" t="s">
        <v>921</v>
      </c>
      <c r="D9" s="430" t="s">
        <v>509</v>
      </c>
      <c r="E9" s="430" t="s">
        <v>600</v>
      </c>
      <c r="F9" s="430" t="s">
        <v>932</v>
      </c>
      <c r="G9" s="430" t="s">
        <v>562</v>
      </c>
      <c r="H9" s="430" t="s">
        <v>503</v>
      </c>
      <c r="I9" s="430" t="s">
        <v>566</v>
      </c>
      <c r="J9" s="428" t="s">
        <v>599</v>
      </c>
      <c r="K9" s="430">
        <v>0</v>
      </c>
      <c r="L9" s="430">
        <v>0</v>
      </c>
      <c r="M9" s="430">
        <v>0</v>
      </c>
      <c r="N9" s="430">
        <v>0</v>
      </c>
      <c r="O9" s="430">
        <v>0</v>
      </c>
      <c r="P9" s="430">
        <v>0</v>
      </c>
      <c r="Q9" s="428">
        <v>0</v>
      </c>
      <c r="R9" s="428">
        <v>0</v>
      </c>
      <c r="S9" s="428">
        <v>0</v>
      </c>
      <c r="T9" s="248"/>
      <c r="U9" s="435">
        <v>7</v>
      </c>
      <c r="V9" s="39" t="str">
        <f>LOOKUP(人物卡!F$5,职业!$A$1:$A$115,职业!$H$1:$H$115)</f>
        <v>任意特长</v>
      </c>
      <c r="W9" s="435">
        <v>1</v>
      </c>
      <c r="X9" s="248"/>
      <c r="Y9" s="437">
        <f>IF(LOOKUP(人物卡!$F$5,职业!$A$1:$A$115,职业!$J$1:$J$115)&lt;&gt;0,LOOKUP(人物卡!$F$5,职业!$A$1:$A$115,职业!$Q$1:$Q$115),0)</f>
        <v>0</v>
      </c>
      <c r="Z9" s="437">
        <f>IF(LOOKUP(人物卡!$F$5,职业!$A$1:$A$115,职业!$J$1:$J$115)&lt;&gt;0,LOOKUP(人物卡!$F$5,职业!$A$1:$A$115,职业!$R$1:$R$115),"")</f>
        <v>0</v>
      </c>
      <c r="AA9" s="437">
        <f>IF(LOOKUP(人物卡!$F$5,职业!$A$1:$A$115,职业!$J$1:$J$115)&lt;&gt;0,LOOKUP(人物卡!$F$5,职业!$A$1:$A$115,职业!$S$1:$S$115),"")</f>
        <v>0</v>
      </c>
    </row>
    <row r="10" spans="1:31" ht="16.5">
      <c r="A10" s="428">
        <v>10</v>
      </c>
      <c r="B10" s="429" t="s">
        <v>483</v>
      </c>
      <c r="C10" s="430" t="s">
        <v>516</v>
      </c>
      <c r="D10" s="430" t="s">
        <v>511</v>
      </c>
      <c r="E10" s="430" t="s">
        <v>565</v>
      </c>
      <c r="F10" s="430" t="s">
        <v>509</v>
      </c>
      <c r="G10" s="430" t="s">
        <v>600</v>
      </c>
      <c r="H10" s="430" t="s">
        <v>517</v>
      </c>
      <c r="I10" s="430" t="s">
        <v>561</v>
      </c>
      <c r="J10" s="428" t="s">
        <v>599</v>
      </c>
      <c r="K10" s="430">
        <v>0</v>
      </c>
      <c r="L10" s="430">
        <v>0</v>
      </c>
      <c r="M10" s="431">
        <v>0</v>
      </c>
      <c r="N10" s="431">
        <v>0</v>
      </c>
      <c r="O10" s="431">
        <v>0</v>
      </c>
      <c r="P10" s="431">
        <v>0</v>
      </c>
      <c r="Q10" s="428">
        <v>0</v>
      </c>
      <c r="R10" s="428">
        <v>0</v>
      </c>
      <c r="S10" s="428">
        <v>0</v>
      </c>
      <c r="T10" s="248"/>
      <c r="U10" s="435">
        <v>8</v>
      </c>
      <c r="V10" s="39" t="str">
        <f>LOOKUP(人物卡!F$5,职业!$A$1:$A$115,职业!$I$1:$I$115)</f>
        <v>任意特长</v>
      </c>
      <c r="W10" s="435">
        <v>1</v>
      </c>
      <c r="X10" s="248"/>
      <c r="Y10" s="248"/>
      <c r="Z10" s="248"/>
      <c r="AA10" s="248"/>
    </row>
    <row r="11" spans="1:31" ht="16.5">
      <c r="A11" s="428">
        <v>11</v>
      </c>
      <c r="B11" s="430" t="s">
        <v>490</v>
      </c>
      <c r="C11" s="430" t="s">
        <v>73</v>
      </c>
      <c r="D11" s="430" t="s">
        <v>509</v>
      </c>
      <c r="E11" s="430" t="s">
        <v>932</v>
      </c>
      <c r="F11" s="430" t="s">
        <v>600</v>
      </c>
      <c r="G11" s="430" t="s">
        <v>503</v>
      </c>
      <c r="H11" s="430" t="s">
        <v>85</v>
      </c>
      <c r="I11" s="430"/>
      <c r="J11" s="428" t="s">
        <v>599</v>
      </c>
      <c r="K11" s="430" t="s">
        <v>230</v>
      </c>
      <c r="L11" s="430" t="s">
        <v>925</v>
      </c>
      <c r="M11" s="431">
        <v>0</v>
      </c>
      <c r="N11" s="431">
        <v>0</v>
      </c>
      <c r="O11" s="431">
        <v>0</v>
      </c>
      <c r="P11" s="431">
        <v>0</v>
      </c>
      <c r="Q11" s="428">
        <v>0</v>
      </c>
      <c r="R11" s="428">
        <v>0</v>
      </c>
      <c r="S11" s="428">
        <v>0</v>
      </c>
      <c r="T11" s="248"/>
      <c r="U11" s="428">
        <v>9</v>
      </c>
      <c r="V11" s="39" t="str">
        <f>LOOKUP(人物卡!F$5,职业!$A$1:$A$115,职业!$J$1:$J$115)</f>
        <v>无</v>
      </c>
      <c r="W11" s="435">
        <v>1</v>
      </c>
      <c r="X11" s="248"/>
      <c r="Y11" s="248"/>
      <c r="Z11" s="248"/>
      <c r="AA11" s="248"/>
    </row>
    <row r="12" spans="1:31" ht="25.5">
      <c r="A12" s="428">
        <v>12</v>
      </c>
      <c r="B12" s="429" t="s">
        <v>483</v>
      </c>
      <c r="C12" s="430" t="s">
        <v>935</v>
      </c>
      <c r="D12" s="430" t="s">
        <v>500</v>
      </c>
      <c r="E12" s="430" t="s">
        <v>519</v>
      </c>
      <c r="F12" s="430" t="s">
        <v>940</v>
      </c>
      <c r="G12" s="430" t="s">
        <v>502</v>
      </c>
      <c r="H12" s="430" t="s">
        <v>510</v>
      </c>
      <c r="I12" s="438" t="s">
        <v>941</v>
      </c>
      <c r="J12" s="428" t="s">
        <v>599</v>
      </c>
      <c r="K12" s="430" t="s">
        <v>942</v>
      </c>
      <c r="L12" s="430" t="s">
        <v>600</v>
      </c>
      <c r="M12" s="431">
        <v>0</v>
      </c>
      <c r="N12" s="431">
        <v>0</v>
      </c>
      <c r="O12" s="431">
        <v>0</v>
      </c>
      <c r="P12" s="431">
        <v>0</v>
      </c>
      <c r="Q12" s="428">
        <v>0</v>
      </c>
      <c r="R12" s="428">
        <v>0</v>
      </c>
      <c r="S12" s="428">
        <v>0</v>
      </c>
      <c r="T12" s="248"/>
      <c r="U12" s="248"/>
      <c r="V12" s="248"/>
      <c r="W12" s="248"/>
      <c r="X12" s="248"/>
      <c r="Y12" s="248"/>
      <c r="Z12" s="248"/>
      <c r="AA12" s="248"/>
    </row>
    <row r="13" spans="1:31">
      <c r="A13" s="428">
        <v>13</v>
      </c>
      <c r="B13" s="430" t="s">
        <v>921</v>
      </c>
      <c r="C13" s="430"/>
      <c r="D13" s="430" t="s">
        <v>565</v>
      </c>
      <c r="E13" s="430" t="s">
        <v>932</v>
      </c>
      <c r="F13" s="430" t="s">
        <v>510</v>
      </c>
      <c r="G13" s="430" t="s">
        <v>503</v>
      </c>
      <c r="H13" s="430" t="s">
        <v>569</v>
      </c>
      <c r="I13" s="430" t="s">
        <v>569</v>
      </c>
      <c r="J13" s="428" t="s">
        <v>599</v>
      </c>
      <c r="K13" s="430" t="s">
        <v>568</v>
      </c>
      <c r="L13" s="430" t="s">
        <v>937</v>
      </c>
      <c r="M13" s="431">
        <v>0</v>
      </c>
      <c r="N13" s="431">
        <v>0</v>
      </c>
      <c r="O13" s="431">
        <v>0</v>
      </c>
      <c r="P13" s="431">
        <v>0</v>
      </c>
      <c r="Q13" s="428">
        <v>0</v>
      </c>
      <c r="R13" s="428">
        <v>0</v>
      </c>
      <c r="S13" s="428">
        <v>0</v>
      </c>
      <c r="T13" s="248"/>
      <c r="U13" s="248"/>
      <c r="V13" s="248"/>
      <c r="W13" s="439"/>
      <c r="X13" s="248"/>
      <c r="Y13" s="248"/>
      <c r="Z13" s="248"/>
      <c r="AA13" s="248"/>
    </row>
    <row r="14" spans="1:31">
      <c r="A14" s="428">
        <v>14</v>
      </c>
      <c r="B14" s="429" t="s">
        <v>77</v>
      </c>
      <c r="C14" s="430" t="s">
        <v>1030</v>
      </c>
      <c r="D14" s="430" t="s">
        <v>520</v>
      </c>
      <c r="E14" s="430" t="s">
        <v>565</v>
      </c>
      <c r="F14" s="430" t="s">
        <v>501</v>
      </c>
      <c r="G14" s="430" t="s">
        <v>510</v>
      </c>
      <c r="H14" s="430" t="s">
        <v>512</v>
      </c>
      <c r="I14" s="430" t="s">
        <v>561</v>
      </c>
      <c r="J14" s="428" t="s">
        <v>599</v>
      </c>
      <c r="K14" s="430">
        <v>0</v>
      </c>
      <c r="L14" s="431">
        <v>0</v>
      </c>
      <c r="M14" s="431">
        <v>0</v>
      </c>
      <c r="N14" s="431">
        <v>0</v>
      </c>
      <c r="O14" s="431">
        <v>0</v>
      </c>
      <c r="P14" s="431">
        <v>0</v>
      </c>
      <c r="Q14" s="428">
        <v>0</v>
      </c>
      <c r="R14" s="431">
        <v>0</v>
      </c>
      <c r="S14" s="428">
        <v>0</v>
      </c>
      <c r="T14" s="248"/>
      <c r="U14" s="248"/>
      <c r="V14" s="248"/>
      <c r="W14" s="248"/>
      <c r="X14" s="248"/>
      <c r="Y14" s="248"/>
      <c r="Z14" s="248"/>
      <c r="AA14" s="248"/>
    </row>
    <row r="15" spans="1:31">
      <c r="A15" s="428">
        <v>15</v>
      </c>
      <c r="B15" s="430" t="s">
        <v>74</v>
      </c>
      <c r="C15" s="430" t="s">
        <v>505</v>
      </c>
      <c r="D15" s="430" t="s">
        <v>1030</v>
      </c>
      <c r="E15" s="430" t="s">
        <v>521</v>
      </c>
      <c r="F15" s="430" t="s">
        <v>562</v>
      </c>
      <c r="G15" s="430" t="s">
        <v>507</v>
      </c>
      <c r="H15" s="430" t="s">
        <v>506</v>
      </c>
      <c r="I15" s="430" t="s">
        <v>566</v>
      </c>
      <c r="J15" s="428" t="s">
        <v>599</v>
      </c>
      <c r="K15" s="430">
        <v>0</v>
      </c>
      <c r="L15" s="431">
        <v>0</v>
      </c>
      <c r="M15" s="431">
        <v>0</v>
      </c>
      <c r="N15" s="431">
        <v>0</v>
      </c>
      <c r="O15" s="431">
        <v>0</v>
      </c>
      <c r="P15" s="431">
        <v>0</v>
      </c>
      <c r="Q15" s="428">
        <v>0</v>
      </c>
      <c r="R15" s="431">
        <v>0</v>
      </c>
      <c r="S15" s="428">
        <v>0</v>
      </c>
      <c r="T15" s="248"/>
      <c r="U15" s="248"/>
      <c r="V15" s="248"/>
      <c r="W15" s="248"/>
      <c r="X15" s="248"/>
      <c r="Y15" s="248"/>
      <c r="Z15" s="248"/>
      <c r="AA15" s="248"/>
    </row>
    <row r="16" spans="1:31">
      <c r="A16" s="428">
        <v>16</v>
      </c>
      <c r="B16" s="430" t="s">
        <v>921</v>
      </c>
      <c r="C16" s="430" t="s">
        <v>509</v>
      </c>
      <c r="D16" s="430" t="s">
        <v>600</v>
      </c>
      <c r="E16" s="428"/>
      <c r="F16" s="430" t="s">
        <v>932</v>
      </c>
      <c r="G16" s="430" t="s">
        <v>519</v>
      </c>
      <c r="H16" s="430" t="s">
        <v>510</v>
      </c>
      <c r="I16" s="430" t="s">
        <v>558</v>
      </c>
      <c r="J16" s="428" t="s">
        <v>599</v>
      </c>
      <c r="K16" s="430" t="s">
        <v>947</v>
      </c>
      <c r="L16" s="431" t="s">
        <v>948</v>
      </c>
      <c r="M16" s="431">
        <v>0</v>
      </c>
      <c r="N16" s="431">
        <v>0</v>
      </c>
      <c r="O16" s="431">
        <v>0</v>
      </c>
      <c r="P16" s="431">
        <v>0</v>
      </c>
      <c r="Q16" s="428">
        <v>0</v>
      </c>
      <c r="R16" s="431">
        <v>0</v>
      </c>
      <c r="S16" s="428">
        <v>0</v>
      </c>
      <c r="T16" s="248"/>
      <c r="U16" s="248"/>
      <c r="V16" s="248"/>
      <c r="W16" s="248"/>
      <c r="X16" s="248"/>
      <c r="Y16" s="248"/>
      <c r="Z16" s="248"/>
      <c r="AA16" s="248"/>
    </row>
    <row r="17" spans="1:27">
      <c r="A17" s="428">
        <v>17</v>
      </c>
      <c r="B17" s="440" t="s">
        <v>483</v>
      </c>
      <c r="C17" s="430" t="s">
        <v>565</v>
      </c>
      <c r="D17" s="430" t="s">
        <v>1030</v>
      </c>
      <c r="E17" s="430" t="s">
        <v>501</v>
      </c>
      <c r="F17" s="430" t="s">
        <v>510</v>
      </c>
      <c r="G17" s="430" t="s">
        <v>503</v>
      </c>
      <c r="H17" s="430" t="s">
        <v>558</v>
      </c>
      <c r="I17" s="430" t="s">
        <v>561</v>
      </c>
      <c r="J17" s="428" t="s">
        <v>599</v>
      </c>
      <c r="K17" s="430">
        <v>0</v>
      </c>
      <c r="L17" s="431">
        <v>0</v>
      </c>
      <c r="M17" s="431">
        <v>0</v>
      </c>
      <c r="N17" s="431">
        <v>0</v>
      </c>
      <c r="O17" s="431">
        <v>0</v>
      </c>
      <c r="P17" s="431">
        <v>0</v>
      </c>
      <c r="Q17" s="428">
        <v>0</v>
      </c>
      <c r="R17" s="431">
        <v>0</v>
      </c>
      <c r="S17" s="428">
        <v>0</v>
      </c>
      <c r="T17" s="248"/>
      <c r="U17" s="248"/>
      <c r="V17" s="248"/>
      <c r="W17" s="248"/>
      <c r="X17" s="248"/>
      <c r="Y17" s="248"/>
      <c r="Z17" s="248"/>
      <c r="AA17" s="248"/>
    </row>
    <row r="18" spans="1:27">
      <c r="A18" s="428">
        <v>18</v>
      </c>
      <c r="B18" s="429" t="s">
        <v>949</v>
      </c>
      <c r="C18" s="431"/>
      <c r="D18" s="430" t="s">
        <v>937</v>
      </c>
      <c r="E18" s="430" t="s">
        <v>517</v>
      </c>
      <c r="F18" s="431"/>
      <c r="G18" s="430" t="s">
        <v>925</v>
      </c>
      <c r="H18" s="430" t="s">
        <v>512</v>
      </c>
      <c r="I18" s="430" t="s">
        <v>513</v>
      </c>
      <c r="J18" s="428" t="s">
        <v>599</v>
      </c>
      <c r="K18" s="430" t="s">
        <v>83</v>
      </c>
      <c r="L18" s="431" t="s">
        <v>485</v>
      </c>
      <c r="M18" s="430" t="s">
        <v>952</v>
      </c>
      <c r="N18" s="431" t="s">
        <v>951</v>
      </c>
      <c r="O18" s="431"/>
      <c r="P18" s="431"/>
      <c r="Q18" s="428">
        <v>0</v>
      </c>
      <c r="R18" s="431">
        <v>0</v>
      </c>
      <c r="S18" s="428">
        <v>0</v>
      </c>
      <c r="T18" s="248"/>
      <c r="U18" s="248"/>
      <c r="V18" s="248"/>
      <c r="W18" s="248"/>
      <c r="X18" s="248"/>
      <c r="Y18" s="248"/>
      <c r="Z18" s="248"/>
      <c r="AA18" s="248"/>
    </row>
    <row r="19" spans="1:27">
      <c r="A19" s="428">
        <v>19</v>
      </c>
      <c r="B19" s="430" t="s">
        <v>483</v>
      </c>
      <c r="C19" s="430" t="s">
        <v>516</v>
      </c>
      <c r="D19" s="430" t="s">
        <v>511</v>
      </c>
      <c r="E19" s="430" t="s">
        <v>509</v>
      </c>
      <c r="F19" s="430" t="s">
        <v>600</v>
      </c>
      <c r="G19" s="430" t="s">
        <v>519</v>
      </c>
      <c r="H19" s="430" t="s">
        <v>952</v>
      </c>
      <c r="I19" s="430" t="s">
        <v>561</v>
      </c>
      <c r="J19" s="428" t="s">
        <v>599</v>
      </c>
      <c r="K19" s="430">
        <v>0</v>
      </c>
      <c r="L19" s="431">
        <v>0</v>
      </c>
      <c r="M19" s="431">
        <v>0</v>
      </c>
      <c r="N19" s="431">
        <v>0</v>
      </c>
      <c r="O19" s="431">
        <v>0</v>
      </c>
      <c r="P19" s="431">
        <v>0</v>
      </c>
      <c r="Q19" s="428">
        <v>0</v>
      </c>
      <c r="R19" s="441">
        <v>0</v>
      </c>
      <c r="S19" s="441">
        <v>0</v>
      </c>
      <c r="T19" s="248"/>
      <c r="U19" s="248"/>
      <c r="V19" s="248"/>
      <c r="W19" s="248"/>
      <c r="X19" s="248"/>
      <c r="Y19" s="248"/>
      <c r="Z19" s="248"/>
      <c r="AA19" s="248"/>
    </row>
    <row r="20" spans="1:27">
      <c r="A20" s="428">
        <v>20</v>
      </c>
      <c r="B20" s="429" t="s">
        <v>78</v>
      </c>
      <c r="C20" s="431"/>
      <c r="D20" s="431"/>
      <c r="E20" s="430" t="s">
        <v>561</v>
      </c>
      <c r="F20" s="430" t="s">
        <v>500</v>
      </c>
      <c r="G20" s="430" t="s">
        <v>510</v>
      </c>
      <c r="H20" s="430" t="s">
        <v>513</v>
      </c>
      <c r="I20" s="430" t="s">
        <v>512</v>
      </c>
      <c r="J20" s="428" t="s">
        <v>599</v>
      </c>
      <c r="K20" s="441" t="s">
        <v>953</v>
      </c>
      <c r="L20" s="431" t="s">
        <v>572</v>
      </c>
      <c r="M20" s="430" t="s">
        <v>927</v>
      </c>
      <c r="N20" s="431" t="s">
        <v>929</v>
      </c>
      <c r="O20" s="431">
        <v>0</v>
      </c>
      <c r="P20" s="431">
        <v>0</v>
      </c>
      <c r="Q20" s="428">
        <v>0</v>
      </c>
      <c r="R20" s="431">
        <v>0</v>
      </c>
      <c r="S20" s="428">
        <v>0</v>
      </c>
      <c r="T20" s="248"/>
      <c r="U20" s="248"/>
      <c r="V20" s="248"/>
      <c r="W20" s="248"/>
      <c r="X20" s="248"/>
      <c r="Y20" s="248"/>
      <c r="Z20" s="248"/>
      <c r="AA20" s="248"/>
    </row>
    <row r="21" spans="1:27">
      <c r="A21" s="428">
        <v>21</v>
      </c>
      <c r="B21" s="430" t="s">
        <v>77</v>
      </c>
      <c r="C21" s="430" t="s">
        <v>1030</v>
      </c>
      <c r="D21" s="430" t="s">
        <v>522</v>
      </c>
      <c r="E21" s="430" t="s">
        <v>505</v>
      </c>
      <c r="F21" s="430" t="s">
        <v>510</v>
      </c>
      <c r="G21" s="430" t="s">
        <v>503</v>
      </c>
      <c r="H21" s="430" t="s">
        <v>571</v>
      </c>
      <c r="I21" s="430" t="s">
        <v>571</v>
      </c>
      <c r="J21" s="428" t="s">
        <v>599</v>
      </c>
      <c r="K21" s="430">
        <v>0</v>
      </c>
      <c r="L21" s="431">
        <v>0</v>
      </c>
      <c r="M21" s="431">
        <v>0</v>
      </c>
      <c r="N21" s="431">
        <v>0</v>
      </c>
      <c r="O21" s="431">
        <v>0</v>
      </c>
      <c r="P21" s="431">
        <v>0</v>
      </c>
      <c r="Q21" s="428">
        <v>0</v>
      </c>
      <c r="R21" s="431">
        <v>0</v>
      </c>
      <c r="S21" s="428">
        <v>0</v>
      </c>
      <c r="T21" s="442"/>
      <c r="U21" s="442"/>
      <c r="V21" s="442"/>
      <c r="W21" s="248"/>
      <c r="X21" s="248"/>
      <c r="Y21" s="248"/>
      <c r="Z21" s="248"/>
      <c r="AA21" s="248"/>
    </row>
    <row r="22" spans="1:27">
      <c r="A22" s="428">
        <v>22</v>
      </c>
      <c r="B22" s="431"/>
      <c r="C22" s="430" t="s">
        <v>960</v>
      </c>
      <c r="D22" s="430" t="s">
        <v>520</v>
      </c>
      <c r="E22" s="430" t="s">
        <v>501</v>
      </c>
      <c r="F22" s="430" t="s">
        <v>931</v>
      </c>
      <c r="G22" s="430" t="s">
        <v>510</v>
      </c>
      <c r="H22" s="430" t="s">
        <v>503</v>
      </c>
      <c r="I22" s="430" t="s">
        <v>558</v>
      </c>
      <c r="J22" s="428" t="s">
        <v>599</v>
      </c>
      <c r="K22" s="429" t="s">
        <v>573</v>
      </c>
      <c r="L22" s="431" t="s">
        <v>516</v>
      </c>
      <c r="M22" s="431">
        <v>0</v>
      </c>
      <c r="N22" s="431">
        <v>0</v>
      </c>
      <c r="O22" s="431">
        <v>0</v>
      </c>
      <c r="P22" s="431">
        <v>0</v>
      </c>
      <c r="Q22" s="428">
        <v>0</v>
      </c>
      <c r="R22" s="431">
        <v>0</v>
      </c>
      <c r="S22" s="428">
        <v>0</v>
      </c>
      <c r="T22" s="442"/>
      <c r="U22" s="442"/>
      <c r="V22" s="442"/>
      <c r="W22" s="248"/>
      <c r="X22" s="248"/>
      <c r="Y22" s="248"/>
      <c r="Z22" s="248"/>
      <c r="AA22" s="248"/>
    </row>
    <row r="23" spans="1:27">
      <c r="A23" s="428">
        <v>23</v>
      </c>
      <c r="B23" s="430" t="s">
        <v>483</v>
      </c>
      <c r="C23" s="430" t="s">
        <v>509</v>
      </c>
      <c r="D23" s="430" t="s">
        <v>600</v>
      </c>
      <c r="E23" s="430" t="s">
        <v>501</v>
      </c>
      <c r="F23" s="430" t="s">
        <v>931</v>
      </c>
      <c r="G23" s="430" t="s">
        <v>561</v>
      </c>
      <c r="H23" s="430" t="s">
        <v>510</v>
      </c>
      <c r="I23" s="430" t="s">
        <v>566</v>
      </c>
      <c r="J23" s="428" t="s">
        <v>599</v>
      </c>
      <c r="K23" s="430">
        <v>0</v>
      </c>
      <c r="L23" s="431">
        <v>0</v>
      </c>
      <c r="M23" s="431">
        <v>0</v>
      </c>
      <c r="N23" s="431">
        <v>0</v>
      </c>
      <c r="O23" s="431">
        <v>0</v>
      </c>
      <c r="P23" s="431">
        <v>0</v>
      </c>
      <c r="Q23" s="428">
        <v>0</v>
      </c>
      <c r="R23" s="431">
        <v>0</v>
      </c>
      <c r="S23" s="428">
        <v>0</v>
      </c>
      <c r="T23" s="442"/>
      <c r="U23" s="442"/>
      <c r="V23" s="442"/>
      <c r="W23" s="248"/>
      <c r="X23" s="248"/>
      <c r="Y23" s="248"/>
      <c r="Z23" s="248"/>
      <c r="AA23" s="248"/>
    </row>
    <row r="24" spans="1:27" ht="16.5">
      <c r="A24" s="428">
        <v>24</v>
      </c>
      <c r="B24" s="441" t="s">
        <v>943</v>
      </c>
      <c r="C24" s="430" t="s">
        <v>523</v>
      </c>
      <c r="D24" s="441" t="s">
        <v>953</v>
      </c>
      <c r="E24" s="430" t="s">
        <v>925</v>
      </c>
      <c r="F24" s="430" t="s">
        <v>503</v>
      </c>
      <c r="G24" s="430" t="s">
        <v>569</v>
      </c>
      <c r="H24" s="430" t="s">
        <v>600</v>
      </c>
      <c r="I24" s="430" t="s">
        <v>569</v>
      </c>
      <c r="J24" s="428" t="s">
        <v>599</v>
      </c>
      <c r="K24" s="430">
        <v>0</v>
      </c>
      <c r="L24" s="431">
        <v>0</v>
      </c>
      <c r="M24" s="431">
        <v>0</v>
      </c>
      <c r="N24" s="431">
        <v>0</v>
      </c>
      <c r="O24" s="431">
        <v>0</v>
      </c>
      <c r="P24" s="431">
        <v>0</v>
      </c>
      <c r="Q24" s="428">
        <v>0</v>
      </c>
      <c r="R24" s="431">
        <v>0</v>
      </c>
      <c r="S24" s="441">
        <v>0</v>
      </c>
      <c r="T24" s="443"/>
      <c r="U24" s="442"/>
      <c r="V24" s="442"/>
      <c r="W24" s="248"/>
      <c r="X24" s="248"/>
      <c r="Y24" s="248"/>
      <c r="Z24" s="248"/>
      <c r="AA24" s="248"/>
    </row>
    <row r="25" spans="1:27">
      <c r="A25" s="428">
        <v>25</v>
      </c>
      <c r="B25" s="441" t="s">
        <v>943</v>
      </c>
      <c r="C25" s="430" t="s">
        <v>523</v>
      </c>
      <c r="D25" s="441" t="s">
        <v>953</v>
      </c>
      <c r="E25" s="430" t="s">
        <v>600</v>
      </c>
      <c r="F25" s="430" t="s">
        <v>503</v>
      </c>
      <c r="G25" s="430" t="s">
        <v>561</v>
      </c>
      <c r="H25" s="430" t="s">
        <v>566</v>
      </c>
      <c r="I25" s="430" t="s">
        <v>566</v>
      </c>
      <c r="J25" s="428" t="s">
        <v>599</v>
      </c>
      <c r="K25" s="430">
        <v>0</v>
      </c>
      <c r="L25" s="431">
        <v>0</v>
      </c>
      <c r="M25" s="431">
        <v>0</v>
      </c>
      <c r="N25" s="431">
        <v>0</v>
      </c>
      <c r="O25" s="431">
        <v>0</v>
      </c>
      <c r="P25" s="431">
        <v>0</v>
      </c>
      <c r="Q25" s="428">
        <v>0</v>
      </c>
      <c r="R25" s="431">
        <v>0</v>
      </c>
      <c r="S25" s="428">
        <v>0</v>
      </c>
      <c r="T25" s="442"/>
      <c r="U25" s="442"/>
      <c r="V25" s="442"/>
      <c r="W25" s="248"/>
      <c r="X25" s="248"/>
      <c r="Y25" s="248"/>
      <c r="Z25" s="248"/>
      <c r="AA25" s="248"/>
    </row>
    <row r="26" spans="1:27">
      <c r="A26" s="428">
        <v>26</v>
      </c>
      <c r="B26" s="429" t="s">
        <v>77</v>
      </c>
      <c r="C26" s="431"/>
      <c r="D26" s="431"/>
      <c r="E26" s="430" t="s">
        <v>505</v>
      </c>
      <c r="F26" s="430" t="s">
        <v>521</v>
      </c>
      <c r="G26" s="430" t="s">
        <v>961</v>
      </c>
      <c r="H26" s="430" t="s">
        <v>506</v>
      </c>
      <c r="I26" s="430" t="s">
        <v>513</v>
      </c>
      <c r="J26" s="428" t="s">
        <v>599</v>
      </c>
      <c r="K26" s="430" t="s">
        <v>927</v>
      </c>
      <c r="L26" s="431" t="s">
        <v>929</v>
      </c>
      <c r="M26" s="430" t="s">
        <v>234</v>
      </c>
      <c r="N26" s="431" t="s">
        <v>937</v>
      </c>
      <c r="O26" s="431">
        <v>0</v>
      </c>
      <c r="P26" s="431">
        <v>0</v>
      </c>
      <c r="Q26" s="428">
        <v>0</v>
      </c>
      <c r="R26" s="431">
        <v>0</v>
      </c>
      <c r="S26" s="428">
        <v>0</v>
      </c>
      <c r="T26" s="442"/>
      <c r="U26" s="442"/>
      <c r="V26" s="442"/>
      <c r="W26" s="248"/>
      <c r="X26" s="248"/>
      <c r="Y26" s="248"/>
      <c r="Z26" s="248"/>
      <c r="AA26" s="248"/>
    </row>
    <row r="27" spans="1:27">
      <c r="A27" s="428">
        <v>27</v>
      </c>
      <c r="B27" s="430" t="s">
        <v>483</v>
      </c>
      <c r="C27" s="430" t="s">
        <v>920</v>
      </c>
      <c r="D27" s="430" t="s">
        <v>518</v>
      </c>
      <c r="E27" s="430" t="s">
        <v>937</v>
      </c>
      <c r="F27" s="430" t="s">
        <v>503</v>
      </c>
      <c r="G27" s="430" t="s">
        <v>566</v>
      </c>
      <c r="H27" s="430" t="s">
        <v>566</v>
      </c>
      <c r="I27" s="430" t="s">
        <v>962</v>
      </c>
      <c r="J27" s="428" t="s">
        <v>599</v>
      </c>
      <c r="K27" s="430">
        <v>0</v>
      </c>
      <c r="L27" s="431">
        <v>0</v>
      </c>
      <c r="M27" s="431">
        <v>0</v>
      </c>
      <c r="N27" s="431">
        <v>0</v>
      </c>
      <c r="O27" s="431">
        <v>0</v>
      </c>
      <c r="P27" s="431">
        <v>0</v>
      </c>
      <c r="Q27" s="428">
        <v>0</v>
      </c>
      <c r="R27" s="431">
        <v>0</v>
      </c>
      <c r="S27" s="428">
        <v>0</v>
      </c>
      <c r="T27" s="442"/>
      <c r="U27" s="442"/>
      <c r="V27" s="442"/>
      <c r="W27" s="248"/>
      <c r="X27" s="248"/>
      <c r="Y27" s="248"/>
      <c r="Z27" s="248"/>
      <c r="AA27" s="248"/>
    </row>
    <row r="28" spans="1:27">
      <c r="A28" s="428">
        <v>28</v>
      </c>
      <c r="B28" s="429" t="s">
        <v>76</v>
      </c>
      <c r="C28" s="430" t="s">
        <v>523</v>
      </c>
      <c r="D28" s="430" t="s">
        <v>927</v>
      </c>
      <c r="E28" s="431" t="s">
        <v>929</v>
      </c>
      <c r="F28" s="430" t="s">
        <v>524</v>
      </c>
      <c r="G28" s="430" t="s">
        <v>518</v>
      </c>
      <c r="H28" s="430" t="s">
        <v>512</v>
      </c>
      <c r="I28" s="430" t="s">
        <v>510</v>
      </c>
      <c r="J28" s="428" t="s">
        <v>599</v>
      </c>
      <c r="K28" s="430">
        <v>0</v>
      </c>
      <c r="L28" s="431">
        <v>0</v>
      </c>
      <c r="M28" s="431">
        <v>0</v>
      </c>
      <c r="N28" s="431">
        <v>0</v>
      </c>
      <c r="O28" s="431">
        <v>0</v>
      </c>
      <c r="P28" s="431">
        <v>0</v>
      </c>
      <c r="Q28" s="428">
        <v>0</v>
      </c>
      <c r="R28" s="431">
        <v>0</v>
      </c>
      <c r="S28" s="428">
        <v>0</v>
      </c>
      <c r="T28" s="442"/>
      <c r="U28" s="442"/>
      <c r="V28" s="442"/>
      <c r="W28" s="248"/>
      <c r="X28" s="248"/>
      <c r="Y28" s="248"/>
      <c r="Z28" s="248"/>
      <c r="AA28" s="248"/>
    </row>
    <row r="29" spans="1:27">
      <c r="A29" s="428">
        <v>29</v>
      </c>
      <c r="B29" s="430" t="s">
        <v>78</v>
      </c>
      <c r="C29" s="431"/>
      <c r="D29" s="430" t="s">
        <v>927</v>
      </c>
      <c r="E29" s="431" t="s">
        <v>929</v>
      </c>
      <c r="F29" s="430" t="s">
        <v>522</v>
      </c>
      <c r="G29" s="430" t="s">
        <v>524</v>
      </c>
      <c r="H29" s="430" t="s">
        <v>525</v>
      </c>
      <c r="I29" s="430" t="s">
        <v>558</v>
      </c>
      <c r="J29" s="428" t="s">
        <v>599</v>
      </c>
      <c r="K29" s="430" t="s">
        <v>574</v>
      </c>
      <c r="L29" s="431" t="s">
        <v>85</v>
      </c>
      <c r="M29" s="431">
        <v>0</v>
      </c>
      <c r="N29" s="431">
        <v>0</v>
      </c>
      <c r="O29" s="431">
        <v>0</v>
      </c>
      <c r="P29" s="431">
        <v>0</v>
      </c>
      <c r="Q29" s="428">
        <v>0</v>
      </c>
      <c r="R29" s="431">
        <v>0</v>
      </c>
      <c r="S29" s="428">
        <v>0</v>
      </c>
      <c r="T29" s="442"/>
      <c r="U29" s="442"/>
      <c r="V29" s="442"/>
      <c r="W29" s="248"/>
      <c r="X29" s="248"/>
      <c r="Y29" s="248"/>
      <c r="Z29" s="248"/>
      <c r="AA29" s="248"/>
    </row>
    <row r="30" spans="1:27">
      <c r="A30" s="428">
        <v>30</v>
      </c>
      <c r="B30" s="429" t="s">
        <v>78</v>
      </c>
      <c r="C30" s="430" t="s">
        <v>927</v>
      </c>
      <c r="D30" s="431" t="s">
        <v>929</v>
      </c>
      <c r="E30" s="430" t="s">
        <v>565</v>
      </c>
      <c r="F30" s="430" t="s">
        <v>510</v>
      </c>
      <c r="G30" s="430" t="s">
        <v>512</v>
      </c>
      <c r="H30" s="430" t="s">
        <v>503</v>
      </c>
      <c r="I30" s="430" t="s">
        <v>565</v>
      </c>
      <c r="J30" s="428" t="s">
        <v>599</v>
      </c>
      <c r="K30" s="430">
        <v>0</v>
      </c>
      <c r="L30" s="431">
        <v>0</v>
      </c>
      <c r="M30" s="431">
        <v>0</v>
      </c>
      <c r="N30" s="431">
        <v>0</v>
      </c>
      <c r="O30" s="431">
        <v>0</v>
      </c>
      <c r="P30" s="431">
        <v>0</v>
      </c>
      <c r="Q30" s="428">
        <v>0</v>
      </c>
      <c r="R30" s="431">
        <v>0</v>
      </c>
      <c r="S30" s="428">
        <v>0</v>
      </c>
      <c r="T30" s="442"/>
      <c r="U30" s="442"/>
      <c r="V30" s="442"/>
      <c r="W30" s="248"/>
      <c r="X30" s="248"/>
      <c r="Y30" s="248"/>
      <c r="Z30" s="248"/>
      <c r="AA30" s="248"/>
    </row>
    <row r="31" spans="1:27">
      <c r="A31" s="428">
        <v>31</v>
      </c>
      <c r="B31" s="430" t="s">
        <v>490</v>
      </c>
      <c r="C31" s="430" t="s">
        <v>526</v>
      </c>
      <c r="D31" s="431"/>
      <c r="E31" s="430" t="s">
        <v>527</v>
      </c>
      <c r="F31" s="430" t="s">
        <v>528</v>
      </c>
      <c r="G31" s="430" t="s">
        <v>529</v>
      </c>
      <c r="H31" s="430" t="s">
        <v>530</v>
      </c>
      <c r="I31" s="430" t="s">
        <v>531</v>
      </c>
      <c r="J31" s="428" t="s">
        <v>599</v>
      </c>
      <c r="K31" s="430" t="s">
        <v>574</v>
      </c>
      <c r="L31" s="431" t="s">
        <v>85</v>
      </c>
      <c r="M31" s="431">
        <v>0</v>
      </c>
      <c r="N31" s="431">
        <v>0</v>
      </c>
      <c r="O31" s="431">
        <v>0</v>
      </c>
      <c r="P31" s="431">
        <v>0</v>
      </c>
      <c r="Q31" s="428">
        <v>0</v>
      </c>
      <c r="R31" s="431">
        <v>0</v>
      </c>
      <c r="S31" s="428">
        <v>0</v>
      </c>
      <c r="T31" s="248"/>
      <c r="U31" s="248"/>
      <c r="V31" s="248"/>
      <c r="W31" s="248"/>
      <c r="X31" s="248"/>
      <c r="Y31" s="248"/>
      <c r="Z31" s="248"/>
      <c r="AA31" s="248"/>
    </row>
    <row r="32" spans="1:27">
      <c r="A32" s="428">
        <v>32</v>
      </c>
      <c r="B32" s="429" t="s">
        <v>490</v>
      </c>
      <c r="C32" s="430" t="s">
        <v>963</v>
      </c>
      <c r="D32" s="431"/>
      <c r="E32" s="430" t="s">
        <v>527</v>
      </c>
      <c r="F32" s="430" t="s">
        <v>562</v>
      </c>
      <c r="G32" s="430" t="s">
        <v>532</v>
      </c>
      <c r="H32" s="430" t="s">
        <v>529</v>
      </c>
      <c r="I32" s="430" t="s">
        <v>562</v>
      </c>
      <c r="J32" s="428" t="s">
        <v>599</v>
      </c>
      <c r="K32" s="430" t="s">
        <v>6</v>
      </c>
      <c r="L32" s="431" t="s">
        <v>931</v>
      </c>
      <c r="M32" s="431">
        <v>0</v>
      </c>
      <c r="N32" s="431">
        <v>0</v>
      </c>
      <c r="O32" s="431">
        <v>0</v>
      </c>
      <c r="P32" s="431">
        <v>0</v>
      </c>
      <c r="Q32" s="428">
        <v>0</v>
      </c>
      <c r="R32" s="431">
        <v>0</v>
      </c>
      <c r="S32" s="428">
        <v>0</v>
      </c>
      <c r="T32" s="248"/>
      <c r="U32" s="248"/>
      <c r="V32" s="248"/>
      <c r="W32" s="248"/>
      <c r="X32" s="248"/>
      <c r="Y32" s="248"/>
      <c r="Z32" s="248"/>
      <c r="AA32" s="248"/>
    </row>
    <row r="33" spans="1:27">
      <c r="A33" s="428">
        <v>33</v>
      </c>
      <c r="B33" s="428"/>
      <c r="C33" s="430" t="s">
        <v>533</v>
      </c>
      <c r="D33" s="430" t="s">
        <v>561</v>
      </c>
      <c r="E33" s="431"/>
      <c r="F33" s="431"/>
      <c r="G33" s="430" t="s">
        <v>530</v>
      </c>
      <c r="H33" s="430" t="s">
        <v>532</v>
      </c>
      <c r="I33" s="430" t="s">
        <v>531</v>
      </c>
      <c r="J33" s="428" t="s">
        <v>599</v>
      </c>
      <c r="K33" s="430" t="s">
        <v>967</v>
      </c>
      <c r="L33" s="431" t="s">
        <v>968</v>
      </c>
      <c r="M33" s="430" t="s">
        <v>575</v>
      </c>
      <c r="N33" s="431" t="s">
        <v>85</v>
      </c>
      <c r="O33" s="430" t="s">
        <v>964</v>
      </c>
      <c r="P33" s="431" t="s">
        <v>965</v>
      </c>
      <c r="Q33" s="428">
        <v>0</v>
      </c>
      <c r="R33" s="431">
        <v>0</v>
      </c>
      <c r="S33" s="428">
        <v>0</v>
      </c>
      <c r="T33" s="248"/>
      <c r="U33" s="248"/>
      <c r="V33" s="248"/>
      <c r="W33" s="248"/>
      <c r="X33" s="248"/>
      <c r="Y33" s="248"/>
      <c r="Z33" s="248"/>
      <c r="AA33" s="248"/>
    </row>
    <row r="34" spans="1:27">
      <c r="A34" s="428">
        <v>34</v>
      </c>
      <c r="B34" s="429" t="s">
        <v>920</v>
      </c>
      <c r="C34" s="430" t="s">
        <v>565</v>
      </c>
      <c r="D34" s="431"/>
      <c r="E34" s="430" t="s">
        <v>534</v>
      </c>
      <c r="F34" s="430" t="s">
        <v>527</v>
      </c>
      <c r="G34" s="430" t="s">
        <v>530</v>
      </c>
      <c r="H34" s="430" t="s">
        <v>558</v>
      </c>
      <c r="I34" s="430" t="s">
        <v>565</v>
      </c>
      <c r="J34" s="428" t="s">
        <v>599</v>
      </c>
      <c r="K34" s="431" t="s">
        <v>1030</v>
      </c>
      <c r="L34" s="431" t="s">
        <v>1044</v>
      </c>
      <c r="M34" s="431">
        <v>0</v>
      </c>
      <c r="N34" s="431">
        <v>0</v>
      </c>
      <c r="O34" s="431">
        <v>0</v>
      </c>
      <c r="P34" s="431">
        <v>0</v>
      </c>
      <c r="Q34" s="428">
        <v>0</v>
      </c>
      <c r="R34" s="431">
        <v>0</v>
      </c>
      <c r="S34" s="428">
        <v>0</v>
      </c>
      <c r="T34" s="248"/>
      <c r="U34" s="248"/>
      <c r="V34" s="248"/>
      <c r="W34" s="248"/>
      <c r="X34" s="248"/>
      <c r="Y34" s="248"/>
      <c r="Z34" s="248"/>
      <c r="AA34" s="248"/>
    </row>
    <row r="35" spans="1:27">
      <c r="A35" s="428">
        <v>35</v>
      </c>
      <c r="B35" s="430" t="s">
        <v>483</v>
      </c>
      <c r="C35" s="430" t="s">
        <v>533</v>
      </c>
      <c r="D35" s="430" t="s">
        <v>963</v>
      </c>
      <c r="E35" s="430" t="s">
        <v>535</v>
      </c>
      <c r="F35" s="430" t="s">
        <v>561</v>
      </c>
      <c r="G35" s="430" t="s">
        <v>600</v>
      </c>
      <c r="H35" s="430" t="s">
        <v>531</v>
      </c>
      <c r="I35" s="430" t="s">
        <v>558</v>
      </c>
      <c r="J35" s="428" t="s">
        <v>599</v>
      </c>
      <c r="K35" s="430">
        <v>0</v>
      </c>
      <c r="L35" s="431">
        <v>0</v>
      </c>
      <c r="M35" s="431">
        <v>0</v>
      </c>
      <c r="N35" s="431">
        <v>0</v>
      </c>
      <c r="O35" s="431">
        <v>0</v>
      </c>
      <c r="P35" s="431">
        <v>0</v>
      </c>
      <c r="Q35" s="428">
        <v>0</v>
      </c>
      <c r="R35" s="431">
        <v>0</v>
      </c>
      <c r="S35" s="428">
        <v>0</v>
      </c>
      <c r="T35" s="248"/>
      <c r="U35" s="248"/>
      <c r="V35" s="248"/>
      <c r="W35" s="248"/>
      <c r="X35" s="248"/>
      <c r="Y35" s="248"/>
      <c r="Z35" s="248"/>
      <c r="AA35" s="248"/>
    </row>
    <row r="36" spans="1:27">
      <c r="A36" s="428">
        <v>36</v>
      </c>
      <c r="B36" s="429" t="s">
        <v>483</v>
      </c>
      <c r="C36" s="430" t="s">
        <v>533</v>
      </c>
      <c r="D36" s="430" t="s">
        <v>963</v>
      </c>
      <c r="E36" s="430" t="s">
        <v>535</v>
      </c>
      <c r="F36" s="430" t="s">
        <v>600</v>
      </c>
      <c r="G36" s="430" t="s">
        <v>531</v>
      </c>
      <c r="H36" s="430" t="s">
        <v>529</v>
      </c>
      <c r="I36" s="430" t="s">
        <v>566</v>
      </c>
      <c r="J36" s="428" t="s">
        <v>599</v>
      </c>
      <c r="K36" s="430">
        <v>0</v>
      </c>
      <c r="L36" s="431">
        <v>0</v>
      </c>
      <c r="M36" s="431">
        <v>0</v>
      </c>
      <c r="N36" s="431">
        <v>0</v>
      </c>
      <c r="O36" s="431">
        <v>0</v>
      </c>
      <c r="P36" s="431">
        <v>0</v>
      </c>
      <c r="Q36" s="428">
        <v>0</v>
      </c>
      <c r="R36" s="431">
        <v>0</v>
      </c>
      <c r="S36" s="428">
        <v>0</v>
      </c>
      <c r="T36" s="248"/>
      <c r="U36" s="248"/>
      <c r="V36" s="248"/>
      <c r="W36" s="248"/>
      <c r="X36" s="248"/>
      <c r="Y36" s="248"/>
      <c r="Z36" s="248"/>
      <c r="AA36" s="248"/>
    </row>
    <row r="37" spans="1:27">
      <c r="A37" s="428">
        <v>37</v>
      </c>
      <c r="B37" s="430" t="s">
        <v>973</v>
      </c>
      <c r="C37" s="430" t="s">
        <v>527</v>
      </c>
      <c r="D37" s="430" t="s">
        <v>536</v>
      </c>
      <c r="E37" s="430" t="s">
        <v>561</v>
      </c>
      <c r="F37" s="431"/>
      <c r="G37" s="430" t="s">
        <v>532</v>
      </c>
      <c r="H37" s="430" t="s">
        <v>529</v>
      </c>
      <c r="I37" s="430" t="s">
        <v>531</v>
      </c>
      <c r="J37" s="428" t="s">
        <v>599</v>
      </c>
      <c r="K37" s="430" t="s">
        <v>576</v>
      </c>
      <c r="L37" s="431" t="s">
        <v>969</v>
      </c>
      <c r="M37" s="431">
        <v>0</v>
      </c>
      <c r="N37" s="431">
        <v>0</v>
      </c>
      <c r="O37" s="431">
        <v>0</v>
      </c>
      <c r="P37" s="431">
        <v>0</v>
      </c>
      <c r="Q37" s="428">
        <v>0</v>
      </c>
      <c r="R37" s="431">
        <v>0</v>
      </c>
      <c r="S37" s="428">
        <v>0</v>
      </c>
      <c r="T37" s="248"/>
      <c r="U37" s="248"/>
      <c r="V37" s="248"/>
      <c r="W37" s="248"/>
      <c r="X37" s="248"/>
      <c r="Y37" s="248"/>
      <c r="Z37" s="248"/>
      <c r="AA37" s="248"/>
    </row>
    <row r="38" spans="1:27">
      <c r="A38" s="428">
        <v>38</v>
      </c>
      <c r="B38" s="429" t="s">
        <v>74</v>
      </c>
      <c r="C38" s="430" t="s">
        <v>561</v>
      </c>
      <c r="D38" s="430" t="s">
        <v>927</v>
      </c>
      <c r="E38" s="431" t="s">
        <v>929</v>
      </c>
      <c r="F38" s="430" t="s">
        <v>537</v>
      </c>
      <c r="G38" s="430" t="s">
        <v>529</v>
      </c>
      <c r="H38" s="430" t="s">
        <v>530</v>
      </c>
      <c r="I38" s="430" t="s">
        <v>496</v>
      </c>
      <c r="J38" s="428" t="s">
        <v>599</v>
      </c>
      <c r="K38" s="430">
        <v>0</v>
      </c>
      <c r="L38" s="431">
        <v>0</v>
      </c>
      <c r="M38" s="431">
        <v>0</v>
      </c>
      <c r="N38" s="431">
        <v>0</v>
      </c>
      <c r="O38" s="431">
        <v>0</v>
      </c>
      <c r="P38" s="431">
        <v>0</v>
      </c>
      <c r="Q38" s="428">
        <v>0</v>
      </c>
      <c r="R38" s="431">
        <v>0</v>
      </c>
      <c r="S38" s="428">
        <v>0</v>
      </c>
      <c r="T38" s="248"/>
      <c r="U38" s="248"/>
      <c r="V38" s="248"/>
      <c r="W38" s="248"/>
      <c r="X38" s="248"/>
      <c r="Y38" s="248"/>
      <c r="Z38" s="248"/>
      <c r="AA38" s="248"/>
    </row>
    <row r="39" spans="1:27">
      <c r="A39" s="428">
        <v>39</v>
      </c>
      <c r="B39" s="430" t="s">
        <v>483</v>
      </c>
      <c r="C39" s="430" t="s">
        <v>565</v>
      </c>
      <c r="D39" s="430" t="s">
        <v>538</v>
      </c>
      <c r="E39" s="430" t="s">
        <v>532</v>
      </c>
      <c r="F39" s="430" t="s">
        <v>531</v>
      </c>
      <c r="G39" s="430" t="s">
        <v>577</v>
      </c>
      <c r="H39" s="430" t="s">
        <v>561</v>
      </c>
      <c r="I39" s="430" t="s">
        <v>558</v>
      </c>
      <c r="J39" s="428" t="s">
        <v>599</v>
      </c>
      <c r="K39" s="430">
        <v>0</v>
      </c>
      <c r="L39" s="431">
        <v>0</v>
      </c>
      <c r="M39" s="431">
        <v>0</v>
      </c>
      <c r="N39" s="431">
        <v>0</v>
      </c>
      <c r="O39" s="431">
        <v>0</v>
      </c>
      <c r="P39" s="431">
        <v>0</v>
      </c>
      <c r="Q39" s="428">
        <v>0</v>
      </c>
      <c r="R39" s="431">
        <v>0</v>
      </c>
      <c r="S39" s="428">
        <v>0</v>
      </c>
      <c r="T39" s="248"/>
      <c r="U39" s="248"/>
      <c r="V39" s="248"/>
      <c r="W39" s="248"/>
      <c r="X39" s="248"/>
      <c r="Y39" s="248"/>
      <c r="Z39" s="248"/>
      <c r="AA39" s="248"/>
    </row>
    <row r="40" spans="1:27">
      <c r="A40" s="428">
        <v>40</v>
      </c>
      <c r="B40" s="429" t="s">
        <v>565</v>
      </c>
      <c r="C40" s="430" t="s">
        <v>534</v>
      </c>
      <c r="D40" s="431"/>
      <c r="E40" s="430" t="s">
        <v>535</v>
      </c>
      <c r="F40" s="430" t="s">
        <v>538</v>
      </c>
      <c r="G40" s="430" t="s">
        <v>532</v>
      </c>
      <c r="H40" s="430" t="s">
        <v>92</v>
      </c>
      <c r="I40" s="429" t="s">
        <v>578</v>
      </c>
      <c r="J40" s="428" t="s">
        <v>599</v>
      </c>
      <c r="K40" s="430" t="s">
        <v>1030</v>
      </c>
      <c r="L40" s="431" t="s">
        <v>968</v>
      </c>
      <c r="M40" s="431">
        <v>0</v>
      </c>
      <c r="N40" s="431">
        <v>0</v>
      </c>
      <c r="O40" s="431">
        <v>0</v>
      </c>
      <c r="P40" s="431">
        <v>0</v>
      </c>
      <c r="Q40" s="428">
        <v>0</v>
      </c>
      <c r="R40" s="431">
        <v>0</v>
      </c>
      <c r="S40" s="428">
        <v>0</v>
      </c>
      <c r="T40" s="248"/>
      <c r="U40" s="248"/>
      <c r="V40" s="248"/>
      <c r="W40" s="248"/>
      <c r="X40" s="248"/>
      <c r="Y40" s="248"/>
      <c r="Z40" s="248"/>
      <c r="AA40" s="248"/>
    </row>
    <row r="41" spans="1:27">
      <c r="A41" s="428">
        <v>41</v>
      </c>
      <c r="B41" s="430" t="s">
        <v>483</v>
      </c>
      <c r="C41" s="430" t="s">
        <v>963</v>
      </c>
      <c r="D41" s="430" t="s">
        <v>970</v>
      </c>
      <c r="E41" s="428"/>
      <c r="F41" s="430" t="s">
        <v>539</v>
      </c>
      <c r="G41" s="430" t="s">
        <v>532</v>
      </c>
      <c r="H41" s="430" t="s">
        <v>531</v>
      </c>
      <c r="I41" s="430" t="s">
        <v>558</v>
      </c>
      <c r="J41" s="428" t="s">
        <v>599</v>
      </c>
      <c r="K41" s="441" t="s">
        <v>943</v>
      </c>
      <c r="L41" s="441" t="s">
        <v>972</v>
      </c>
      <c r="M41" s="431">
        <v>0</v>
      </c>
      <c r="N41" s="431">
        <v>0</v>
      </c>
      <c r="O41" s="431">
        <v>0</v>
      </c>
      <c r="P41" s="431">
        <v>0</v>
      </c>
      <c r="Q41" s="428">
        <v>0</v>
      </c>
      <c r="R41" s="431">
        <v>0</v>
      </c>
      <c r="S41" s="428">
        <v>0</v>
      </c>
      <c r="T41" s="248"/>
      <c r="U41" s="248"/>
      <c r="V41" s="248"/>
      <c r="W41" s="248"/>
      <c r="X41" s="248"/>
      <c r="Y41" s="248"/>
      <c r="Z41" s="248"/>
      <c r="AA41" s="248"/>
    </row>
    <row r="42" spans="1:27">
      <c r="A42" s="428">
        <v>42</v>
      </c>
      <c r="B42" s="429" t="s">
        <v>920</v>
      </c>
      <c r="C42" s="430" t="s">
        <v>973</v>
      </c>
      <c r="D42" s="430" t="s">
        <v>931</v>
      </c>
      <c r="E42" s="430" t="s">
        <v>540</v>
      </c>
      <c r="F42" s="430" t="s">
        <v>561</v>
      </c>
      <c r="G42" s="430" t="s">
        <v>560</v>
      </c>
      <c r="H42" s="430" t="s">
        <v>560</v>
      </c>
      <c r="I42" s="430" t="s">
        <v>560</v>
      </c>
      <c r="J42" s="428" t="s">
        <v>599</v>
      </c>
      <c r="K42" s="430">
        <v>0</v>
      </c>
      <c r="L42" s="431">
        <v>0</v>
      </c>
      <c r="M42" s="431">
        <v>0</v>
      </c>
      <c r="N42" s="431">
        <v>0</v>
      </c>
      <c r="O42" s="431">
        <v>0</v>
      </c>
      <c r="P42" s="431">
        <v>0</v>
      </c>
      <c r="Q42" s="428">
        <v>0</v>
      </c>
      <c r="R42" s="431">
        <v>0</v>
      </c>
      <c r="S42" s="428">
        <v>0</v>
      </c>
      <c r="T42" s="248"/>
      <c r="U42" s="248"/>
      <c r="V42" s="248"/>
      <c r="W42" s="248"/>
      <c r="X42" s="248"/>
      <c r="Y42" s="248"/>
      <c r="Z42" s="248"/>
      <c r="AA42" s="248"/>
    </row>
    <row r="43" spans="1:27">
      <c r="A43" s="428">
        <v>43</v>
      </c>
      <c r="B43" s="430" t="s">
        <v>498</v>
      </c>
      <c r="C43" s="430" t="s">
        <v>541</v>
      </c>
      <c r="D43" s="430" t="s">
        <v>539</v>
      </c>
      <c r="E43" s="430" t="s">
        <v>977</v>
      </c>
      <c r="F43" s="430" t="s">
        <v>975</v>
      </c>
      <c r="G43" s="430" t="s">
        <v>531</v>
      </c>
      <c r="H43" s="430" t="s">
        <v>542</v>
      </c>
      <c r="I43" s="430" t="s">
        <v>558</v>
      </c>
      <c r="J43" s="428" t="s">
        <v>599</v>
      </c>
      <c r="K43" s="430">
        <v>0</v>
      </c>
      <c r="L43" s="431">
        <v>0</v>
      </c>
      <c r="M43" s="431">
        <v>0</v>
      </c>
      <c r="N43" s="431">
        <v>0</v>
      </c>
      <c r="O43" s="431">
        <v>0</v>
      </c>
      <c r="P43" s="431">
        <v>0</v>
      </c>
      <c r="Q43" s="428">
        <v>0</v>
      </c>
      <c r="R43" s="431">
        <v>0</v>
      </c>
      <c r="S43" s="428">
        <v>0</v>
      </c>
      <c r="T43" s="248"/>
      <c r="U43" s="248"/>
      <c r="V43" s="248"/>
      <c r="W43" s="248"/>
      <c r="X43" s="248"/>
      <c r="Y43" s="248"/>
      <c r="Z43" s="248"/>
      <c r="AA43" s="248"/>
    </row>
    <row r="44" spans="1:27">
      <c r="A44" s="428">
        <v>44</v>
      </c>
      <c r="B44" s="429" t="s">
        <v>497</v>
      </c>
      <c r="C44" s="431" t="s">
        <v>489</v>
      </c>
      <c r="D44" s="431" t="s">
        <v>974</v>
      </c>
      <c r="E44" s="431" t="s">
        <v>488</v>
      </c>
      <c r="F44" s="430" t="s">
        <v>975</v>
      </c>
      <c r="G44" s="430" t="s">
        <v>976</v>
      </c>
      <c r="H44" s="430" t="s">
        <v>560</v>
      </c>
      <c r="I44" s="430" t="s">
        <v>560</v>
      </c>
      <c r="J44" s="428" t="s">
        <v>599</v>
      </c>
      <c r="K44" s="430">
        <v>0</v>
      </c>
      <c r="L44" s="431">
        <v>0</v>
      </c>
      <c r="M44" s="431">
        <v>0</v>
      </c>
      <c r="N44" s="431">
        <v>0</v>
      </c>
      <c r="O44" s="431">
        <v>0</v>
      </c>
      <c r="P44" s="431">
        <v>0</v>
      </c>
      <c r="Q44" s="428">
        <v>0</v>
      </c>
      <c r="R44" s="431">
        <v>0</v>
      </c>
      <c r="S44" s="428">
        <v>0</v>
      </c>
      <c r="T44" s="248"/>
      <c r="U44" s="248"/>
      <c r="V44" s="248"/>
      <c r="W44" s="248"/>
      <c r="X44" s="248"/>
      <c r="Y44" s="248"/>
      <c r="Z44" s="248"/>
      <c r="AA44" s="248"/>
    </row>
    <row r="45" spans="1:27">
      <c r="A45" s="428">
        <v>45</v>
      </c>
      <c r="B45" s="430" t="s">
        <v>74</v>
      </c>
      <c r="C45" s="430" t="s">
        <v>537</v>
      </c>
      <c r="D45" s="430" t="s">
        <v>527</v>
      </c>
      <c r="E45" s="430" t="s">
        <v>536</v>
      </c>
      <c r="F45" s="430" t="s">
        <v>561</v>
      </c>
      <c r="G45" s="430" t="s">
        <v>530</v>
      </c>
      <c r="H45" s="430" t="s">
        <v>558</v>
      </c>
      <c r="I45" s="430" t="s">
        <v>558</v>
      </c>
      <c r="J45" s="428" t="s">
        <v>599</v>
      </c>
      <c r="K45" s="430">
        <v>0</v>
      </c>
      <c r="L45" s="431">
        <v>0</v>
      </c>
      <c r="M45" s="431">
        <v>0</v>
      </c>
      <c r="N45" s="431">
        <v>0</v>
      </c>
      <c r="O45" s="431">
        <v>0</v>
      </c>
      <c r="P45" s="431">
        <v>0</v>
      </c>
      <c r="Q45" s="428">
        <v>0</v>
      </c>
      <c r="R45" s="431">
        <v>0</v>
      </c>
      <c r="S45" s="428">
        <v>0</v>
      </c>
      <c r="T45" s="248"/>
      <c r="U45" s="248"/>
      <c r="V45" s="248"/>
      <c r="W45" s="248"/>
      <c r="X45" s="248"/>
      <c r="Y45" s="248"/>
      <c r="Z45" s="248"/>
      <c r="AA45" s="248"/>
    </row>
    <row r="46" spans="1:27">
      <c r="A46" s="428">
        <v>46</v>
      </c>
      <c r="B46" s="429" t="s">
        <v>78</v>
      </c>
      <c r="C46" s="430" t="s">
        <v>565</v>
      </c>
      <c r="D46" s="430" t="s">
        <v>527</v>
      </c>
      <c r="E46" s="430" t="s">
        <v>539</v>
      </c>
      <c r="F46" s="430" t="s">
        <v>536</v>
      </c>
      <c r="G46" s="430" t="s">
        <v>531</v>
      </c>
      <c r="H46" s="430" t="s">
        <v>558</v>
      </c>
      <c r="I46" s="430" t="s">
        <v>561</v>
      </c>
      <c r="J46" s="428" t="s">
        <v>599</v>
      </c>
      <c r="K46" s="430">
        <v>0</v>
      </c>
      <c r="L46" s="431">
        <v>0</v>
      </c>
      <c r="M46" s="431">
        <v>0</v>
      </c>
      <c r="N46" s="431">
        <v>0</v>
      </c>
      <c r="O46" s="431">
        <v>0</v>
      </c>
      <c r="P46" s="431">
        <v>0</v>
      </c>
      <c r="Q46" s="428">
        <v>0</v>
      </c>
      <c r="R46" s="431">
        <v>0</v>
      </c>
      <c r="S46" s="428">
        <v>0</v>
      </c>
      <c r="T46" s="248"/>
      <c r="U46" s="248"/>
      <c r="V46" s="248"/>
      <c r="W46" s="248"/>
      <c r="X46" s="248"/>
      <c r="Y46" s="248"/>
      <c r="Z46" s="248"/>
      <c r="AA46" s="248"/>
    </row>
    <row r="47" spans="1:27">
      <c r="A47" s="428">
        <v>47</v>
      </c>
      <c r="B47" s="430" t="s">
        <v>483</v>
      </c>
      <c r="C47" s="430" t="s">
        <v>534</v>
      </c>
      <c r="D47" s="430" t="s">
        <v>527</v>
      </c>
      <c r="E47" s="430" t="s">
        <v>561</v>
      </c>
      <c r="F47" s="430" t="s">
        <v>539</v>
      </c>
      <c r="G47" s="430" t="s">
        <v>536</v>
      </c>
      <c r="H47" s="430" t="s">
        <v>532</v>
      </c>
      <c r="I47" s="430" t="s">
        <v>558</v>
      </c>
      <c r="J47" s="428" t="s">
        <v>599</v>
      </c>
      <c r="K47" s="430">
        <v>0</v>
      </c>
      <c r="L47" s="431">
        <v>0</v>
      </c>
      <c r="M47" s="431">
        <v>0</v>
      </c>
      <c r="N47" s="431">
        <v>0</v>
      </c>
      <c r="O47" s="431">
        <v>0</v>
      </c>
      <c r="P47" s="431">
        <v>0</v>
      </c>
      <c r="Q47" s="428">
        <v>0</v>
      </c>
      <c r="R47" s="431">
        <v>0</v>
      </c>
      <c r="S47" s="428">
        <v>0</v>
      </c>
      <c r="T47" s="248"/>
      <c r="U47" s="248"/>
      <c r="V47" s="248"/>
      <c r="W47" s="248"/>
      <c r="X47" s="248"/>
      <c r="Y47" s="248"/>
      <c r="Z47" s="248"/>
      <c r="AA47" s="248"/>
    </row>
    <row r="48" spans="1:27">
      <c r="A48" s="428">
        <v>48</v>
      </c>
      <c r="B48" s="429" t="s">
        <v>483</v>
      </c>
      <c r="C48" s="430" t="s">
        <v>534</v>
      </c>
      <c r="D48" s="430" t="s">
        <v>543</v>
      </c>
      <c r="E48" s="430" t="s">
        <v>544</v>
      </c>
      <c r="F48" s="430" t="s">
        <v>539</v>
      </c>
      <c r="G48" s="430" t="s">
        <v>536</v>
      </c>
      <c r="H48" s="430" t="s">
        <v>531</v>
      </c>
      <c r="I48" s="430" t="s">
        <v>558</v>
      </c>
      <c r="J48" s="428" t="s">
        <v>599</v>
      </c>
      <c r="K48" s="430">
        <v>0</v>
      </c>
      <c r="L48" s="431">
        <v>0</v>
      </c>
      <c r="M48" s="431">
        <v>0</v>
      </c>
      <c r="N48" s="431">
        <v>0</v>
      </c>
      <c r="O48" s="431">
        <v>0</v>
      </c>
      <c r="P48" s="431">
        <v>0</v>
      </c>
      <c r="Q48" s="428">
        <v>0</v>
      </c>
      <c r="R48" s="431">
        <v>0</v>
      </c>
      <c r="S48" s="428">
        <v>0</v>
      </c>
      <c r="T48" s="248"/>
      <c r="U48" s="248"/>
      <c r="V48" s="248"/>
      <c r="W48" s="248"/>
      <c r="X48" s="248"/>
      <c r="Y48" s="248"/>
      <c r="Z48" s="248"/>
      <c r="AA48" s="248"/>
    </row>
    <row r="49" spans="1:27">
      <c r="A49" s="428">
        <v>49</v>
      </c>
      <c r="B49" s="430" t="s">
        <v>483</v>
      </c>
      <c r="C49" s="430" t="s">
        <v>535</v>
      </c>
      <c r="D49" s="430" t="s">
        <v>545</v>
      </c>
      <c r="E49" s="430" t="s">
        <v>565</v>
      </c>
      <c r="F49" s="430" t="s">
        <v>532</v>
      </c>
      <c r="G49" s="430" t="s">
        <v>531</v>
      </c>
      <c r="H49" s="430" t="s">
        <v>558</v>
      </c>
      <c r="I49" s="430" t="s">
        <v>565</v>
      </c>
      <c r="J49" s="428" t="s">
        <v>599</v>
      </c>
      <c r="K49" s="430">
        <v>0</v>
      </c>
      <c r="L49" s="431">
        <v>0</v>
      </c>
      <c r="M49" s="431">
        <v>0</v>
      </c>
      <c r="N49" s="431">
        <v>0</v>
      </c>
      <c r="O49" s="431">
        <v>0</v>
      </c>
      <c r="P49" s="431">
        <v>0</v>
      </c>
      <c r="Q49" s="428">
        <v>0</v>
      </c>
      <c r="R49" s="431">
        <v>0</v>
      </c>
      <c r="S49" s="428">
        <v>0</v>
      </c>
      <c r="T49" s="248"/>
      <c r="U49" s="248"/>
      <c r="V49" s="248"/>
      <c r="W49" s="248"/>
      <c r="X49" s="248"/>
      <c r="Y49" s="248"/>
      <c r="Z49" s="248"/>
      <c r="AA49" s="248"/>
    </row>
    <row r="50" spans="1:27">
      <c r="A50" s="428">
        <v>50</v>
      </c>
      <c r="B50" s="429" t="s">
        <v>499</v>
      </c>
      <c r="C50" s="430" t="s">
        <v>535</v>
      </c>
      <c r="D50" s="430" t="s">
        <v>546</v>
      </c>
      <c r="E50" s="430" t="s">
        <v>544</v>
      </c>
      <c r="F50" s="430" t="s">
        <v>527</v>
      </c>
      <c r="G50" s="430" t="s">
        <v>545</v>
      </c>
      <c r="H50" s="430" t="s">
        <v>547</v>
      </c>
      <c r="I50" s="430" t="s">
        <v>532</v>
      </c>
      <c r="J50" s="428" t="s">
        <v>599</v>
      </c>
      <c r="K50" s="430">
        <v>0</v>
      </c>
      <c r="L50" s="431">
        <v>0</v>
      </c>
      <c r="M50" s="431">
        <v>0</v>
      </c>
      <c r="N50" s="431">
        <v>0</v>
      </c>
      <c r="O50" s="431">
        <v>0</v>
      </c>
      <c r="P50" s="431">
        <v>0</v>
      </c>
      <c r="Q50" s="428">
        <v>0</v>
      </c>
      <c r="R50" s="431">
        <v>0</v>
      </c>
      <c r="S50" s="428">
        <v>0</v>
      </c>
      <c r="T50" s="248"/>
      <c r="U50" s="248"/>
      <c r="V50" s="248"/>
      <c r="W50" s="248"/>
      <c r="X50" s="248"/>
      <c r="Y50" s="248"/>
      <c r="Z50" s="248"/>
      <c r="AA50" s="248"/>
    </row>
    <row r="51" spans="1:27">
      <c r="A51" s="428">
        <v>51</v>
      </c>
      <c r="B51" s="430" t="s">
        <v>963</v>
      </c>
      <c r="C51" s="430" t="s">
        <v>543</v>
      </c>
      <c r="D51" s="430" t="s">
        <v>600</v>
      </c>
      <c r="E51" s="430" t="s">
        <v>539</v>
      </c>
      <c r="F51" s="430" t="s">
        <v>548</v>
      </c>
      <c r="G51" s="430" t="s">
        <v>975</v>
      </c>
      <c r="H51" s="430" t="s">
        <v>976</v>
      </c>
      <c r="I51" s="430" t="s">
        <v>558</v>
      </c>
      <c r="J51" s="428" t="s">
        <v>599</v>
      </c>
      <c r="K51" s="430">
        <v>0</v>
      </c>
      <c r="L51" s="431">
        <v>0</v>
      </c>
      <c r="M51" s="431">
        <v>0</v>
      </c>
      <c r="N51" s="431">
        <v>0</v>
      </c>
      <c r="O51" s="431">
        <v>0</v>
      </c>
      <c r="P51" s="431">
        <v>0</v>
      </c>
      <c r="Q51" s="428">
        <v>0</v>
      </c>
      <c r="R51" s="431">
        <v>0</v>
      </c>
      <c r="S51" s="428">
        <v>0</v>
      </c>
      <c r="T51" s="248"/>
      <c r="U51" s="248"/>
      <c r="V51" s="248"/>
      <c r="W51" s="248"/>
      <c r="X51" s="248"/>
      <c r="Y51" s="248"/>
      <c r="Z51" s="248"/>
      <c r="AA51" s="248"/>
    </row>
    <row r="52" spans="1:27">
      <c r="A52" s="428">
        <v>52</v>
      </c>
      <c r="B52" s="429" t="s">
        <v>978</v>
      </c>
      <c r="C52" s="430" t="s">
        <v>565</v>
      </c>
      <c r="D52" s="430" t="s">
        <v>549</v>
      </c>
      <c r="E52" s="430" t="s">
        <v>565</v>
      </c>
      <c r="F52" s="430" t="s">
        <v>527</v>
      </c>
      <c r="G52" s="430" t="s">
        <v>532</v>
      </c>
      <c r="H52" s="430" t="s">
        <v>558</v>
      </c>
      <c r="I52" s="430" t="s">
        <v>558</v>
      </c>
      <c r="J52" s="428" t="s">
        <v>599</v>
      </c>
      <c r="K52" s="430">
        <v>0</v>
      </c>
      <c r="L52" s="431">
        <v>0</v>
      </c>
      <c r="M52" s="431">
        <v>0</v>
      </c>
      <c r="N52" s="431">
        <v>0</v>
      </c>
      <c r="O52" s="431">
        <v>0</v>
      </c>
      <c r="P52" s="431">
        <v>0</v>
      </c>
      <c r="Q52" s="428">
        <v>0</v>
      </c>
      <c r="R52" s="431">
        <v>0</v>
      </c>
      <c r="S52" s="428">
        <v>0</v>
      </c>
      <c r="T52" s="248"/>
      <c r="U52" s="248"/>
      <c r="V52" s="248"/>
      <c r="W52" s="248"/>
      <c r="X52" s="248"/>
      <c r="Y52" s="248"/>
      <c r="Z52" s="248"/>
      <c r="AA52" s="248"/>
    </row>
    <row r="53" spans="1:27">
      <c r="A53" s="428">
        <v>53</v>
      </c>
      <c r="B53" s="428"/>
      <c r="C53" s="430" t="s">
        <v>968</v>
      </c>
      <c r="D53" s="430" t="s">
        <v>535</v>
      </c>
      <c r="E53" s="430" t="s">
        <v>537</v>
      </c>
      <c r="F53" s="430" t="s">
        <v>937</v>
      </c>
      <c r="G53" s="430" t="s">
        <v>536</v>
      </c>
      <c r="H53" s="430" t="s">
        <v>931</v>
      </c>
      <c r="I53" s="430" t="s">
        <v>1522</v>
      </c>
      <c r="J53" s="428" t="s">
        <v>599</v>
      </c>
      <c r="K53" s="430" t="s">
        <v>979</v>
      </c>
      <c r="L53" s="431" t="s">
        <v>980</v>
      </c>
      <c r="M53" s="431">
        <v>0</v>
      </c>
      <c r="N53" s="431">
        <v>0</v>
      </c>
      <c r="O53" s="431">
        <v>0</v>
      </c>
      <c r="P53" s="431">
        <v>0</v>
      </c>
      <c r="Q53" s="428">
        <v>0</v>
      </c>
      <c r="R53" s="431">
        <v>0</v>
      </c>
      <c r="S53" s="428">
        <v>0</v>
      </c>
      <c r="T53" s="248"/>
      <c r="U53" s="248"/>
      <c r="V53" s="248"/>
      <c r="W53" s="248"/>
      <c r="X53" s="248"/>
      <c r="Y53" s="248"/>
      <c r="Z53" s="248"/>
      <c r="AA53" s="248"/>
    </row>
    <row r="54" spans="1:27">
      <c r="A54" s="428">
        <v>54</v>
      </c>
      <c r="B54" s="429" t="s">
        <v>981</v>
      </c>
      <c r="C54" s="431"/>
      <c r="D54" s="430" t="s">
        <v>561</v>
      </c>
      <c r="E54" s="430" t="s">
        <v>539</v>
      </c>
      <c r="F54" s="430" t="s">
        <v>937</v>
      </c>
      <c r="G54" s="430" t="s">
        <v>548</v>
      </c>
      <c r="H54" s="430" t="s">
        <v>550</v>
      </c>
      <c r="I54" s="430" t="s">
        <v>558</v>
      </c>
      <c r="J54" s="428" t="s">
        <v>599</v>
      </c>
      <c r="K54" s="430" t="s">
        <v>580</v>
      </c>
      <c r="L54" s="431" t="s">
        <v>521</v>
      </c>
      <c r="M54" s="431">
        <v>0</v>
      </c>
      <c r="N54" s="431">
        <v>0</v>
      </c>
      <c r="O54" s="431">
        <v>0</v>
      </c>
      <c r="P54" s="431">
        <v>0</v>
      </c>
      <c r="Q54" s="428">
        <v>0</v>
      </c>
      <c r="R54" s="431">
        <v>0</v>
      </c>
      <c r="S54" s="428">
        <v>0</v>
      </c>
      <c r="T54" s="248"/>
      <c r="U54" s="248"/>
      <c r="V54" s="248"/>
      <c r="W54" s="248"/>
      <c r="X54" s="248"/>
      <c r="Y54" s="248"/>
      <c r="Z54" s="248"/>
      <c r="AA54" s="248"/>
    </row>
    <row r="55" spans="1:27">
      <c r="A55" s="428">
        <v>55</v>
      </c>
      <c r="B55" s="430" t="s">
        <v>78</v>
      </c>
      <c r="C55" s="430" t="s">
        <v>1030</v>
      </c>
      <c r="D55" s="430" t="s">
        <v>968</v>
      </c>
      <c r="E55" s="430" t="s">
        <v>551</v>
      </c>
      <c r="F55" s="430" t="s">
        <v>547</v>
      </c>
      <c r="G55" s="430" t="s">
        <v>530</v>
      </c>
      <c r="H55" s="430" t="s">
        <v>531</v>
      </c>
      <c r="I55" s="430" t="s">
        <v>558</v>
      </c>
      <c r="J55" s="428" t="s">
        <v>599</v>
      </c>
      <c r="K55" s="430">
        <v>0</v>
      </c>
      <c r="L55" s="431">
        <v>0</v>
      </c>
      <c r="M55" s="431">
        <v>0</v>
      </c>
      <c r="N55" s="431">
        <v>0</v>
      </c>
      <c r="O55" s="431">
        <v>0</v>
      </c>
      <c r="P55" s="431">
        <v>0</v>
      </c>
      <c r="Q55" s="428">
        <v>0</v>
      </c>
      <c r="R55" s="431">
        <v>0</v>
      </c>
      <c r="S55" s="428">
        <v>0</v>
      </c>
      <c r="T55" s="248"/>
      <c r="U55" s="248"/>
      <c r="V55" s="248"/>
      <c r="W55" s="248"/>
      <c r="X55" s="248"/>
      <c r="Y55" s="248"/>
      <c r="Z55" s="248"/>
      <c r="AA55" s="248"/>
    </row>
    <row r="56" spans="1:27">
      <c r="A56" s="428">
        <v>56</v>
      </c>
      <c r="B56" s="429" t="s">
        <v>74</v>
      </c>
      <c r="C56" s="430" t="s">
        <v>552</v>
      </c>
      <c r="D56" s="430" t="s">
        <v>534</v>
      </c>
      <c r="E56" s="430" t="s">
        <v>541</v>
      </c>
      <c r="F56" s="430" t="s">
        <v>537</v>
      </c>
      <c r="G56" s="430" t="s">
        <v>539</v>
      </c>
      <c r="H56" s="430" t="s">
        <v>548</v>
      </c>
      <c r="I56" s="430" t="s">
        <v>496</v>
      </c>
      <c r="J56" s="428" t="s">
        <v>599</v>
      </c>
      <c r="K56" s="430">
        <v>0</v>
      </c>
      <c r="L56" s="431">
        <v>0</v>
      </c>
      <c r="M56" s="431">
        <v>0</v>
      </c>
      <c r="N56" s="431">
        <v>0</v>
      </c>
      <c r="O56" s="431">
        <v>0</v>
      </c>
      <c r="P56" s="431">
        <v>0</v>
      </c>
      <c r="Q56" s="428">
        <v>0</v>
      </c>
      <c r="R56" s="431">
        <v>0</v>
      </c>
      <c r="S56" s="428">
        <v>0</v>
      </c>
      <c r="T56" s="248"/>
      <c r="U56" s="248"/>
      <c r="V56" s="248"/>
      <c r="W56" s="248"/>
      <c r="X56" s="248"/>
      <c r="Y56" s="248"/>
      <c r="Z56" s="248"/>
      <c r="AA56" s="248"/>
    </row>
    <row r="57" spans="1:27">
      <c r="A57" s="428">
        <v>57</v>
      </c>
      <c r="B57" s="430" t="s">
        <v>487</v>
      </c>
      <c r="C57" s="430" t="s">
        <v>931</v>
      </c>
      <c r="D57" s="430" t="s">
        <v>545</v>
      </c>
      <c r="E57" s="430" t="s">
        <v>527</v>
      </c>
      <c r="F57" s="430" t="s">
        <v>562</v>
      </c>
      <c r="G57" s="430" t="s">
        <v>532</v>
      </c>
      <c r="H57" s="430" t="s">
        <v>558</v>
      </c>
      <c r="I57" s="430" t="s">
        <v>562</v>
      </c>
      <c r="J57" s="428" t="s">
        <v>599</v>
      </c>
      <c r="K57" s="430">
        <v>0</v>
      </c>
      <c r="L57" s="431">
        <v>0</v>
      </c>
      <c r="M57" s="431">
        <v>0</v>
      </c>
      <c r="N57" s="431">
        <v>0</v>
      </c>
      <c r="O57" s="431">
        <v>0</v>
      </c>
      <c r="P57" s="431">
        <v>0</v>
      </c>
      <c r="Q57" s="428">
        <v>0</v>
      </c>
      <c r="R57" s="431">
        <v>0</v>
      </c>
      <c r="S57" s="428">
        <v>0</v>
      </c>
      <c r="T57" s="248"/>
      <c r="U57" s="248"/>
      <c r="V57" s="248"/>
      <c r="W57" s="248"/>
      <c r="X57" s="248"/>
      <c r="Y57" s="248"/>
      <c r="Z57" s="248"/>
      <c r="AA57" s="248"/>
    </row>
    <row r="58" spans="1:27">
      <c r="A58" s="428">
        <v>58</v>
      </c>
      <c r="B58" s="429" t="s">
        <v>982</v>
      </c>
      <c r="C58" s="430" t="s">
        <v>600</v>
      </c>
      <c r="D58" s="430" t="s">
        <v>553</v>
      </c>
      <c r="E58" s="430" t="s">
        <v>547</v>
      </c>
      <c r="F58" s="430" t="s">
        <v>975</v>
      </c>
      <c r="G58" s="430" t="s">
        <v>1484</v>
      </c>
      <c r="H58" s="430" t="s">
        <v>1485</v>
      </c>
      <c r="I58" s="430" t="s">
        <v>531</v>
      </c>
      <c r="J58" s="428" t="s">
        <v>599</v>
      </c>
      <c r="K58" s="430">
        <v>0</v>
      </c>
      <c r="L58" s="431">
        <v>0</v>
      </c>
      <c r="M58" s="431">
        <v>0</v>
      </c>
      <c r="N58" s="431">
        <v>0</v>
      </c>
      <c r="O58" s="431">
        <v>0</v>
      </c>
      <c r="P58" s="431">
        <v>0</v>
      </c>
      <c r="Q58" s="428">
        <v>0</v>
      </c>
      <c r="R58" s="431">
        <v>0</v>
      </c>
      <c r="S58" s="428">
        <v>0</v>
      </c>
      <c r="T58" s="248"/>
      <c r="U58" s="248"/>
      <c r="V58" s="248"/>
      <c r="W58" s="248"/>
      <c r="X58" s="248"/>
      <c r="Y58" s="248"/>
      <c r="Z58" s="248"/>
      <c r="AA58" s="248"/>
    </row>
    <row r="59" spans="1:27">
      <c r="A59" s="428">
        <v>59</v>
      </c>
      <c r="B59" s="430" t="s">
        <v>483</v>
      </c>
      <c r="C59" s="430" t="s">
        <v>963</v>
      </c>
      <c r="D59" s="430" t="s">
        <v>565</v>
      </c>
      <c r="E59" s="430" t="s">
        <v>527</v>
      </c>
      <c r="F59" s="430" t="s">
        <v>532</v>
      </c>
      <c r="G59" s="430" t="s">
        <v>529</v>
      </c>
      <c r="H59" s="430" t="s">
        <v>531</v>
      </c>
      <c r="I59" s="430" t="s">
        <v>565</v>
      </c>
      <c r="J59" s="428" t="s">
        <v>599</v>
      </c>
      <c r="K59" s="430">
        <v>0</v>
      </c>
      <c r="L59" s="431">
        <v>0</v>
      </c>
      <c r="M59" s="431">
        <v>0</v>
      </c>
      <c r="N59" s="431">
        <v>0</v>
      </c>
      <c r="O59" s="431">
        <v>0</v>
      </c>
      <c r="P59" s="431">
        <v>0</v>
      </c>
      <c r="Q59" s="428">
        <v>0</v>
      </c>
      <c r="R59" s="431">
        <v>0</v>
      </c>
      <c r="S59" s="428">
        <v>0</v>
      </c>
      <c r="T59" s="248"/>
      <c r="U59" s="248"/>
      <c r="V59" s="248"/>
      <c r="W59" s="248"/>
      <c r="X59" s="248"/>
      <c r="Y59" s="248"/>
      <c r="Z59" s="248"/>
      <c r="AA59" s="248"/>
    </row>
    <row r="60" spans="1:27">
      <c r="A60" s="428">
        <v>60</v>
      </c>
      <c r="B60" s="429" t="s">
        <v>486</v>
      </c>
      <c r="C60" s="430" t="s">
        <v>968</v>
      </c>
      <c r="D60" s="430" t="s">
        <v>551</v>
      </c>
      <c r="E60" s="430" t="s">
        <v>527</v>
      </c>
      <c r="F60" s="430" t="s">
        <v>562</v>
      </c>
      <c r="G60" s="430" t="s">
        <v>532</v>
      </c>
      <c r="H60" s="430" t="s">
        <v>531</v>
      </c>
      <c r="I60" s="430" t="s">
        <v>562</v>
      </c>
      <c r="J60" s="428" t="s">
        <v>599</v>
      </c>
      <c r="K60" s="430">
        <v>0</v>
      </c>
      <c r="L60" s="431">
        <v>0</v>
      </c>
      <c r="M60" s="431">
        <v>0</v>
      </c>
      <c r="N60" s="431">
        <v>0</v>
      </c>
      <c r="O60" s="431">
        <v>0</v>
      </c>
      <c r="P60" s="431">
        <v>0</v>
      </c>
      <c r="Q60" s="428">
        <v>0</v>
      </c>
      <c r="R60" s="431">
        <v>0</v>
      </c>
      <c r="S60" s="428">
        <v>0</v>
      </c>
      <c r="T60" s="248"/>
      <c r="U60" s="248"/>
      <c r="V60" s="248"/>
      <c r="W60" s="248"/>
      <c r="X60" s="248"/>
      <c r="Y60" s="248"/>
      <c r="Z60" s="248"/>
      <c r="AA60" s="248"/>
    </row>
    <row r="61" spans="1:27">
      <c r="A61" s="428">
        <v>61</v>
      </c>
      <c r="B61" s="430" t="s">
        <v>78</v>
      </c>
      <c r="C61" s="430" t="s">
        <v>967</v>
      </c>
      <c r="D61" s="430" t="s">
        <v>983</v>
      </c>
      <c r="E61" s="430" t="s">
        <v>565</v>
      </c>
      <c r="F61" s="430" t="s">
        <v>532</v>
      </c>
      <c r="G61" s="430" t="s">
        <v>558</v>
      </c>
      <c r="H61" s="430" t="s">
        <v>565</v>
      </c>
      <c r="I61" s="430" t="s">
        <v>558</v>
      </c>
      <c r="J61" s="428" t="s">
        <v>599</v>
      </c>
      <c r="K61" s="430">
        <v>0</v>
      </c>
      <c r="L61" s="431">
        <v>0</v>
      </c>
      <c r="M61" s="431">
        <v>0</v>
      </c>
      <c r="N61" s="431">
        <v>0</v>
      </c>
      <c r="O61" s="431">
        <v>0</v>
      </c>
      <c r="P61" s="431">
        <v>0</v>
      </c>
      <c r="Q61" s="428">
        <v>0</v>
      </c>
      <c r="R61" s="431">
        <v>0</v>
      </c>
      <c r="S61" s="428">
        <v>0</v>
      </c>
      <c r="T61" s="248"/>
      <c r="U61" s="248"/>
      <c r="V61" s="248"/>
      <c r="W61" s="248"/>
      <c r="X61" s="248"/>
      <c r="Y61" s="248"/>
      <c r="Z61" s="248"/>
      <c r="AA61" s="248"/>
    </row>
    <row r="62" spans="1:27">
      <c r="A62" s="428">
        <v>62</v>
      </c>
      <c r="B62" s="429" t="s">
        <v>920</v>
      </c>
      <c r="C62" s="430" t="s">
        <v>565</v>
      </c>
      <c r="D62" s="431" t="s">
        <v>984</v>
      </c>
      <c r="E62" s="430" t="s">
        <v>535</v>
      </c>
      <c r="F62" s="430" t="s">
        <v>931</v>
      </c>
      <c r="G62" s="430" t="s">
        <v>536</v>
      </c>
      <c r="H62" s="430" t="s">
        <v>540</v>
      </c>
      <c r="I62" s="430" t="s">
        <v>565</v>
      </c>
      <c r="J62" s="428" t="s">
        <v>599</v>
      </c>
      <c r="K62" s="430">
        <v>0</v>
      </c>
      <c r="L62" s="431">
        <v>0</v>
      </c>
      <c r="M62" s="431">
        <v>0</v>
      </c>
      <c r="N62" s="431">
        <v>0</v>
      </c>
      <c r="O62" s="431">
        <v>0</v>
      </c>
      <c r="P62" s="431">
        <v>0</v>
      </c>
      <c r="Q62" s="428">
        <v>0</v>
      </c>
      <c r="R62" s="431">
        <v>0</v>
      </c>
      <c r="S62" s="428">
        <v>0</v>
      </c>
      <c r="T62" s="248"/>
      <c r="U62" s="248"/>
      <c r="V62" s="248"/>
      <c r="W62" s="248"/>
      <c r="X62" s="248"/>
      <c r="Y62" s="248"/>
      <c r="Z62" s="248"/>
      <c r="AA62" s="248"/>
    </row>
    <row r="63" spans="1:27">
      <c r="A63" s="428">
        <v>63</v>
      </c>
      <c r="B63" s="430" t="s">
        <v>920</v>
      </c>
      <c r="C63" s="430" t="s">
        <v>554</v>
      </c>
      <c r="D63" s="430" t="s">
        <v>537</v>
      </c>
      <c r="E63" s="430" t="s">
        <v>527</v>
      </c>
      <c r="F63" s="431"/>
      <c r="G63" s="430" t="s">
        <v>536</v>
      </c>
      <c r="H63" s="430" t="s">
        <v>530</v>
      </c>
      <c r="I63" s="430" t="s">
        <v>558</v>
      </c>
      <c r="J63" s="428" t="s">
        <v>599</v>
      </c>
      <c r="K63" s="430" t="s">
        <v>84</v>
      </c>
      <c r="L63" s="431" t="s">
        <v>581</v>
      </c>
      <c r="M63" s="431">
        <v>0</v>
      </c>
      <c r="N63" s="431">
        <v>0</v>
      </c>
      <c r="O63" s="431">
        <v>0</v>
      </c>
      <c r="P63" s="431">
        <v>0</v>
      </c>
      <c r="Q63" s="428">
        <v>0</v>
      </c>
      <c r="R63" s="431">
        <v>0</v>
      </c>
      <c r="S63" s="428">
        <v>0</v>
      </c>
      <c r="T63" s="248"/>
      <c r="U63" s="248"/>
      <c r="V63" s="248"/>
      <c r="W63" s="248"/>
      <c r="X63" s="248"/>
      <c r="Y63" s="248"/>
      <c r="Z63" s="248"/>
      <c r="AA63" s="248"/>
    </row>
    <row r="64" spans="1:27">
      <c r="A64" s="428">
        <v>64</v>
      </c>
      <c r="B64" s="429" t="s">
        <v>79</v>
      </c>
      <c r="C64" s="430" t="s">
        <v>561</v>
      </c>
      <c r="D64" s="430" t="s">
        <v>1030</v>
      </c>
      <c r="E64" s="430" t="s">
        <v>541</v>
      </c>
      <c r="F64" s="430" t="s">
        <v>527</v>
      </c>
      <c r="G64" s="430" t="s">
        <v>539</v>
      </c>
      <c r="H64" s="430" t="s">
        <v>532</v>
      </c>
      <c r="I64" s="430" t="s">
        <v>530</v>
      </c>
      <c r="J64" s="428" t="s">
        <v>599</v>
      </c>
      <c r="K64" s="430">
        <v>0</v>
      </c>
      <c r="L64" s="431">
        <v>0</v>
      </c>
      <c r="M64" s="431">
        <v>0</v>
      </c>
      <c r="N64" s="431">
        <v>0</v>
      </c>
      <c r="O64" s="431">
        <v>0</v>
      </c>
      <c r="P64" s="431">
        <v>0</v>
      </c>
      <c r="Q64" s="428">
        <v>0</v>
      </c>
      <c r="R64" s="431">
        <v>0</v>
      </c>
      <c r="S64" s="428">
        <v>0</v>
      </c>
      <c r="T64" s="248"/>
      <c r="U64" s="248"/>
      <c r="V64" s="248"/>
      <c r="W64" s="248"/>
      <c r="X64" s="248"/>
      <c r="Y64" s="248"/>
      <c r="Z64" s="248"/>
      <c r="AA64" s="248"/>
    </row>
    <row r="65" spans="1:31">
      <c r="A65" s="428">
        <v>65</v>
      </c>
      <c r="B65" s="430" t="s">
        <v>920</v>
      </c>
      <c r="C65" s="430" t="s">
        <v>561</v>
      </c>
      <c r="D65" s="430" t="s">
        <v>535</v>
      </c>
      <c r="E65" s="430" t="s">
        <v>600</v>
      </c>
      <c r="F65" s="430" t="s">
        <v>545</v>
      </c>
      <c r="G65" s="430" t="s">
        <v>532</v>
      </c>
      <c r="H65" s="430" t="s">
        <v>558</v>
      </c>
      <c r="I65" s="430" t="s">
        <v>558</v>
      </c>
      <c r="J65" s="428" t="s">
        <v>599</v>
      </c>
      <c r="K65" s="430">
        <v>0</v>
      </c>
      <c r="L65" s="431">
        <v>0</v>
      </c>
      <c r="M65" s="431">
        <v>0</v>
      </c>
      <c r="N65" s="431">
        <v>0</v>
      </c>
      <c r="O65" s="431">
        <v>0</v>
      </c>
      <c r="P65" s="431">
        <v>0</v>
      </c>
      <c r="Q65" s="428">
        <v>0</v>
      </c>
      <c r="R65" s="431">
        <v>0</v>
      </c>
      <c r="S65" s="428">
        <v>0</v>
      </c>
      <c r="T65" s="248"/>
      <c r="U65" s="248"/>
      <c r="V65" s="248"/>
      <c r="W65" s="248"/>
      <c r="X65" s="248"/>
      <c r="Y65" s="248"/>
      <c r="Z65" s="248"/>
      <c r="AA65" s="248"/>
    </row>
    <row r="66" spans="1:31">
      <c r="A66" s="428">
        <v>66</v>
      </c>
      <c r="B66" s="429" t="s">
        <v>978</v>
      </c>
      <c r="C66" s="430" t="s">
        <v>535</v>
      </c>
      <c r="D66" s="430" t="s">
        <v>527</v>
      </c>
      <c r="E66" s="430" t="s">
        <v>545</v>
      </c>
      <c r="F66" s="430" t="s">
        <v>561</v>
      </c>
      <c r="G66" s="430" t="s">
        <v>532</v>
      </c>
      <c r="H66" s="430" t="s">
        <v>530</v>
      </c>
      <c r="I66" s="430" t="s">
        <v>531</v>
      </c>
      <c r="J66" s="428" t="s">
        <v>599</v>
      </c>
      <c r="K66" s="430">
        <v>0</v>
      </c>
      <c r="L66" s="431">
        <v>0</v>
      </c>
      <c r="M66" s="431">
        <v>0</v>
      </c>
      <c r="N66" s="431">
        <v>0</v>
      </c>
      <c r="O66" s="431">
        <v>0</v>
      </c>
      <c r="P66" s="431">
        <v>0</v>
      </c>
      <c r="Q66" s="428">
        <v>0</v>
      </c>
      <c r="R66" s="431">
        <v>0</v>
      </c>
      <c r="S66" s="428">
        <v>0</v>
      </c>
      <c r="T66" s="248"/>
      <c r="U66" s="248"/>
      <c r="V66" s="248"/>
      <c r="W66" s="248"/>
      <c r="X66" s="248"/>
      <c r="Y66" s="248"/>
      <c r="Z66" s="248"/>
      <c r="AA66" s="248"/>
    </row>
    <row r="67" spans="1:31">
      <c r="A67" s="428">
        <v>67</v>
      </c>
      <c r="B67" s="430" t="s">
        <v>487</v>
      </c>
      <c r="C67" s="430" t="s">
        <v>546</v>
      </c>
      <c r="D67" s="430" t="s">
        <v>551</v>
      </c>
      <c r="E67" s="430" t="s">
        <v>600</v>
      </c>
      <c r="F67" s="430" t="s">
        <v>527</v>
      </c>
      <c r="G67" s="430" t="s">
        <v>545</v>
      </c>
      <c r="H67" s="430" t="s">
        <v>547</v>
      </c>
      <c r="I67" s="430" t="s">
        <v>532</v>
      </c>
      <c r="J67" s="428" t="s">
        <v>599</v>
      </c>
      <c r="K67" s="430">
        <v>0</v>
      </c>
      <c r="L67" s="431">
        <v>0</v>
      </c>
      <c r="M67" s="431">
        <v>0</v>
      </c>
      <c r="N67" s="431">
        <v>0</v>
      </c>
      <c r="O67" s="431">
        <v>0</v>
      </c>
      <c r="P67" s="431">
        <v>0</v>
      </c>
      <c r="Q67" s="428">
        <v>0</v>
      </c>
      <c r="R67" s="431">
        <v>0</v>
      </c>
      <c r="S67" s="428">
        <v>0</v>
      </c>
      <c r="T67" s="248"/>
      <c r="U67" s="248"/>
      <c r="V67" s="248"/>
      <c r="W67" s="248"/>
      <c r="X67" s="248"/>
      <c r="Y67" s="248"/>
      <c r="Z67" s="248"/>
      <c r="AA67" s="248"/>
    </row>
    <row r="68" spans="1:31" ht="25.5">
      <c r="A68" s="428">
        <v>68</v>
      </c>
      <c r="B68" s="429"/>
      <c r="C68" s="430" t="s">
        <v>543</v>
      </c>
      <c r="D68" s="430" t="s">
        <v>931</v>
      </c>
      <c r="E68" s="430" t="s">
        <v>975</v>
      </c>
      <c r="F68" s="430" t="s">
        <v>531</v>
      </c>
      <c r="G68" s="430" t="s">
        <v>558</v>
      </c>
      <c r="H68" s="430" t="s">
        <v>985</v>
      </c>
      <c r="I68" s="430" t="s">
        <v>986</v>
      </c>
      <c r="J68" s="428" t="s">
        <v>599</v>
      </c>
      <c r="K68" s="441" t="s">
        <v>943</v>
      </c>
      <c r="L68" s="430" t="s">
        <v>600</v>
      </c>
      <c r="M68" s="431">
        <v>0</v>
      </c>
      <c r="N68" s="431">
        <v>0</v>
      </c>
      <c r="O68" s="431">
        <v>0</v>
      </c>
      <c r="P68" s="431">
        <v>0</v>
      </c>
      <c r="Q68" s="428">
        <v>0</v>
      </c>
      <c r="R68" s="431">
        <v>0</v>
      </c>
      <c r="S68" s="428">
        <v>0</v>
      </c>
      <c r="T68" s="248"/>
      <c r="U68" s="248"/>
      <c r="V68" s="248"/>
      <c r="W68" s="248"/>
      <c r="X68" s="248"/>
      <c r="Y68" s="248"/>
      <c r="Z68" s="248"/>
      <c r="AA68" s="248"/>
    </row>
    <row r="69" spans="1:31">
      <c r="A69" s="428">
        <v>69</v>
      </c>
      <c r="B69" s="429" t="s">
        <v>1115</v>
      </c>
      <c r="C69" s="430" t="s">
        <v>1116</v>
      </c>
      <c r="D69" s="430" t="s">
        <v>1117</v>
      </c>
      <c r="E69" s="430" t="s">
        <v>1118</v>
      </c>
      <c r="F69" s="430" t="s">
        <v>1119</v>
      </c>
      <c r="G69" s="430" t="s">
        <v>1120</v>
      </c>
      <c r="H69" s="430" t="s">
        <v>1121</v>
      </c>
      <c r="I69" s="430" t="s">
        <v>1122</v>
      </c>
      <c r="J69" s="428" t="s">
        <v>1123</v>
      </c>
      <c r="K69" s="430">
        <v>0</v>
      </c>
      <c r="L69" s="430">
        <v>0</v>
      </c>
      <c r="M69" s="430">
        <v>0</v>
      </c>
      <c r="N69" s="430">
        <v>0</v>
      </c>
      <c r="O69" s="430">
        <v>0</v>
      </c>
      <c r="P69" s="430">
        <v>0</v>
      </c>
      <c r="Q69" s="430">
        <v>0</v>
      </c>
      <c r="R69" s="431"/>
      <c r="S69" s="428"/>
      <c r="T69" s="248"/>
      <c r="U69" s="248"/>
      <c r="V69" s="248"/>
      <c r="W69" s="248"/>
      <c r="X69" s="248"/>
      <c r="Y69" s="248"/>
      <c r="Z69" s="248"/>
      <c r="AA69" s="248"/>
    </row>
    <row r="70" spans="1:31">
      <c r="A70" s="428">
        <v>70</v>
      </c>
      <c r="B70" s="430" t="s">
        <v>74</v>
      </c>
      <c r="C70" s="430" t="s">
        <v>552</v>
      </c>
      <c r="D70" s="430" t="s">
        <v>987</v>
      </c>
      <c r="E70" s="430" t="s">
        <v>541</v>
      </c>
      <c r="F70" s="430" t="s">
        <v>537</v>
      </c>
      <c r="G70" s="430" t="s">
        <v>539</v>
      </c>
      <c r="H70" s="430"/>
      <c r="I70" s="430" t="s">
        <v>496</v>
      </c>
      <c r="J70" s="428" t="s">
        <v>599</v>
      </c>
      <c r="K70" s="430" t="s">
        <v>937</v>
      </c>
      <c r="L70" s="431" t="s">
        <v>988</v>
      </c>
      <c r="M70" s="431">
        <v>0</v>
      </c>
      <c r="N70" s="431">
        <v>0</v>
      </c>
      <c r="O70" s="431">
        <v>0</v>
      </c>
      <c r="P70" s="431">
        <v>0</v>
      </c>
      <c r="Q70" s="428">
        <v>0</v>
      </c>
      <c r="R70" s="431">
        <v>0</v>
      </c>
      <c r="S70" s="428">
        <v>0</v>
      </c>
      <c r="T70" s="248"/>
      <c r="U70" s="248"/>
      <c r="V70" s="248"/>
      <c r="W70" s="248"/>
      <c r="X70" s="248"/>
      <c r="Y70" s="248"/>
      <c r="Z70" s="248"/>
      <c r="AA70" s="248"/>
      <c r="AB70" s="444"/>
      <c r="AC70" s="248"/>
      <c r="AD70" s="248"/>
      <c r="AE70" s="248"/>
    </row>
    <row r="71" spans="1:31">
      <c r="A71" s="428">
        <v>71</v>
      </c>
      <c r="B71" s="429" t="s">
        <v>74</v>
      </c>
      <c r="C71" s="430" t="s">
        <v>989</v>
      </c>
      <c r="D71" s="430" t="s">
        <v>537</v>
      </c>
      <c r="E71" s="430" t="s">
        <v>539</v>
      </c>
      <c r="F71" s="430" t="s">
        <v>548</v>
      </c>
      <c r="G71" s="430" t="s">
        <v>530</v>
      </c>
      <c r="H71" s="430" t="s">
        <v>531</v>
      </c>
      <c r="I71" s="430" t="s">
        <v>558</v>
      </c>
      <c r="J71" s="428" t="s">
        <v>599</v>
      </c>
      <c r="K71" s="430">
        <v>0</v>
      </c>
      <c r="L71" s="431">
        <v>0</v>
      </c>
      <c r="M71" s="431">
        <v>0</v>
      </c>
      <c r="N71" s="431">
        <v>0</v>
      </c>
      <c r="O71" s="431">
        <v>0</v>
      </c>
      <c r="P71" s="431">
        <v>0</v>
      </c>
      <c r="Q71" s="428">
        <v>0</v>
      </c>
      <c r="R71" s="431">
        <v>0</v>
      </c>
      <c r="S71" s="428">
        <v>0</v>
      </c>
      <c r="T71" s="248"/>
      <c r="U71" s="248"/>
      <c r="V71" s="248"/>
      <c r="W71" s="248"/>
      <c r="X71" s="248"/>
      <c r="Y71" s="248"/>
      <c r="Z71" s="248"/>
      <c r="AA71" s="248"/>
      <c r="AB71" s="444"/>
      <c r="AC71" s="248"/>
      <c r="AD71" s="248"/>
      <c r="AE71" s="248"/>
    </row>
    <row r="72" spans="1:31">
      <c r="A72" s="428">
        <v>72</v>
      </c>
      <c r="B72" s="430" t="s">
        <v>483</v>
      </c>
      <c r="C72" s="430" t="s">
        <v>551</v>
      </c>
      <c r="D72" s="430" t="s">
        <v>600</v>
      </c>
      <c r="E72" s="430" t="s">
        <v>565</v>
      </c>
      <c r="F72" s="430" t="s">
        <v>532</v>
      </c>
      <c r="G72" s="430" t="s">
        <v>558</v>
      </c>
      <c r="H72" s="430" t="s">
        <v>558</v>
      </c>
      <c r="I72" s="430" t="s">
        <v>565</v>
      </c>
      <c r="J72" s="428" t="s">
        <v>599</v>
      </c>
      <c r="K72" s="430">
        <v>0</v>
      </c>
      <c r="L72" s="431">
        <v>0</v>
      </c>
      <c r="M72" s="431">
        <v>0</v>
      </c>
      <c r="N72" s="431">
        <v>0</v>
      </c>
      <c r="O72" s="431">
        <v>0</v>
      </c>
      <c r="P72" s="431">
        <v>0</v>
      </c>
      <c r="Q72" s="428">
        <v>0</v>
      </c>
      <c r="R72" s="431">
        <v>0</v>
      </c>
      <c r="S72" s="428">
        <v>0</v>
      </c>
      <c r="T72" s="248"/>
      <c r="U72" s="248"/>
      <c r="V72" s="248"/>
      <c r="W72" s="248"/>
      <c r="X72" s="248"/>
      <c r="Y72" s="248"/>
      <c r="Z72" s="248"/>
      <c r="AA72" s="248"/>
      <c r="AB72" s="444"/>
      <c r="AC72" s="248"/>
      <c r="AD72" s="248"/>
      <c r="AE72" s="248"/>
    </row>
    <row r="73" spans="1:31">
      <c r="A73" s="428">
        <v>73</v>
      </c>
      <c r="B73" s="429" t="s">
        <v>483</v>
      </c>
      <c r="C73" s="430" t="s">
        <v>600</v>
      </c>
      <c r="D73" s="430" t="s">
        <v>931</v>
      </c>
      <c r="E73" s="430" t="s">
        <v>545</v>
      </c>
      <c r="F73" s="430" t="s">
        <v>558</v>
      </c>
      <c r="G73" s="430" t="s">
        <v>558</v>
      </c>
      <c r="H73" s="430" t="s">
        <v>558</v>
      </c>
      <c r="I73" s="430" t="s">
        <v>558</v>
      </c>
      <c r="J73" s="428" t="s">
        <v>599</v>
      </c>
      <c r="K73" s="430">
        <v>0</v>
      </c>
      <c r="L73" s="431">
        <v>0</v>
      </c>
      <c r="M73" s="431">
        <v>0</v>
      </c>
      <c r="N73" s="431">
        <v>0</v>
      </c>
      <c r="O73" s="431">
        <v>0</v>
      </c>
      <c r="P73" s="431">
        <v>0</v>
      </c>
      <c r="Q73" s="428">
        <v>0</v>
      </c>
      <c r="R73" s="431">
        <v>0</v>
      </c>
      <c r="S73" s="428">
        <v>0</v>
      </c>
      <c r="T73" s="248"/>
      <c r="U73" s="248"/>
      <c r="V73" s="248"/>
      <c r="W73" s="248"/>
      <c r="X73" s="248"/>
      <c r="Y73" s="248"/>
      <c r="Z73" s="248"/>
      <c r="AA73" s="248"/>
      <c r="AB73" s="444"/>
      <c r="AC73" s="248"/>
      <c r="AD73" s="248"/>
      <c r="AE73" s="248"/>
    </row>
    <row r="74" spans="1:31">
      <c r="A74" s="428">
        <v>74</v>
      </c>
      <c r="B74" s="430" t="s">
        <v>920</v>
      </c>
      <c r="C74" s="430" t="s">
        <v>554</v>
      </c>
      <c r="D74" s="430" t="s">
        <v>534</v>
      </c>
      <c r="E74" s="430" t="s">
        <v>543</v>
      </c>
      <c r="F74" s="430" t="s">
        <v>539</v>
      </c>
      <c r="G74" s="430" t="s">
        <v>548</v>
      </c>
      <c r="H74" s="430" t="s">
        <v>558</v>
      </c>
      <c r="I74" s="430" t="s">
        <v>558</v>
      </c>
      <c r="J74" s="428" t="s">
        <v>599</v>
      </c>
      <c r="K74" s="430">
        <v>0</v>
      </c>
      <c r="L74" s="431">
        <v>0</v>
      </c>
      <c r="M74" s="431">
        <v>0</v>
      </c>
      <c r="N74" s="431">
        <v>0</v>
      </c>
      <c r="O74" s="431">
        <v>0</v>
      </c>
      <c r="P74" s="431">
        <v>0</v>
      </c>
      <c r="Q74" s="428">
        <v>0</v>
      </c>
      <c r="R74" s="431">
        <v>0</v>
      </c>
      <c r="S74" s="428">
        <v>0</v>
      </c>
      <c r="T74" s="248"/>
      <c r="U74" s="248"/>
      <c r="V74" s="248"/>
      <c r="W74" s="248"/>
      <c r="X74" s="248"/>
      <c r="Y74" s="248"/>
      <c r="Z74" s="248"/>
      <c r="AA74" s="248"/>
      <c r="AB74" s="444"/>
      <c r="AC74" s="248"/>
      <c r="AD74" s="248"/>
      <c r="AE74" s="248"/>
    </row>
    <row r="75" spans="1:31">
      <c r="A75" s="428">
        <v>75</v>
      </c>
      <c r="B75" s="429" t="s">
        <v>483</v>
      </c>
      <c r="C75" s="430" t="s">
        <v>968</v>
      </c>
      <c r="D75" s="430" t="s">
        <v>536</v>
      </c>
      <c r="E75" s="430" t="s">
        <v>541</v>
      </c>
      <c r="F75" s="430" t="s">
        <v>565</v>
      </c>
      <c r="G75" s="430" t="s">
        <v>532</v>
      </c>
      <c r="H75" s="430" t="s">
        <v>558</v>
      </c>
      <c r="I75" s="430" t="s">
        <v>565</v>
      </c>
      <c r="J75" s="428" t="s">
        <v>599</v>
      </c>
      <c r="K75" s="430">
        <v>0</v>
      </c>
      <c r="L75" s="431">
        <v>0</v>
      </c>
      <c r="M75" s="431">
        <v>0</v>
      </c>
      <c r="N75" s="431">
        <v>0</v>
      </c>
      <c r="O75" s="431">
        <v>0</v>
      </c>
      <c r="P75" s="431">
        <v>0</v>
      </c>
      <c r="Q75" s="428">
        <v>0</v>
      </c>
      <c r="R75" s="431">
        <v>0</v>
      </c>
      <c r="S75" s="428">
        <v>0</v>
      </c>
      <c r="T75" s="248"/>
      <c r="U75" s="248"/>
      <c r="V75" s="248"/>
      <c r="W75" s="248"/>
      <c r="X75" s="248"/>
      <c r="Y75" s="248"/>
      <c r="Z75" s="248"/>
      <c r="AA75" s="248"/>
      <c r="AB75" s="444"/>
      <c r="AC75" s="248"/>
      <c r="AD75" s="248"/>
      <c r="AE75" s="248"/>
    </row>
    <row r="76" spans="1:31">
      <c r="A76" s="428">
        <v>76</v>
      </c>
      <c r="B76" s="430" t="s">
        <v>920</v>
      </c>
      <c r="C76" s="430" t="s">
        <v>541</v>
      </c>
      <c r="D76" s="430" t="s">
        <v>539</v>
      </c>
      <c r="E76" s="430" t="s">
        <v>553</v>
      </c>
      <c r="F76" s="430" t="s">
        <v>937</v>
      </c>
      <c r="G76" s="430" t="s">
        <v>561</v>
      </c>
      <c r="H76" s="430" t="s">
        <v>558</v>
      </c>
      <c r="I76" s="430" t="s">
        <v>558</v>
      </c>
      <c r="J76" s="428" t="s">
        <v>599</v>
      </c>
      <c r="K76" s="430">
        <v>0</v>
      </c>
      <c r="L76" s="431">
        <v>0</v>
      </c>
      <c r="M76" s="431">
        <v>0</v>
      </c>
      <c r="N76" s="431">
        <v>0</v>
      </c>
      <c r="O76" s="431">
        <v>0</v>
      </c>
      <c r="P76" s="431">
        <v>0</v>
      </c>
      <c r="Q76" s="428">
        <v>0</v>
      </c>
      <c r="R76" s="431">
        <v>0</v>
      </c>
      <c r="S76" s="428">
        <v>0</v>
      </c>
      <c r="T76" s="248"/>
      <c r="U76" s="248"/>
      <c r="V76" s="248"/>
      <c r="W76" s="248"/>
      <c r="X76" s="248"/>
      <c r="Y76" s="248"/>
      <c r="Z76" s="248"/>
      <c r="AA76" s="248"/>
      <c r="AB76" s="444"/>
      <c r="AC76" s="248"/>
      <c r="AD76" s="248"/>
      <c r="AE76" s="248"/>
    </row>
    <row r="77" spans="1:31">
      <c r="A77" s="428">
        <v>77</v>
      </c>
      <c r="B77" s="429" t="s">
        <v>74</v>
      </c>
      <c r="C77" s="430" t="s">
        <v>541</v>
      </c>
      <c r="D77" s="430" t="s">
        <v>537</v>
      </c>
      <c r="E77" s="430" t="s">
        <v>527</v>
      </c>
      <c r="F77" s="430" t="s">
        <v>536</v>
      </c>
      <c r="G77" s="430" t="s">
        <v>931</v>
      </c>
      <c r="H77" s="430" t="s">
        <v>990</v>
      </c>
      <c r="I77" s="430" t="s">
        <v>550</v>
      </c>
      <c r="J77" s="428" t="s">
        <v>599</v>
      </c>
      <c r="K77" s="430">
        <v>0</v>
      </c>
      <c r="L77" s="431">
        <v>0</v>
      </c>
      <c r="M77" s="431">
        <v>0</v>
      </c>
      <c r="N77" s="431">
        <v>0</v>
      </c>
      <c r="O77" s="431">
        <v>0</v>
      </c>
      <c r="P77" s="431">
        <v>0</v>
      </c>
      <c r="Q77" s="428">
        <v>0</v>
      </c>
      <c r="R77" s="431">
        <v>0</v>
      </c>
      <c r="S77" s="428">
        <v>0</v>
      </c>
      <c r="T77" s="248"/>
      <c r="U77" s="248"/>
      <c r="V77" s="248"/>
      <c r="W77" s="248"/>
      <c r="X77" s="248"/>
      <c r="Y77" s="248"/>
      <c r="Z77" s="248"/>
      <c r="AA77" s="248"/>
      <c r="AB77" s="444"/>
      <c r="AC77" s="248"/>
      <c r="AD77" s="248"/>
      <c r="AE77" s="248"/>
    </row>
    <row r="78" spans="1:31">
      <c r="A78" s="428">
        <v>78</v>
      </c>
      <c r="B78" s="430" t="s">
        <v>483</v>
      </c>
      <c r="C78" s="430" t="s">
        <v>533</v>
      </c>
      <c r="D78" s="430" t="s">
        <v>73</v>
      </c>
      <c r="E78" s="430" t="s">
        <v>535</v>
      </c>
      <c r="F78" s="430" t="s">
        <v>600</v>
      </c>
      <c r="G78" s="430" t="s">
        <v>538</v>
      </c>
      <c r="H78" s="430" t="s">
        <v>931</v>
      </c>
      <c r="I78" s="430" t="s">
        <v>531</v>
      </c>
      <c r="J78" s="428" t="s">
        <v>599</v>
      </c>
      <c r="K78" s="430">
        <v>0</v>
      </c>
      <c r="L78" s="431">
        <v>0</v>
      </c>
      <c r="M78" s="431">
        <v>0</v>
      </c>
      <c r="N78" s="431">
        <v>0</v>
      </c>
      <c r="O78" s="431">
        <v>0</v>
      </c>
      <c r="P78" s="431">
        <v>0</v>
      </c>
      <c r="Q78" s="428">
        <v>0</v>
      </c>
      <c r="R78" s="431">
        <v>0</v>
      </c>
      <c r="S78" s="428">
        <v>0</v>
      </c>
      <c r="T78" s="248"/>
      <c r="U78" s="248"/>
      <c r="V78" s="248"/>
      <c r="W78" s="248"/>
      <c r="X78" s="248"/>
      <c r="Y78" s="248"/>
      <c r="Z78" s="248"/>
      <c r="AA78" s="248"/>
      <c r="AB78" s="444"/>
      <c r="AC78" s="248"/>
      <c r="AD78" s="248"/>
      <c r="AE78" s="248"/>
    </row>
    <row r="79" spans="1:31">
      <c r="A79" s="428">
        <v>79</v>
      </c>
      <c r="B79" s="429" t="s">
        <v>991</v>
      </c>
      <c r="C79" s="430" t="s">
        <v>561</v>
      </c>
      <c r="D79" s="430" t="s">
        <v>527</v>
      </c>
      <c r="E79" s="430" t="s">
        <v>532</v>
      </c>
      <c r="F79" s="430" t="s">
        <v>558</v>
      </c>
      <c r="G79" s="430" t="s">
        <v>558</v>
      </c>
      <c r="H79" s="430" t="s">
        <v>558</v>
      </c>
      <c r="I79" s="430" t="s">
        <v>558</v>
      </c>
      <c r="J79" s="428" t="s">
        <v>599</v>
      </c>
      <c r="K79" s="430">
        <v>0</v>
      </c>
      <c r="L79" s="431">
        <v>0</v>
      </c>
      <c r="M79" s="431">
        <v>0</v>
      </c>
      <c r="N79" s="431">
        <v>0</v>
      </c>
      <c r="O79" s="431">
        <v>0</v>
      </c>
      <c r="P79" s="431">
        <v>0</v>
      </c>
      <c r="Q79" s="428">
        <v>0</v>
      </c>
      <c r="R79" s="431">
        <v>0</v>
      </c>
      <c r="S79" s="428">
        <v>0</v>
      </c>
      <c r="T79" s="248"/>
      <c r="U79" s="248"/>
      <c r="V79" s="248"/>
      <c r="W79" s="248"/>
      <c r="X79" s="248"/>
      <c r="Y79" s="248"/>
      <c r="Z79" s="248"/>
      <c r="AA79" s="248"/>
      <c r="AB79" s="444"/>
      <c r="AC79" s="248"/>
      <c r="AD79" s="248"/>
      <c r="AE79" s="248"/>
    </row>
    <row r="80" spans="1:31">
      <c r="A80" s="428">
        <v>80</v>
      </c>
      <c r="B80" s="430" t="s">
        <v>497</v>
      </c>
      <c r="C80" s="430" t="s">
        <v>527</v>
      </c>
      <c r="D80" s="430" t="s">
        <v>553</v>
      </c>
      <c r="E80" s="430" t="s">
        <v>582</v>
      </c>
      <c r="F80" s="430" t="s">
        <v>532</v>
      </c>
      <c r="G80" s="430" t="s">
        <v>925</v>
      </c>
      <c r="H80" s="430" t="s">
        <v>926</v>
      </c>
      <c r="I80" s="430" t="s">
        <v>531</v>
      </c>
      <c r="J80" s="428" t="s">
        <v>599</v>
      </c>
      <c r="K80" s="430">
        <v>0</v>
      </c>
      <c r="L80" s="431">
        <v>0</v>
      </c>
      <c r="M80" s="431">
        <v>0</v>
      </c>
      <c r="N80" s="431">
        <v>0</v>
      </c>
      <c r="O80" s="431">
        <v>0</v>
      </c>
      <c r="P80" s="431">
        <v>0</v>
      </c>
      <c r="Q80" s="428">
        <v>0</v>
      </c>
      <c r="R80" s="431">
        <v>0</v>
      </c>
      <c r="S80" s="428">
        <v>0</v>
      </c>
      <c r="T80" s="248"/>
      <c r="U80" s="248"/>
      <c r="V80" s="248"/>
      <c r="W80" s="248"/>
      <c r="X80" s="248"/>
      <c r="Y80" s="248"/>
      <c r="Z80" s="248"/>
      <c r="AA80" s="248"/>
      <c r="AB80" s="444"/>
      <c r="AC80" s="248"/>
      <c r="AD80" s="248"/>
      <c r="AE80" s="248"/>
    </row>
    <row r="81" spans="1:31">
      <c r="A81" s="428">
        <v>81</v>
      </c>
      <c r="B81" s="429" t="s">
        <v>72</v>
      </c>
      <c r="C81" s="430" t="s">
        <v>535</v>
      </c>
      <c r="D81" s="430" t="s">
        <v>600</v>
      </c>
      <c r="E81" s="430" t="s">
        <v>561</v>
      </c>
      <c r="F81" s="430" t="s">
        <v>538</v>
      </c>
      <c r="G81" s="430" t="s">
        <v>931</v>
      </c>
      <c r="H81" s="430" t="s">
        <v>925</v>
      </c>
      <c r="I81" s="430" t="s">
        <v>571</v>
      </c>
      <c r="J81" s="428" t="s">
        <v>599</v>
      </c>
      <c r="K81" s="430">
        <v>0</v>
      </c>
      <c r="L81" s="431">
        <v>0</v>
      </c>
      <c r="M81" s="431">
        <v>0</v>
      </c>
      <c r="N81" s="431">
        <v>0</v>
      </c>
      <c r="O81" s="431">
        <v>0</v>
      </c>
      <c r="P81" s="431">
        <v>0</v>
      </c>
      <c r="Q81" s="428">
        <v>0</v>
      </c>
      <c r="R81" s="431">
        <v>0</v>
      </c>
      <c r="S81" s="428">
        <v>0</v>
      </c>
      <c r="T81" s="248"/>
      <c r="U81" s="248"/>
      <c r="V81" s="248"/>
      <c r="W81" s="248"/>
      <c r="X81" s="248"/>
      <c r="Y81" s="248"/>
      <c r="Z81" s="248"/>
      <c r="AA81" s="248"/>
      <c r="AB81" s="444"/>
      <c r="AC81" s="248"/>
      <c r="AD81" s="248"/>
      <c r="AE81" s="248"/>
    </row>
    <row r="82" spans="1:31">
      <c r="A82" s="428">
        <v>82</v>
      </c>
      <c r="B82" s="430" t="s">
        <v>973</v>
      </c>
      <c r="C82" s="430" t="s">
        <v>541</v>
      </c>
      <c r="D82" s="430" t="s">
        <v>527</v>
      </c>
      <c r="E82" s="430" t="s">
        <v>937</v>
      </c>
      <c r="F82" s="430" t="s">
        <v>536</v>
      </c>
      <c r="G82" s="430" t="s">
        <v>531</v>
      </c>
      <c r="H82" s="430" t="s">
        <v>950</v>
      </c>
      <c r="I82" s="430" t="s">
        <v>550</v>
      </c>
      <c r="J82" s="428" t="s">
        <v>599</v>
      </c>
      <c r="K82" s="430">
        <v>0</v>
      </c>
      <c r="L82" s="431">
        <v>0</v>
      </c>
      <c r="M82" s="431">
        <v>0</v>
      </c>
      <c r="N82" s="431">
        <v>0</v>
      </c>
      <c r="O82" s="431">
        <v>0</v>
      </c>
      <c r="P82" s="431">
        <v>0</v>
      </c>
      <c r="Q82" s="428">
        <v>0</v>
      </c>
      <c r="R82" s="431">
        <v>0</v>
      </c>
      <c r="S82" s="428">
        <v>0</v>
      </c>
      <c r="T82" s="248"/>
      <c r="U82" s="248"/>
      <c r="V82" s="248"/>
      <c r="W82" s="248"/>
      <c r="X82" s="248"/>
      <c r="Y82" s="248"/>
      <c r="Z82" s="248"/>
      <c r="AA82" s="248"/>
      <c r="AB82" s="444"/>
      <c r="AC82" s="248"/>
      <c r="AD82" s="248"/>
      <c r="AE82" s="248"/>
    </row>
    <row r="83" spans="1:31">
      <c r="A83" s="428">
        <v>83</v>
      </c>
      <c r="B83" s="429" t="s">
        <v>72</v>
      </c>
      <c r="C83" s="430" t="s">
        <v>935</v>
      </c>
      <c r="D83" s="430" t="s">
        <v>535</v>
      </c>
      <c r="E83" s="430" t="s">
        <v>600</v>
      </c>
      <c r="F83" s="430" t="s">
        <v>538</v>
      </c>
      <c r="G83" s="430" t="s">
        <v>931</v>
      </c>
      <c r="H83" s="430" t="s">
        <v>532</v>
      </c>
      <c r="I83" s="430" t="s">
        <v>558</v>
      </c>
      <c r="J83" s="428" t="s">
        <v>599</v>
      </c>
      <c r="K83" s="430">
        <v>0</v>
      </c>
      <c r="L83" s="431">
        <v>0</v>
      </c>
      <c r="M83" s="431">
        <v>0</v>
      </c>
      <c r="N83" s="431">
        <v>0</v>
      </c>
      <c r="O83" s="431">
        <v>0</v>
      </c>
      <c r="P83" s="431">
        <v>0</v>
      </c>
      <c r="Q83" s="428">
        <v>0</v>
      </c>
      <c r="R83" s="431">
        <v>0</v>
      </c>
      <c r="S83" s="428">
        <v>0</v>
      </c>
      <c r="T83" s="248"/>
      <c r="U83" s="248"/>
      <c r="V83" s="248"/>
      <c r="W83" s="248"/>
      <c r="X83" s="248"/>
      <c r="Y83" s="248"/>
      <c r="Z83" s="248"/>
      <c r="AA83" s="248"/>
      <c r="AB83" s="444"/>
      <c r="AC83" s="248"/>
      <c r="AD83" s="248"/>
      <c r="AE83" s="248"/>
    </row>
    <row r="84" spans="1:31">
      <c r="A84" s="428">
        <v>84</v>
      </c>
      <c r="B84" s="430" t="s">
        <v>483</v>
      </c>
      <c r="C84" s="430" t="s">
        <v>541</v>
      </c>
      <c r="D84" s="430" t="s">
        <v>992</v>
      </c>
      <c r="E84" s="430" t="s">
        <v>600</v>
      </c>
      <c r="F84" s="430" t="s">
        <v>561</v>
      </c>
      <c r="G84" s="430" t="s">
        <v>583</v>
      </c>
      <c r="H84" s="430" t="s">
        <v>925</v>
      </c>
      <c r="I84" s="430" t="s">
        <v>956</v>
      </c>
      <c r="J84" s="428" t="s">
        <v>599</v>
      </c>
      <c r="K84" s="430">
        <v>0</v>
      </c>
      <c r="L84" s="431">
        <v>0</v>
      </c>
      <c r="M84" s="431">
        <v>0</v>
      </c>
      <c r="N84" s="431">
        <v>0</v>
      </c>
      <c r="O84" s="431">
        <v>0</v>
      </c>
      <c r="P84" s="431">
        <v>0</v>
      </c>
      <c r="Q84" s="428">
        <v>0</v>
      </c>
      <c r="R84" s="431">
        <v>0</v>
      </c>
      <c r="S84" s="428">
        <v>0</v>
      </c>
      <c r="T84" s="248"/>
      <c r="U84" s="248"/>
      <c r="V84" s="248"/>
      <c r="W84" s="248"/>
      <c r="X84" s="248"/>
      <c r="Y84" s="248"/>
      <c r="Z84" s="248"/>
      <c r="AA84" s="248"/>
      <c r="AB84" s="444"/>
      <c r="AC84" s="248"/>
      <c r="AD84" s="248"/>
      <c r="AE84" s="248"/>
    </row>
    <row r="85" spans="1:31">
      <c r="A85" s="428">
        <v>85</v>
      </c>
      <c r="B85" s="429" t="s">
        <v>954</v>
      </c>
      <c r="C85" s="430" t="s">
        <v>561</v>
      </c>
      <c r="D85" s="430" t="s">
        <v>532</v>
      </c>
      <c r="E85" s="430" t="s">
        <v>957</v>
      </c>
      <c r="F85" s="430" t="s">
        <v>530</v>
      </c>
      <c r="G85" s="430" t="s">
        <v>584</v>
      </c>
      <c r="H85" s="430" t="s">
        <v>558</v>
      </c>
      <c r="I85" s="430" t="s">
        <v>558</v>
      </c>
      <c r="J85" s="428" t="s">
        <v>599</v>
      </c>
      <c r="K85" s="430">
        <v>0</v>
      </c>
      <c r="L85" s="431">
        <v>0</v>
      </c>
      <c r="M85" s="431">
        <v>0</v>
      </c>
      <c r="N85" s="431">
        <v>0</v>
      </c>
      <c r="O85" s="431">
        <v>0</v>
      </c>
      <c r="P85" s="431">
        <v>0</v>
      </c>
      <c r="Q85" s="428">
        <v>0</v>
      </c>
      <c r="R85" s="431">
        <v>0</v>
      </c>
      <c r="S85" s="428">
        <v>0</v>
      </c>
      <c r="T85" s="248"/>
      <c r="U85" s="248"/>
      <c r="V85" s="248"/>
      <c r="W85" s="248"/>
      <c r="X85" s="248"/>
      <c r="Y85" s="248"/>
      <c r="Z85" s="248"/>
      <c r="AA85" s="248"/>
      <c r="AB85" s="444"/>
      <c r="AC85" s="248"/>
      <c r="AD85" s="248"/>
      <c r="AE85" s="248"/>
    </row>
    <row r="86" spans="1:31">
      <c r="A86" s="428">
        <v>86</v>
      </c>
      <c r="B86" s="430" t="s">
        <v>954</v>
      </c>
      <c r="C86" s="430" t="s">
        <v>586</v>
      </c>
      <c r="D86" s="430" t="s">
        <v>582</v>
      </c>
      <c r="E86" s="430" t="s">
        <v>931</v>
      </c>
      <c r="F86" s="430" t="s">
        <v>583</v>
      </c>
      <c r="G86" s="430" t="s">
        <v>975</v>
      </c>
      <c r="H86" s="430" t="s">
        <v>558</v>
      </c>
      <c r="I86" s="430" t="s">
        <v>558</v>
      </c>
      <c r="J86" s="428" t="s">
        <v>599</v>
      </c>
      <c r="K86" s="430">
        <v>0</v>
      </c>
      <c r="L86" s="431">
        <v>0</v>
      </c>
      <c r="M86" s="431">
        <v>0</v>
      </c>
      <c r="N86" s="431">
        <v>0</v>
      </c>
      <c r="O86" s="431">
        <v>0</v>
      </c>
      <c r="P86" s="431">
        <v>0</v>
      </c>
      <c r="Q86" s="428">
        <v>0</v>
      </c>
      <c r="R86" s="431">
        <v>0</v>
      </c>
      <c r="S86" s="428">
        <v>0</v>
      </c>
      <c r="T86" s="248"/>
      <c r="U86" s="248"/>
      <c r="V86" s="248"/>
      <c r="W86" s="248"/>
      <c r="X86" s="248"/>
      <c r="Y86" s="248"/>
      <c r="Z86" s="248"/>
      <c r="AA86" s="248"/>
      <c r="AB86" s="444"/>
      <c r="AC86" s="248"/>
      <c r="AD86" s="248"/>
      <c r="AE86" s="248"/>
    </row>
    <row r="87" spans="1:31">
      <c r="A87" s="428">
        <v>87</v>
      </c>
      <c r="B87" s="429" t="s">
        <v>79</v>
      </c>
      <c r="C87" s="430" t="s">
        <v>539</v>
      </c>
      <c r="D87" s="430" t="s">
        <v>536</v>
      </c>
      <c r="E87" s="430" t="s">
        <v>548</v>
      </c>
      <c r="F87" s="430" t="s">
        <v>958</v>
      </c>
      <c r="G87" s="430" t="s">
        <v>975</v>
      </c>
      <c r="H87" s="430" t="s">
        <v>558</v>
      </c>
      <c r="I87" s="430" t="s">
        <v>558</v>
      </c>
      <c r="J87" s="428" t="s">
        <v>599</v>
      </c>
      <c r="K87" s="430">
        <v>0</v>
      </c>
      <c r="L87" s="431">
        <v>0</v>
      </c>
      <c r="M87" s="431">
        <v>0</v>
      </c>
      <c r="N87" s="431">
        <v>0</v>
      </c>
      <c r="O87" s="431">
        <v>0</v>
      </c>
      <c r="P87" s="431">
        <v>0</v>
      </c>
      <c r="Q87" s="428">
        <v>0</v>
      </c>
      <c r="R87" s="431">
        <v>0</v>
      </c>
      <c r="S87" s="428">
        <v>0</v>
      </c>
      <c r="T87" s="248"/>
      <c r="U87" s="248"/>
      <c r="V87" s="248"/>
      <c r="W87" s="248"/>
      <c r="X87" s="248"/>
      <c r="Y87" s="248"/>
      <c r="Z87" s="248"/>
      <c r="AA87" s="248"/>
      <c r="AB87" s="444"/>
      <c r="AC87" s="248"/>
      <c r="AD87" s="248"/>
      <c r="AE87" s="248"/>
    </row>
    <row r="88" spans="1:31">
      <c r="A88" s="428">
        <v>88</v>
      </c>
      <c r="B88" s="430" t="s">
        <v>483</v>
      </c>
      <c r="C88" s="430" t="s">
        <v>543</v>
      </c>
      <c r="D88" s="430" t="s">
        <v>585</v>
      </c>
      <c r="E88" s="430" t="s">
        <v>539</v>
      </c>
      <c r="F88" s="430" t="s">
        <v>536</v>
      </c>
      <c r="G88" s="430" t="s">
        <v>993</v>
      </c>
      <c r="H88" s="430" t="s">
        <v>531</v>
      </c>
      <c r="I88" s="430" t="s">
        <v>558</v>
      </c>
      <c r="J88" s="428" t="s">
        <v>599</v>
      </c>
      <c r="K88" s="430">
        <v>0</v>
      </c>
      <c r="L88" s="431">
        <v>0</v>
      </c>
      <c r="M88" s="431">
        <v>0</v>
      </c>
      <c r="N88" s="431">
        <v>0</v>
      </c>
      <c r="O88" s="431">
        <v>0</v>
      </c>
      <c r="P88" s="431">
        <v>0</v>
      </c>
      <c r="Q88" s="428">
        <v>0</v>
      </c>
      <c r="R88" s="431">
        <v>0</v>
      </c>
      <c r="S88" s="428">
        <v>0</v>
      </c>
      <c r="T88" s="248"/>
      <c r="U88" s="248"/>
      <c r="V88" s="248"/>
      <c r="W88" s="248"/>
      <c r="X88" s="248"/>
      <c r="Y88" s="248"/>
      <c r="Z88" s="248"/>
      <c r="AA88" s="248"/>
      <c r="AB88" s="444"/>
      <c r="AC88" s="248"/>
      <c r="AD88" s="248"/>
      <c r="AE88" s="248"/>
    </row>
    <row r="89" spans="1:31">
      <c r="A89" s="428">
        <v>89</v>
      </c>
      <c r="B89" s="429"/>
      <c r="C89" s="430" t="s">
        <v>968</v>
      </c>
      <c r="D89" s="430" t="s">
        <v>551</v>
      </c>
      <c r="E89" s="430" t="s">
        <v>527</v>
      </c>
      <c r="F89" s="430" t="s">
        <v>561</v>
      </c>
      <c r="G89" s="430" t="s">
        <v>583</v>
      </c>
      <c r="H89" s="430" t="s">
        <v>531</v>
      </c>
      <c r="I89" s="430" t="s">
        <v>558</v>
      </c>
      <c r="J89" s="428" t="s">
        <v>599</v>
      </c>
      <c r="K89" s="430" t="s">
        <v>1455</v>
      </c>
      <c r="L89" s="431" t="s">
        <v>1456</v>
      </c>
      <c r="M89" s="431">
        <v>0</v>
      </c>
      <c r="N89" s="431">
        <v>0</v>
      </c>
      <c r="O89" s="429">
        <v>0</v>
      </c>
      <c r="P89" s="431">
        <v>0</v>
      </c>
      <c r="Q89" s="428">
        <v>0</v>
      </c>
      <c r="R89" s="431">
        <v>0</v>
      </c>
      <c r="S89" s="428">
        <v>0</v>
      </c>
      <c r="T89" s="248"/>
      <c r="U89" s="248"/>
      <c r="V89" s="248"/>
      <c r="W89" s="248"/>
      <c r="X89" s="248"/>
      <c r="Y89" s="248"/>
      <c r="Z89" s="248"/>
      <c r="AA89" s="248"/>
      <c r="AB89" s="444"/>
      <c r="AC89" s="248"/>
      <c r="AD89" s="248"/>
      <c r="AE89" s="248"/>
    </row>
    <row r="90" spans="1:31">
      <c r="A90" s="428">
        <v>90</v>
      </c>
      <c r="B90" s="430" t="s">
        <v>1030</v>
      </c>
      <c r="C90" s="430" t="s">
        <v>968</v>
      </c>
      <c r="D90" s="430" t="s">
        <v>541</v>
      </c>
      <c r="E90" s="430" t="s">
        <v>561</v>
      </c>
      <c r="F90" s="430" t="s">
        <v>551</v>
      </c>
      <c r="G90" s="430" t="s">
        <v>583</v>
      </c>
      <c r="H90" s="430" t="s">
        <v>231</v>
      </c>
      <c r="I90" s="430"/>
      <c r="J90" s="428" t="s">
        <v>599</v>
      </c>
      <c r="K90" s="430" t="s">
        <v>587</v>
      </c>
      <c r="L90" s="431" t="s">
        <v>588</v>
      </c>
      <c r="M90" s="431">
        <v>0</v>
      </c>
      <c r="N90" s="431">
        <v>0</v>
      </c>
      <c r="O90" s="431">
        <v>0</v>
      </c>
      <c r="P90" s="431">
        <v>0</v>
      </c>
      <c r="Q90" s="428">
        <v>0</v>
      </c>
      <c r="R90" s="431">
        <v>0</v>
      </c>
      <c r="S90" s="428">
        <v>0</v>
      </c>
      <c r="T90" s="248"/>
      <c r="U90" s="248"/>
      <c r="V90" s="248"/>
      <c r="W90" s="248"/>
      <c r="X90" s="248"/>
      <c r="Y90" s="248"/>
      <c r="Z90" s="248"/>
      <c r="AA90" s="248"/>
      <c r="AB90" s="444"/>
      <c r="AC90" s="248"/>
      <c r="AD90" s="248"/>
      <c r="AE90" s="248"/>
    </row>
    <row r="91" spans="1:31">
      <c r="A91" s="428">
        <v>91</v>
      </c>
      <c r="B91" s="429" t="s">
        <v>954</v>
      </c>
      <c r="C91" s="430" t="s">
        <v>549</v>
      </c>
      <c r="D91" s="430" t="s">
        <v>551</v>
      </c>
      <c r="E91" s="430" t="s">
        <v>600</v>
      </c>
      <c r="F91" s="430" t="s">
        <v>561</v>
      </c>
      <c r="G91" s="430" t="s">
        <v>532</v>
      </c>
      <c r="H91" s="430" t="s">
        <v>531</v>
      </c>
      <c r="I91" s="430" t="s">
        <v>558</v>
      </c>
      <c r="J91" s="428" t="s">
        <v>599</v>
      </c>
      <c r="K91" s="430">
        <v>0</v>
      </c>
      <c r="L91" s="431">
        <v>0</v>
      </c>
      <c r="M91" s="431">
        <v>0</v>
      </c>
      <c r="N91" s="431">
        <v>0</v>
      </c>
      <c r="O91" s="431">
        <v>0</v>
      </c>
      <c r="P91" s="431">
        <v>0</v>
      </c>
      <c r="Q91" s="428">
        <v>0</v>
      </c>
      <c r="R91" s="431">
        <v>0</v>
      </c>
      <c r="S91" s="428">
        <v>0</v>
      </c>
      <c r="T91" s="248"/>
      <c r="U91" s="248"/>
      <c r="V91" s="248"/>
      <c r="W91" s="248"/>
      <c r="X91" s="248"/>
      <c r="Y91" s="248"/>
      <c r="Z91" s="248"/>
      <c r="AA91" s="248"/>
      <c r="AB91" s="444"/>
      <c r="AC91" s="248"/>
      <c r="AD91" s="248"/>
      <c r="AE91" s="248"/>
    </row>
    <row r="92" spans="1:31" ht="16.5">
      <c r="A92" s="428">
        <v>92</v>
      </c>
      <c r="B92" s="430" t="s">
        <v>600</v>
      </c>
      <c r="C92" s="430" t="s">
        <v>931</v>
      </c>
      <c r="D92" s="430" t="s">
        <v>545</v>
      </c>
      <c r="E92" s="430" t="s">
        <v>532</v>
      </c>
      <c r="F92" s="430" t="s">
        <v>558</v>
      </c>
      <c r="G92" s="430" t="s">
        <v>558</v>
      </c>
      <c r="H92" s="430" t="s">
        <v>558</v>
      </c>
      <c r="I92" s="430" t="s">
        <v>558</v>
      </c>
      <c r="J92" s="428" t="s">
        <v>599</v>
      </c>
      <c r="K92" s="430">
        <v>0</v>
      </c>
      <c r="L92" s="431">
        <v>0</v>
      </c>
      <c r="M92" s="431">
        <v>0</v>
      </c>
      <c r="N92" s="431">
        <v>0</v>
      </c>
      <c r="O92" s="431">
        <v>0</v>
      </c>
      <c r="P92" s="431">
        <v>0</v>
      </c>
      <c r="Q92" s="428">
        <v>0</v>
      </c>
      <c r="R92" s="431">
        <v>0</v>
      </c>
      <c r="S92" s="441">
        <v>0</v>
      </c>
      <c r="T92" s="445"/>
      <c r="U92" s="248"/>
      <c r="V92" s="248"/>
      <c r="W92" s="248"/>
      <c r="X92" s="248"/>
      <c r="Y92" s="248"/>
      <c r="Z92" s="248"/>
      <c r="AA92" s="248"/>
      <c r="AB92" s="444"/>
      <c r="AC92" s="248"/>
      <c r="AD92" s="248"/>
      <c r="AE92" s="248"/>
    </row>
    <row r="93" spans="1:31">
      <c r="A93" s="428">
        <v>93</v>
      </c>
      <c r="B93" s="429" t="s">
        <v>74</v>
      </c>
      <c r="C93" s="428" t="s">
        <v>497</v>
      </c>
      <c r="D93" s="428" t="s">
        <v>487</v>
      </c>
      <c r="E93" s="430" t="s">
        <v>909</v>
      </c>
      <c r="F93" s="430" t="s">
        <v>910</v>
      </c>
      <c r="G93" s="430" t="s">
        <v>959</v>
      </c>
      <c r="H93" s="430" t="s">
        <v>531</v>
      </c>
      <c r="I93" s="430" t="s">
        <v>558</v>
      </c>
      <c r="J93" s="428" t="s">
        <v>599</v>
      </c>
      <c r="K93" s="430">
        <v>0</v>
      </c>
      <c r="L93" s="429">
        <v>0</v>
      </c>
      <c r="M93" s="431">
        <v>0</v>
      </c>
      <c r="N93" s="431">
        <v>0</v>
      </c>
      <c r="O93" s="431">
        <v>0</v>
      </c>
      <c r="P93" s="431">
        <v>0</v>
      </c>
      <c r="Q93" s="428">
        <v>0</v>
      </c>
      <c r="R93" s="431">
        <v>0</v>
      </c>
      <c r="S93" s="428">
        <v>0</v>
      </c>
      <c r="T93" s="248"/>
      <c r="U93" s="248"/>
      <c r="V93" s="248"/>
      <c r="W93" s="248"/>
      <c r="X93" s="248"/>
      <c r="Y93" s="248"/>
      <c r="Z93" s="248"/>
      <c r="AA93" s="248"/>
      <c r="AB93" s="444"/>
      <c r="AC93" s="248"/>
      <c r="AD93" s="248"/>
      <c r="AE93" s="248"/>
    </row>
    <row r="94" spans="1:31">
      <c r="A94" s="428">
        <v>94</v>
      </c>
      <c r="B94" s="430" t="s">
        <v>920</v>
      </c>
      <c r="C94" s="430" t="s">
        <v>911</v>
      </c>
      <c r="D94" s="430" t="s">
        <v>552</v>
      </c>
      <c r="E94" s="430" t="s">
        <v>532</v>
      </c>
      <c r="F94" s="430" t="s">
        <v>529</v>
      </c>
      <c r="G94" s="430" t="s">
        <v>530</v>
      </c>
      <c r="H94" s="430" t="s">
        <v>558</v>
      </c>
      <c r="I94" s="430" t="s">
        <v>911</v>
      </c>
      <c r="J94" s="428" t="s">
        <v>599</v>
      </c>
      <c r="K94" s="430">
        <v>0</v>
      </c>
      <c r="L94" s="431">
        <v>0</v>
      </c>
      <c r="M94" s="431">
        <v>0</v>
      </c>
      <c r="N94" s="431">
        <v>0</v>
      </c>
      <c r="O94" s="431">
        <v>0</v>
      </c>
      <c r="P94" s="431">
        <v>0</v>
      </c>
      <c r="Q94" s="428">
        <v>0</v>
      </c>
      <c r="R94" s="431">
        <v>0</v>
      </c>
      <c r="S94" s="428">
        <v>0</v>
      </c>
      <c r="T94" s="248"/>
      <c r="U94" s="248"/>
      <c r="V94" s="248"/>
      <c r="W94" s="248"/>
      <c r="X94" s="248"/>
      <c r="Y94" s="248"/>
      <c r="Z94" s="248"/>
      <c r="AA94" s="248"/>
      <c r="AB94" s="444"/>
      <c r="AC94" s="248"/>
      <c r="AD94" s="248"/>
      <c r="AE94" s="248"/>
    </row>
    <row r="95" spans="1:31">
      <c r="A95" s="428">
        <v>95</v>
      </c>
      <c r="B95" s="429" t="s">
        <v>931</v>
      </c>
      <c r="C95" s="430" t="s">
        <v>527</v>
      </c>
      <c r="D95" s="430" t="s">
        <v>553</v>
      </c>
      <c r="E95" s="430" t="s">
        <v>547</v>
      </c>
      <c r="F95" s="430" t="s">
        <v>555</v>
      </c>
      <c r="G95" s="430" t="s">
        <v>532</v>
      </c>
      <c r="H95" s="430" t="s">
        <v>936</v>
      </c>
      <c r="I95" s="430" t="s">
        <v>985</v>
      </c>
      <c r="J95" s="428" t="s">
        <v>599</v>
      </c>
      <c r="K95" s="430">
        <v>0</v>
      </c>
      <c r="L95" s="431">
        <v>0</v>
      </c>
      <c r="M95" s="431">
        <v>0</v>
      </c>
      <c r="N95" s="431">
        <v>0</v>
      </c>
      <c r="O95" s="431">
        <v>0</v>
      </c>
      <c r="P95" s="431">
        <v>0</v>
      </c>
      <c r="Q95" s="428">
        <v>0</v>
      </c>
      <c r="R95" s="431">
        <v>0</v>
      </c>
      <c r="S95" s="428">
        <v>0</v>
      </c>
      <c r="T95" s="248"/>
      <c r="U95" s="248"/>
      <c r="V95" s="248"/>
      <c r="W95" s="248"/>
      <c r="X95" s="248"/>
      <c r="Y95" s="248"/>
      <c r="Z95" s="248"/>
      <c r="AA95" s="248"/>
      <c r="AB95" s="444"/>
      <c r="AC95" s="248"/>
      <c r="AD95" s="248"/>
      <c r="AE95" s="248"/>
    </row>
    <row r="96" spans="1:31">
      <c r="A96" s="428">
        <v>96</v>
      </c>
      <c r="B96" s="430" t="s">
        <v>483</v>
      </c>
      <c r="C96" s="430" t="s">
        <v>600</v>
      </c>
      <c r="D96" s="430" t="s">
        <v>527</v>
      </c>
      <c r="E96" s="430" t="s">
        <v>547</v>
      </c>
      <c r="F96" s="430" t="s">
        <v>555</v>
      </c>
      <c r="G96" s="430" t="s">
        <v>532</v>
      </c>
      <c r="H96" s="430" t="s">
        <v>558</v>
      </c>
      <c r="I96" s="430" t="s">
        <v>558</v>
      </c>
      <c r="J96" s="428" t="s">
        <v>599</v>
      </c>
      <c r="K96" s="430">
        <v>0</v>
      </c>
      <c r="L96" s="431">
        <v>0</v>
      </c>
      <c r="M96" s="431">
        <v>0</v>
      </c>
      <c r="N96" s="431">
        <v>0</v>
      </c>
      <c r="O96" s="431">
        <v>0</v>
      </c>
      <c r="P96" s="431">
        <v>0</v>
      </c>
      <c r="Q96" s="428">
        <v>0</v>
      </c>
      <c r="R96" s="431">
        <v>0</v>
      </c>
      <c r="S96" s="428">
        <v>0</v>
      </c>
      <c r="T96" s="248"/>
      <c r="U96" s="248"/>
      <c r="V96" s="248"/>
      <c r="W96" s="248"/>
      <c r="X96" s="248"/>
      <c r="Y96" s="248"/>
      <c r="Z96" s="248"/>
      <c r="AA96" s="248"/>
      <c r="AB96" s="444"/>
      <c r="AC96" s="248"/>
      <c r="AD96" s="248"/>
      <c r="AE96" s="248"/>
    </row>
    <row r="97" spans="1:31">
      <c r="A97" s="428">
        <v>97</v>
      </c>
      <c r="B97" s="429" t="s">
        <v>487</v>
      </c>
      <c r="C97" s="430" t="s">
        <v>600</v>
      </c>
      <c r="D97" s="430" t="s">
        <v>561</v>
      </c>
      <c r="E97" s="430" t="s">
        <v>931</v>
      </c>
      <c r="F97" s="430" t="s">
        <v>531</v>
      </c>
      <c r="G97" s="430" t="s">
        <v>558</v>
      </c>
      <c r="H97" s="430" t="s">
        <v>558</v>
      </c>
      <c r="I97" s="430" t="s">
        <v>558</v>
      </c>
      <c r="J97" s="428" t="s">
        <v>225</v>
      </c>
      <c r="K97" s="430">
        <v>0</v>
      </c>
      <c r="L97" s="431">
        <v>0</v>
      </c>
      <c r="M97" s="431">
        <v>0</v>
      </c>
      <c r="N97" s="431">
        <v>0</v>
      </c>
      <c r="O97" s="431">
        <v>0</v>
      </c>
      <c r="P97" s="431">
        <v>0</v>
      </c>
      <c r="Q97" s="428">
        <v>0</v>
      </c>
      <c r="R97" s="431">
        <v>0</v>
      </c>
      <c r="S97" s="428">
        <v>0</v>
      </c>
      <c r="T97" s="248"/>
      <c r="U97" s="248"/>
      <c r="V97" s="248"/>
      <c r="W97" s="248"/>
      <c r="X97" s="248"/>
      <c r="Y97" s="248"/>
      <c r="Z97" s="248"/>
      <c r="AA97" s="248"/>
      <c r="AB97" s="444"/>
      <c r="AC97" s="248"/>
      <c r="AD97" s="248"/>
      <c r="AE97" s="248"/>
    </row>
    <row r="98" spans="1:31">
      <c r="A98" s="428">
        <v>98</v>
      </c>
      <c r="B98" s="430"/>
      <c r="C98" s="430" t="s">
        <v>997</v>
      </c>
      <c r="D98" s="430" t="s">
        <v>968</v>
      </c>
      <c r="E98" s="430" t="s">
        <v>541</v>
      </c>
      <c r="F98" s="430" t="s">
        <v>536</v>
      </c>
      <c r="G98" s="430" t="s">
        <v>994</v>
      </c>
      <c r="H98" s="430" t="s">
        <v>955</v>
      </c>
      <c r="I98" s="430" t="s">
        <v>542</v>
      </c>
      <c r="J98" s="428" t="s">
        <v>599</v>
      </c>
      <c r="K98" s="441" t="s">
        <v>913</v>
      </c>
      <c r="L98" s="431" t="s">
        <v>912</v>
      </c>
      <c r="M98" s="431">
        <v>0</v>
      </c>
      <c r="N98" s="431">
        <v>0</v>
      </c>
      <c r="O98" s="431">
        <v>0</v>
      </c>
      <c r="P98" s="431">
        <v>0</v>
      </c>
      <c r="Q98" s="428">
        <v>0</v>
      </c>
      <c r="R98" s="431">
        <v>0</v>
      </c>
      <c r="S98" s="428">
        <v>0</v>
      </c>
      <c r="T98" s="248"/>
      <c r="U98" s="248"/>
      <c r="V98" s="248"/>
      <c r="W98" s="248"/>
      <c r="X98" s="248"/>
      <c r="Y98" s="248"/>
      <c r="Z98" s="248"/>
      <c r="AA98" s="248"/>
      <c r="AB98" s="444"/>
      <c r="AC98" s="248"/>
      <c r="AD98" s="248"/>
      <c r="AE98" s="248"/>
    </row>
    <row r="99" spans="1:31">
      <c r="A99" s="428">
        <v>99</v>
      </c>
      <c r="B99" s="429" t="s">
        <v>497</v>
      </c>
      <c r="C99" s="430" t="s">
        <v>539</v>
      </c>
      <c r="D99" s="430" t="s">
        <v>937</v>
      </c>
      <c r="E99" s="430" t="s">
        <v>536</v>
      </c>
      <c r="F99" s="430" t="s">
        <v>561</v>
      </c>
      <c r="G99" s="430" t="s">
        <v>977</v>
      </c>
      <c r="H99" s="430" t="s">
        <v>531</v>
      </c>
      <c r="I99" s="430" t="s">
        <v>542</v>
      </c>
      <c r="J99" s="428" t="s">
        <v>599</v>
      </c>
      <c r="K99" s="430">
        <v>0</v>
      </c>
      <c r="L99" s="431">
        <v>0</v>
      </c>
      <c r="M99" s="431">
        <v>0</v>
      </c>
      <c r="N99" s="431">
        <v>0</v>
      </c>
      <c r="O99" s="431">
        <v>0</v>
      </c>
      <c r="P99" s="431">
        <v>0</v>
      </c>
      <c r="Q99" s="428">
        <v>0</v>
      </c>
      <c r="R99" s="431">
        <v>0</v>
      </c>
      <c r="S99" s="428">
        <v>0</v>
      </c>
      <c r="T99" s="248"/>
      <c r="U99" s="248"/>
      <c r="V99" s="248"/>
      <c r="W99" s="248"/>
      <c r="X99" s="248"/>
      <c r="Y99" s="248"/>
      <c r="Z99" s="248"/>
      <c r="AA99" s="248"/>
      <c r="AB99" s="444"/>
      <c r="AC99" s="248"/>
      <c r="AD99" s="248"/>
      <c r="AE99" s="248"/>
    </row>
    <row r="100" spans="1:31">
      <c r="A100" s="428">
        <v>100</v>
      </c>
      <c r="B100" s="430" t="s">
        <v>483</v>
      </c>
      <c r="C100" s="430" t="s">
        <v>911</v>
      </c>
      <c r="D100" s="430" t="s">
        <v>534</v>
      </c>
      <c r="E100" s="430" t="s">
        <v>527</v>
      </c>
      <c r="F100" s="430" t="s">
        <v>532</v>
      </c>
      <c r="G100" s="428"/>
      <c r="H100" s="430" t="s">
        <v>558</v>
      </c>
      <c r="I100" s="430" t="s">
        <v>911</v>
      </c>
      <c r="J100" s="428" t="s">
        <v>599</v>
      </c>
      <c r="K100" s="430" t="s">
        <v>92</v>
      </c>
      <c r="L100" s="431" t="s">
        <v>914</v>
      </c>
      <c r="M100" s="431">
        <v>0</v>
      </c>
      <c r="N100" s="431">
        <v>0</v>
      </c>
      <c r="O100" s="431">
        <v>0</v>
      </c>
      <c r="P100" s="431">
        <v>0</v>
      </c>
      <c r="Q100" s="428">
        <v>0</v>
      </c>
      <c r="R100" s="431">
        <v>0</v>
      </c>
      <c r="S100" s="428">
        <v>0</v>
      </c>
      <c r="T100" s="248"/>
      <c r="U100" s="248"/>
      <c r="V100" s="248"/>
      <c r="W100" s="248"/>
      <c r="X100" s="248"/>
      <c r="Y100" s="248"/>
      <c r="Z100" s="248"/>
      <c r="AA100" s="248"/>
      <c r="AB100" s="444"/>
      <c r="AC100" s="248"/>
      <c r="AD100" s="248"/>
      <c r="AE100" s="248"/>
    </row>
    <row r="101" spans="1:31">
      <c r="A101" s="428">
        <v>101</v>
      </c>
      <c r="B101" s="430" t="s">
        <v>558</v>
      </c>
      <c r="C101" s="428"/>
      <c r="D101" s="430" t="s">
        <v>931</v>
      </c>
      <c r="E101" s="430" t="s">
        <v>545</v>
      </c>
      <c r="F101" s="430" t="s">
        <v>561</v>
      </c>
      <c r="G101" s="430" t="s">
        <v>531</v>
      </c>
      <c r="H101" s="430" t="s">
        <v>558</v>
      </c>
      <c r="I101" s="430" t="s">
        <v>558</v>
      </c>
      <c r="J101" s="428" t="s">
        <v>599</v>
      </c>
      <c r="K101" s="441" t="s">
        <v>943</v>
      </c>
      <c r="L101" s="431" t="s">
        <v>915</v>
      </c>
      <c r="M101" s="431">
        <v>0</v>
      </c>
      <c r="N101" s="431">
        <v>0</v>
      </c>
      <c r="O101" s="431">
        <v>0</v>
      </c>
      <c r="P101" s="431">
        <v>0</v>
      </c>
      <c r="Q101" s="428">
        <v>0</v>
      </c>
      <c r="R101" s="441">
        <v>0</v>
      </c>
      <c r="S101" s="441">
        <v>0</v>
      </c>
      <c r="T101" s="248"/>
      <c r="U101" s="248"/>
      <c r="V101" s="248"/>
      <c r="W101" s="248"/>
      <c r="X101" s="248"/>
      <c r="Y101" s="248"/>
      <c r="Z101" s="248"/>
      <c r="AA101" s="248"/>
      <c r="AB101" s="444"/>
      <c r="AC101" s="248"/>
      <c r="AD101" s="248"/>
      <c r="AE101" s="248"/>
    </row>
    <row r="102" spans="1:31">
      <c r="A102" s="428">
        <v>102</v>
      </c>
      <c r="B102" s="430" t="s">
        <v>483</v>
      </c>
      <c r="C102" s="430" t="s">
        <v>935</v>
      </c>
      <c r="D102" s="430" t="s">
        <v>916</v>
      </c>
      <c r="E102" s="430" t="s">
        <v>545</v>
      </c>
      <c r="F102" s="428"/>
      <c r="G102" s="430" t="s">
        <v>532</v>
      </c>
      <c r="H102" s="430" t="s">
        <v>558</v>
      </c>
      <c r="I102" s="430" t="s">
        <v>916</v>
      </c>
      <c r="J102" s="428" t="s">
        <v>599</v>
      </c>
      <c r="K102" s="430" t="s">
        <v>917</v>
      </c>
      <c r="L102" s="441" t="s">
        <v>943</v>
      </c>
      <c r="M102" s="431">
        <v>0</v>
      </c>
      <c r="N102" s="431">
        <v>0</v>
      </c>
      <c r="O102" s="430">
        <v>0</v>
      </c>
      <c r="P102" s="431">
        <v>0</v>
      </c>
      <c r="Q102" s="428">
        <v>0</v>
      </c>
      <c r="R102" s="431">
        <v>0</v>
      </c>
      <c r="S102" s="428">
        <v>0</v>
      </c>
      <c r="T102" s="248"/>
      <c r="U102" s="248"/>
      <c r="V102" s="248"/>
      <c r="W102" s="248"/>
      <c r="X102" s="248"/>
      <c r="Y102" s="248"/>
      <c r="Z102" s="248"/>
      <c r="AA102" s="248"/>
      <c r="AB102" s="444"/>
      <c r="AC102" s="248"/>
      <c r="AD102" s="248"/>
      <c r="AE102" s="248"/>
    </row>
    <row r="103" spans="1:31">
      <c r="A103" s="428">
        <v>103</v>
      </c>
      <c r="B103" s="429" t="s">
        <v>483</v>
      </c>
      <c r="C103" s="430" t="s">
        <v>911</v>
      </c>
      <c r="D103" s="430" t="s">
        <v>543</v>
      </c>
      <c r="E103" s="430" t="s">
        <v>527</v>
      </c>
      <c r="F103" s="430" t="s">
        <v>539</v>
      </c>
      <c r="G103" s="430" t="s">
        <v>532</v>
      </c>
      <c r="H103" s="430" t="s">
        <v>531</v>
      </c>
      <c r="I103" s="430" t="s">
        <v>911</v>
      </c>
      <c r="J103" s="428" t="s">
        <v>599</v>
      </c>
      <c r="K103" s="430">
        <v>0</v>
      </c>
      <c r="L103" s="431">
        <v>0</v>
      </c>
      <c r="M103" s="431">
        <v>0</v>
      </c>
      <c r="N103" s="431">
        <v>0</v>
      </c>
      <c r="O103" s="431">
        <v>0</v>
      </c>
      <c r="P103" s="431">
        <v>0</v>
      </c>
      <c r="Q103" s="428">
        <v>0</v>
      </c>
      <c r="R103" s="431">
        <v>0</v>
      </c>
      <c r="S103" s="428">
        <v>0</v>
      </c>
      <c r="T103" s="248"/>
      <c r="U103" s="248"/>
      <c r="V103" s="248"/>
      <c r="W103" s="248"/>
      <c r="X103" s="248"/>
      <c r="Y103" s="248"/>
      <c r="Z103" s="248"/>
      <c r="AA103" s="248"/>
      <c r="AB103" s="446"/>
      <c r="AC103" s="248"/>
      <c r="AD103" s="248"/>
      <c r="AE103" s="248"/>
    </row>
    <row r="104" spans="1:31">
      <c r="A104" s="428">
        <v>104</v>
      </c>
      <c r="B104" s="428"/>
      <c r="C104" s="430" t="s">
        <v>552</v>
      </c>
      <c r="D104" s="430" t="s">
        <v>997</v>
      </c>
      <c r="E104" s="430" t="s">
        <v>968</v>
      </c>
      <c r="F104" s="430" t="s">
        <v>530</v>
      </c>
      <c r="G104" s="430" t="s">
        <v>950</v>
      </c>
      <c r="H104" s="430"/>
      <c r="I104" s="430"/>
      <c r="J104" s="428" t="s">
        <v>599</v>
      </c>
      <c r="K104" s="430" t="s">
        <v>918</v>
      </c>
      <c r="L104" s="431" t="s">
        <v>919</v>
      </c>
      <c r="M104" s="431">
        <v>0</v>
      </c>
      <c r="N104" s="431">
        <v>0</v>
      </c>
      <c r="O104" s="431">
        <v>0</v>
      </c>
      <c r="P104" s="431">
        <v>0</v>
      </c>
      <c r="Q104" s="428" t="s">
        <v>497</v>
      </c>
      <c r="R104" s="431" t="s">
        <v>909</v>
      </c>
      <c r="S104" s="428" t="s">
        <v>931</v>
      </c>
      <c r="T104" s="248"/>
      <c r="U104" s="248"/>
      <c r="V104" s="248"/>
      <c r="W104" s="248"/>
      <c r="X104" s="248"/>
      <c r="Y104" s="248"/>
      <c r="Z104" s="248"/>
      <c r="AA104" s="248"/>
      <c r="AB104" s="446"/>
      <c r="AC104" s="248"/>
      <c r="AD104" s="248"/>
      <c r="AE104" s="248"/>
    </row>
    <row r="105" spans="1:31">
      <c r="A105" s="428">
        <v>105</v>
      </c>
      <c r="B105" s="429" t="s">
        <v>963</v>
      </c>
      <c r="C105" s="430" t="s">
        <v>968</v>
      </c>
      <c r="D105" s="430" t="s">
        <v>527</v>
      </c>
      <c r="E105" s="430" t="s">
        <v>931</v>
      </c>
      <c r="F105" s="430" t="s">
        <v>561</v>
      </c>
      <c r="G105" s="430" t="s">
        <v>532</v>
      </c>
      <c r="H105" s="430" t="s">
        <v>529</v>
      </c>
      <c r="I105" s="430" t="s">
        <v>530</v>
      </c>
      <c r="J105" s="428" t="s">
        <v>599</v>
      </c>
      <c r="K105" s="430">
        <v>0</v>
      </c>
      <c r="L105" s="431">
        <v>0</v>
      </c>
      <c r="M105" s="431">
        <v>0</v>
      </c>
      <c r="N105" s="431">
        <v>0</v>
      </c>
      <c r="O105" s="431">
        <v>0</v>
      </c>
      <c r="P105" s="431">
        <v>0</v>
      </c>
      <c r="Q105" s="428">
        <v>0</v>
      </c>
      <c r="R105" s="431">
        <v>0</v>
      </c>
      <c r="S105" s="428">
        <v>0</v>
      </c>
      <c r="T105" s="248"/>
      <c r="U105" s="248"/>
      <c r="V105" s="248"/>
      <c r="W105" s="248"/>
      <c r="X105" s="248"/>
      <c r="Y105" s="248"/>
      <c r="Z105" s="248"/>
      <c r="AA105" s="248"/>
      <c r="AB105" s="446"/>
      <c r="AC105" s="248"/>
      <c r="AD105" s="248"/>
      <c r="AE105" s="248"/>
    </row>
    <row r="106" spans="1:31">
      <c r="A106" s="428">
        <v>106</v>
      </c>
      <c r="B106" s="429"/>
      <c r="C106" s="430" t="s">
        <v>600</v>
      </c>
      <c r="D106" s="430" t="s">
        <v>527</v>
      </c>
      <c r="E106" s="430" t="s">
        <v>558</v>
      </c>
      <c r="F106" s="430" t="s">
        <v>558</v>
      </c>
      <c r="G106" s="430" t="s">
        <v>558</v>
      </c>
      <c r="H106" s="430" t="s">
        <v>558</v>
      </c>
      <c r="I106" s="430" t="s">
        <v>558</v>
      </c>
      <c r="J106" s="428" t="s">
        <v>599</v>
      </c>
      <c r="K106" s="430" t="s">
        <v>998</v>
      </c>
      <c r="L106" s="431" t="s">
        <v>999</v>
      </c>
      <c r="M106" s="431">
        <v>0</v>
      </c>
      <c r="N106" s="431">
        <v>0</v>
      </c>
      <c r="O106" s="431">
        <v>0</v>
      </c>
      <c r="P106" s="431">
        <v>0</v>
      </c>
      <c r="Q106" s="428">
        <v>0</v>
      </c>
      <c r="R106" s="431">
        <v>0</v>
      </c>
      <c r="S106" s="428">
        <v>0</v>
      </c>
      <c r="T106" s="248"/>
      <c r="U106" s="248"/>
      <c r="V106" s="248"/>
      <c r="W106" s="248"/>
      <c r="X106" s="248"/>
      <c r="Y106" s="248"/>
      <c r="Z106" s="248"/>
      <c r="AA106" s="248"/>
      <c r="AB106" s="446"/>
      <c r="AC106" s="248"/>
      <c r="AD106" s="248"/>
      <c r="AE106" s="248"/>
    </row>
    <row r="107" spans="1:31">
      <c r="A107" s="428">
        <v>107</v>
      </c>
      <c r="B107" s="429" t="s">
        <v>74</v>
      </c>
      <c r="C107" s="430" t="s">
        <v>552</v>
      </c>
      <c r="D107" s="430"/>
      <c r="E107" s="430" t="s">
        <v>967</v>
      </c>
      <c r="F107" s="430" t="s">
        <v>541</v>
      </c>
      <c r="G107" s="430" t="s">
        <v>537</v>
      </c>
      <c r="H107" s="430" t="s">
        <v>542</v>
      </c>
      <c r="I107" s="430"/>
      <c r="J107" s="430" t="s">
        <v>225</v>
      </c>
      <c r="K107" s="430" t="s">
        <v>995</v>
      </c>
      <c r="L107" s="431" t="s">
        <v>996</v>
      </c>
      <c r="M107" s="431">
        <v>0</v>
      </c>
      <c r="N107" s="431">
        <v>0</v>
      </c>
      <c r="O107" s="431">
        <v>0</v>
      </c>
      <c r="P107" s="431">
        <v>0</v>
      </c>
      <c r="Q107" s="430" t="s">
        <v>498</v>
      </c>
      <c r="R107" s="431" t="s">
        <v>78</v>
      </c>
      <c r="S107" s="428" t="s">
        <v>969</v>
      </c>
      <c r="T107" s="248"/>
      <c r="U107" s="248"/>
      <c r="V107" s="248"/>
      <c r="W107" s="248"/>
      <c r="X107" s="248"/>
      <c r="Y107" s="248"/>
      <c r="Z107" s="248"/>
      <c r="AA107" s="248"/>
      <c r="AB107" s="446"/>
      <c r="AC107" s="248"/>
      <c r="AD107" s="248"/>
      <c r="AE107" s="248"/>
    </row>
    <row r="108" spans="1:31">
      <c r="A108" s="428">
        <v>108</v>
      </c>
      <c r="B108" s="430" t="s">
        <v>74</v>
      </c>
      <c r="C108" s="428"/>
      <c r="D108" s="430" t="s">
        <v>527</v>
      </c>
      <c r="E108" s="430" t="s">
        <v>937</v>
      </c>
      <c r="F108" s="430" t="s">
        <v>538</v>
      </c>
      <c r="G108" s="430" t="s">
        <v>531</v>
      </c>
      <c r="H108" s="430" t="s">
        <v>542</v>
      </c>
      <c r="I108" s="430" t="s">
        <v>1001</v>
      </c>
      <c r="J108" s="428" t="s">
        <v>599</v>
      </c>
      <c r="K108" s="430" t="s">
        <v>967</v>
      </c>
      <c r="L108" s="431" t="s">
        <v>1000</v>
      </c>
      <c r="M108" s="431">
        <v>0</v>
      </c>
      <c r="N108" s="431">
        <v>0</v>
      </c>
      <c r="O108" s="431">
        <v>0</v>
      </c>
      <c r="P108" s="431">
        <v>0</v>
      </c>
      <c r="Q108" s="428">
        <v>0</v>
      </c>
      <c r="R108" s="431">
        <v>0</v>
      </c>
      <c r="S108" s="428">
        <v>0</v>
      </c>
      <c r="T108" s="248"/>
      <c r="U108" s="248"/>
      <c r="V108" s="248"/>
      <c r="W108" s="248"/>
      <c r="X108" s="248"/>
      <c r="Y108" s="248"/>
      <c r="Z108" s="248"/>
      <c r="AA108" s="248"/>
      <c r="AB108" s="446"/>
      <c r="AC108" s="248"/>
      <c r="AD108" s="248"/>
      <c r="AE108" s="248"/>
    </row>
    <row r="109" spans="1:31">
      <c r="A109" s="428">
        <v>109</v>
      </c>
      <c r="B109" s="429" t="s">
        <v>483</v>
      </c>
      <c r="C109" s="430" t="s">
        <v>534</v>
      </c>
      <c r="D109" s="430" t="s">
        <v>561</v>
      </c>
      <c r="E109" s="430" t="s">
        <v>535</v>
      </c>
      <c r="F109" s="430" t="s">
        <v>538</v>
      </c>
      <c r="G109" s="430" t="s">
        <v>532</v>
      </c>
      <c r="H109" s="430" t="s">
        <v>988</v>
      </c>
      <c r="I109" s="430" t="s">
        <v>976</v>
      </c>
      <c r="J109" s="428" t="s">
        <v>599</v>
      </c>
      <c r="K109" s="430">
        <v>0</v>
      </c>
      <c r="L109" s="431">
        <v>0</v>
      </c>
      <c r="M109" s="431">
        <v>0</v>
      </c>
      <c r="N109" s="431">
        <v>0</v>
      </c>
      <c r="O109" s="431">
        <v>0</v>
      </c>
      <c r="P109" s="431">
        <v>0</v>
      </c>
      <c r="Q109" s="428">
        <v>0</v>
      </c>
      <c r="R109" s="431">
        <v>0</v>
      </c>
      <c r="S109" s="428">
        <v>0</v>
      </c>
      <c r="T109" s="248"/>
      <c r="U109" s="248"/>
      <c r="V109" s="248"/>
      <c r="W109" s="248"/>
      <c r="X109" s="248"/>
      <c r="Y109" s="248"/>
      <c r="Z109" s="248"/>
      <c r="AA109" s="248"/>
      <c r="AB109" s="446"/>
      <c r="AC109" s="248"/>
      <c r="AD109" s="248"/>
      <c r="AE109" s="248"/>
    </row>
    <row r="110" spans="1:31">
      <c r="A110" s="428">
        <v>110</v>
      </c>
      <c r="B110" s="430" t="s">
        <v>483</v>
      </c>
      <c r="C110" s="430" t="s">
        <v>562</v>
      </c>
      <c r="D110" s="430" t="s">
        <v>1030</v>
      </c>
      <c r="E110" s="430" t="s">
        <v>551</v>
      </c>
      <c r="F110" s="430" t="s">
        <v>527</v>
      </c>
      <c r="G110" s="430" t="s">
        <v>548</v>
      </c>
      <c r="H110" s="430" t="s">
        <v>532</v>
      </c>
      <c r="I110" s="430" t="s">
        <v>562</v>
      </c>
      <c r="J110" s="428" t="s">
        <v>599</v>
      </c>
      <c r="K110" s="430">
        <v>0</v>
      </c>
      <c r="L110" s="431">
        <v>0</v>
      </c>
      <c r="M110" s="431">
        <v>0</v>
      </c>
      <c r="N110" s="431">
        <v>0</v>
      </c>
      <c r="O110" s="431">
        <v>0</v>
      </c>
      <c r="P110" s="431">
        <v>0</v>
      </c>
      <c r="Q110" s="428">
        <v>0</v>
      </c>
      <c r="R110" s="431">
        <v>0</v>
      </c>
      <c r="S110" s="428">
        <v>0</v>
      </c>
      <c r="T110" s="248"/>
      <c r="U110" s="248"/>
      <c r="V110" s="248"/>
      <c r="W110" s="248"/>
      <c r="X110" s="248"/>
      <c r="Y110" s="248"/>
      <c r="Z110" s="248"/>
      <c r="AA110" s="248"/>
      <c r="AB110" s="446"/>
      <c r="AC110" s="248"/>
      <c r="AD110" s="248"/>
      <c r="AE110" s="248"/>
    </row>
    <row r="111" spans="1:31">
      <c r="A111" s="428">
        <v>111</v>
      </c>
      <c r="B111" s="429" t="s">
        <v>483</v>
      </c>
      <c r="C111" s="430" t="s">
        <v>963</v>
      </c>
      <c r="D111" s="430" t="s">
        <v>552</v>
      </c>
      <c r="E111" s="430" t="s">
        <v>527</v>
      </c>
      <c r="F111" s="430" t="s">
        <v>1002</v>
      </c>
      <c r="G111" s="430" t="s">
        <v>532</v>
      </c>
      <c r="H111" s="430" t="s">
        <v>558</v>
      </c>
      <c r="I111" s="430" t="s">
        <v>1002</v>
      </c>
      <c r="J111" s="428" t="s">
        <v>599</v>
      </c>
      <c r="K111" s="430">
        <v>0</v>
      </c>
      <c r="L111" s="431">
        <v>0</v>
      </c>
      <c r="M111" s="431">
        <v>0</v>
      </c>
      <c r="N111" s="431">
        <v>0</v>
      </c>
      <c r="O111" s="431">
        <v>0</v>
      </c>
      <c r="P111" s="431">
        <v>0</v>
      </c>
      <c r="Q111" s="428">
        <v>0</v>
      </c>
      <c r="R111" s="431">
        <v>0</v>
      </c>
      <c r="S111" s="428">
        <v>0</v>
      </c>
      <c r="T111" s="248"/>
      <c r="U111" s="248"/>
      <c r="V111" s="248"/>
      <c r="W111" s="248"/>
      <c r="X111" s="248"/>
      <c r="Y111" s="248"/>
      <c r="Z111" s="248"/>
      <c r="AA111" s="248"/>
      <c r="AB111" s="446"/>
      <c r="AC111" s="248"/>
      <c r="AD111" s="248"/>
      <c r="AE111" s="248"/>
    </row>
    <row r="112" spans="1:31">
      <c r="A112" s="428">
        <v>112</v>
      </c>
      <c r="B112" s="430" t="s">
        <v>483</v>
      </c>
      <c r="C112" s="430" t="s">
        <v>556</v>
      </c>
      <c r="D112" s="430" t="s">
        <v>551</v>
      </c>
      <c r="E112" s="428"/>
      <c r="F112" s="430" t="s">
        <v>527</v>
      </c>
      <c r="G112" s="430" t="s">
        <v>561</v>
      </c>
      <c r="H112" s="430" t="s">
        <v>558</v>
      </c>
      <c r="I112" s="430" t="s">
        <v>558</v>
      </c>
      <c r="J112" s="428" t="s">
        <v>599</v>
      </c>
      <c r="K112" s="430" t="s">
        <v>971</v>
      </c>
      <c r="L112" s="441" t="s">
        <v>943</v>
      </c>
      <c r="M112" s="431">
        <v>0</v>
      </c>
      <c r="N112" s="431">
        <v>0</v>
      </c>
      <c r="O112" s="431">
        <v>0</v>
      </c>
      <c r="P112" s="431">
        <v>0</v>
      </c>
      <c r="Q112" s="428">
        <v>0</v>
      </c>
      <c r="R112" s="431">
        <v>0</v>
      </c>
      <c r="S112" s="428">
        <v>0</v>
      </c>
      <c r="T112" s="248"/>
      <c r="U112" s="248"/>
      <c r="V112" s="248"/>
      <c r="W112" s="248"/>
      <c r="X112" s="248"/>
      <c r="Y112" s="248"/>
      <c r="Z112" s="248"/>
      <c r="AA112" s="248"/>
      <c r="AB112" s="446"/>
      <c r="AC112" s="248"/>
      <c r="AD112" s="248"/>
      <c r="AE112" s="248"/>
    </row>
    <row r="113" spans="1:31">
      <c r="A113" s="428">
        <v>113</v>
      </c>
      <c r="B113" s="429" t="s">
        <v>483</v>
      </c>
      <c r="C113" s="430" t="s">
        <v>931</v>
      </c>
      <c r="D113" s="430" t="s">
        <v>551</v>
      </c>
      <c r="E113" s="430" t="s">
        <v>562</v>
      </c>
      <c r="F113" s="430" t="s">
        <v>532</v>
      </c>
      <c r="G113" s="430" t="s">
        <v>558</v>
      </c>
      <c r="H113" s="430" t="s">
        <v>558</v>
      </c>
      <c r="I113" s="430" t="s">
        <v>562</v>
      </c>
      <c r="J113" s="428" t="s">
        <v>599</v>
      </c>
      <c r="K113" s="430">
        <v>0</v>
      </c>
      <c r="L113" s="431">
        <v>0</v>
      </c>
      <c r="M113" s="431">
        <v>0</v>
      </c>
      <c r="N113" s="431">
        <v>0</v>
      </c>
      <c r="O113" s="431">
        <v>0</v>
      </c>
      <c r="P113" s="431">
        <v>0</v>
      </c>
      <c r="Q113" s="428">
        <v>0</v>
      </c>
      <c r="R113" s="431">
        <v>0</v>
      </c>
      <c r="S113" s="428">
        <v>0</v>
      </c>
      <c r="T113" s="248"/>
      <c r="U113" s="248"/>
      <c r="V113" s="248"/>
      <c r="W113" s="248"/>
      <c r="X113" s="248"/>
      <c r="Y113" s="248"/>
      <c r="Z113" s="248"/>
      <c r="AA113" s="248"/>
      <c r="AB113" s="446"/>
      <c r="AC113" s="248"/>
      <c r="AD113" s="248"/>
      <c r="AE113" s="248"/>
    </row>
    <row r="114" spans="1:31">
      <c r="A114" s="428">
        <v>114</v>
      </c>
      <c r="B114" s="430" t="s">
        <v>487</v>
      </c>
      <c r="C114" s="430" t="s">
        <v>565</v>
      </c>
      <c r="D114" s="430" t="s">
        <v>532</v>
      </c>
      <c r="E114" s="430" t="s">
        <v>530</v>
      </c>
      <c r="F114" s="430" t="s">
        <v>559</v>
      </c>
      <c r="G114" s="430" t="s">
        <v>565</v>
      </c>
      <c r="H114" s="430" t="s">
        <v>566</v>
      </c>
      <c r="I114" s="430" t="s">
        <v>559</v>
      </c>
      <c r="J114" s="428" t="s">
        <v>599</v>
      </c>
      <c r="K114" s="430">
        <v>0</v>
      </c>
      <c r="L114" s="431">
        <v>0</v>
      </c>
      <c r="M114" s="431">
        <v>0</v>
      </c>
      <c r="N114" s="431">
        <v>0</v>
      </c>
      <c r="O114" s="431">
        <v>0</v>
      </c>
      <c r="P114" s="431">
        <v>0</v>
      </c>
      <c r="Q114" s="428">
        <v>0</v>
      </c>
      <c r="R114" s="431">
        <v>0</v>
      </c>
      <c r="S114" s="428">
        <v>0</v>
      </c>
      <c r="T114" s="248"/>
      <c r="U114" s="248"/>
      <c r="V114" s="248"/>
      <c r="W114" s="248"/>
      <c r="X114" s="248"/>
      <c r="Y114" s="248"/>
      <c r="Z114" s="248"/>
      <c r="AA114" s="248"/>
      <c r="AB114" s="446"/>
      <c r="AC114" s="248"/>
      <c r="AD114" s="248"/>
      <c r="AE114" s="248"/>
    </row>
    <row r="115" spans="1:31">
      <c r="A115" s="428">
        <v>115</v>
      </c>
      <c r="B115" s="430" t="s">
        <v>557</v>
      </c>
      <c r="C115" s="430" t="s">
        <v>552</v>
      </c>
      <c r="D115" s="430" t="s">
        <v>541</v>
      </c>
      <c r="E115" s="430" t="s">
        <v>937</v>
      </c>
      <c r="F115" s="430" t="s">
        <v>553</v>
      </c>
      <c r="G115" s="430" t="s">
        <v>975</v>
      </c>
      <c r="H115" s="430" t="s">
        <v>1003</v>
      </c>
      <c r="I115" s="428" t="s">
        <v>1004</v>
      </c>
      <c r="J115" s="430"/>
      <c r="K115" s="431">
        <v>0</v>
      </c>
      <c r="L115" s="431">
        <v>0</v>
      </c>
      <c r="M115" s="431">
        <v>0</v>
      </c>
      <c r="N115" s="431">
        <v>0</v>
      </c>
      <c r="O115" s="431">
        <v>0</v>
      </c>
      <c r="P115" s="431">
        <v>0</v>
      </c>
      <c r="Q115" s="431">
        <v>0</v>
      </c>
      <c r="R115" s="428">
        <v>0</v>
      </c>
      <c r="S115" s="428">
        <v>0</v>
      </c>
      <c r="T115" s="248"/>
      <c r="U115" s="248"/>
      <c r="V115" s="248"/>
      <c r="W115" s="248"/>
      <c r="X115" s="248"/>
      <c r="Y115" s="248"/>
      <c r="Z115" s="248"/>
      <c r="AA115" s="248"/>
      <c r="AB115" s="446"/>
      <c r="AC115" s="248"/>
      <c r="AD115" s="248"/>
      <c r="AE115" s="248"/>
    </row>
    <row r="116" spans="1:31">
      <c r="A116" s="248"/>
      <c r="B116" s="248"/>
      <c r="C116" s="248"/>
      <c r="D116" s="248"/>
      <c r="E116" s="248"/>
      <c r="F116" s="248"/>
      <c r="G116" s="248"/>
      <c r="H116" s="248"/>
      <c r="I116" s="248"/>
      <c r="J116" s="248"/>
      <c r="K116" s="248"/>
      <c r="L116" s="248"/>
      <c r="M116" s="248"/>
      <c r="N116" s="248"/>
      <c r="O116" s="248"/>
      <c r="P116" s="248"/>
      <c r="Q116" s="248"/>
      <c r="R116" s="248"/>
      <c r="S116" s="248"/>
      <c r="T116" s="248"/>
      <c r="U116" s="248"/>
      <c r="V116" s="248"/>
      <c r="W116" s="248"/>
      <c r="X116" s="248"/>
      <c r="Y116" s="248"/>
      <c r="Z116" s="248"/>
      <c r="AA116" s="248"/>
      <c r="AB116" s="446"/>
      <c r="AC116" s="248"/>
      <c r="AD116" s="248"/>
      <c r="AE116" s="248"/>
    </row>
    <row r="117" spans="1:31">
      <c r="A117" s="248"/>
      <c r="B117" s="248"/>
      <c r="C117" s="248"/>
      <c r="D117" s="248"/>
      <c r="E117" s="248"/>
      <c r="F117" s="248"/>
      <c r="G117" s="248"/>
      <c r="H117" s="248"/>
      <c r="I117" s="248"/>
      <c r="J117" s="248"/>
      <c r="K117" s="248"/>
      <c r="L117" s="248"/>
      <c r="M117" s="248"/>
      <c r="N117" s="248"/>
      <c r="O117" s="248"/>
      <c r="P117" s="248"/>
      <c r="Q117" s="248"/>
      <c r="R117" s="248"/>
      <c r="S117" s="248"/>
      <c r="T117" s="248"/>
      <c r="U117" s="248"/>
      <c r="V117" s="248"/>
      <c r="W117" s="248"/>
      <c r="X117" s="248"/>
      <c r="Y117" s="248"/>
      <c r="Z117" s="248"/>
      <c r="AA117" s="248"/>
      <c r="AB117" s="446"/>
      <c r="AC117" s="248"/>
      <c r="AD117" s="248"/>
      <c r="AE117" s="248"/>
    </row>
    <row r="118" spans="1:31">
      <c r="A118" s="248"/>
      <c r="B118" s="248"/>
      <c r="C118" s="248"/>
      <c r="D118" s="248"/>
      <c r="E118" s="248"/>
      <c r="F118" s="248"/>
      <c r="G118" s="248"/>
      <c r="H118" s="248"/>
      <c r="I118" s="248"/>
      <c r="J118" s="248"/>
      <c r="K118" s="248"/>
      <c r="L118" s="248"/>
      <c r="M118" s="248"/>
      <c r="N118" s="248"/>
      <c r="O118" s="248"/>
      <c r="P118" s="248"/>
      <c r="Q118" s="248"/>
      <c r="R118" s="248"/>
      <c r="S118" s="248"/>
      <c r="T118" s="248"/>
      <c r="U118" s="248"/>
      <c r="V118" s="248"/>
      <c r="W118" s="248"/>
      <c r="X118" s="248"/>
      <c r="Y118" s="248"/>
      <c r="Z118" s="248"/>
      <c r="AA118" s="248"/>
      <c r="AB118" s="446"/>
      <c r="AC118" s="248"/>
      <c r="AD118" s="248"/>
      <c r="AE118" s="248"/>
    </row>
    <row r="119" spans="1:31">
      <c r="A119" s="248"/>
      <c r="B119" s="248"/>
      <c r="C119" s="248"/>
      <c r="D119" s="248"/>
      <c r="E119" s="248"/>
      <c r="F119" s="248"/>
      <c r="G119" s="248"/>
      <c r="H119" s="248"/>
      <c r="I119" s="248"/>
      <c r="J119" s="248"/>
      <c r="K119" s="248"/>
      <c r="L119" s="248"/>
      <c r="M119" s="248"/>
      <c r="N119" s="248"/>
      <c r="O119" s="248"/>
      <c r="P119" s="248"/>
      <c r="Q119" s="248"/>
      <c r="R119" s="248"/>
      <c r="S119" s="248"/>
      <c r="T119" s="248"/>
      <c r="U119" s="248"/>
      <c r="V119" s="248"/>
      <c r="W119" s="248"/>
      <c r="X119" s="248"/>
      <c r="Y119" s="248"/>
      <c r="Z119" s="248"/>
      <c r="AA119" s="248"/>
      <c r="AB119" s="446"/>
      <c r="AC119" s="248"/>
      <c r="AD119" s="248"/>
      <c r="AE119" s="248"/>
    </row>
    <row r="120" spans="1:31">
      <c r="A120" s="248"/>
      <c r="B120" s="248"/>
      <c r="C120" s="248"/>
      <c r="D120" s="248"/>
      <c r="E120" s="248"/>
      <c r="F120" s="248"/>
      <c r="G120" s="248"/>
      <c r="H120" s="248"/>
      <c r="I120" s="248"/>
      <c r="J120" s="248"/>
      <c r="K120" s="248"/>
      <c r="L120" s="248"/>
      <c r="M120" s="248"/>
      <c r="N120" s="248"/>
      <c r="O120" s="248"/>
      <c r="P120" s="248"/>
      <c r="Q120" s="248"/>
      <c r="R120" s="248"/>
      <c r="S120" s="248"/>
      <c r="T120" s="248"/>
      <c r="U120" s="248"/>
      <c r="V120" s="248"/>
      <c r="W120" s="248"/>
      <c r="X120" s="248"/>
      <c r="Y120" s="248"/>
      <c r="Z120" s="248"/>
      <c r="AA120" s="248"/>
      <c r="AB120" s="446"/>
      <c r="AC120" s="248"/>
      <c r="AD120" s="248"/>
      <c r="AE120" s="248"/>
    </row>
    <row r="121" spans="1:31">
      <c r="A121" s="248"/>
      <c r="B121" s="248"/>
      <c r="C121" s="248"/>
      <c r="D121" s="248"/>
      <c r="E121" s="248"/>
      <c r="F121" s="248"/>
      <c r="G121" s="248"/>
      <c r="H121" s="248"/>
      <c r="I121" s="248"/>
      <c r="J121" s="248"/>
      <c r="K121" s="248"/>
      <c r="L121" s="248"/>
      <c r="M121" s="248"/>
      <c r="N121" s="248"/>
      <c r="O121" s="248"/>
      <c r="P121" s="248"/>
      <c r="Q121" s="248"/>
      <c r="R121" s="248"/>
      <c r="S121" s="248"/>
      <c r="T121" s="248"/>
      <c r="U121" s="248"/>
      <c r="V121" s="248"/>
      <c r="W121" s="248"/>
      <c r="X121" s="248"/>
      <c r="Y121" s="248"/>
      <c r="Z121" s="248"/>
      <c r="AA121" s="248"/>
      <c r="AB121" s="446"/>
      <c r="AC121" s="248"/>
      <c r="AD121" s="248"/>
      <c r="AE121" s="248"/>
    </row>
    <row r="122" spans="1:31">
      <c r="AB122" s="446"/>
      <c r="AC122" s="248"/>
      <c r="AD122" s="248"/>
    </row>
  </sheetData>
  <mergeCells count="3">
    <mergeCell ref="Y8:AA8"/>
    <mergeCell ref="Y6:Z6"/>
    <mergeCell ref="Y4:Z4"/>
  </mergeCells>
  <phoneticPr fontId="7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69"/>
  <sheetViews>
    <sheetView workbookViewId="0">
      <selection activeCell="F14" sqref="F14"/>
    </sheetView>
  </sheetViews>
  <sheetFormatPr defaultColWidth="10" defaultRowHeight="14.25"/>
  <cols>
    <col min="1" max="1" width="12.625" customWidth="1"/>
    <col min="6" max="6" width="51.75" customWidth="1"/>
    <col min="7" max="7" width="16.5" customWidth="1"/>
    <col min="10" max="10" width="9" style="427" customWidth="1"/>
  </cols>
  <sheetData>
    <row r="1" spans="1:13" ht="42.75">
      <c r="A1" t="s">
        <v>1444</v>
      </c>
      <c r="B1" t="str">
        <f>IF(人物卡!C3=0,"",人物卡!C3)</f>
        <v>唐辰</v>
      </c>
      <c r="F1" s="241" t="str">
        <f>F14</f>
        <v xml:space="preserve">.st力量55 敏捷55 意志55 体质60 外貌70 教育80 体型70 智力65 理智55 幸运75 伪造30 艺术40 信用评级10 闪避60 斗殴30 历史50 英语50 图书馆使用65 聆听70 机械维修50 心理学52                  </v>
      </c>
      <c r="G1" s="241"/>
    </row>
    <row r="2" spans="1:13">
      <c r="A2" t="s">
        <v>457</v>
      </c>
      <c r="B2" t="str">
        <f>IF(人物卡!C4=0,"",人物卡!C4)</f>
        <v>MAGALLAN</v>
      </c>
      <c r="J2" s="446" t="str">
        <f>人物卡!D15</f>
        <v>会计</v>
      </c>
      <c r="K2" s="248">
        <f>IF(SUM(人物卡!G15:I15)=0,0,1)</f>
        <v>0</v>
      </c>
      <c r="L2" s="248">
        <f>人物卡!J15</f>
        <v>5</v>
      </c>
      <c r="M2" s="248">
        <f>K2</f>
        <v>0</v>
      </c>
    </row>
    <row r="3" spans="1:13">
      <c r="A3" t="str">
        <f>IF(B3="","","力量")</f>
        <v>力量</v>
      </c>
      <c r="B3">
        <f>IF(STR=0,"",STR)</f>
        <v>55</v>
      </c>
      <c r="J3" s="446" t="str">
        <f>人物卡!D16</f>
        <v>人类学</v>
      </c>
      <c r="K3" s="248">
        <f>IF(SUM(人物卡!G16:I16)=0,0,1)</f>
        <v>0</v>
      </c>
      <c r="L3" s="248">
        <f>人物卡!J16</f>
        <v>1</v>
      </c>
      <c r="M3" s="248">
        <f t="shared" ref="M3:M66" si="0">K3</f>
        <v>0</v>
      </c>
    </row>
    <row r="4" spans="1:13">
      <c r="A4" t="str">
        <f>IF(B4="","","敏捷")</f>
        <v>敏捷</v>
      </c>
      <c r="B4">
        <f>IF(DEX=0,"",DEX)</f>
        <v>55</v>
      </c>
      <c r="J4" s="446" t="str">
        <f>人物卡!D17</f>
        <v>估价</v>
      </c>
      <c r="K4" s="248">
        <f>IF(SUM(人物卡!G17:I17)=0,0,1)</f>
        <v>0</v>
      </c>
      <c r="L4" s="248">
        <f>人物卡!J17</f>
        <v>5</v>
      </c>
      <c r="M4" s="248">
        <f t="shared" si="0"/>
        <v>0</v>
      </c>
    </row>
    <row r="5" spans="1:13">
      <c r="A5" t="str">
        <f>IF(B5="","","意志")</f>
        <v>意志</v>
      </c>
      <c r="B5">
        <f>IF(POW=0,"",POW)</f>
        <v>55</v>
      </c>
      <c r="J5" s="446" t="str">
        <f>人物卡!D18</f>
        <v>考古学</v>
      </c>
      <c r="K5" s="248">
        <f>IF(SUM(人物卡!G18:I18)=0,0,1)</f>
        <v>0</v>
      </c>
      <c r="L5" s="248">
        <f>人物卡!J18</f>
        <v>1</v>
      </c>
      <c r="M5" s="248">
        <f t="shared" si="0"/>
        <v>0</v>
      </c>
    </row>
    <row r="6" spans="1:13">
      <c r="A6" t="str">
        <f>IF(B6="","","体质")</f>
        <v>体质</v>
      </c>
      <c r="B6">
        <f>IF(CON=0,"",CON)</f>
        <v>60</v>
      </c>
      <c r="J6" s="446" t="str">
        <f>人物卡!E19</f>
        <v>伪造</v>
      </c>
      <c r="K6" s="248">
        <f>IF(SUM(人物卡!G19:I19)=0,0,1)</f>
        <v>1</v>
      </c>
      <c r="L6" s="248">
        <f>人物卡!J19</f>
        <v>30</v>
      </c>
      <c r="M6" s="248">
        <f t="shared" si="0"/>
        <v>1</v>
      </c>
    </row>
    <row r="7" spans="1:13">
      <c r="A7" t="str">
        <f>IF(B7="","","外貌")</f>
        <v>外貌</v>
      </c>
      <c r="B7">
        <f>IF(APP=0,"",APP)</f>
        <v>70</v>
      </c>
      <c r="J7" s="446" t="str">
        <f>人物卡!E20</f>
        <v>艺术</v>
      </c>
      <c r="K7" s="248">
        <f>IF(SUM(人物卡!G20:I20)=0,0,1)</f>
        <v>1</v>
      </c>
      <c r="L7" s="248">
        <f>人物卡!J20</f>
        <v>40</v>
      </c>
      <c r="M7" s="248">
        <f t="shared" si="0"/>
        <v>1</v>
      </c>
    </row>
    <row r="8" spans="1:13">
      <c r="A8" t="str">
        <f>IF(B8="","","教育")</f>
        <v>教育</v>
      </c>
      <c r="B8">
        <f>IF(EDU=0,"",EDU)</f>
        <v>80</v>
      </c>
      <c r="J8" s="446">
        <f>人物卡!E21</f>
        <v>0</v>
      </c>
      <c r="K8" s="248">
        <f>IF(SUM(人物卡!G21:I21)=0,0,1)</f>
        <v>0</v>
      </c>
      <c r="L8" s="248">
        <f>人物卡!J21</f>
        <v>5</v>
      </c>
      <c r="M8" s="248">
        <f t="shared" si="0"/>
        <v>0</v>
      </c>
    </row>
    <row r="9" spans="1:13">
      <c r="A9" t="str">
        <f>IF(B9="","","体型")</f>
        <v>体型</v>
      </c>
      <c r="B9">
        <f>IF(SIZ=0,"",SIZ)</f>
        <v>70</v>
      </c>
      <c r="J9" s="446" t="str">
        <f>人物卡!D22</f>
        <v>魅惑</v>
      </c>
      <c r="K9" s="248">
        <f>IF(SUM(人物卡!G22:I22)=0,0,1)</f>
        <v>0</v>
      </c>
      <c r="L9" s="248">
        <f>人物卡!J22</f>
        <v>15</v>
      </c>
      <c r="M9" s="248">
        <f t="shared" si="0"/>
        <v>0</v>
      </c>
    </row>
    <row r="10" spans="1:13">
      <c r="A10" t="str">
        <f>IF(B10="","","智力")</f>
        <v>智力</v>
      </c>
      <c r="B10">
        <f>IF(INT=0,"",INT)</f>
        <v>65</v>
      </c>
      <c r="J10" s="446" t="str">
        <f>人物卡!D23</f>
        <v>攀爬</v>
      </c>
      <c r="K10" s="248">
        <f>IF(SUM(人物卡!G23:I23)=0,0,1)</f>
        <v>0</v>
      </c>
      <c r="L10" s="248">
        <f>人物卡!J23</f>
        <v>20</v>
      </c>
      <c r="M10" s="248">
        <f t="shared" si="0"/>
        <v>0</v>
      </c>
    </row>
    <row r="11" spans="1:13">
      <c r="A11" t="s">
        <v>1445</v>
      </c>
      <c r="B11">
        <f>MOV</f>
        <v>7</v>
      </c>
      <c r="J11" s="446" t="str">
        <f>人物卡!D24</f>
        <v>计算机使用 Ω</v>
      </c>
      <c r="K11" s="248">
        <f>IF(SUM(人物卡!G24:I24)=0,0,1)</f>
        <v>0</v>
      </c>
      <c r="L11" s="248">
        <f>人物卡!J24</f>
        <v>5</v>
      </c>
      <c r="M11" s="248">
        <f t="shared" si="0"/>
        <v>0</v>
      </c>
    </row>
    <row r="12" spans="1:13">
      <c r="A12" t="s">
        <v>1446</v>
      </c>
      <c r="B12" s="447">
        <f>人物卡!D10</f>
        <v>13</v>
      </c>
      <c r="C12">
        <f>人物卡!E10</f>
        <v>13</v>
      </c>
      <c r="J12" s="446" t="str">
        <f>人物卡!D25</f>
        <v>信用评级</v>
      </c>
      <c r="K12" s="248">
        <f>IF(SUM(人物卡!G25:I25)=0,0,1)</f>
        <v>1</v>
      </c>
      <c r="L12" s="248">
        <f>人物卡!J25</f>
        <v>10</v>
      </c>
      <c r="M12" s="248">
        <f t="shared" si="0"/>
        <v>1</v>
      </c>
    </row>
    <row r="13" spans="1:13">
      <c r="A13" t="str">
        <f>IF(B13="","","理智")</f>
        <v>理智</v>
      </c>
      <c r="B13">
        <f>IF(人物卡!H10=0,"",人物卡!H10)</f>
        <v>55</v>
      </c>
      <c r="C13">
        <f>SAN</f>
        <v>99</v>
      </c>
      <c r="J13" s="446" t="str">
        <f>人物卡!D26</f>
        <v>克苏鲁神话</v>
      </c>
      <c r="K13" s="248">
        <f>IF(SUM(人物卡!G26:I26)=0,0,1)</f>
        <v>0</v>
      </c>
      <c r="L13" s="248">
        <f>人物卡!J26</f>
        <v>0</v>
      </c>
      <c r="M13" s="248">
        <f t="shared" si="0"/>
        <v>0</v>
      </c>
    </row>
    <row r="14" spans="1:13" ht="42.75">
      <c r="A14" t="str">
        <f>IF(B14="","","幸运")</f>
        <v>幸运</v>
      </c>
      <c r="B14">
        <f>IF(Luck=0,"",Luck)</f>
        <v>75</v>
      </c>
      <c r="C14">
        <f>人物卡!N10</f>
        <v>99</v>
      </c>
      <c r="F14" s="241"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.st力量55 敏捷55 意志55 体质60 外貌70 教育80 体型70 智力65 理智55 幸运75 伪造30 艺术40 信用评级10 闪避60 斗殴30 历史50 英语50 图书馆使用65 聆听70 机械维修50 心理学52                  </v>
      </c>
      <c r="J14" s="446" t="str">
        <f>人物卡!D27</f>
        <v>乔装</v>
      </c>
      <c r="K14" s="248">
        <f>IF(SUM(人物卡!G27:I27)=0,0,1)</f>
        <v>0</v>
      </c>
      <c r="L14" s="248">
        <f>人物卡!J27</f>
        <v>5</v>
      </c>
      <c r="M14" s="248">
        <f t="shared" si="0"/>
        <v>0</v>
      </c>
    </row>
    <row r="15" spans="1:13">
      <c r="A15" t="s">
        <v>1447</v>
      </c>
      <c r="B15">
        <f>人物卡!Q10</f>
        <v>11</v>
      </c>
      <c r="C15">
        <f>MP</f>
        <v>11</v>
      </c>
      <c r="J15" s="446" t="str">
        <f>人物卡!D28</f>
        <v>闪避</v>
      </c>
      <c r="K15" s="248">
        <f>IF(SUM(人物卡!G28:I28)=0,0,1)</f>
        <v>1</v>
      </c>
      <c r="L15" s="248">
        <f>人物卡!J28</f>
        <v>60</v>
      </c>
      <c r="M15" s="248">
        <f t="shared" si="0"/>
        <v>1</v>
      </c>
    </row>
    <row r="16" spans="1:13">
      <c r="A16" s="448" t="s">
        <v>1448</v>
      </c>
      <c r="B16" s="448"/>
      <c r="J16" s="446" t="str">
        <f>人物卡!D29</f>
        <v>汽车驾驶</v>
      </c>
      <c r="K16" s="248">
        <f>IF(SUM(人物卡!G29:I29)=0,0,1)</f>
        <v>0</v>
      </c>
      <c r="L16" s="248">
        <f>人物卡!J29</f>
        <v>20</v>
      </c>
      <c r="M16" s="248">
        <f t="shared" si="0"/>
        <v>0</v>
      </c>
    </row>
    <row r="17" spans="1:13">
      <c r="A17" s="427" t="str">
        <f t="array" ref="A17">IFERROR(INDEX($J$2:$J$69,SMALL(IF($K$2:$K$69=1,ROW($J$2:$J$69),99999),ROW(J1))-1,1),"")</f>
        <v>伪造</v>
      </c>
      <c r="B17" s="427">
        <f t="array" ref="B17">IFERROR(INDEX($L$2:$L$69,SMALL(IF($K$2:$K$69=1,ROW($J$2:$J$69),99999),ROW(K1))-1,1),"")</f>
        <v>30</v>
      </c>
      <c r="J17" s="446" t="str">
        <f>人物卡!D30</f>
        <v>电气维修</v>
      </c>
      <c r="K17" s="248">
        <f>IF(SUM(人物卡!G30:I30)=0,0,1)</f>
        <v>0</v>
      </c>
      <c r="L17" s="248">
        <f>人物卡!J30</f>
        <v>10</v>
      </c>
      <c r="M17" s="248">
        <f t="shared" si="0"/>
        <v>0</v>
      </c>
    </row>
    <row r="18" spans="1:13">
      <c r="A18" s="427" t="str">
        <f t="array" ref="A18">IFERROR(INDEX($J$2:$J$69,SMALL(IF($K$2:$K$69=1,ROW($J$2:$J$69),99999),ROW(J2))-1,1),"")</f>
        <v>艺术</v>
      </c>
      <c r="B18" s="427">
        <f t="array" ref="B18">IFERROR(INDEX($L$2:$L$69,SMALL(IF($K$2:$K$69=1,ROW($J$2:$J$69),99999),ROW(K2))-1,1),"")</f>
        <v>40</v>
      </c>
      <c r="J18" s="446" t="str">
        <f>人物卡!D31</f>
        <v>电子学 Ω</v>
      </c>
      <c r="K18" s="248">
        <f>IF(SUM(人物卡!G31:I31)=0,0,1)</f>
        <v>0</v>
      </c>
      <c r="L18" s="248">
        <f>人物卡!J31</f>
        <v>1</v>
      </c>
      <c r="M18" s="248">
        <f t="shared" si="0"/>
        <v>0</v>
      </c>
    </row>
    <row r="19" spans="1:13">
      <c r="A19" s="427" t="str">
        <f t="array" ref="A19">IFERROR(INDEX($J$2:$J$69,SMALL(IF($K$2:$K$69=1,ROW($J$2:$J$69),99999),ROW(J3))-1,1),"")</f>
        <v>信用评级</v>
      </c>
      <c r="B19" s="427">
        <f t="array" ref="B19">IFERROR(INDEX($L$2:$L$69,SMALL(IF($K$2:$K$69=1,ROW($J$2:$J$69),99999),ROW(K3))-1,1),"")</f>
        <v>10</v>
      </c>
      <c r="J19" s="446" t="str">
        <f>人物卡!D32</f>
        <v>话术</v>
      </c>
      <c r="K19" s="248">
        <f>IF(SUM(人物卡!G32:I32)=0,0,1)</f>
        <v>0</v>
      </c>
      <c r="L19" s="248">
        <f>人物卡!J32</f>
        <v>5</v>
      </c>
      <c r="M19" s="248">
        <f t="shared" si="0"/>
        <v>0</v>
      </c>
    </row>
    <row r="20" spans="1:13">
      <c r="A20" s="427" t="str">
        <f t="array" ref="A20">IFERROR(INDEX($J$2:$J$69,SMALL(IF($K$2:$K$69=1,ROW($J$2:$J$69),99999),ROW(J4))-1,1),"")</f>
        <v>闪避</v>
      </c>
      <c r="B20" s="427">
        <f t="array" ref="B20">IFERROR(INDEX($L$2:$L$69,SMALL(IF($K$2:$K$69=1,ROW($J$2:$J$69),99999),ROW(K4))-1,1),"")</f>
        <v>60</v>
      </c>
      <c r="J20" s="446" t="str">
        <f>人物卡!E33</f>
        <v>斗殴</v>
      </c>
      <c r="K20" s="248">
        <f>IF(SUM(人物卡!G33:I33)=0,0,1)</f>
        <v>1</v>
      </c>
      <c r="L20" s="248">
        <f>人物卡!J33</f>
        <v>30</v>
      </c>
      <c r="M20" s="248">
        <f t="shared" si="0"/>
        <v>1</v>
      </c>
    </row>
    <row r="21" spans="1:13">
      <c r="A21" s="427" t="str">
        <f t="array" ref="A21">IFERROR(INDEX($J$2:$J$69,SMALL(IF($K$2:$K$69=1,ROW($J$2:$J$69),99999),ROW(J5))-1,1),"")</f>
        <v>斗殴</v>
      </c>
      <c r="B21" s="427">
        <f t="array" ref="B21">IFERROR(INDEX($L$2:$L$69,SMALL(IF($K$2:$K$69=1,ROW($J$2:$J$69),99999),ROW(K5))-1,1),"")</f>
        <v>30</v>
      </c>
      <c r="J21" s="446">
        <f>人物卡!E34</f>
        <v>0</v>
      </c>
      <c r="K21" s="248">
        <f>IF(SUM(人物卡!G34:I34)=0,0,1)</f>
        <v>0</v>
      </c>
      <c r="L21" s="248">
        <f>人物卡!J34</f>
        <v>0</v>
      </c>
      <c r="M21" s="248">
        <f t="shared" si="0"/>
        <v>0</v>
      </c>
    </row>
    <row r="22" spans="1:13">
      <c r="A22" s="427" t="str">
        <f t="array" ref="A22">IFERROR(INDEX($J$2:$J$69,SMALL(IF($K$2:$K$69=1,ROW($J$2:$J$69),99999),ROW(J6))-1,1),"")</f>
        <v>历史</v>
      </c>
      <c r="B22" s="427">
        <f t="array" ref="B22">IFERROR(INDEX($L$2:$L$69,SMALL(IF($K$2:$K$69=1,ROW($J$2:$J$69),99999),ROW(K6))-1,1),"")</f>
        <v>50</v>
      </c>
      <c r="J22" s="446">
        <f>人物卡!E35</f>
        <v>0</v>
      </c>
      <c r="K22" s="248">
        <f>IF(SUM(人物卡!G35:I35)=0,0,1)</f>
        <v>0</v>
      </c>
      <c r="L22" s="248">
        <f>人物卡!J35</f>
        <v>0</v>
      </c>
      <c r="M22" s="248">
        <f t="shared" si="0"/>
        <v>0</v>
      </c>
    </row>
    <row r="23" spans="1:13">
      <c r="A23" s="427" t="str">
        <f t="array" ref="A23">IFERROR(INDEX($J$2:$J$69,SMALL(IF($K$2:$K$69=1,ROW($J$2:$J$69),99999),ROW(J7))-1,1),"")</f>
        <v>英语</v>
      </c>
      <c r="B23" s="427">
        <f t="array" ref="B23">IFERROR(INDEX($L$2:$L$69,SMALL(IF($K$2:$K$69=1,ROW($J$2:$J$69),99999),ROW(K7))-1,1),"")</f>
        <v>50</v>
      </c>
      <c r="J23" s="446" t="str">
        <f>人物卡!E36</f>
        <v>手枪</v>
      </c>
      <c r="K23" s="248">
        <f>IF(SUM(人物卡!G36:I36)=0,0,1)</f>
        <v>0</v>
      </c>
      <c r="L23" s="248">
        <f>人物卡!J36</f>
        <v>20</v>
      </c>
      <c r="M23" s="248">
        <f t="shared" si="0"/>
        <v>0</v>
      </c>
    </row>
    <row r="24" spans="1:13">
      <c r="A24" s="427" t="str">
        <f t="array" ref="A24">IFERROR(INDEX($J$2:$J$69,SMALL(IF($K$2:$K$69=1,ROW($J$2:$J$69),99999),ROW(J8))-1,1),"")</f>
        <v>图书馆使用</v>
      </c>
      <c r="B24" s="427">
        <f t="array" ref="B24">IFERROR(INDEX($L$2:$L$69,SMALL(IF($K$2:$K$69=1,ROW($J$2:$J$69),99999),ROW(K8))-1,1),"")</f>
        <v>65</v>
      </c>
      <c r="J24" s="446" t="str">
        <f>人物卡!E37</f>
        <v>弓术</v>
      </c>
      <c r="K24" s="248">
        <f>IF(SUM(人物卡!G37:I37)=0,0,1)</f>
        <v>0</v>
      </c>
      <c r="L24" s="248">
        <f>人物卡!J37</f>
        <v>15</v>
      </c>
      <c r="M24" s="248">
        <f t="shared" si="0"/>
        <v>0</v>
      </c>
    </row>
    <row r="25" spans="1:13">
      <c r="A25" s="427" t="str">
        <f t="array" ref="A25">IFERROR(INDEX($J$2:$J$69,SMALL(IF($K$2:$K$69=1,ROW($J$2:$J$69),99999),ROW(J9))-1,1),"")</f>
        <v>聆听</v>
      </c>
      <c r="B25" s="427">
        <f t="array" ref="B25">IFERROR(INDEX($L$2:$L$69,SMALL(IF($K$2:$K$69=1,ROW($J$2:$J$69),99999),ROW(K9))-1,1),"")</f>
        <v>70</v>
      </c>
      <c r="J25" s="446">
        <f>人物卡!E38</f>
        <v>0</v>
      </c>
      <c r="K25" s="248">
        <f>IF(SUM(人物卡!G38:I38)=0,0,1)</f>
        <v>0</v>
      </c>
      <c r="L25" s="248">
        <f>人物卡!J38</f>
        <v>0</v>
      </c>
      <c r="M25" s="248">
        <f t="shared" si="0"/>
        <v>0</v>
      </c>
    </row>
    <row r="26" spans="1:13">
      <c r="A26" s="427" t="str">
        <f t="array" ref="A26">IFERROR(INDEX($J$2:$J$69,SMALL(IF($K$2:$K$69=1,ROW($J$2:$J$69),99999),ROW(J10))-1,1),"")</f>
        <v>机械维修</v>
      </c>
      <c r="B26" s="427">
        <f t="array" ref="B26">IFERROR(INDEX($L$2:$L$69,SMALL(IF($K$2:$K$69=1,ROW($J$2:$J$69),99999),ROW(K10))-1,1),"")</f>
        <v>50</v>
      </c>
      <c r="J26" s="446" t="str">
        <f>人物卡!D39</f>
        <v>急救</v>
      </c>
      <c r="K26" s="248">
        <f>IF(SUM(人物卡!G39:I39)=0,0,1)</f>
        <v>0</v>
      </c>
      <c r="L26" s="248">
        <f>人物卡!J39</f>
        <v>30</v>
      </c>
      <c r="M26" s="248">
        <f t="shared" si="0"/>
        <v>0</v>
      </c>
    </row>
    <row r="27" spans="1:13">
      <c r="A27" s="427" t="str">
        <f t="array" ref="A27">IFERROR(INDEX($J$2:$J$69,SMALL(IF($K$2:$K$69=1,ROW($J$2:$J$69),99999),ROW(J11))-1,1),"")</f>
        <v>心理学</v>
      </c>
      <c r="B27" s="427">
        <f t="array" ref="B27">IFERROR(INDEX($L$2:$L$69,SMALL(IF($K$2:$K$69=1,ROW($J$2:$J$69),99999),ROW(K11))-1,1),"")</f>
        <v>52</v>
      </c>
      <c r="J27" s="446" t="str">
        <f>人物卡!D40</f>
        <v>历史</v>
      </c>
      <c r="K27" s="248">
        <f>IF(SUM(人物卡!G40:I40)=0,0,1)</f>
        <v>1</v>
      </c>
      <c r="L27" s="248">
        <f>人物卡!J40</f>
        <v>50</v>
      </c>
      <c r="M27" s="248">
        <f t="shared" si="0"/>
        <v>1</v>
      </c>
    </row>
    <row r="28" spans="1:13">
      <c r="A28" s="427" t="str">
        <f t="array" ref="A28">IFERROR(INDEX($J$2:$J$69,SMALL(IF($K$2:$K$69=1,ROW($J$2:$J$69),99999),ROW(J12))-1,1),"")</f>
        <v/>
      </c>
      <c r="B28" s="427" t="str">
        <f t="array" ref="B28">IFERROR(INDEX($L$2:$L$69,SMALL(IF($K$2:$K$69=1,ROW($J$2:$J$69),99999),ROW(K12))-1,1),"")</f>
        <v/>
      </c>
      <c r="J28" s="446" t="str">
        <f>人物卡!D41</f>
        <v>恐吓</v>
      </c>
      <c r="K28" s="248">
        <f>IF(SUM(人物卡!G41:I41)=0,0,1)</f>
        <v>0</v>
      </c>
      <c r="L28" s="248">
        <f>人物卡!J41</f>
        <v>15</v>
      </c>
      <c r="M28" s="248">
        <f t="shared" si="0"/>
        <v>0</v>
      </c>
    </row>
    <row r="29" spans="1:13">
      <c r="A29" s="427" t="str">
        <f t="array" ref="A29">IFERROR(INDEX($J$2:$J$69,SMALL(IF($K$2:$K$69=1,ROW($J$2:$J$69),99999),ROW(J13))-1,1),"")</f>
        <v/>
      </c>
      <c r="B29" s="427" t="str">
        <f t="array" ref="B29">IFERROR(INDEX($L$2:$L$69,SMALL(IF($K$2:$K$69=1,ROW($J$2:$J$69),99999),ROW(K13))-1,1),"")</f>
        <v/>
      </c>
      <c r="J29" s="446" t="str">
        <f>人物卡!D42</f>
        <v>跳跃</v>
      </c>
      <c r="K29" s="248">
        <f>IF(SUM(人物卡!G42:I42)=0,0,1)</f>
        <v>0</v>
      </c>
      <c r="L29" s="248">
        <f>人物卡!J42</f>
        <v>20</v>
      </c>
      <c r="M29" s="248">
        <f t="shared" si="0"/>
        <v>0</v>
      </c>
    </row>
    <row r="30" spans="1:13">
      <c r="A30" s="427" t="str">
        <f t="array" ref="A30">IFERROR(INDEX($J$2:$J$69,SMALL(IF($K$2:$K$69=1,ROW($J$2:$J$69),99999),ROW(J14))-1,1),"")</f>
        <v/>
      </c>
      <c r="B30" s="427" t="str">
        <f t="array" ref="B30">IFERROR(INDEX($L$2:$L$69,SMALL(IF($K$2:$K$69=1,ROW($J$2:$J$69),99999),ROW(K14))-1,1),"")</f>
        <v/>
      </c>
      <c r="J30" s="446" t="str">
        <f>人物卡!E43</f>
        <v>英语</v>
      </c>
      <c r="K30" s="248">
        <f>IF(SUM(人物卡!G43:I43)=0,0,1)</f>
        <v>1</v>
      </c>
      <c r="L30" s="248">
        <f>人物卡!J43</f>
        <v>50</v>
      </c>
      <c r="M30" s="248">
        <f t="shared" si="0"/>
        <v>1</v>
      </c>
    </row>
    <row r="31" spans="1:13">
      <c r="A31" s="427" t="str">
        <f t="array" ref="A31">IFERROR(INDEX($J$2:$J$69,SMALL(IF($K$2:$K$69=1,ROW($J$2:$J$69),99999),ROW(J15))-1,1),"")</f>
        <v/>
      </c>
      <c r="B31" s="427" t="str">
        <f t="array" ref="B31">IFERROR(INDEX($L$2:$L$69,SMALL(IF($K$2:$K$69=1,ROW($J$2:$J$69),99999),ROW(K15))-1,1),"")</f>
        <v/>
      </c>
      <c r="J31" s="446">
        <f>人物卡!E44</f>
        <v>0</v>
      </c>
      <c r="K31" s="248">
        <f>IF(SUM(人物卡!G44:I44)=0,0,1)</f>
        <v>0</v>
      </c>
      <c r="L31" s="248">
        <f>人物卡!J44</f>
        <v>1</v>
      </c>
      <c r="M31" s="248">
        <f t="shared" si="0"/>
        <v>0</v>
      </c>
    </row>
    <row r="32" spans="1:13">
      <c r="A32" s="427" t="str">
        <f t="array" ref="A32">IFERROR(INDEX($J$2:$J$69,SMALL(IF($K$2:$K$69=1,ROW($J$2:$J$69),99999),ROW(J16))-1,1),"")</f>
        <v/>
      </c>
      <c r="B32" s="427" t="str">
        <f t="array" ref="B32">IFERROR(INDEX($L$2:$L$69,SMALL(IF($K$2:$K$69=1,ROW($J$2:$J$69),99999),ROW(K16))-1,1),"")</f>
        <v/>
      </c>
      <c r="J32" s="446">
        <f>人物卡!E45</f>
        <v>0</v>
      </c>
      <c r="K32" s="248">
        <f>IF(SUM(人物卡!G45:I45)=0,0,1)</f>
        <v>0</v>
      </c>
      <c r="L32" s="248">
        <f>人物卡!J45</f>
        <v>1</v>
      </c>
      <c r="M32" s="248">
        <f t="shared" si="0"/>
        <v>0</v>
      </c>
    </row>
    <row r="33" spans="1:13">
      <c r="A33" s="427" t="str">
        <f t="array" ref="A33">IFERROR(INDEX($J$2:$J$69,SMALL(IF($K$2:$K$69=1,ROW($J$2:$J$69),99999),ROW(J17))-1,1),"")</f>
        <v/>
      </c>
      <c r="B33" s="427" t="str">
        <f t="array" ref="B33">IFERROR(INDEX($L$2:$L$69,SMALL(IF($K$2:$K$69=1,ROW($J$2:$J$69),99999),ROW(K17))-1,1),"")</f>
        <v/>
      </c>
      <c r="J33" s="446" t="str">
        <f>人物卡!D46</f>
        <v>母语</v>
      </c>
      <c r="K33" s="248">
        <f>IF(SUM(人物卡!G46:I46)=0,0,1)</f>
        <v>0</v>
      </c>
      <c r="L33" s="248">
        <f>人物卡!J46</f>
        <v>80</v>
      </c>
      <c r="M33" s="248">
        <f t="shared" si="0"/>
        <v>0</v>
      </c>
    </row>
    <row r="34" spans="1:13">
      <c r="A34" s="427" t="str">
        <f t="array" ref="A34">IFERROR(INDEX($J$2:$J$69,SMALL(IF($K$2:$K$69=1,ROW($J$2:$J$69),99999),ROW(J18))-1,1),"")</f>
        <v/>
      </c>
      <c r="B34" s="427" t="str">
        <f t="array" ref="B34">IFERROR(INDEX($L$2:$L$69,SMALL(IF($K$2:$K$69=1,ROW($J$2:$J$69),99999),ROW(K18))-1,1),"")</f>
        <v/>
      </c>
      <c r="J34" s="446" t="str">
        <f>人物卡!D47</f>
        <v>投掷</v>
      </c>
      <c r="K34" s="248">
        <f>IF(SUM(人物卡!G47:I47)=0,0,1)</f>
        <v>0</v>
      </c>
      <c r="L34" s="248">
        <f>人物卡!J47</f>
        <v>20</v>
      </c>
      <c r="M34" s="248">
        <f t="shared" si="0"/>
        <v>0</v>
      </c>
    </row>
    <row r="35" spans="1:13">
      <c r="A35" s="427" t="str">
        <f t="array" ref="A35">IFERROR(INDEX($J$2:$J$69,SMALL(IF($K$2:$K$69=1,ROW($J$2:$J$69),99999),ROW(J19))-1,1),"")</f>
        <v/>
      </c>
      <c r="B35" s="427" t="str">
        <f t="array" ref="B35">IFERROR(INDEX($L$2:$L$69,SMALL(IF($K$2:$K$69=1,ROW($J$2:$J$69),99999),ROW(K19))-1,1),"")</f>
        <v/>
      </c>
      <c r="J35" s="446" t="str">
        <f>人物卡!D48</f>
        <v>追踪</v>
      </c>
      <c r="K35" s="248">
        <f>IF(SUM(人物卡!G48:I48)=0,0,1)</f>
        <v>0</v>
      </c>
      <c r="L35" s="248">
        <f>人物卡!J48</f>
        <v>10</v>
      </c>
      <c r="M35" s="248">
        <f t="shared" si="0"/>
        <v>0</v>
      </c>
    </row>
    <row r="36" spans="1:13">
      <c r="A36" s="427" t="str">
        <f t="array" ref="A36">IFERROR(INDEX($J$2:$J$69,SMALL(IF($K$2:$K$69=1,ROW($J$2:$J$69),99999),ROW(J20))-1,1),"")</f>
        <v/>
      </c>
      <c r="B36" s="427" t="str">
        <f t="array" ref="B36">IFERROR(INDEX($L$2:$L$69,SMALL(IF($K$2:$K$69=1,ROW($J$2:$J$69),99999),ROW(K20))-1,1),"")</f>
        <v/>
      </c>
      <c r="J36" s="446" t="str">
        <f>人物卡!O15</f>
        <v>法律</v>
      </c>
      <c r="K36" s="248">
        <f>IF(SUM(人物卡!R15:T15)=0,0,1)</f>
        <v>0</v>
      </c>
      <c r="L36" s="248">
        <f>人物卡!U15</f>
        <v>5</v>
      </c>
      <c r="M36" s="248">
        <f t="shared" si="0"/>
        <v>0</v>
      </c>
    </row>
    <row r="37" spans="1:13">
      <c r="A37" s="448" t="s">
        <v>1449</v>
      </c>
      <c r="B37" s="448"/>
      <c r="J37" s="446" t="str">
        <f>人物卡!O16</f>
        <v>图书馆使用</v>
      </c>
      <c r="K37" s="248">
        <f>IF(SUM(人物卡!R16:T16)=0,0,1)</f>
        <v>1</v>
      </c>
      <c r="L37" s="248">
        <f>人物卡!U16</f>
        <v>65</v>
      </c>
      <c r="M37" s="248">
        <f t="shared" si="0"/>
        <v>1</v>
      </c>
    </row>
    <row r="38" spans="1:13">
      <c r="A38" t="str">
        <f>IF(人物卡!B71=0,"",人物卡!B71)</f>
        <v>速写本</v>
      </c>
      <c r="J38" s="446" t="str">
        <f>人物卡!O17</f>
        <v>聆听</v>
      </c>
      <c r="K38" s="248">
        <f>IF(SUM(人物卡!R17:T17)=0,0,1)</f>
        <v>1</v>
      </c>
      <c r="L38" s="248">
        <f>人物卡!U17</f>
        <v>70</v>
      </c>
      <c r="M38" s="248">
        <f t="shared" si="0"/>
        <v>1</v>
      </c>
    </row>
    <row r="39" spans="1:13">
      <c r="A39" t="str">
        <f>IF(人物卡!B72=0,"",人物卡!B72)</f>
        <v>钢笔和墨水</v>
      </c>
      <c r="J39" s="446" t="str">
        <f>人物卡!O18</f>
        <v>锁匠</v>
      </c>
      <c r="K39" s="248">
        <f>IF(SUM(人物卡!R18:T18)=0,0,1)</f>
        <v>0</v>
      </c>
      <c r="L39" s="248">
        <f>人物卡!U18</f>
        <v>1</v>
      </c>
      <c r="M39" s="248">
        <f t="shared" si="0"/>
        <v>0</v>
      </c>
    </row>
    <row r="40" spans="1:13">
      <c r="A40" t="str">
        <f>IF(人物卡!B73=0,"",人物卡!B73)</f>
        <v>小型瑞士军刀</v>
      </c>
      <c r="J40" s="446" t="str">
        <f>人物卡!O19</f>
        <v>机械维修</v>
      </c>
      <c r="K40" s="248">
        <f>IF(SUM(人物卡!R19:T19)=0,0,1)</f>
        <v>1</v>
      </c>
      <c r="L40" s="248">
        <f>人物卡!U19</f>
        <v>50</v>
      </c>
      <c r="M40" s="248">
        <f t="shared" si="0"/>
        <v>1</v>
      </c>
    </row>
    <row r="41" spans="1:13">
      <c r="A41" t="str">
        <f>IF(人物卡!B74=0,"",人物卡!B74)</f>
        <v>手电筒和绳子</v>
      </c>
      <c r="J41" s="446" t="str">
        <f>人物卡!O20</f>
        <v>医学</v>
      </c>
      <c r="K41" s="248">
        <f>IF(SUM(人物卡!R20:T20)=0,0,1)</f>
        <v>0</v>
      </c>
      <c r="L41" s="248">
        <f>人物卡!U20</f>
        <v>1</v>
      </c>
      <c r="M41" s="248">
        <f t="shared" si="0"/>
        <v>0</v>
      </c>
    </row>
    <row r="42" spans="1:13">
      <c r="A42" t="str">
        <f>IF(人物卡!B75=0,"",人物卡!B75)</f>
        <v>照相机</v>
      </c>
      <c r="J42" s="446" t="str">
        <f>人物卡!O21</f>
        <v>自然学</v>
      </c>
      <c r="K42" s="248">
        <f>IF(SUM(人物卡!R21:T21)=0,0,1)</f>
        <v>0</v>
      </c>
      <c r="L42" s="248">
        <f>人物卡!U21</f>
        <v>10</v>
      </c>
      <c r="M42" s="248">
        <f t="shared" si="0"/>
        <v>0</v>
      </c>
    </row>
    <row r="43" spans="1:13">
      <c r="A43" t="str">
        <f>IF(人物卡!B76=0,"",人物卡!B76)</f>
        <v>智能手机</v>
      </c>
      <c r="J43" s="446" t="str">
        <f>人物卡!O22</f>
        <v>导航</v>
      </c>
      <c r="K43" s="248">
        <f>IF(SUM(人物卡!R22:T22)=0,0,1)</f>
        <v>0</v>
      </c>
      <c r="L43" s="248">
        <f>人物卡!U22</f>
        <v>10</v>
      </c>
      <c r="M43" s="248">
        <f t="shared" si="0"/>
        <v>0</v>
      </c>
    </row>
    <row r="44" spans="1:13">
      <c r="A44" t="str">
        <f>IF(人物卡!B77=0,"",人物卡!B77)</f>
        <v>化妆包（内含化妆镜</v>
      </c>
      <c r="J44" s="446" t="str">
        <f>人物卡!O23</f>
        <v>神秘学</v>
      </c>
      <c r="K44" s="248">
        <f>IF(SUM(人物卡!R23:T23)=0,0,1)</f>
        <v>0</v>
      </c>
      <c r="L44" s="248">
        <f>人物卡!U23</f>
        <v>5</v>
      </c>
      <c r="M44" s="248">
        <f t="shared" si="0"/>
        <v>0</v>
      </c>
    </row>
    <row r="45" spans="1:13">
      <c r="A45" t="str">
        <f>IF(人物卡!B78=0,"",人物卡!B78)</f>
        <v/>
      </c>
      <c r="J45" s="446" t="str">
        <f>人物卡!O24</f>
        <v>操作重型机械</v>
      </c>
      <c r="K45" s="248">
        <f>IF(SUM(人物卡!R24:T24)=0,0,1)</f>
        <v>0</v>
      </c>
      <c r="L45" s="248">
        <f>人物卡!U24</f>
        <v>1</v>
      </c>
      <c r="M45" s="248">
        <f t="shared" si="0"/>
        <v>0</v>
      </c>
    </row>
    <row r="46" spans="1:13">
      <c r="A46" t="str">
        <f>IF(人物卡!B79=0,"",人物卡!B79)</f>
        <v/>
      </c>
      <c r="J46" s="446" t="str">
        <f>人物卡!O25</f>
        <v>说服</v>
      </c>
      <c r="K46" s="248">
        <f>IF(SUM(人物卡!R25:T25)=0,0,1)</f>
        <v>0</v>
      </c>
      <c r="L46" s="248">
        <f>人物卡!U25</f>
        <v>10</v>
      </c>
      <c r="M46" s="248">
        <f t="shared" si="0"/>
        <v>0</v>
      </c>
    </row>
    <row r="47" spans="1:13">
      <c r="A47" t="str">
        <f>IF(人物卡!B80=0,"",人物卡!B80)</f>
        <v/>
      </c>
      <c r="J47" s="446" t="str">
        <f>人物卡!O26&amp;人物卡!P26</f>
        <v>驾驶：</v>
      </c>
      <c r="K47" s="248">
        <f>IF(SUM(人物卡!R26:T26)=0,0,1)</f>
        <v>0</v>
      </c>
      <c r="L47" s="248">
        <f>人物卡!U26</f>
        <v>1</v>
      </c>
      <c r="M47" s="248">
        <f t="shared" si="0"/>
        <v>0</v>
      </c>
    </row>
    <row r="48" spans="1:13">
      <c r="A48" s="448" t="s">
        <v>1450</v>
      </c>
      <c r="B48" s="448" t="s">
        <v>187</v>
      </c>
      <c r="C48" s="448" t="s">
        <v>1451</v>
      </c>
      <c r="D48" s="448" t="s">
        <v>1452</v>
      </c>
      <c r="J48" s="446" t="str">
        <f>人物卡!O27</f>
        <v>精神分析</v>
      </c>
      <c r="K48" s="248">
        <f>IF(SUM(人物卡!R27:T27)=0,0,1)</f>
        <v>0</v>
      </c>
      <c r="L48" s="248">
        <f>人物卡!U27</f>
        <v>1</v>
      </c>
      <c r="M48" s="248">
        <f t="shared" si="0"/>
        <v>0</v>
      </c>
    </row>
    <row r="49" spans="1:13">
      <c r="A49" t="str">
        <f>IF(人物卡!B52=0,"",人物卡!B52)</f>
        <v>无</v>
      </c>
      <c r="B49" t="str">
        <f>人物卡!I52</f>
        <v>1D3+DB</v>
      </c>
      <c r="C49" t="str">
        <f>IF(人物卡!M52=武器列表!F7,"穿","钝")</f>
        <v>钝</v>
      </c>
      <c r="D49" t="str">
        <f>IF(人物卡!R52&lt;&gt;武器列表!I30,人物卡!R52,"无")</f>
        <v>无</v>
      </c>
      <c r="J49" s="446" t="str">
        <f>人物卡!O28</f>
        <v>心理学</v>
      </c>
      <c r="K49" s="248">
        <f>IF(SUM(人物卡!R28:T28)=0,0,1)</f>
        <v>1</v>
      </c>
      <c r="L49" s="248">
        <f>人物卡!U28</f>
        <v>52</v>
      </c>
      <c r="M49" s="248">
        <f t="shared" si="0"/>
        <v>1</v>
      </c>
    </row>
    <row r="50" spans="1:13">
      <c r="A50" t="str">
        <f>IF(人物卡!B53=0,"",人物卡!B53)</f>
        <v/>
      </c>
      <c r="B50" t="str">
        <f>人物卡!I53</f>
        <v>1D4+DB</v>
      </c>
      <c r="C50" t="str">
        <f>IF(人物卡!M53=武器列表!F8,"穿",IF(人物卡!M53="",人物卡!M53,"钝"))</f>
        <v>钝</v>
      </c>
      <c r="D50" t="str">
        <f>IF(人物卡!R53&lt;&gt;武器列表!I31,人物卡!R53,"无")</f>
        <v>——</v>
      </c>
      <c r="J50" s="446" t="str">
        <f>人物卡!O29</f>
        <v>骑乘</v>
      </c>
      <c r="K50" s="248">
        <f>IF(SUM(人物卡!R29:T29)=0,0,1)</f>
        <v>0</v>
      </c>
      <c r="L50" s="248">
        <f>人物卡!U29</f>
        <v>5</v>
      </c>
      <c r="M50" s="248">
        <f t="shared" si="0"/>
        <v>0</v>
      </c>
    </row>
    <row r="51" spans="1:13">
      <c r="A51" t="str">
        <f>IF(人物卡!B54=0,"",人物卡!B54)</f>
        <v/>
      </c>
      <c r="B51" t="str">
        <f>人物卡!I54</f>
        <v/>
      </c>
      <c r="C51" t="str">
        <f>IF(人物卡!M54=武器列表!F9,"穿",IF(人物卡!M54="",人物卡!M54,"钝"))</f>
        <v/>
      </c>
      <c r="D51" t="str">
        <f>IF(人物卡!R54&lt;&gt;武器列表!I32,人物卡!R54,"无")</f>
        <v/>
      </c>
      <c r="J51" s="444" t="str">
        <f>人物卡!P30</f>
        <v>生物学</v>
      </c>
      <c r="K51" s="248">
        <f>IF(SUM(人物卡!R30:T30)=0,0,1)</f>
        <v>0</v>
      </c>
      <c r="L51" s="248">
        <f>人物卡!U30</f>
        <v>1</v>
      </c>
      <c r="M51" s="248">
        <f t="shared" si="0"/>
        <v>0</v>
      </c>
    </row>
    <row r="52" spans="1:13">
      <c r="A52" t="str">
        <f>IF(人物卡!B55=0,"",人物卡!B55)</f>
        <v/>
      </c>
      <c r="B52" t="str">
        <f>人物卡!I55</f>
        <v/>
      </c>
      <c r="C52" t="str">
        <f>IF(人物卡!M55=武器列表!F10,"穿",IF(人物卡!M55="",人物卡!M55,"钝"))</f>
        <v/>
      </c>
      <c r="D52" t="str">
        <f>IF(人物卡!R55&lt;&gt;武器列表!I33,人物卡!R55,"无")</f>
        <v/>
      </c>
      <c r="J52" s="444">
        <f>人物卡!P31</f>
        <v>0</v>
      </c>
      <c r="K52" s="248">
        <f>IF(SUM(人物卡!R31:T31)=0,0,1)</f>
        <v>0</v>
      </c>
      <c r="L52" s="248">
        <f>人物卡!U31</f>
        <v>1</v>
      </c>
      <c r="M52" s="248">
        <f t="shared" si="0"/>
        <v>0</v>
      </c>
    </row>
    <row r="53" spans="1:13">
      <c r="A53" t="str">
        <f>IF(人物卡!B56=0,"",人物卡!B56)</f>
        <v/>
      </c>
      <c r="B53" t="str">
        <f>IF(人物卡!I56=0,"",人物卡!I56)</f>
        <v/>
      </c>
      <c r="C53" t="str">
        <f>IF(人物卡!J56=0,"",人物卡!J56)</f>
        <v/>
      </c>
      <c r="D53" t="str">
        <f>IF(人物卡!K56=0,"",人物卡!K56)</f>
        <v/>
      </c>
      <c r="J53" s="444">
        <f>人物卡!P32</f>
        <v>0</v>
      </c>
      <c r="K53" s="248">
        <f>IF(SUM(人物卡!R32:T32)=0,0,1)</f>
        <v>0</v>
      </c>
      <c r="L53" s="248">
        <f>人物卡!U32</f>
        <v>1</v>
      </c>
      <c r="M53" s="248">
        <f t="shared" si="0"/>
        <v>0</v>
      </c>
    </row>
    <row r="54" spans="1:13">
      <c r="A54" t="str">
        <f>IF(人物卡!B57=0,"",人物卡!B57)</f>
        <v/>
      </c>
      <c r="B54" t="str">
        <f>IF(人物卡!I57=0,"",人物卡!I57)</f>
        <v/>
      </c>
      <c r="C54" t="str">
        <f>IF(人物卡!J57=0,"",人物卡!J57)</f>
        <v/>
      </c>
      <c r="D54" t="str">
        <f>IF(人物卡!K57=0,"",人物卡!K57)</f>
        <v/>
      </c>
      <c r="J54" s="446" t="str">
        <f>人物卡!O33</f>
        <v>妙手</v>
      </c>
      <c r="K54" s="248">
        <f>IF(SUM(人物卡!R33:T33)=0,0,1)</f>
        <v>0</v>
      </c>
      <c r="L54" s="248">
        <f>人物卡!U33</f>
        <v>10</v>
      </c>
      <c r="M54" s="248">
        <f t="shared" si="0"/>
        <v>0</v>
      </c>
    </row>
    <row r="55" spans="1:13">
      <c r="A55" s="448" t="s">
        <v>1063</v>
      </c>
      <c r="B55" s="448"/>
      <c r="J55" s="446" t="str">
        <f>人物卡!O34</f>
        <v>侦查</v>
      </c>
      <c r="K55" s="248">
        <f>IF(SUM(人物卡!R34:T34)=0,0,1)</f>
        <v>0</v>
      </c>
      <c r="L55" s="248">
        <f>人物卡!U34</f>
        <v>25</v>
      </c>
      <c r="M55" s="248">
        <f t="shared" si="0"/>
        <v>0</v>
      </c>
    </row>
    <row r="56" spans="1:13">
      <c r="A56" t="str">
        <f>人物卡!H61</f>
        <v>艺术学院大三的美术生。身形高挑，蓝色挑染短发，左耳带着耳钉，有个隔壁舞蹈系大二在读的女朋友。这次为了参加这个直播活动，专门化了连同行都觉得很夸张的烟熏妆。目前为了硕士阶段前往意大利进行深造攒钱中，在网上看到这个活动后觉得是个揽钱机会，还可以顺便采集一些创作素材。打包了一些简易行李，给女朋友打过招呼后出发了。</v>
      </c>
      <c r="J56" s="446" t="str">
        <f>人物卡!O35</f>
        <v>潜行</v>
      </c>
      <c r="K56" s="248">
        <f>IF(SUM(人物卡!R35:T35)=0,0,1)</f>
        <v>0</v>
      </c>
      <c r="L56" s="248">
        <f>人物卡!U35</f>
        <v>20</v>
      </c>
      <c r="M56" s="248">
        <f t="shared" si="0"/>
        <v>0</v>
      </c>
    </row>
    <row r="57" spans="1:13">
      <c r="J57" s="444" t="str">
        <f>人物卡!O36&amp;人物卡!P36</f>
        <v>生存：</v>
      </c>
      <c r="K57" s="248">
        <f>IF(SUM(人物卡!R36:T36)=0,0,1)</f>
        <v>0</v>
      </c>
      <c r="L57" s="248">
        <f>人物卡!U36</f>
        <v>10</v>
      </c>
      <c r="M57" s="248">
        <f t="shared" si="0"/>
        <v>0</v>
      </c>
    </row>
    <row r="58" spans="1:13">
      <c r="J58" s="446" t="str">
        <f>人物卡!O37</f>
        <v>游泳</v>
      </c>
      <c r="K58" s="248">
        <f>IF(SUM(人物卡!R37:T37)=0,0,1)</f>
        <v>0</v>
      </c>
      <c r="L58" s="248">
        <f>人物卡!U37</f>
        <v>20</v>
      </c>
      <c r="M58" s="248">
        <f t="shared" si="0"/>
        <v>0</v>
      </c>
    </row>
    <row r="59" spans="1:13">
      <c r="J59" s="446" t="str">
        <f>人物卡!O38</f>
        <v>驯兽</v>
      </c>
      <c r="K59" s="248">
        <f>IF(SUM(人物卡!R38:T38)=0,0,1)</f>
        <v>0</v>
      </c>
      <c r="L59" s="248">
        <f>人物卡!U38</f>
        <v>5</v>
      </c>
      <c r="M59" s="248">
        <f t="shared" si="0"/>
        <v>0</v>
      </c>
    </row>
    <row r="60" spans="1:13">
      <c r="J60" s="446" t="str">
        <f>人物卡!O39</f>
        <v>潜水</v>
      </c>
      <c r="K60" s="248">
        <f>IF(SUM(人物卡!R39:T39)=0,0,1)</f>
        <v>0</v>
      </c>
      <c r="L60" s="248">
        <f>人物卡!U39</f>
        <v>1</v>
      </c>
      <c r="M60" s="248">
        <f t="shared" si="0"/>
        <v>0</v>
      </c>
    </row>
    <row r="61" spans="1:13">
      <c r="J61" s="446" t="str">
        <f>人物卡!O40</f>
        <v>爆破</v>
      </c>
      <c r="K61" s="248">
        <f>IF(SUM(人物卡!R40:T40)=0,0,1)</f>
        <v>0</v>
      </c>
      <c r="L61" s="248">
        <f>人物卡!U40</f>
        <v>1</v>
      </c>
      <c r="M61" s="248">
        <f t="shared" si="0"/>
        <v>0</v>
      </c>
    </row>
    <row r="62" spans="1:13">
      <c r="J62" s="446" t="str">
        <f>人物卡!O41</f>
        <v>读唇</v>
      </c>
      <c r="K62" s="248">
        <f>IF(SUM(人物卡!R41:T41)=0,0,1)</f>
        <v>0</v>
      </c>
      <c r="L62" s="248">
        <f>人物卡!U41</f>
        <v>1</v>
      </c>
      <c r="M62" s="248">
        <f t="shared" si="0"/>
        <v>0</v>
      </c>
    </row>
    <row r="63" spans="1:13">
      <c r="J63" s="446" t="str">
        <f>人物卡!O42</f>
        <v>催眠</v>
      </c>
      <c r="K63" s="248">
        <f>IF(SUM(人物卡!R42:T42)=0,0,1)</f>
        <v>0</v>
      </c>
      <c r="L63" s="248">
        <f>人物卡!U42</f>
        <v>1</v>
      </c>
      <c r="M63" s="248">
        <f t="shared" si="0"/>
        <v>0</v>
      </c>
    </row>
    <row r="64" spans="1:13">
      <c r="J64" s="446" t="str">
        <f>人物卡!O43</f>
        <v>炮术</v>
      </c>
      <c r="K64" s="248">
        <f>IF(SUM(人物卡!R43:T43)=0,0,1)</f>
        <v>0</v>
      </c>
      <c r="L64" s="248">
        <f>人物卡!U43</f>
        <v>1</v>
      </c>
      <c r="M64" s="248">
        <f t="shared" si="0"/>
        <v>0</v>
      </c>
    </row>
    <row r="65" spans="10:13">
      <c r="J65" s="446" t="str">
        <f>人物卡!O44</f>
        <v>学问：</v>
      </c>
      <c r="K65" s="248">
        <f>IF(SUM(人物卡!R44:T44)=0,0,1)</f>
        <v>0</v>
      </c>
      <c r="L65" s="248">
        <f>人物卡!U44</f>
        <v>1</v>
      </c>
      <c r="M65" s="248">
        <f t="shared" si="0"/>
        <v>0</v>
      </c>
    </row>
    <row r="66" spans="10:13">
      <c r="J66" s="446" t="str">
        <f>人物卡!O45</f>
        <v>可自设</v>
      </c>
      <c r="K66" s="248">
        <f>IF(SUM(人物卡!R45:T45)=0,0,1)</f>
        <v>0</v>
      </c>
      <c r="L66" s="248" t="str">
        <f>人物卡!U45</f>
        <v/>
      </c>
      <c r="M66" s="248">
        <f t="shared" si="0"/>
        <v>0</v>
      </c>
    </row>
    <row r="67" spans="10:13">
      <c r="J67" s="446" t="str">
        <f>人物卡!O46</f>
        <v/>
      </c>
      <c r="K67" s="248">
        <f>IF(SUM(人物卡!R46:T46)=0,0,1)</f>
        <v>0</v>
      </c>
      <c r="L67" s="248" t="str">
        <f>人物卡!U46</f>
        <v/>
      </c>
      <c r="M67" s="248">
        <f>K67</f>
        <v>0</v>
      </c>
    </row>
    <row r="68" spans="10:13">
      <c r="J68" s="446" t="str">
        <f>人物卡!O47</f>
        <v/>
      </c>
      <c r="K68" s="248">
        <f>IF(SUM(人物卡!R47:T47)=0,0,1)</f>
        <v>0</v>
      </c>
      <c r="L68" s="248" t="str">
        <f>人物卡!U47</f>
        <v/>
      </c>
      <c r="M68" s="248">
        <f>K68</f>
        <v>0</v>
      </c>
    </row>
    <row r="69" spans="10:13">
      <c r="J69" s="446" t="str">
        <f>人物卡!O48</f>
        <v/>
      </c>
      <c r="K69" s="248">
        <f>IF(SUM(人物卡!R48:T48)=0,0,1)</f>
        <v>0</v>
      </c>
      <c r="L69" s="248" t="str">
        <f>人物卡!U48</f>
        <v/>
      </c>
      <c r="M69" s="248">
        <f>K69</f>
        <v>0</v>
      </c>
    </row>
  </sheetData>
  <phoneticPr fontId="71" type="noConversion"/>
  <pageMargins left="0.7" right="0.7" top="0.75" bottom="0.75" header="0.3" footer="0.3"/>
  <pageSetup paperSize="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4" baseType="variant">
      <vt:variant>
        <vt:lpstr>工作表</vt:lpstr>
      </vt:variant>
      <vt:variant>
        <vt:i4>12</vt:i4>
      </vt:variant>
      <vt:variant>
        <vt:lpstr>命名范围</vt:lpstr>
      </vt:variant>
      <vt:variant>
        <vt:i4>26</vt:i4>
      </vt:variant>
    </vt:vector>
  </HeadingPairs>
  <TitlesOfParts>
    <vt:vector size="38" baseType="lpstr">
      <vt:lpstr>人物卡</vt:lpstr>
      <vt:lpstr>分支技能</vt:lpstr>
      <vt:lpstr>职业及经历包</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CR</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COC7版半自动人物卡</dc:title>
  <dc:subject>咕咕版</dc:subject>
  <dc:creator>咕咕;秋叶EXODUS</dc:creator>
  <cp:keywords>1.9.5</cp:keywords>
  <dc:description>最终版</dc:description>
  <cp:lastModifiedBy>dell</cp:lastModifiedBy>
  <dcterms:created xsi:type="dcterms:W3CDTF">2015-07-03T01:28:16Z</dcterms:created>
  <dcterms:modified xsi:type="dcterms:W3CDTF">2020-04-08T09:43:57Z</dcterms:modified>
  <cp:category>模板</cp:category>
</cp:coreProperties>
</file>