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3"/>
  <workbookPr codeName="ThisWorkbook"/>
  <mc:AlternateContent xmlns:mc="http://schemas.openxmlformats.org/markup-compatibility/2006">
    <mc:Choice Requires="x15">
      <x15ac:absPath xmlns:x15ac="http://schemas.microsoft.com/office/spreadsheetml/2010/11/ac" url="C:\Users\sunruicong\Desktop\"/>
    </mc:Choice>
  </mc:AlternateContent>
  <xr:revisionPtr revIDLastSave="0" documentId="13_ncr:1_{A14C4C3B-353A-484D-8199-061DD02C9C05}" xr6:coauthVersionLast="36" xr6:coauthVersionMax="36" xr10:uidLastSave="{00000000-0000-0000-0000-000000000000}"/>
  <workbookProtection workbookPassword="DCD7" lockStructure="1"/>
  <bookViews>
    <workbookView xWindow="0" yWindow="0" windowWidth="22944" windowHeight="9924"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9"/>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K45" i="18"/>
  <c r="M45" i="18" s="1"/>
  <c r="J45" i="18"/>
  <c r="A45" i="18"/>
  <c r="M44" i="18"/>
  <c r="K44" i="18"/>
  <c r="J44" i="18"/>
  <c r="A44" i="18"/>
  <c r="K43" i="18"/>
  <c r="M43" i="18" s="1"/>
  <c r="J43" i="18"/>
  <c r="A43" i="18"/>
  <c r="K42" i="18"/>
  <c r="M42" i="18" s="1"/>
  <c r="J42" i="18"/>
  <c r="A42" i="18"/>
  <c r="M41" i="18"/>
  <c r="K41" i="18"/>
  <c r="J41" i="18"/>
  <c r="A41" i="18"/>
  <c r="M40" i="18"/>
  <c r="K40" i="18"/>
  <c r="J40" i="18"/>
  <c r="A40" i="18"/>
  <c r="K39" i="18"/>
  <c r="M39" i="18" s="1"/>
  <c r="J39" i="18"/>
  <c r="A39" i="18"/>
  <c r="K38" i="18"/>
  <c r="M38" i="18" s="1"/>
  <c r="J38" i="18"/>
  <c r="A38" i="18"/>
  <c r="K37" i="18"/>
  <c r="M37" i="18" s="1"/>
  <c r="J37" i="18"/>
  <c r="M36" i="18"/>
  <c r="K36" i="18"/>
  <c r="J36" i="18"/>
  <c r="K35" i="18"/>
  <c r="M35" i="18" s="1"/>
  <c r="J35" i="18"/>
  <c r="M34" i="18"/>
  <c r="K34" i="18"/>
  <c r="J34" i="18"/>
  <c r="M33" i="18"/>
  <c r="K33" i="18"/>
  <c r="J33" i="18"/>
  <c r="M32" i="18"/>
  <c r="K32" i="18"/>
  <c r="J32" i="18"/>
  <c r="M31" i="18"/>
  <c r="K31" i="18"/>
  <c r="J31" i="18"/>
  <c r="M30" i="18"/>
  <c r="K30" i="18"/>
  <c r="J30" i="18"/>
  <c r="M29" i="18"/>
  <c r="K29" i="18"/>
  <c r="J29" i="18"/>
  <c r="M28" i="18"/>
  <c r="K28" i="18"/>
  <c r="J28" i="18"/>
  <c r="K27" i="18"/>
  <c r="M27" i="18" s="1"/>
  <c r="J27" i="18"/>
  <c r="M26" i="18"/>
  <c r="K26" i="18"/>
  <c r="J26" i="18"/>
  <c r="M25" i="18"/>
  <c r="K25" i="18"/>
  <c r="J25" i="18"/>
  <c r="M24" i="18"/>
  <c r="K24" i="18"/>
  <c r="J24" i="18"/>
  <c r="K23" i="18"/>
  <c r="M23" i="18" s="1"/>
  <c r="J23" i="18"/>
  <c r="M22" i="18"/>
  <c r="K22" i="18"/>
  <c r="J22" i="18"/>
  <c r="M21" i="18"/>
  <c r="K21" i="18"/>
  <c r="J21" i="18"/>
  <c r="M20" i="18"/>
  <c r="K20" i="18"/>
  <c r="J20" i="18"/>
  <c r="K19" i="18"/>
  <c r="M19" i="18" s="1"/>
  <c r="J19" i="18"/>
  <c r="M18" i="18"/>
  <c r="K18" i="18"/>
  <c r="J18" i="18"/>
  <c r="M17" i="18"/>
  <c r="K17" i="18"/>
  <c r="J17" i="18"/>
  <c r="M16" i="18"/>
  <c r="K16" i="18"/>
  <c r="J16" i="18"/>
  <c r="K15" i="18"/>
  <c r="M15" i="18" s="1"/>
  <c r="J15" i="18"/>
  <c r="K14" i="18"/>
  <c r="M14" i="18" s="1"/>
  <c r="J14" i="18"/>
  <c r="C14" i="18"/>
  <c r="B14" i="18"/>
  <c r="A14" i="18" s="1"/>
  <c r="K13" i="18"/>
  <c r="M13" i="18" s="1"/>
  <c r="J13" i="18"/>
  <c r="K12" i="18"/>
  <c r="M12" i="18" s="1"/>
  <c r="J12" i="18"/>
  <c r="M11" i="18"/>
  <c r="K11" i="18"/>
  <c r="J11" i="18"/>
  <c r="K10" i="18"/>
  <c r="M10" i="18" s="1"/>
  <c r="J10" i="18"/>
  <c r="B10" i="18"/>
  <c r="A10" i="18" s="1"/>
  <c r="K9" i="18"/>
  <c r="M9" i="18" s="1"/>
  <c r="J9" i="18"/>
  <c r="B9" i="18"/>
  <c r="A9" i="18" s="1"/>
  <c r="M8" i="18"/>
  <c r="K8" i="18"/>
  <c r="J8" i="18"/>
  <c r="B8" i="18"/>
  <c r="A8" i="18" s="1"/>
  <c r="M7" i="18"/>
  <c r="K7" i="18"/>
  <c r="J7" i="18"/>
  <c r="B7" i="18"/>
  <c r="A7" i="18" s="1"/>
  <c r="M6" i="18"/>
  <c r="K6" i="18"/>
  <c r="J6" i="18"/>
  <c r="B6" i="18"/>
  <c r="A6" i="18" s="1"/>
  <c r="K5" i="18"/>
  <c r="M5" i="18" s="1"/>
  <c r="J5" i="18"/>
  <c r="B5" i="18"/>
  <c r="A5" i="18" s="1"/>
  <c r="K4" i="18"/>
  <c r="M4" i="18" s="1"/>
  <c r="J4" i="18"/>
  <c r="B4" i="18"/>
  <c r="A4" i="18" s="1"/>
  <c r="M3" i="18"/>
  <c r="K3" i="18"/>
  <c r="J3" i="18"/>
  <c r="B3" i="18"/>
  <c r="A3" i="18" s="1"/>
  <c r="K2" i="18"/>
  <c r="J2" i="18"/>
  <c r="B2" i="18"/>
  <c r="B1" i="18"/>
  <c r="V11" i="17"/>
  <c r="V10" i="17"/>
  <c r="AA9" i="17"/>
  <c r="Z9" i="17"/>
  <c r="Y9" i="17"/>
  <c r="Z7" i="17"/>
  <c r="Y7" i="17"/>
  <c r="V7" i="17"/>
  <c r="AE6" i="1" s="1"/>
  <c r="AF6" i="1" s="1"/>
  <c r="Z5" i="17"/>
  <c r="Y5" i="17"/>
  <c r="V5" i="17"/>
  <c r="Z3" i="17"/>
  <c r="Y3" i="17"/>
  <c r="V3" i="17"/>
  <c r="I1" i="17"/>
  <c r="H1" i="17"/>
  <c r="V9" i="17" s="1"/>
  <c r="AE8" i="1" s="1"/>
  <c r="AF8" i="1" s="1"/>
  <c r="G1" i="17"/>
  <c r="V8" i="17" s="1"/>
  <c r="AE7" i="1" s="1"/>
  <c r="AF7" i="1" s="1"/>
  <c r="F1" i="17"/>
  <c r="E1" i="17"/>
  <c r="V6" i="17" s="1"/>
  <c r="AE5" i="1" s="1"/>
  <c r="AF5" i="1" s="1"/>
  <c r="D1" i="17"/>
  <c r="C1" i="17"/>
  <c r="V4" i="17" s="1"/>
  <c r="B1" i="17"/>
  <c r="K51" i="8"/>
  <c r="J51" i="8"/>
  <c r="I51" i="8"/>
  <c r="H51" i="8"/>
  <c r="G51" i="8"/>
  <c r="F51" i="8"/>
  <c r="E51" i="8"/>
  <c r="D51" i="8"/>
  <c r="C51" i="8"/>
  <c r="L50" i="8"/>
  <c r="K50" i="8"/>
  <c r="J50" i="8"/>
  <c r="I50" i="8"/>
  <c r="H50" i="8"/>
  <c r="G50" i="8"/>
  <c r="F50" i="8"/>
  <c r="E50" i="8"/>
  <c r="D50" i="8"/>
  <c r="C50" i="8"/>
  <c r="S50" i="8" s="1"/>
  <c r="J49" i="8"/>
  <c r="I49" i="8"/>
  <c r="H49" i="8"/>
  <c r="G49" i="8"/>
  <c r="F49" i="8"/>
  <c r="E49" i="8"/>
  <c r="S49" i="8" s="1"/>
  <c r="D49" i="8"/>
  <c r="C49" i="8"/>
  <c r="R48" i="8"/>
  <c r="F48" i="8"/>
  <c r="E48" i="8"/>
  <c r="D48" i="8"/>
  <c r="C48" i="8"/>
  <c r="S48" i="8" s="1"/>
  <c r="Q47" i="8"/>
  <c r="P47" i="8"/>
  <c r="O47" i="8"/>
  <c r="N47" i="8"/>
  <c r="M47" i="8"/>
  <c r="L47" i="8"/>
  <c r="K47" i="8"/>
  <c r="J47" i="8"/>
  <c r="I47" i="8"/>
  <c r="H47" i="8"/>
  <c r="G47" i="8"/>
  <c r="R47" i="8" s="1"/>
  <c r="B47" i="8" s="1"/>
  <c r="F47" i="8"/>
  <c r="E47" i="8"/>
  <c r="D47" i="8"/>
  <c r="C47" i="8"/>
  <c r="S47" i="8" s="1"/>
  <c r="H46" i="8"/>
  <c r="G46" i="8"/>
  <c r="F46" i="8"/>
  <c r="E46" i="8"/>
  <c r="D46" i="8"/>
  <c r="C46" i="8"/>
  <c r="B42" i="8"/>
  <c r="B41" i="8"/>
  <c r="B40" i="8"/>
  <c r="B39" i="8"/>
  <c r="B38" i="8"/>
  <c r="B37" i="8"/>
  <c r="B36" i="8"/>
  <c r="B35" i="8"/>
  <c r="F12" i="8"/>
  <c r="F11" i="8"/>
  <c r="F10" i="8"/>
  <c r="F17" i="8" s="1"/>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O4" i="2"/>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E54" i="1" s="1"/>
  <c r="B53" i="1"/>
  <c r="A49" i="18" s="1"/>
  <c r="V51" i="1"/>
  <c r="G49" i="1"/>
  <c r="B49" i="1"/>
  <c r="V48" i="1"/>
  <c r="U48" i="1"/>
  <c r="L69" i="18" s="1"/>
  <c r="J48" i="1"/>
  <c r="K48" i="1" s="1"/>
  <c r="U47" i="1"/>
  <c r="W47" i="1" s="1"/>
  <c r="L47" i="1"/>
  <c r="K47" i="1"/>
  <c r="J47" i="1"/>
  <c r="L34" i="18" s="1"/>
  <c r="W46" i="1"/>
  <c r="V46" i="1"/>
  <c r="U46" i="1"/>
  <c r="L67" i="18" s="1"/>
  <c r="O46" i="1"/>
  <c r="O47" i="1" s="1"/>
  <c r="L46" i="1"/>
  <c r="J46" i="1"/>
  <c r="L33" i="18" s="1"/>
  <c r="F46" i="1"/>
  <c r="V45" i="1"/>
  <c r="U45" i="1"/>
  <c r="W45" i="1" s="1"/>
  <c r="O45" i="1"/>
  <c r="J66" i="18" s="1"/>
  <c r="L45" i="1"/>
  <c r="J45" i="1"/>
  <c r="L32" i="18" s="1"/>
  <c r="W44" i="1"/>
  <c r="U44" i="1"/>
  <c r="L65" i="18" s="1"/>
  <c r="J44" i="1"/>
  <c r="L44" i="1" s="1"/>
  <c r="W43" i="1"/>
  <c r="U43" i="1"/>
  <c r="L64" i="18" s="1"/>
  <c r="L43" i="1"/>
  <c r="J43" i="1"/>
  <c r="L30" i="18" s="1"/>
  <c r="W42" i="1"/>
  <c r="U42" i="1"/>
  <c r="L63" i="18" s="1"/>
  <c r="J42" i="1"/>
  <c r="L42" i="1" s="1"/>
  <c r="W41" i="1"/>
  <c r="U41" i="1"/>
  <c r="V41" i="1" s="1"/>
  <c r="L41" i="1"/>
  <c r="J41" i="1"/>
  <c r="L28" i="18" s="1"/>
  <c r="W40" i="1"/>
  <c r="U40" i="1"/>
  <c r="L61" i="18" s="1"/>
  <c r="J40" i="1"/>
  <c r="L40" i="1" s="1"/>
  <c r="W39" i="1"/>
  <c r="U39" i="1"/>
  <c r="L60" i="18" s="1"/>
  <c r="L39" i="1"/>
  <c r="J39" i="1"/>
  <c r="L26" i="18" s="1"/>
  <c r="W38" i="1"/>
  <c r="U38" i="1"/>
  <c r="L59" i="18" s="1"/>
  <c r="F38" i="1"/>
  <c r="J38" i="1" s="1"/>
  <c r="U37" i="1"/>
  <c r="W37" i="1" s="1"/>
  <c r="J37" i="1"/>
  <c r="L24" i="18" s="1"/>
  <c r="F37" i="1"/>
  <c r="W36" i="1"/>
  <c r="V36" i="1"/>
  <c r="U36" i="1"/>
  <c r="L57" i="18" s="1"/>
  <c r="J36" i="1"/>
  <c r="L36" i="1" s="1"/>
  <c r="U35" i="1"/>
  <c r="L56" i="18" s="1"/>
  <c r="F35" i="1"/>
  <c r="J35" i="1" s="1"/>
  <c r="U34" i="1"/>
  <c r="V34" i="1" s="1"/>
  <c r="L34" i="1"/>
  <c r="K34" i="1"/>
  <c r="J34" i="1"/>
  <c r="L21" i="18" s="1"/>
  <c r="F34" i="1"/>
  <c r="W33" i="1"/>
  <c r="V33" i="1"/>
  <c r="U33" i="1"/>
  <c r="L54" i="18" s="1"/>
  <c r="K33" i="1"/>
  <c r="J33" i="1"/>
  <c r="F52" i="1" s="1"/>
  <c r="U32" i="1"/>
  <c r="W32" i="1" s="1"/>
  <c r="L32" i="1"/>
  <c r="K32" i="1"/>
  <c r="J32" i="1"/>
  <c r="L19" i="18" s="1"/>
  <c r="W31" i="1"/>
  <c r="V31" i="1"/>
  <c r="U31" i="1"/>
  <c r="L52" i="18" s="1"/>
  <c r="K31" i="1"/>
  <c r="J31" i="1"/>
  <c r="L18" i="18" s="1"/>
  <c r="U30" i="1"/>
  <c r="W30" i="1" s="1"/>
  <c r="L30" i="1"/>
  <c r="K30" i="1"/>
  <c r="J30" i="1"/>
  <c r="O5" i="2" s="1"/>
  <c r="W29" i="1"/>
  <c r="V29" i="1"/>
  <c r="U29" i="1"/>
  <c r="L50" i="18" s="1"/>
  <c r="K29" i="1"/>
  <c r="J29" i="1"/>
  <c r="L16" i="18" s="1"/>
  <c r="U28" i="1"/>
  <c r="W28" i="1" s="1"/>
  <c r="F28" i="1"/>
  <c r="J28" i="1" s="1"/>
  <c r="U27" i="1"/>
  <c r="W27" i="1" s="1"/>
  <c r="J27" i="1"/>
  <c r="L14" i="18" s="1"/>
  <c r="U26" i="1"/>
  <c r="W26" i="1" s="1"/>
  <c r="J26" i="1"/>
  <c r="L26" i="1" s="1"/>
  <c r="U25" i="1"/>
  <c r="L46" i="18" s="1"/>
  <c r="J25" i="1"/>
  <c r="L12" i="18" s="1"/>
  <c r="U24" i="1"/>
  <c r="W24" i="1" s="1"/>
  <c r="L24" i="1"/>
  <c r="K24" i="1"/>
  <c r="J24" i="1"/>
  <c r="L11" i="18" s="1"/>
  <c r="W23" i="1"/>
  <c r="V23" i="1"/>
  <c r="U23" i="1"/>
  <c r="L44" i="18" s="1"/>
  <c r="K23" i="1"/>
  <c r="J23" i="1"/>
  <c r="L10" i="18" s="1"/>
  <c r="U22" i="1"/>
  <c r="W22" i="1" s="1"/>
  <c r="L22" i="1"/>
  <c r="K22" i="1"/>
  <c r="J22" i="1"/>
  <c r="L9" i="18" s="1"/>
  <c r="W21" i="1"/>
  <c r="V21" i="1"/>
  <c r="U21" i="1"/>
  <c r="L42" i="18" s="1"/>
  <c r="K21" i="1"/>
  <c r="J21" i="1"/>
  <c r="L8" i="18" s="1"/>
  <c r="U20" i="1"/>
  <c r="W20" i="1" s="1"/>
  <c r="L20" i="1"/>
  <c r="K20" i="1"/>
  <c r="J20" i="1"/>
  <c r="L7" i="18" s="1"/>
  <c r="W19" i="1"/>
  <c r="V19" i="1"/>
  <c r="U19" i="1"/>
  <c r="L40" i="18" s="1"/>
  <c r="K19" i="1"/>
  <c r="J19" i="1"/>
  <c r="L6" i="18" s="1"/>
  <c r="U18" i="1"/>
  <c r="W18" i="1" s="1"/>
  <c r="J18" i="1"/>
  <c r="L5" i="18" s="1"/>
  <c r="U17" i="1"/>
  <c r="L38" i="18" s="1"/>
  <c r="K17" i="1"/>
  <c r="J17" i="1"/>
  <c r="L17" i="1" s="1"/>
  <c r="U16" i="1"/>
  <c r="W16" i="1" s="1"/>
  <c r="L16" i="1"/>
  <c r="K16" i="1"/>
  <c r="J16" i="1"/>
  <c r="L3" i="18" s="1"/>
  <c r="W15" i="1"/>
  <c r="V15" i="1"/>
  <c r="U15" i="1"/>
  <c r="L36" i="18" s="1"/>
  <c r="K15" i="1"/>
  <c r="J15" i="1"/>
  <c r="L2" i="18" s="1"/>
  <c r="B12" i="1"/>
  <c r="AE10" i="1"/>
  <c r="AF10" i="1" s="1"/>
  <c r="R10" i="1"/>
  <c r="C15" i="18" s="1"/>
  <c r="H10" i="1"/>
  <c r="B13" i="18" s="1"/>
  <c r="A13" i="18" s="1"/>
  <c r="E10" i="1"/>
  <c r="C12" i="18" s="1"/>
  <c r="AE9" i="1"/>
  <c r="AF9" i="1" s="1"/>
  <c r="V9" i="1"/>
  <c r="S9" i="1"/>
  <c r="P9" i="1"/>
  <c r="M9" i="1"/>
  <c r="N8" i="1"/>
  <c r="K8" i="1"/>
  <c r="N7" i="1"/>
  <c r="K7" i="1"/>
  <c r="AK6" i="1"/>
  <c r="Q6" i="1"/>
  <c r="N6" i="1"/>
  <c r="K6" i="1"/>
  <c r="AK5" i="1"/>
  <c r="Q5" i="1"/>
  <c r="N5" i="1"/>
  <c r="K5" i="1"/>
  <c r="AK4" i="1"/>
  <c r="AF4" i="1"/>
  <c r="AE4" i="1"/>
  <c r="Q4" i="1"/>
  <c r="N4" i="1"/>
  <c r="K4" i="1"/>
  <c r="AK3" i="1"/>
  <c r="Q3" i="1"/>
  <c r="N3" i="1"/>
  <c r="K3" i="1"/>
  <c r="AK2" i="1"/>
  <c r="AE2" i="1"/>
  <c r="AF2" i="1" s="1"/>
  <c r="I2" i="1"/>
  <c r="L48" i="1" l="1"/>
  <c r="V17" i="1"/>
  <c r="W17" i="1"/>
  <c r="K18" i="1"/>
  <c r="L18" i="1"/>
  <c r="S46" i="8"/>
  <c r="S51" i="8"/>
  <c r="W34" i="1"/>
  <c r="B35" i="18" a="1"/>
  <c r="B35" i="18" s="1"/>
  <c r="R51" i="8"/>
  <c r="K46" i="1"/>
  <c r="J5" i="9"/>
  <c r="L5" i="9" s="1"/>
  <c r="P5" i="9"/>
  <c r="R5" i="9" s="1"/>
  <c r="Q10" i="1"/>
  <c r="B15" i="18" s="1"/>
  <c r="J7" i="9"/>
  <c r="AG7" i="9" s="1"/>
  <c r="J3" i="9"/>
  <c r="L4" i="9" s="1"/>
  <c r="F18" i="8"/>
  <c r="F19" i="8" s="1"/>
  <c r="F24" i="8" s="1"/>
  <c r="D10" i="1"/>
  <c r="B12" i="18" s="1"/>
  <c r="F13" i="8"/>
  <c r="D3" i="9"/>
  <c r="AA3" i="9" s="1"/>
  <c r="U7" i="9"/>
  <c r="P3" i="9"/>
  <c r="R3" i="9" s="1"/>
  <c r="U3" i="9"/>
  <c r="AM7" i="9" s="1"/>
  <c r="D7" i="9"/>
  <c r="F7" i="9" s="1"/>
  <c r="D5" i="9"/>
  <c r="AA5" i="9" s="1"/>
  <c r="L22" i="18"/>
  <c r="K35" i="1"/>
  <c r="L35" i="1"/>
  <c r="L28" i="1"/>
  <c r="W56" i="1" s="1"/>
  <c r="K28" i="1"/>
  <c r="W55" i="1" s="1"/>
  <c r="L15" i="18"/>
  <c r="V55" i="1"/>
  <c r="C27" i="1"/>
  <c r="N20" i="1"/>
  <c r="N36" i="1"/>
  <c r="D9" i="1"/>
  <c r="B9" i="1" s="1"/>
  <c r="N28" i="1"/>
  <c r="N18" i="1"/>
  <c r="N26" i="1"/>
  <c r="C46" i="1"/>
  <c r="N34" i="1"/>
  <c r="N32" i="1"/>
  <c r="N24" i="1"/>
  <c r="C44" i="1"/>
  <c r="C42" i="1"/>
  <c r="C40" i="1"/>
  <c r="N30" i="1"/>
  <c r="N22" i="1"/>
  <c r="N16" i="1"/>
  <c r="C38" i="1"/>
  <c r="C36" i="1"/>
  <c r="C24" i="1"/>
  <c r="N17" i="1"/>
  <c r="N41" i="1"/>
  <c r="C34" i="1"/>
  <c r="C18" i="1"/>
  <c r="N43" i="1"/>
  <c r="N39" i="1"/>
  <c r="C30" i="1"/>
  <c r="C20" i="1"/>
  <c r="C16" i="1"/>
  <c r="C47" i="1"/>
  <c r="N37" i="1"/>
  <c r="C28" i="1"/>
  <c r="C26" i="1"/>
  <c r="N15" i="1"/>
  <c r="N35" i="1"/>
  <c r="N33" i="1"/>
  <c r="N29" i="1"/>
  <c r="N21" i="1"/>
  <c r="C43" i="1"/>
  <c r="C39" i="1"/>
  <c r="N31" i="1"/>
  <c r="N23" i="1"/>
  <c r="N19" i="1"/>
  <c r="C45" i="1"/>
  <c r="N27" i="1"/>
  <c r="AE3" i="1"/>
  <c r="AF3" i="1" s="1"/>
  <c r="N38" i="1"/>
  <c r="C29" i="1"/>
  <c r="C15" i="1"/>
  <c r="C37" i="1"/>
  <c r="C19" i="1"/>
  <c r="C35" i="1"/>
  <c r="N42" i="1"/>
  <c r="C33" i="1"/>
  <c r="C23" i="1"/>
  <c r="C17" i="1"/>
  <c r="C48" i="1"/>
  <c r="N44" i="1"/>
  <c r="N45" i="1" s="1"/>
  <c r="N46" i="1" s="1"/>
  <c r="N47" i="1" s="1"/>
  <c r="N48" i="1" s="1"/>
  <c r="N40" i="1"/>
  <c r="C31" i="1"/>
  <c r="C21" i="1"/>
  <c r="K9" i="1"/>
  <c r="H52" i="1"/>
  <c r="G52" i="1"/>
  <c r="B48" i="8"/>
  <c r="L38" i="1"/>
  <c r="K38" i="1"/>
  <c r="L25" i="18"/>
  <c r="J68" i="18"/>
  <c r="O48" i="1"/>
  <c r="J69" i="18" s="1"/>
  <c r="F54" i="1"/>
  <c r="E55" i="1"/>
  <c r="F55" i="1" s="1"/>
  <c r="B51" i="8"/>
  <c r="AH3" i="1" a="1"/>
  <c r="AH3" i="1" s="1"/>
  <c r="Z4" i="1" s="1"/>
  <c r="L4" i="18"/>
  <c r="L17" i="18"/>
  <c r="L23" i="18"/>
  <c r="L27" i="18"/>
  <c r="L29" i="18"/>
  <c r="L31" i="18"/>
  <c r="L35" i="18"/>
  <c r="L41" i="18"/>
  <c r="K25" i="1"/>
  <c r="K27" i="1"/>
  <c r="F53" i="1"/>
  <c r="L25" i="1"/>
  <c r="L27" i="1"/>
  <c r="V38" i="1"/>
  <c r="V40" i="1"/>
  <c r="V42" i="1"/>
  <c r="V44" i="1"/>
  <c r="O6" i="2"/>
  <c r="L58" i="18"/>
  <c r="L62" i="18"/>
  <c r="L66" i="18"/>
  <c r="L15" i="1"/>
  <c r="L19" i="1"/>
  <c r="L21" i="1"/>
  <c r="L23" i="1"/>
  <c r="L29" i="1"/>
  <c r="L31" i="1"/>
  <c r="L33" i="1"/>
  <c r="A18" i="18" a="1"/>
  <c r="A18" i="18" s="1"/>
  <c r="A20" i="18" a="1"/>
  <c r="A20" i="18" s="1"/>
  <c r="A22" i="18" a="1"/>
  <c r="A22" i="18" s="1"/>
  <c r="A24" i="18" a="1"/>
  <c r="A24" i="18" s="1"/>
  <c r="A26" i="18" a="1"/>
  <c r="A26" i="18" s="1"/>
  <c r="A28" i="18" a="1"/>
  <c r="A28" i="18" s="1"/>
  <c r="A30" i="18" a="1"/>
  <c r="A30" i="18" s="1"/>
  <c r="A32" i="18" a="1"/>
  <c r="A32" i="18" s="1"/>
  <c r="A34" i="18" a="1"/>
  <c r="A34" i="18" s="1"/>
  <c r="A36" i="18" a="1"/>
  <c r="A36" i="18" s="1"/>
  <c r="R46" i="8"/>
  <c r="L45" i="18"/>
  <c r="J67" i="18"/>
  <c r="V25" i="1"/>
  <c r="V27" i="1"/>
  <c r="K37" i="1"/>
  <c r="R50" i="8"/>
  <c r="B50" i="8" s="1"/>
  <c r="M2" i="18"/>
  <c r="B18" i="18" a="1"/>
  <c r="B18" i="18" s="1"/>
  <c r="B20" i="18" a="1"/>
  <c r="B20" i="18" s="1"/>
  <c r="B22" i="18" a="1"/>
  <c r="B22" i="18" s="1"/>
  <c r="B28" i="18" a="1"/>
  <c r="B28" i="18" s="1"/>
  <c r="B30" i="18" a="1"/>
  <c r="B30" i="18" s="1"/>
  <c r="B32" i="18" a="1"/>
  <c r="B32" i="18" s="1"/>
  <c r="B34" i="18" a="1"/>
  <c r="B34" i="18" s="1"/>
  <c r="B36" i="18" a="1"/>
  <c r="B36" i="18" s="1"/>
  <c r="L48" i="18"/>
  <c r="W25" i="1"/>
  <c r="L37" i="1"/>
  <c r="K39" i="1"/>
  <c r="K41" i="1"/>
  <c r="K43" i="1"/>
  <c r="K45" i="1"/>
  <c r="F14" i="8"/>
  <c r="F22" i="8" s="1"/>
  <c r="L13" i="18"/>
  <c r="L39" i="18"/>
  <c r="L55" i="18"/>
  <c r="B26" i="18" s="1" a="1"/>
  <c r="B26" i="18" s="1"/>
  <c r="F15" i="8"/>
  <c r="W48" i="1"/>
  <c r="B61" i="1"/>
  <c r="F16" i="8"/>
  <c r="R49" i="8"/>
  <c r="B49" i="8" s="1"/>
  <c r="L20" i="18"/>
  <c r="V35" i="1"/>
  <c r="K26" i="1"/>
  <c r="W35" i="1"/>
  <c r="V37" i="1"/>
  <c r="D61" i="1"/>
  <c r="I10" i="1"/>
  <c r="C13" i="18" s="1"/>
  <c r="V39" i="1"/>
  <c r="V43" i="1"/>
  <c r="E61" i="1"/>
  <c r="L43" i="18"/>
  <c r="B24" i="18" s="1" a="1"/>
  <c r="B24" i="18" s="1"/>
  <c r="L68" i="18"/>
  <c r="G61" i="1"/>
  <c r="A17" i="18" a="1"/>
  <c r="A17" i="18" s="1"/>
  <c r="A19" i="18" a="1"/>
  <c r="A19" i="18" s="1"/>
  <c r="A21" i="18" a="1"/>
  <c r="A21" i="18" s="1"/>
  <c r="A23" i="18" a="1"/>
  <c r="A23" i="18" s="1"/>
  <c r="A25" i="18" a="1"/>
  <c r="A25" i="18" s="1"/>
  <c r="A27" i="18" a="1"/>
  <c r="A27" i="18" s="1"/>
  <c r="A29" i="18" a="1"/>
  <c r="A29" i="18" s="1"/>
  <c r="A31" i="18" a="1"/>
  <c r="A31" i="18" s="1"/>
  <c r="A33" i="18" a="1"/>
  <c r="A33" i="18" s="1"/>
  <c r="A35" i="18" a="1"/>
  <c r="A35" i="18" s="1"/>
  <c r="K36" i="1"/>
  <c r="I61" i="1"/>
  <c r="F20" i="8"/>
  <c r="F25" i="8" s="1"/>
  <c r="L37" i="18"/>
  <c r="V26" i="1"/>
  <c r="B62" i="1"/>
  <c r="B17" i="18" a="1"/>
  <c r="B17" i="18" s="1"/>
  <c r="B19" i="18" a="1"/>
  <c r="B19" i="18" s="1"/>
  <c r="B21" i="18" a="1"/>
  <c r="B21" i="18" s="1"/>
  <c r="B23" i="18" a="1"/>
  <c r="B23" i="18" s="1"/>
  <c r="B25" i="18" a="1"/>
  <c r="B25" i="18" s="1"/>
  <c r="B27" i="18" a="1"/>
  <c r="B27" i="18" s="1"/>
  <c r="B29" i="18" a="1"/>
  <c r="B29" i="18" s="1"/>
  <c r="B31" i="18" a="1"/>
  <c r="B31" i="18" s="1"/>
  <c r="B33" i="18" a="1"/>
  <c r="B33" i="18" s="1"/>
  <c r="L47" i="18"/>
  <c r="L49" i="18"/>
  <c r="L51" i="18"/>
  <c r="L53" i="18"/>
  <c r="V16" i="1"/>
  <c r="V18" i="1"/>
  <c r="V20" i="1"/>
  <c r="V22" i="1"/>
  <c r="V24" i="1"/>
  <c r="V28" i="1"/>
  <c r="V30" i="1"/>
  <c r="V32" i="1"/>
  <c r="K40" i="1"/>
  <c r="K42" i="1"/>
  <c r="K44" i="1"/>
  <c r="V47" i="1"/>
  <c r="R6" i="9" l="1"/>
  <c r="S52" i="8"/>
  <c r="F3" i="9"/>
  <c r="AM5" i="9"/>
  <c r="L6" i="9"/>
  <c r="L8" i="9"/>
  <c r="L7" i="9"/>
  <c r="AG5" i="9"/>
  <c r="F4" i="9"/>
  <c r="L3" i="9"/>
  <c r="F14" i="18"/>
  <c r="B104" i="1" s="1"/>
  <c r="AG3" i="9"/>
  <c r="AM3" i="9"/>
  <c r="R4" i="9"/>
  <c r="AA7" i="9"/>
  <c r="F8" i="9"/>
  <c r="N7" i="9"/>
  <c r="F6" i="9"/>
  <c r="F5" i="9"/>
  <c r="B46" i="8"/>
  <c r="R52" i="8"/>
  <c r="F23" i="8"/>
  <c r="F21" i="8"/>
  <c r="F26" i="8" s="1"/>
  <c r="E9" i="1"/>
  <c r="C22" i="1"/>
  <c r="C32" i="1"/>
  <c r="C41" i="1"/>
  <c r="N25" i="1"/>
  <c r="AH5" i="1" a="1"/>
  <c r="AH5" i="1" s="1"/>
  <c r="Z6" i="1" s="1"/>
  <c r="AH2" i="1" a="1"/>
  <c r="AH2" i="1" s="1"/>
  <c r="Z3" i="1" s="1"/>
  <c r="AH4" i="1" a="1"/>
  <c r="AH4" i="1" s="1"/>
  <c r="Z5" i="1" s="1"/>
  <c r="AH6" i="1" a="1"/>
  <c r="AH6" i="1" s="1"/>
  <c r="Z7" i="1" s="1"/>
  <c r="H53" i="1"/>
  <c r="G53" i="1"/>
  <c r="H55" i="1"/>
  <c r="G55" i="1"/>
  <c r="H54" i="1"/>
  <c r="G54" i="1"/>
  <c r="AJ3" i="1"/>
  <c r="AC4" i="1" s="1"/>
  <c r="Y4" i="1"/>
  <c r="AB4" i="1" l="1"/>
  <c r="F1" i="18"/>
  <c r="L102" i="1"/>
  <c r="Y3" i="1"/>
  <c r="AJ2" i="1"/>
  <c r="AC3" i="1" s="1"/>
  <c r="Y2" i="1"/>
  <c r="AJ5" i="1"/>
  <c r="AC6" i="1" s="1"/>
  <c r="Y6" i="1"/>
  <c r="Y5" i="1"/>
  <c r="AJ4" i="1"/>
  <c r="AC5" i="1" s="1"/>
  <c r="F27" i="8"/>
  <c r="AJ6" i="1"/>
  <c r="AC7" i="1" s="1"/>
  <c r="Y7" i="1"/>
  <c r="AB7" i="1" l="1"/>
  <c r="AB6" i="1"/>
  <c r="AB3" i="1"/>
  <c r="Q8" i="1"/>
  <c r="F28" i="8"/>
  <c r="P7" i="1" s="1"/>
  <c r="B11" i="18" s="1"/>
  <c r="A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<sst xmlns="http://schemas.openxmlformats.org/spreadsheetml/2006/main" count="3527" uniqueCount="1293">
  <si>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</si>
  <si>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</si>
  <si>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</si>
  <si>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</si>
  <si>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</si>
  <si>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</si>
  <si>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</si>
  <si>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</si>
  <si>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</si>
  <si>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</si>
  <si>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</si>
  <si>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</si>
  <si>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</si>
  <si>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</si>
  <si>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</si>
  <si>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</si>
  <si>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</si>
  <si>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</si>
  <si>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</si>
  <si>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</si>
  <si>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</si>
  <si>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</si>
  <si>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</si>
  <si>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</si>
  <si>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</si>
  <si>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</si>
  <si>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</si>
  <si>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</si>
  <si>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</si>
  <si>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</si>
  <si>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</si>
  <si>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</si>
  <si>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</si>
  <si>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</si>
  <si>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</si>
  <si>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</si>
  <si>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</si>
  <si>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</si>
  <si>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</si>
  <si>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</si>
  <si>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</si>
  <si>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</si>
  <si>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</si>
  <si>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</si>
  <si>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</si>
  <si>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</si>
  <si>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</si>
  <si>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</si>
  <si>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</si>
  <si>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</si>
  <si>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</si>
  <si>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</si>
  <si>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</si>
  <si>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</si>
  <si>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</si>
  <si>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</si>
  <si>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</si>
  <si>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</si>
  <si>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</si>
  <si>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</si>
  <si>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</si>
  <si>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</si>
  <si>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</si>
  <si>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</si>
  <si>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</si>
  <si>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</si>
  <si>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</si>
  <si>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</si>
  <si>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</si>
  <si>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</si>
  <si>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</si>
  <si>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</si>
  <si>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</si>
  <si>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</si>
  <si>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</si>
  <si>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</si>
  <si>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</si>
  <si>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</si>
  <si>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</si>
  <si>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</si>
  <si>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</si>
  <si>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</si>
  <si>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</si>
  <si>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</si>
  <si>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</si>
  <si>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</si>
  <si>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</si>
  <si>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</si>
  <si>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</si>
  <si>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</si>
  <si>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</si>
  <si>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</si>
  <si>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</si>
  <si>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</si>
  <si>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</si>
  <si>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</si>
  <si>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</si>
  <si>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</si>
  <si>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</si>
  <si>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</si>
  <si>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</si>
  <si>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</si>
  <si>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</si>
  <si>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</si>
  <si>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</si>
  <si>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</si>
  <si>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</si>
  <si>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</si>
  <si>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</si>
  <si>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</si>
  <si>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</si>
  <si>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</si>
  <si>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</si>
  <si>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</si>
  <si>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</si>
  <si>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</si>
  <si>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</si>
  <si>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</si>
  <si>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</si>
  <si>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</si>
  <si>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</si>
  <si>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</si>
  <si>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</si>
  <si>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</si>
  <si>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</si>
  <si>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</si>
  <si>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</si>
  <si>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</si>
  <si>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</si>
  <si>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</si>
  <si>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</si>
  <si>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</si>
  <si>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</si>
  <si>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</si>
  <si>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</si>
  <si>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</si>
  <si>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</si>
  <si>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</si>
  <si>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</si>
  <si>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</si>
  <si>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</si>
  <si>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</si>
  <si>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</si>
  <si>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</si>
  <si>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</si>
  <si>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</si>
  <si>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</si>
  <si>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</si>
  <si>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</si>
  <si>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</si>
  <si>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</si>
  <si>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</si>
  <si>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</si>
  <si>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</si>
  <si>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</si>
  <si>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</si>
  <si>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</si>
  <si>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</si>
  <si>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</si>
  <si>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</si>
  <si>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</si>
  <si>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</si>
  <si>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</si>
  <si>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</si>
  <si>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</si>
  <si>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</si>
  <si>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</si>
  <si>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</si>
  <si>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</si>
  <si>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</si>
  <si>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</si>
  <si>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</si>
  <si>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</si>
  <si>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</si>
  <si>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</si>
  <si>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</si>
  <si>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</si>
  <si>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</si>
  <si>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</si>
  <si>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</si>
  <si>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</si>
  <si>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</si>
  <si>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</si>
  <si>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</si>
  <si>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</si>
  <si>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</si>
  <si>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</si>
  <si>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</si>
  <si>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</si>
  <si>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</si>
  <si>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</si>
  <si>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</si>
  <si>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</si>
  <si>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</si>
  <si>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</si>
  <si>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</si>
  <si>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</si>
  <si>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</si>
  <si>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</si>
  <si>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</si>
  <si>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</si>
  <si>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</si>
  <si>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</si>
  <si>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</si>
  <si>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</si>
  <si>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</si>
  <si>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</si>
  <si>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</si>
  <si>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</si>
  <si>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</si>
  <si>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</si>
  <si>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</si>
  <si>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</si>
  <si>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</si>
  <si>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</si>
  <si>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</si>
  <si>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</si>
  <si>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</si>
  <si>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</si>
  <si>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</si>
  <si>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</si>
  <si>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</si>
  <si>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</si>
  <si>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</si>
  <si>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</si>
  <si>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</si>
  <si>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</si>
  <si>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</si>
  <si>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</si>
  <si>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</si>
  <si>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</si>
  <si>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</si>
  <si>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</si>
  <si>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</si>
  <si>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</si>
  <si>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</si>
  <si>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</si>
  <si>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</si>
  <si>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</si>
  <si>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</si>
  <si>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</si>
  <si>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</si>
  <si>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</si>
  <si>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</si>
  <si>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</si>
  <si>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</si>
  <si>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</si>
  <si>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</si>
  <si>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</si>
  <si>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</si>
  <si>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</si>
  <si>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</si>
  <si>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</si>
  <si>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</si>
  <si>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</si>
  <si>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</si>
  <si>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</si>
  <si>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</si>
  <si>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</si>
  <si>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</si>
  <si>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</si>
  <si>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</si>
  <si>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</si>
  <si>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</si>
  <si>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</si>
  <si>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</si>
  <si>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</si>
  <si>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</si>
  <si>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</si>
  <si>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</si>
  <si>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</si>
  <si>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</si>
  <si>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</si>
  <si>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</si>
  <si>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</si>
  <si>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</si>
  <si>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</si>
  <si>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</si>
  <si>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</si>
  <si>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</si>
  <si>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</si>
  <si>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</si>
  <si>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</si>
  <si>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</si>
  <si>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</si>
  <si>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</si>
  <si>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</si>
  <si>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</si>
  <si>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</si>
  <si>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</si>
  <si>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</si>
  <si>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</si>
  <si>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</si>
  <si>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</si>
  <si>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</si>
  <si>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</si>
  <si>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</si>
  <si>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</si>
  <si>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</si>
  <si>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</si>
  <si>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</si>
  <si>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</si>
  <si>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</si>
  <si>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</si>
  <si>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</si>
  <si>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</si>
  <si>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</si>
  <si>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</si>
  <si>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</si>
  <si>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</si>
  <si>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</si>
  <si>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</si>
  <si>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</si>
  <si>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</si>
  <si>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</si>
  <si>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</si>
  <si>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</si>
  <si>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</si>
  <si>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</si>
  <si>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</si>
  <si>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</si>
  <si>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</si>
  <si>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</si>
  <si>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</si>
  <si>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</si>
  <si>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</si>
  <si>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</si>
  <si>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</si>
  <si>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</si>
  <si>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</si>
  <si>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</si>
  <si>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</si>
  <si>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</si>
  <si>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</si>
  <si>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</si>
  <si>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</si>
  <si>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</si>
  <si>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</si>
  <si>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</si>
  <si>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</si>
  <si>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</si>
  <si>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</si>
  <si>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</si>
  <si>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</si>
  <si>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</si>
  <si>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</si>
  <si>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</si>
  <si>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</si>
  <si>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</si>
  <si>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</si>
  <si>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</si>
  <si>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</si>
  <si>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</si>
  <si>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</si>
  <si>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</si>
  <si>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</si>
  <si>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</si>
  <si>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</si>
  <si>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</si>
  <si>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</si>
  <si>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</si>
  <si>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</si>
  <si>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</si>
  <si>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</si>
  <si>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</si>
  <si>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</si>
  <si>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</si>
  <si>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</si>
  <si>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</si>
  <si>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</si>
  <si>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</si>
  <si>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</si>
  <si>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</si>
  <si>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</si>
  <si>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</si>
  <si>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</si>
  <si>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</si>
  <si>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</si>
  <si>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</si>
  <si>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</si>
  <si>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</si>
  <si>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</si>
  <si>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</si>
  <si>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</si>
  <si>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</si>
  <si>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</si>
  <si>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</si>
  <si>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</si>
  <si>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</si>
  <si>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</si>
  <si>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</si>
  <si>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</si>
  <si>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</si>
  <si>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</si>
  <si>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</si>
  <si>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</si>
  <si>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</si>
  <si>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</si>
  <si>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</si>
  <si>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</si>
  <si>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</si>
  <si>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</si>
  <si>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</si>
  <si>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</si>
  <si>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</si>
  <si>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</si>
  <si>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</si>
  <si>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</si>
  <si>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</si>
  <si>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</si>
  <si>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</si>
  <si>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</si>
  <si>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</si>
  <si>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</si>
  <si>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</si>
  <si>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</si>
  <si>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</si>
  <si>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</si>
  <si>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</si>
  <si>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</si>
  <si>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</si>
  <si>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</si>
  <si>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</si>
  <si>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</si>
  <si>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</si>
  <si>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</si>
  <si>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</si>
  <si>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</si>
  <si>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</si>
  <si>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</si>
  <si>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</si>
  <si>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</si>
  <si>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</si>
  <si>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</si>
  <si>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</si>
  <si>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</si>
  <si>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</si>
  <si>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</si>
  <si>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</si>
  <si>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</si>
  <si>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</si>
  <si>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</si>
  <si>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</si>
  <si>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</si>
  <si>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</si>
  <si>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</si>
  <si>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</si>
  <si>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</si>
  <si>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</si>
  <si>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</si>
  <si>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</si>
  <si>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</si>
  <si>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</si>
  <si>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</si>
  <si>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</si>
  <si>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</si>
  <si>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</si>
  <si>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</si>
  <si>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</si>
  <si>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</si>
  <si>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</si>
  <si>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</si>
  <si>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</si>
  <si>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</si>
  <si>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</si>
  <si>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</si>
  <si>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</si>
  <si>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</si>
  <si>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</si>
  <si>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</si>
  <si>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</si>
  <si>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</si>
  <si>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</si>
  <si>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</si>
  <si>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</si>
  <si>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</si>
  <si>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</si>
  <si>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</si>
  <si>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</si>
  <si>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</si>
  <si>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</si>
  <si>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</si>
  <si>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</si>
  <si>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</si>
  <si>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</si>
  <si>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</si>
  <si>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</si>
  <si>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</si>
  <si>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</si>
  <si>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</si>
  <si>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</si>
  <si>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</si>
  <si>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</si>
  <si>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</si>
  <si>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</si>
  <si>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</si>
  <si>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</si>
  <si>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</si>
  <si>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</si>
  <si>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</si>
  <si>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</si>
  <si>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</si>
  <si>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</si>
  <si>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</si>
  <si>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</si>
  <si>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</si>
  <si>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</si>
  <si>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</si>
  <si>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</si>
  <si>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</si>
  <si>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</si>
  <si>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</si>
  <si>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</si>
  <si>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</si>
  <si>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</si>
  <si>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</si>
  <si>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</si>
  <si>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</si>
  <si>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</si>
  <si>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</si>
  <si>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</si>
  <si>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</si>
  <si>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</si>
  <si>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</si>
  <si>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</si>
  <si>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</si>
  <si>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</si>
  <si>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</si>
  <si>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</si>
  <si>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</si>
  <si>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</si>
  <si>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</si>
  <si>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</si>
  <si>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</si>
  <si>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</si>
  <si>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</si>
  <si>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</si>
  <si>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</si>
  <si>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</si>
  <si>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</si>
  <si>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</si>
  <si>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</si>
  <si>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</si>
  <si>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</si>
  <si>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</si>
  <si>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</si>
  <si>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</si>
  <si>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</si>
  <si>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</si>
  <si>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</si>
  <si>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</si>
  <si>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</si>
  <si>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</si>
  <si>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</si>
  <si>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</si>
  <si>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</si>
  <si>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</si>
  <si>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</si>
  <si>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</si>
  <si>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</si>
  <si>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</si>
  <si>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</si>
  <si>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</si>
  <si>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</si>
  <si>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</si>
  <si>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</si>
  <si>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</si>
  <si>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</si>
  <si>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</si>
  <si>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</si>
  <si>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</si>
  <si>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</si>
  <si>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</si>
  <si>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</si>
  <si>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</si>
  <si>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</si>
  <si>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</si>
  <si>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</si>
  <si>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</si>
  <si>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</si>
  <si>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</si>
  <si>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</si>
  <si>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</si>
  <si>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</si>
  <si>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</si>
  <si>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</si>
  <si>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</si>
  <si>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</si>
  <si>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</si>
  <si>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</si>
  <si>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</si>
  <si>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</si>
  <si>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</si>
  <si>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</si>
  <si>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</si>
  <si>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</si>
  <si>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</si>
  <si>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</si>
  <si>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</si>
  <si>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</si>
  <si>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</si>
  <si>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</si>
  <si>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</si>
  <si>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</si>
  <si>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</si>
  <si>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</si>
  <si>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</si>
  <si>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</si>
  <si>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</si>
  <si>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</si>
  <si>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</si>
  <si>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</si>
  <si>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</si>
  <si>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</si>
  <si>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</si>
  <si>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</si>
  <si>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</si>
  <si>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</si>
  <si>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</si>
  <si>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</si>
  <si>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</si>
  <si>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</si>
  <si>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</si>
  <si>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</si>
  <si>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</si>
  <si>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</si>
  <si>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</si>
  <si>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</si>
  <si>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</si>
  <si>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</si>
  <si>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</si>
  <si>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</si>
  <si>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</si>
  <si>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</si>
  <si>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</si>
  <si>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</si>
  <si>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</si>
  <si>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</si>
  <si>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</si>
  <si>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</si>
  <si>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</si>
  <si>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</si>
  <si>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</si>
  <si>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</si>
  <si>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</si>
  <si>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</si>
  <si>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</si>
  <si>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</si>
  <si>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</si>
  <si>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</si>
  <si>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</si>
  <si>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</si>
  <si>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</si>
  <si>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</si>
  <si>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</si>
  <si>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</si>
  <si>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</si>
  <si>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</si>
  <si>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</si>
  <si>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</si>
  <si>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</si>
  <si>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</si>
  <si>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</si>
  <si>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</si>
  <si>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</si>
  <si>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</si>
  <si>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</si>
  <si>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</si>
  <si>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</si>
  <si>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</si>
  <si>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</si>
  <si>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</si>
  <si>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</si>
  <si>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</si>
  <si>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</si>
  <si>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</si>
  <si>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</si>
  <si>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</si>
  <si>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</si>
  <si>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</si>
  <si>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</si>
  <si>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</si>
  <si>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</si>
  <si>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</si>
  <si>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</si>
  <si>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</si>
  <si>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</si>
  <si>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</si>
  <si>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</si>
  <si>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</si>
  <si>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</si>
  <si>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</si>
  <si>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</si>
  <si>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</si>
  <si>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</si>
  <si>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</si>
  <si>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</si>
  <si>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</si>
  <si>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</si>
  <si>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</si>
  <si>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</si>
  <si>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</si>
  <si>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</si>
  <si>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</si>
  <si>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</si>
  <si>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</si>
  <si>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</si>
  <si>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</si>
  <si>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</si>
  <si>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</si>
  <si>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</si>
  <si>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</si>
  <si>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</si>
  <si>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</si>
  <si>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</si>
  <si>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</si>
  <si>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</si>
  <si>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</si>
  <si>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</si>
  <si>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</si>
  <si>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</si>
  <si>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</si>
  <si>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</si>
  <si>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</si>
  <si>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</si>
  <si>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</si>
  <si>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</si>
  <si>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</si>
  <si>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</si>
  <si>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</si>
  <si>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</si>
  <si>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</si>
  <si>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</si>
  <si>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</si>
  <si>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</si>
  <si>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</si>
  <si>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</si>
  <si>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</si>
  <si>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</si>
  <si>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</si>
  <si>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</si>
  <si>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</si>
  <si>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</si>
  <si>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</si>
  <si>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</si>
  <si>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</si>
  <si>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</si>
  <si>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</si>
  <si>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</si>
  <si>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</si>
  <si>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</si>
  <si>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</si>
  <si>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</si>
  <si>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</si>
  <si>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</si>
  <si>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</si>
  <si>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</si>
  <si>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</si>
  <si>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</si>
  <si>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</si>
  <si>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</si>
  <si>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</si>
  <si>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</si>
  <si>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</si>
  <si>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</si>
  <si>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</si>
  <si>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</si>
  <si>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</si>
  <si>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</si>
  <si>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</si>
  <si>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</si>
  <si>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</si>
  <si>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</si>
  <si>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</si>
  <si>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</si>
  <si>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</si>
  <si>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</si>
  <si>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</si>
  <si>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</si>
  <si>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</si>
  <si>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</si>
  <si>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</si>
  <si>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</si>
  <si>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</si>
  <si>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</si>
  <si>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</si>
  <si>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</si>
  <si>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</si>
  <si>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</si>
  <si>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</si>
  <si>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</si>
  <si>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</si>
  <si>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</si>
  <si>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</si>
  <si>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</si>
  <si>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</si>
  <si>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</si>
  <si>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</si>
  <si>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</si>
  <si>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</si>
  <si>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</si>
  <si>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</si>
  <si>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</si>
  <si>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</si>
  <si>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</si>
  <si>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</si>
  <si>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</si>
  <si>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</si>
  <si>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</si>
  <si>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</si>
  <si>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</si>
  <si>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</si>
  <si>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</si>
  <si>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</si>
  <si>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</si>
  <si>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</si>
  <si>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</si>
  <si>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</si>
  <si>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</si>
  <si>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</si>
  <si>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</si>
  <si>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</si>
  <si>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</si>
  <si>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</si>
  <si>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</si>
  <si>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</si>
  <si>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</si>
  <si>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</si>
  <si>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</si>
  <si>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</si>
  <si>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</si>
  <si>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</si>
  <si>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</si>
  <si>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</si>
  <si>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</si>
  <si>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</si>
  <si>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</si>
  <si>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</si>
  <si>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</si>
  <si>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</si>
  <si>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</si>
  <si>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</si>
  <si>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</si>
  <si>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</si>
  <si>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</si>
  <si>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</si>
  <si>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</si>
  <si>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</si>
  <si>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</si>
  <si>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</si>
  <si>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</si>
  <si>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</si>
  <si>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</si>
  <si>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</si>
  <si>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</si>
  <si>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</si>
  <si>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</si>
  <si>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</si>
  <si>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</si>
  <si>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</si>
  <si>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</si>
  <si>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</si>
  <si>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</si>
  <si>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</si>
  <si>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</si>
  <si>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</si>
  <si>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</si>
  <si>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</si>
  <si>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</si>
  <si>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</si>
  <si>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</si>
  <si>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</si>
  <si>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</si>
  <si>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</si>
  <si>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</si>
  <si>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</si>
  <si>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</si>
  <si>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</si>
  <si>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</si>
  <si>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</si>
  <si>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</si>
  <si>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</si>
  <si>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</si>
  <si>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</si>
  <si>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</si>
  <si>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</si>
  <si>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</si>
  <si>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</si>
  <si>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</si>
  <si>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</si>
  <si>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</si>
  <si>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</si>
  <si>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</si>
  <si>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</si>
  <si>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</si>
  <si>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</si>
  <si>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</si>
  <si>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</si>
  <si>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</si>
  <si>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</si>
  <si>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</si>
  <si>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</si>
  <si>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</si>
  <si>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</si>
  <si>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</si>
  <si>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</si>
  <si>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</si>
  <si>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</si>
  <si>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</si>
  <si>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</si>
  <si>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</si>
  <si>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</si>
  <si>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</si>
  <si>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</si>
  <si>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</si>
  <si>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</si>
  <si>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</si>
  <si>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</si>
  <si>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</si>
  <si>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</si>
  <si>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</si>
  <si>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</si>
  <si>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</si>
  <si>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</si>
  <si>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</si>
  <si>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</si>
  <si>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</si>
  <si>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</si>
  <si>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</si>
  <si>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</si>
  <si>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</si>
  <si>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</si>
  <si>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</si>
  <si>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</si>
  <si>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</si>
  <si>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</si>
  <si>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</si>
  <si>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</si>
  <si>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</si>
  <si>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</si>
  <si>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</si>
  <si>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</si>
  <si>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</si>
  <si>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</si>
  <si>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</si>
  <si>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</si>
  <si>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</si>
  <si>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</si>
  <si>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</si>
  <si>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</si>
  <si>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</si>
  <si>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</si>
  <si>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</si>
  <si>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</si>
  <si>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</si>
  <si>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</si>
  <si>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</si>
  <si>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</si>
  <si>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</si>
  <si>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</si>
  <si>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</si>
  <si>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</si>
  <si>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</si>
  <si>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</si>
  <si>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</si>
  <si>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</si>
  <si>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</si>
  <si>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</si>
  <si>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</si>
  <si>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</si>
  <si>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</si>
  <si>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</si>
  <si>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</si>
  <si>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</si>
  <si>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</si>
  <si>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</si>
  <si>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</si>
  <si>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</si>
  <si>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</si>
  <si>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</si>
  <si>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</si>
  <si>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</si>
  <si>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</si>
  <si>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</si>
  <si>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</si>
  <si>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</si>
  <si>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</si>
  <si>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</si>
  <si>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</si>
  <si>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</si>
  <si>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</si>
  <si>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</si>
  <si>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</si>
  <si>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</si>
  <si>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</si>
  <si>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</si>
  <si>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</si>
  <si>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</si>
  <si>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</si>
  <si>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</si>
  <si>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</si>
  <si>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</si>
  <si>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</si>
  <si>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</si>
  <si>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</si>
  <si>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</si>
  <si>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</si>
  <si>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</si>
  <si>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</si>
  <si>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</si>
  <si>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</si>
  <si>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</si>
  <si>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</si>
  <si>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</si>
  <si>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</si>
  <si>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</si>
  <si>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</si>
  <si>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</si>
  <si>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</si>
  <si>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</si>
  <si>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</si>
  <si>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</si>
  <si>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</si>
  <si>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</si>
  <si>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</si>
  <si>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</si>
  <si>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</si>
  <si>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</si>
  <si>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</si>
  <si>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</si>
  <si>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</si>
  <si>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</si>
  <si>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</si>
  <si>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</si>
  <si>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</si>
  <si>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</si>
  <si>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</si>
  <si>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</si>
  <si>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</si>
  <si>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</si>
  <si>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</si>
  <si>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</si>
  <si>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</si>
  <si>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</si>
  <si>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</si>
  <si>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</si>
  <si>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</si>
  <si>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</si>
  <si>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</si>
  <si>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</si>
  <si>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</si>
  <si>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</si>
  <si>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</si>
  <si>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</si>
  <si>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</si>
  <si>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</si>
  <si>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</si>
  <si>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</si>
  <si>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</si>
  <si>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</si>
  <si>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</si>
  <si>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</si>
  <si>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</si>
  <si>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</si>
  <si>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</si>
  <si>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</si>
  <si>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</si>
  <si>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</si>
  <si>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</si>
  <si>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</si>
  <si>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</si>
  <si>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</si>
  <si>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</si>
  <si>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</si>
  <si>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</si>
  <si>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</si>
  <si>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</si>
  <si>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</si>
  <si>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</si>
  <si>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</si>
  <si>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</si>
  <si>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</si>
  <si>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</si>
  <si>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</si>
  <si>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</si>
  <si>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</si>
  <si>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</si>
  <si>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</si>
  <si>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</si>
  <si>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</si>
  <si>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</si>
  <si>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</si>
  <si>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</si>
  <si>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</si>
  <si>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</si>
  <si>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</si>
  <si>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</si>
  <si>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</si>
  <si>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</si>
  <si>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</si>
  <si>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</si>
  <si>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</si>
  <si>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</si>
  <si>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</si>
  <si>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</si>
  <si>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</si>
  <si>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</si>
  <si>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</si>
  <si>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</si>
  <si>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</si>
  <si>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</si>
  <si>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</si>
  <si>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</si>
  <si>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</si>
  <si>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</si>
  <si>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</si>
  <si>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</si>
  <si>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</si>
  <si>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</si>
  <si>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</si>
  <si>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</si>
  <si>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</si>
  <si>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</si>
  <si>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</si>
  <si>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</si>
  <si>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</si>
  <si>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</si>
  <si>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</si>
  <si>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</si>
  <si>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</si>
  <si>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</si>
  <si>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</si>
  <si>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</si>
  <si>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</si>
  <si>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</si>
  <si>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</si>
  <si>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</si>
  <si>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</si>
  <si>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</si>
  <si>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</si>
  <si>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</si>
  <si>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</si>
  <si>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</si>
  <si>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</si>
  <si>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</si>
  <si>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</si>
  <si>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</si>
  <si>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</si>
  <si>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</si>
  <si>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</si>
  <si>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</si>
  <si>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</si>
  <si>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</si>
  <si>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</si>
  <si>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</si>
  <si>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</si>
  <si>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</si>
  <si>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</si>
  <si>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</si>
  <si>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</si>
  <si>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</si>
  <si>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</si>
  <si>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</si>
  <si>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</si>
  <si>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</si>
  <si>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</si>
  <si>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</si>
  <si>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</si>
  <si>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</si>
  <si>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</si>
  <si>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</si>
  <si>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</si>
  <si>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</si>
  <si>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</si>
  <si>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</si>
  <si>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</si>
  <si>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</si>
  <si>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</si>
  <si>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</si>
  <si>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</si>
  <si>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</si>
  <si>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</si>
  <si>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</si>
  <si>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</si>
  <si>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</si>
  <si>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</si>
  <si>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</si>
  <si>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</si>
  <si>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</si>
  <si>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</si>
  <si>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</si>
  <si>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</si>
  <si>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</si>
  <si>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</si>
  <si>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</si>
  <si>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</si>
  <si>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</si>
  <si>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</si>
  <si>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</si>
  <si>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</si>
  <si>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</si>
  <si>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</si>
  <si>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</si>
  <si>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</si>
  <si>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</si>
  <si>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</si>
  <si>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</si>
  <si>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</si>
  <si>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</si>
  <si>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</si>
  <si>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</si>
  <si>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</si>
  <si>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</si>
  <si>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</si>
  <si>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</si>
  <si>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</si>
  <si>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</si>
  <si>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</si>
  <si>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</si>
  <si>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</si>
  <si>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</si>
  <si>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</si>
  <si>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</si>
  <si>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</si>
  <si>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</si>
  <si>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</si>
  <si>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</si>
  <si>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</si>
  <si>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</si>
  <si>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</si>
  <si>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</si>
  <si>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</si>
  <si>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</si>
  <si>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</si>
  <si>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</si>
  <si>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</si>
  <si>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</si>
  <si>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</si>
  <si>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</si>
  <si>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</si>
  <si>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</si>
  <si>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</si>
  <si>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</si>
  <si>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</si>
  <si>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</si>
  <si>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</si>
  <si>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</si>
  <si>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</si>
  <si>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</si>
  <si>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</si>
  <si>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</si>
  <si>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</si>
  <si>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</si>
  <si>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</si>
  <si>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</si>
  <si>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</si>
  <si>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</si>
  <si>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</si>
  <si>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</si>
  <si>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</si>
  <si>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</si>
  <si>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</si>
  <si>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</si>
  <si>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</si>
  <si>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</si>
  <si>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</si>
  <si>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</si>
  <si>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</si>
  <si>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</si>
  <si>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</si>
  <si>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</si>
  <si>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</si>
  <si>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</si>
  <si>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</si>
  <si>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</si>
  <si>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</si>
  <si>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</si>
  <si>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</si>
  <si>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男</t>
    <phoneticPr fontId="77" type="noConversion"/>
  </si>
  <si>
    <t>警探</t>
    <phoneticPr fontId="77" type="noConversion"/>
  </si>
  <si>
    <t>沙力万·诺埃尔</t>
    <phoneticPr fontId="77" type="noConversion"/>
  </si>
  <si>
    <t>放大镜</t>
    <phoneticPr fontId="77" type="noConversion"/>
  </si>
  <si>
    <t>警用手枪</t>
    <phoneticPr fontId="77" type="noConversion"/>
  </si>
  <si>
    <t>警官证</t>
    <phoneticPr fontId="77" type="noConversion"/>
  </si>
  <si>
    <t>钱包</t>
    <phoneticPr fontId="77" type="noConversion"/>
  </si>
  <si>
    <t>法国巴黎</t>
    <phoneticPr fontId="77" type="noConversion"/>
  </si>
  <si>
    <t>信仰新教和启蒙思想。对于历史比较感兴趣</t>
    <phoneticPr fontId="77" type="noConversion"/>
  </si>
  <si>
    <t>来自法国的国际警探，有正义感的年轻男性，未婚。</t>
    <phoneticPr fontId="77" type="noConversion"/>
  </si>
  <si>
    <t>父亲</t>
    <phoneticPr fontId="77" type="noConversion"/>
  </si>
  <si>
    <t>巴黎凯旋门</t>
    <phoneticPr fontId="77" type="noConversion"/>
  </si>
  <si>
    <t>自己的手枪</t>
    <phoneticPr fontId="77" type="noConversion"/>
  </si>
  <si>
    <t>有正义感，同时行事冷静，思维细腻，素质过硬</t>
    <phoneticPr fontId="77" type="noConversion"/>
  </si>
  <si>
    <t>沙力万出生于法国巴黎，父亲是一位历史学家，从小培养了他对于历史和古代文物的兴趣。父亲曾非常希望他成为考古学家，他曾经也是这么想的。但在12岁那年，父亲不幸被歹徒杀害。富有正义感的他认为只有社会安定了才能够保证学术的发展，于是他决心成为一名警察。在警察工作之余，沙力万也爱好读书，尤其是历史和考古学相关的。沙力万非常崇拜拿破仑，认为拿破仑是法国的民族英雄。</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</si>
</sst>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8" formatCode="\/0_ "/>
    <numFmt numFmtId="179" formatCode="0_);[Red]\(0\)"/>
    <numFmt numFmtId="180" formatCode="\$#,##0.00;\-\$#,##0.00"/>
    <numFmt numFmtId="181" formatCode="0.00_ "/>
    <numFmt numFmtId="182" formatCode="\+0;\-0;&quot;±&quot;0"/>
  </numFmts>
  <fonts count="81"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
      <sz val="10"/>
      <color theme="1"/>
      <name val="微软雅黑"/>
      <family val="2"/>
      <charset val="134"/>
    </font>
    <font>
      <sz val="9"/>
      <color theme="1"/>
      <name val="微软雅黑"/>
      <family val="2"/>
      <charset val="134"/>
    </font>
    <font>
      <sz val="9"/>
      <color theme="8" tint="-0.249977111117893"/>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4">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9"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9"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9" fontId="28" fillId="0" borderId="70" xfId="0" applyNumberFormat="1" applyFont="1" applyBorder="1" applyAlignment="1" applyProtection="1">
      <alignment horizontal="center" vertical="center"/>
    </xf>
    <xf numFmtId="179"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2" fontId="56" fillId="8" borderId="124" xfId="0" applyNumberFormat="1" applyFont="1" applyFill="1" applyBorder="1" applyAlignment="1" applyProtection="1">
      <alignment horizontal="center" vertical="center"/>
    </xf>
    <xf numFmtId="182"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9"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81" fontId="54" fillId="0" borderId="70" xfId="0" applyNumberFormat="1" applyFont="1" applyBorder="1" applyAlignment="1" applyProtection="1">
      <alignment horizontal="center" vertical="center"/>
      <protection locked="0" hidden="1"/>
    </xf>
    <xf numFmtId="181"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180" fontId="47" fillId="13" borderId="152" xfId="0" applyNumberFormat="1" applyFont="1" applyFill="1" applyBorder="1" applyAlignment="1" applyProtection="1">
      <alignment horizontal="center" vertical="center"/>
    </xf>
    <xf numFmtId="180"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178"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8" fontId="3" fillId="11" borderId="76"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8" fontId="3" fillId="11" borderId="16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178"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179" fontId="48" fillId="0" borderId="187" xfId="0" applyNumberFormat="1" applyFont="1" applyFill="1" applyBorder="1" applyAlignment="1" applyProtection="1">
      <alignment horizontal="center" vertical="center"/>
    </xf>
    <xf numFmtId="179"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31" fillId="0" borderId="74" xfId="7" applyFont="1" applyBorder="1" applyAlignment="1">
      <alignment horizontal="center" vertical="center"/>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xf numFmtId="0" fontId="78" fillId="0" borderId="120" xfId="0" applyFont="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78" fillId="8" borderId="127" xfId="0" applyFont="1" applyFill="1" applyBorder="1" applyAlignment="1" applyProtection="1">
      <alignment horizontal="center" vertical="center"/>
      <protection locked="0"/>
    </xf>
    <xf numFmtId="0" fontId="79" fillId="0" borderId="97" xfId="0" applyFont="1" applyBorder="1" applyAlignment="1" applyProtection="1">
      <alignment horizontal="left" vertical="center" wrapText="1"/>
      <protection locked="0"/>
    </xf>
    <xf numFmtId="0" fontId="79" fillId="8" borderId="97" xfId="0" applyFont="1" applyFill="1" applyBorder="1" applyAlignment="1" applyProtection="1">
      <alignment horizontal="left" vertical="center" wrapText="1"/>
      <protection locked="0"/>
    </xf>
    <xf numFmtId="0" fontId="79" fillId="8" borderId="77" xfId="0" applyNumberFormat="1" applyFont="1" applyFill="1" applyBorder="1" applyAlignment="1" applyProtection="1">
      <alignment horizontal="left" vertical="top" wrapText="1"/>
      <protection locked="0"/>
    </xf>
    <xf numFmtId="0" fontId="79" fillId="10" borderId="77" xfId="0" applyNumberFormat="1" applyFont="1" applyFill="1" applyBorder="1" applyAlignment="1" applyProtection="1">
      <alignment horizontal="left" vertical="top" wrapText="1"/>
      <protection locked="0"/>
    </xf>
    <xf numFmtId="0" fontId="80" fillId="0" borderId="172" xfId="0" applyFont="1" applyBorder="1" applyAlignment="1" applyProtection="1">
      <alignment horizontal="left" vertical="top" wrapText="1"/>
      <protection locked="0"/>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50</c:v>
                </c:pt>
                <c:pt idx="1">
                  <c:v>45</c:v>
                </c:pt>
                <c:pt idx="2" formatCode="@">
                  <c:v>60</c:v>
                </c:pt>
                <c:pt idx="3">
                  <c:v>85</c:v>
                </c:pt>
                <c:pt idx="4" formatCode="@">
                  <c:v>60</c:v>
                </c:pt>
                <c:pt idx="5">
                  <c:v>90</c:v>
                </c:pt>
                <c:pt idx="6">
                  <c:v>75</c:v>
                </c:pt>
                <c:pt idx="7">
                  <c:v>55</c:v>
                </c:pt>
              </c:numCache>
            </c:numRef>
          </c:val>
          <c:extLst>
            <c:ext xmlns:c16="http://schemas.microsoft.com/office/drawing/2014/chart" uri="{C3380CC4-5D6E-409C-BE32-E72D297353CC}">
              <c16:uniqueId val="{00000000-7508-48A4-B522-BE5E4CCE30AB}"/>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145</c:v>
                </c:pt>
                <c:pt idx="1">
                  <c:v>20</c:v>
                </c:pt>
                <c:pt idx="2">
                  <c:v>20</c:v>
                </c:pt>
                <c:pt idx="3">
                  <c:v>70</c:v>
                </c:pt>
                <c:pt idx="4">
                  <c:v>90</c:v>
                </c:pt>
                <c:pt idx="5">
                  <c:v>197.77777777777777</c:v>
                </c:pt>
              </c:numCache>
            </c:numRef>
          </c:val>
          <c:extLst>
            <c:ext xmlns:c16="http://schemas.microsoft.com/office/drawing/2014/chart" uri="{C3380CC4-5D6E-409C-BE32-E72D297353CC}">
              <c16:uniqueId val="{00000000-4EF2-4413-AF84-DC147830C34E}"/>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topLeftCell="A56" workbookViewId="0">
      <selection activeCell="K56" sqref="K56:L56"/>
    </sheetView>
  </sheetViews>
  <sheetFormatPr defaultColWidth="3.21875" defaultRowHeight="15" x14ac:dyDescent="0.2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x14ac:dyDescent="0.25">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x14ac:dyDescent="0.25">
      <c r="B2" s="386" t="s">
        <v>1</v>
      </c>
      <c r="C2" s="387"/>
      <c r="D2" s="387"/>
      <c r="E2" s="387"/>
      <c r="F2" s="387"/>
      <c r="G2" s="388"/>
      <c r="H2" s="260"/>
      <c r="I2" s="389" t="str">
        <f>"属性（合计："&amp;J3+J5+J7+DEX+APP+INT+P3+P5&amp;"）[含幸运："&amp;J3+J5+J7+DEX+APP+INT+P3+P5+Luck&amp;"]"</f>
        <v>属性（合计：520）[含幸运：585]</v>
      </c>
      <c r="J2" s="390"/>
      <c r="K2" s="390"/>
      <c r="L2" s="390"/>
      <c r="M2" s="390"/>
      <c r="N2" s="390"/>
      <c r="O2" s="390"/>
      <c r="P2" s="390"/>
      <c r="Q2" s="391"/>
      <c r="S2" s="704" t="s">
        <v>2</v>
      </c>
      <c r="T2" s="705"/>
      <c r="U2" s="705"/>
      <c r="V2" s="705"/>
      <c r="W2" s="706"/>
      <c r="X2" s="340"/>
      <c r="Y2" s="392" t="str">
        <f>IF(Z3="","","任意特长可在下方选择本职技能")</f>
        <v>任意特长可在下方选择本职技能</v>
      </c>
      <c r="Z2" s="392"/>
      <c r="AA2" s="392"/>
      <c r="AB2" s="392"/>
      <c r="AC2" s="363"/>
      <c r="AD2" s="364"/>
      <c r="AE2" s="244">
        <f>职业!V3</f>
        <v>0</v>
      </c>
      <c r="AF2" s="244">
        <f>IF(AE2="任意特长",1,0)</f>
        <v>0</v>
      </c>
      <c r="AG2" s="244"/>
      <c r="AH2" s="377" t="str">
        <f t="array" ref="AH2">IFERROR(INDEX($AE$2:$AE$10,SMALL(IF($AF$2:$AF$10=1,ROW($AE$2:$AE$10),99999),ROW($AE1))-1,1),"")</f>
        <v>任意特长</v>
      </c>
      <c r="AI2" s="244"/>
      <c r="AJ2" s="244">
        <f>IF(Z3="本职技能为：",1,0)</f>
        <v>1</v>
      </c>
      <c r="AK2" s="244">
        <f>IF(AA3="",1,0)</f>
        <v>1</v>
      </c>
      <c r="AL2" s="362"/>
      <c r="AM2" s="362"/>
      <c r="AN2" s="362"/>
    </row>
    <row r="3" spans="2:40" ht="17.100000000000001" customHeight="1" x14ac:dyDescent="0.25">
      <c r="B3" s="261" t="s">
        <v>3</v>
      </c>
      <c r="C3" s="865" t="s">
        <v>1280</v>
      </c>
      <c r="D3" s="393"/>
      <c r="E3" s="393"/>
      <c r="F3" s="393"/>
      <c r="G3" s="394"/>
      <c r="H3" s="555"/>
      <c r="I3" s="558" t="s">
        <v>4</v>
      </c>
      <c r="J3" s="565">
        <v>50</v>
      </c>
      <c r="K3" s="319">
        <f>INT(J3/2)</f>
        <v>25</v>
      </c>
      <c r="L3" s="571" t="s">
        <v>5</v>
      </c>
      <c r="M3" s="575">
        <v>45</v>
      </c>
      <c r="N3" s="320">
        <f>INT(M3/2)</f>
        <v>22</v>
      </c>
      <c r="O3" s="581" t="s">
        <v>6</v>
      </c>
      <c r="P3" s="565">
        <v>60</v>
      </c>
      <c r="Q3" s="341">
        <f>INT(P3/2)</f>
        <v>30</v>
      </c>
      <c r="S3" s="707"/>
      <c r="T3" s="708"/>
      <c r="U3" s="708"/>
      <c r="V3" s="708"/>
      <c r="W3" s="709"/>
      <c r="X3" s="340"/>
      <c r="Y3" s="365">
        <f>IF(Z3="","",1)</f>
        <v>1</v>
      </c>
      <c r="Z3" s="366" t="str">
        <f>IF(AH2="任意特长","本职技能为：","")</f>
        <v>本职技能为：</v>
      </c>
      <c r="AA3" s="367"/>
      <c r="AB3" s="368" t="str">
        <f>IF(Z3="","","←")&amp;IF(AND(AJ2=0,AK2=0),"←","")</f>
        <v>←</v>
      </c>
      <c r="AC3" s="369" t="str">
        <f>IF(AND(AJ2=0,AK2=0),"请清除左侧选择框内容","")</f>
        <v/>
      </c>
      <c r="AD3" s="364"/>
      <c r="AE3" s="244" t="str">
        <f>职业!V4</f>
        <v>射击①</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62"/>
      <c r="AM3" s="362"/>
      <c r="AN3" s="362"/>
    </row>
    <row r="4" spans="2:40" ht="17.100000000000001" customHeight="1" x14ac:dyDescent="0.25">
      <c r="B4" s="262" t="s">
        <v>7</v>
      </c>
      <c r="C4" s="395"/>
      <c r="D4" s="395"/>
      <c r="E4" s="263" t="s">
        <v>8</v>
      </c>
      <c r="F4" s="396" t="s">
        <v>577</v>
      </c>
      <c r="G4" s="397"/>
      <c r="H4" s="555"/>
      <c r="I4" s="559"/>
      <c r="J4" s="566"/>
      <c r="K4" s="321">
        <f>INT(J3/5)</f>
        <v>10</v>
      </c>
      <c r="L4" s="572"/>
      <c r="M4" s="567"/>
      <c r="N4" s="322">
        <f>INT(M3/5)</f>
        <v>9</v>
      </c>
      <c r="O4" s="573"/>
      <c r="P4" s="566"/>
      <c r="Q4" s="342">
        <f>INT(P3/5)</f>
        <v>12</v>
      </c>
      <c r="S4" s="707"/>
      <c r="T4" s="708"/>
      <c r="U4" s="708"/>
      <c r="V4" s="708"/>
      <c r="W4" s="709"/>
      <c r="X4" s="340"/>
      <c r="Y4" s="365" t="str">
        <f>IF(Z4="","",2)</f>
        <v/>
      </c>
      <c r="Z4" s="366" t="str">
        <f>IF(AH3="任意特长","本职技能为：","")</f>
        <v/>
      </c>
      <c r="AA4" s="367"/>
      <c r="AB4" s="368" t="str">
        <f t="shared" ref="AB4:AB7" si="3">IF(Z4="","","←")&amp;IF(AND(AJ3=0,AK3=0),"←","")</f>
        <v/>
      </c>
      <c r="AC4" s="369" t="str">
        <f t="shared" ref="AC4:AC7" si="4">IF(AND(AJ3=0,AK3=0),"请清除左侧选择框内容","")</f>
        <v/>
      </c>
      <c r="AD4" s="364"/>
      <c r="AE4" s="244" t="str">
        <f>职业!V5</f>
        <v>法律</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25">
      <c r="B5" s="261" t="s">
        <v>10</v>
      </c>
      <c r="C5" s="867" t="s">
        <v>1279</v>
      </c>
      <c r="D5" s="398"/>
      <c r="E5" s="264" t="s">
        <v>11</v>
      </c>
      <c r="F5" s="399">
        <v>89</v>
      </c>
      <c r="G5" s="400"/>
      <c r="H5" s="555"/>
      <c r="I5" s="560" t="s">
        <v>12</v>
      </c>
      <c r="J5" s="567">
        <v>85</v>
      </c>
      <c r="K5" s="322">
        <f>INT(J5/2)</f>
        <v>42</v>
      </c>
      <c r="L5" s="573" t="s">
        <v>13</v>
      </c>
      <c r="M5" s="566">
        <v>60</v>
      </c>
      <c r="N5" s="323">
        <f>INT(M5/2)</f>
        <v>30</v>
      </c>
      <c r="O5" s="572" t="s">
        <v>14</v>
      </c>
      <c r="P5" s="567">
        <v>90</v>
      </c>
      <c r="Q5" s="343">
        <f>INT(P5/2)</f>
        <v>45</v>
      </c>
      <c r="S5" s="707"/>
      <c r="T5" s="708"/>
      <c r="U5" s="708"/>
      <c r="V5" s="708"/>
      <c r="W5" s="709"/>
      <c r="X5" s="340"/>
      <c r="Y5" s="365" t="str">
        <f>IF(Z5="","",3)</f>
        <v/>
      </c>
      <c r="Z5" s="366" t="str">
        <f>IF(AH4="任意特长","本职技能为：","")</f>
        <v/>
      </c>
      <c r="AA5" s="367"/>
      <c r="AB5" s="368" t="str">
        <f t="shared" si="3"/>
        <v/>
      </c>
      <c r="AC5" s="370" t="str">
        <f t="shared" si="4"/>
        <v/>
      </c>
      <c r="AD5" s="364"/>
      <c r="AE5" s="244" t="str">
        <f>职业!V6</f>
        <v>聆听</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25">
      <c r="B6" s="262" t="s">
        <v>15</v>
      </c>
      <c r="C6" s="401">
        <v>35</v>
      </c>
      <c r="D6" s="402"/>
      <c r="E6" s="263" t="s">
        <v>16</v>
      </c>
      <c r="F6" s="866" t="s">
        <v>1278</v>
      </c>
      <c r="G6" s="397"/>
      <c r="H6" s="555"/>
      <c r="I6" s="560"/>
      <c r="J6" s="567"/>
      <c r="K6" s="324">
        <f>INT(J5/5)</f>
        <v>17</v>
      </c>
      <c r="L6" s="573"/>
      <c r="M6" s="566"/>
      <c r="N6" s="323">
        <f>INT(M5/5)</f>
        <v>12</v>
      </c>
      <c r="O6" s="572"/>
      <c r="P6" s="567"/>
      <c r="Q6" s="343">
        <f>INT(P5/5)</f>
        <v>18</v>
      </c>
      <c r="S6" s="707"/>
      <c r="T6" s="708"/>
      <c r="U6" s="708"/>
      <c r="V6" s="708"/>
      <c r="W6" s="709"/>
      <c r="X6" s="340"/>
      <c r="Y6" s="365" t="str">
        <f>IF(Z6="","",4)</f>
        <v/>
      </c>
      <c r="Z6" s="366" t="str">
        <f>IF(AH5="任意特长","本职技能为：","")</f>
        <v/>
      </c>
      <c r="AA6" s="367"/>
      <c r="AB6" s="368" t="str">
        <f t="shared" si="3"/>
        <v/>
      </c>
      <c r="AC6" s="369" t="str">
        <f t="shared" si="4"/>
        <v/>
      </c>
      <c r="AD6" s="364"/>
      <c r="AE6" s="244" t="str">
        <f>职业!V7</f>
        <v>社交技能</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25">
      <c r="B7" s="261" t="s">
        <v>17</v>
      </c>
      <c r="C7" s="867" t="s">
        <v>1285</v>
      </c>
      <c r="D7" s="398"/>
      <c r="E7" s="398"/>
      <c r="F7" s="398"/>
      <c r="G7" s="403"/>
      <c r="H7" s="555"/>
      <c r="I7" s="561" t="s">
        <v>18</v>
      </c>
      <c r="J7" s="566">
        <v>75</v>
      </c>
      <c r="K7" s="323">
        <f>INT(J7/2)</f>
        <v>37</v>
      </c>
      <c r="L7" s="572" t="s">
        <v>19</v>
      </c>
      <c r="M7" s="567">
        <v>55</v>
      </c>
      <c r="N7" s="322">
        <f>INT(M7/2)</f>
        <v>27</v>
      </c>
      <c r="O7" s="573" t="s">
        <v>20</v>
      </c>
      <c r="P7" s="573">
        <f>附表!F28</f>
        <v>7</v>
      </c>
      <c r="Q7" s="344" t="s">
        <v>21</v>
      </c>
      <c r="S7" s="707"/>
      <c r="T7" s="708"/>
      <c r="U7" s="708"/>
      <c r="V7" s="708"/>
      <c r="W7" s="709"/>
      <c r="X7" s="340"/>
      <c r="Y7" s="365" t="str">
        <f>IF(Z7="","",5)</f>
        <v/>
      </c>
      <c r="Z7" s="366" t="str">
        <f>IF(AH6="任意特长","本职技能为：","")</f>
        <v/>
      </c>
      <c r="AA7" s="367"/>
      <c r="AB7" s="368" t="str">
        <f t="shared" si="3"/>
        <v/>
      </c>
      <c r="AC7" s="369" t="str">
        <f t="shared" si="4"/>
        <v/>
      </c>
      <c r="AD7" s="364"/>
      <c r="AE7" s="244" t="str">
        <f>职业!V8</f>
        <v>心理学</v>
      </c>
      <c r="AF7" s="244">
        <f t="shared" si="0"/>
        <v>0</v>
      </c>
      <c r="AG7" s="244"/>
      <c r="AH7" s="244"/>
      <c r="AI7" s="244"/>
      <c r="AJ7" s="244"/>
      <c r="AK7" s="244"/>
      <c r="AL7" s="362"/>
      <c r="AM7" s="362"/>
      <c r="AN7" s="362"/>
    </row>
    <row r="8" spans="2:40" ht="17.100000000000001" customHeight="1" x14ac:dyDescent="0.25">
      <c r="B8" s="265" t="s">
        <v>22</v>
      </c>
      <c r="C8" s="868" t="s">
        <v>1285</v>
      </c>
      <c r="D8" s="404"/>
      <c r="E8" s="404"/>
      <c r="F8" s="404"/>
      <c r="G8" s="405"/>
      <c r="H8" s="555"/>
      <c r="I8" s="562"/>
      <c r="J8" s="568"/>
      <c r="K8" s="325">
        <f>INT(J7/5)</f>
        <v>15</v>
      </c>
      <c r="L8" s="574"/>
      <c r="M8" s="576"/>
      <c r="N8" s="326">
        <f>INT(M7/5)</f>
        <v>11</v>
      </c>
      <c r="O8" s="582"/>
      <c r="P8" s="582"/>
      <c r="Q8" s="345">
        <f>附表!F27-8</f>
        <v>-1</v>
      </c>
      <c r="S8" s="710"/>
      <c r="T8" s="711"/>
      <c r="U8" s="711"/>
      <c r="V8" s="711"/>
      <c r="W8" s="712"/>
      <c r="X8" s="340"/>
      <c r="Y8" s="366"/>
      <c r="Z8" s="371"/>
      <c r="AA8" s="371"/>
      <c r="AB8" s="372"/>
      <c r="AC8" s="373"/>
      <c r="AD8" s="244"/>
      <c r="AE8" s="244" t="str">
        <f>职业!V9</f>
        <v>侦查</v>
      </c>
      <c r="AF8" s="244">
        <f t="shared" si="0"/>
        <v>0</v>
      </c>
      <c r="AG8" s="244"/>
      <c r="AH8" s="244"/>
      <c r="AI8" s="244"/>
      <c r="AJ8" s="244"/>
      <c r="AK8" s="244"/>
      <c r="AL8" s="362"/>
      <c r="AM8" s="362"/>
      <c r="AN8" s="362"/>
    </row>
    <row r="9" spans="2:40" ht="15.6" x14ac:dyDescent="0.35">
      <c r="B9" s="406" t="str">
        <f>IF(D9=" "," ","任意特长")</f>
        <v>任意特长</v>
      </c>
      <c r="C9" s="406"/>
      <c r="D9" s="266">
        <f>IF(SUMIF(职业!V3:V11,"任意特长",职业!W3:W11)=0," ",SUMIF(职业!V3:V11,"任意特长",职业!W3:W11))</f>
        <v>1</v>
      </c>
      <c r="E9" s="407" t="str">
        <f>IF(K9=" ","","社交技能（☯）：4选")</f>
        <v>社交技能（☯）：4选</v>
      </c>
      <c r="F9" s="407"/>
      <c r="G9" s="407"/>
      <c r="H9" s="407"/>
      <c r="I9" s="407"/>
      <c r="J9" s="407"/>
      <c r="K9" s="327">
        <f>IF(SUMIF(职业!V3:V11,"社交技能",职业!W3:W11)=0," ",SUMIF(职业!V3:V11,"社交技能",职业!W3:W11))</f>
        <v>1</v>
      </c>
      <c r="L9" s="247"/>
      <c r="M9" s="408" t="str">
        <f>IF(F5="","",IF(职业!$Y$3=0," ","二选一：☆"))</f>
        <v>二选一：☆</v>
      </c>
      <c r="N9" s="408"/>
      <c r="O9" s="247"/>
      <c r="P9" s="408" t="str">
        <f>IF(F5="","",IF(职业!Y5=0,"","二选一②:⊙"))</f>
        <v/>
      </c>
      <c r="Q9" s="408"/>
      <c r="R9" s="247"/>
      <c r="S9" s="408" t="str">
        <f>IF(F5="","",IF(职业!Y7=0,"","二选一②:※"))</f>
        <v/>
      </c>
      <c r="T9" s="408"/>
      <c r="U9" s="346"/>
      <c r="V9" s="408" t="str">
        <f>IF(F5="","",IF(职业!Y9=0," ","三选X:X"))</f>
        <v xml:space="preserve"> </v>
      </c>
      <c r="W9" s="408"/>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x14ac:dyDescent="0.25">
      <c r="B10" s="702" t="s">
        <v>23</v>
      </c>
      <c r="C10" s="695"/>
      <c r="D10" s="551">
        <f>E10</f>
        <v>16</v>
      </c>
      <c r="E10" s="553">
        <f>INT((J5+J7)/10)</f>
        <v>16</v>
      </c>
      <c r="F10" s="698" t="s">
        <v>24</v>
      </c>
      <c r="G10" s="699"/>
      <c r="H10" s="556">
        <f>POW</f>
        <v>60</v>
      </c>
      <c r="I10" s="563">
        <f>IF(ISBLANK(H10),MIN(J26,99-J26),INT(99-J26))</f>
        <v>99</v>
      </c>
      <c r="J10" s="569"/>
      <c r="K10" s="694" t="s">
        <v>25</v>
      </c>
      <c r="L10" s="695"/>
      <c r="M10" s="577">
        <v>65</v>
      </c>
      <c r="N10" s="579">
        <v>99</v>
      </c>
      <c r="O10" s="698" t="s">
        <v>26</v>
      </c>
      <c r="P10" s="699"/>
      <c r="Q10" s="583">
        <f>MP</f>
        <v>12</v>
      </c>
      <c r="R10" s="585">
        <f>P3/5</f>
        <v>12</v>
      </c>
      <c r="S10" s="587"/>
      <c r="T10" s="409" t="s">
        <v>27</v>
      </c>
      <c r="U10" s="410"/>
      <c r="V10" s="411" t="s">
        <v>28</v>
      </c>
      <c r="W10" s="412"/>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5">
      <c r="B11" s="703"/>
      <c r="C11" s="697"/>
      <c r="D11" s="552"/>
      <c r="E11" s="554"/>
      <c r="F11" s="700"/>
      <c r="G11" s="701"/>
      <c r="H11" s="557"/>
      <c r="I11" s="564"/>
      <c r="J11" s="570"/>
      <c r="K11" s="696"/>
      <c r="L11" s="697"/>
      <c r="M11" s="578"/>
      <c r="N11" s="580"/>
      <c r="O11" s="700"/>
      <c r="P11" s="701"/>
      <c r="Q11" s="584"/>
      <c r="R11" s="586"/>
      <c r="S11" s="588"/>
      <c r="T11" s="413" t="s">
        <v>29</v>
      </c>
      <c r="U11" s="414"/>
      <c r="V11" s="415" t="s">
        <v>30</v>
      </c>
      <c r="W11" s="416"/>
      <c r="X11" s="247"/>
      <c r="Y11" s="247"/>
      <c r="Z11" s="374"/>
      <c r="AA11" s="374"/>
      <c r="AB11" s="374"/>
      <c r="AC11" s="373"/>
      <c r="AD11" s="244"/>
      <c r="AE11" s="244"/>
      <c r="AF11" s="362"/>
      <c r="AG11" s="362"/>
      <c r="AH11" s="362"/>
      <c r="AI11" s="362"/>
      <c r="AJ11" s="362"/>
      <c r="AK11" s="362"/>
      <c r="AL11" s="362"/>
      <c r="AM11" s="362"/>
      <c r="AN11" s="362"/>
    </row>
    <row r="12" spans="2:40" ht="15.6" x14ac:dyDescent="0.25">
      <c r="B12" s="417" t="str">
        <f>IF(F5=0," ","["&amp;LOOKUP(F5,职业列表!A2:A117,职业列表!B2:B117)&amp;"]的本职技能："&amp;LOOKUP(F5,职业列表!A2:A117,职业列表!G2:G117))</f>
        <v>[警方(原作向)-警探]的本职技能：技艺（表演）或乔装，射击，法律，聆听，一项社交技能（魅惑、话术、恐吓、说服），心理学，侦查，一项其他技能。</v>
      </c>
      <c r="C12" s="417"/>
      <c r="D12" s="417"/>
      <c r="E12" s="417"/>
      <c r="F12" s="417"/>
      <c r="G12" s="417"/>
      <c r="H12" s="417"/>
      <c r="I12" s="417"/>
      <c r="J12" s="417"/>
      <c r="K12" s="417"/>
      <c r="L12" s="417"/>
      <c r="M12" s="417"/>
      <c r="N12" s="417"/>
      <c r="O12" s="417"/>
      <c r="P12" s="417"/>
      <c r="Q12" s="417"/>
      <c r="R12" s="417"/>
      <c r="S12" s="417"/>
      <c r="T12" s="417"/>
      <c r="U12" s="417"/>
      <c r="V12" s="417"/>
      <c r="W12" s="417"/>
      <c r="X12" s="347"/>
      <c r="Y12" s="247"/>
      <c r="Z12" s="374"/>
      <c r="AA12" s="374"/>
      <c r="AB12" s="374"/>
      <c r="AC12" s="373"/>
      <c r="AD12" s="244"/>
      <c r="AE12" s="244"/>
      <c r="AF12" s="362"/>
      <c r="AG12" s="362"/>
      <c r="AH12" s="362"/>
      <c r="AI12" s="362"/>
      <c r="AJ12" s="362"/>
      <c r="AK12" s="362"/>
      <c r="AL12" s="362"/>
      <c r="AM12" s="362"/>
      <c r="AN12" s="362"/>
    </row>
    <row r="13" spans="2:40" ht="15.6" x14ac:dyDescent="0.25">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5.6" x14ac:dyDescent="0.25">
      <c r="B14" s="267" t="s">
        <v>32</v>
      </c>
      <c r="C14" s="268" t="s">
        <v>33</v>
      </c>
      <c r="D14" s="418" t="s">
        <v>34</v>
      </c>
      <c r="E14" s="419"/>
      <c r="F14" s="269" t="s">
        <v>35</v>
      </c>
      <c r="G14" s="269" t="s">
        <v>36</v>
      </c>
      <c r="H14" s="269" t="s">
        <v>10</v>
      </c>
      <c r="I14" s="269" t="s">
        <v>37</v>
      </c>
      <c r="J14" s="418" t="s">
        <v>38</v>
      </c>
      <c r="K14" s="420"/>
      <c r="L14" s="421"/>
      <c r="M14" s="268" t="s">
        <v>32</v>
      </c>
      <c r="N14" s="328" t="s">
        <v>33</v>
      </c>
      <c r="O14" s="418" t="s">
        <v>34</v>
      </c>
      <c r="P14" s="419"/>
      <c r="Q14" s="269" t="s">
        <v>35</v>
      </c>
      <c r="R14" s="269" t="s">
        <v>36</v>
      </c>
      <c r="S14" s="269" t="s">
        <v>10</v>
      </c>
      <c r="T14" s="269" t="s">
        <v>37</v>
      </c>
      <c r="U14" s="418" t="s">
        <v>38</v>
      </c>
      <c r="V14" s="420"/>
      <c r="W14" s="422"/>
      <c r="X14" s="247"/>
      <c r="Y14" s="247"/>
      <c r="Z14" s="374"/>
      <c r="AA14" s="374"/>
      <c r="AB14" s="374"/>
      <c r="AC14" s="373"/>
      <c r="AD14" s="373"/>
      <c r="AE14" s="373"/>
      <c r="AF14" s="361"/>
      <c r="AG14" s="361"/>
      <c r="AH14" s="361"/>
      <c r="AI14" s="361"/>
      <c r="AJ14" s="361"/>
      <c r="AK14" s="361"/>
      <c r="AL14" s="361"/>
    </row>
    <row r="15" spans="2:40" ht="15.6" x14ac:dyDescent="0.25">
      <c r="B15" s="270" t="s">
        <v>39</v>
      </c>
      <c r="C15" s="271" t="str">
        <f>IFERROR(IF(OR(COUNTIF(职业!$V$3:$V$11,$D15)=1,COUNTIF($AA$3:$AA$7,$D15)=1),"★",IF(COUNTIF(职业!$Y$3:$Z$3,$D15),"☆",IF(COUNTIF(职业!$Y$5:$Z$5,$D15),"⊙",IF(COUNTIF(职业!$Y$7:$Z$7,$D15),"※",IF(COUNTIF(职业!$Y$9:$AA$9,$D15),"×"," ")))))," ")</f>
        <v xml:space="preserve"> </v>
      </c>
      <c r="D15" s="423" t="s">
        <v>40</v>
      </c>
      <c r="E15" s="424"/>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v>
      </c>
      <c r="O15" s="425" t="s">
        <v>41</v>
      </c>
      <c r="P15" s="426"/>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5.6" x14ac:dyDescent="0.25">
      <c r="B16" s="275" t="s">
        <v>39</v>
      </c>
      <c r="C16" s="276" t="str">
        <f>IFERROR(IF(OR(COUNTIF(职业!$V$3:$V$11,$D16)=1,COUNTIF($AA$3:$AA$7,$D16)=1),"★",IF(COUNTIF(职业!$Y$3:$Z$3,$D16),"☆",IF(COUNTIF(职业!$Y$5:$Z$5,$D16),"⊙",IF(COUNTIF(职业!$Y$7:$Z$7,$D16),"※",IF(COUNTIF(职业!$Y$9:$AA$9,$D16),"×"," ")))))," ")</f>
        <v xml:space="preserve"> </v>
      </c>
      <c r="D16" s="427" t="s">
        <v>42</v>
      </c>
      <c r="E16" s="428"/>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 xml:space="preserve"> </v>
      </c>
      <c r="O16" s="427" t="s">
        <v>43</v>
      </c>
      <c r="P16" s="428"/>
      <c r="Q16" s="278">
        <v>20</v>
      </c>
      <c r="R16" s="279"/>
      <c r="S16" s="279"/>
      <c r="T16" s="279">
        <v>40</v>
      </c>
      <c r="U16" s="278">
        <f t="shared" si="8"/>
        <v>60</v>
      </c>
      <c r="V16" s="278">
        <f>INT(U16/2)</f>
        <v>30</v>
      </c>
      <c r="W16" s="349">
        <f>INT(U16/5)</f>
        <v>12</v>
      </c>
      <c r="X16" s="247"/>
      <c r="Y16" s="247"/>
      <c r="Z16" s="374"/>
      <c r="AA16" s="374"/>
      <c r="AB16" s="374"/>
      <c r="AC16" s="247"/>
      <c r="AD16" s="247"/>
      <c r="AE16" s="247"/>
    </row>
    <row r="17" spans="2:31" ht="15.6" x14ac:dyDescent="0.25">
      <c r="B17" s="270" t="s">
        <v>39</v>
      </c>
      <c r="C17" s="271" t="str">
        <f>IFERROR(IF(OR(COUNTIF(职业!$V$3:$V$11,$D17)=1,COUNTIF($AA$3:$AA$7,$D17)=1),"★",IF(COUNTIF(职业!$Y$3:$Z$3,$D17),"☆",IF(COUNTIF(职业!$Y$5:$Z$5,$D17),"⊙",IF(COUNTIF(职业!$Y$7:$Z$7,$D17),"※",IF(COUNTIF(职业!$Y$9:$AA$9,$D17),"×"," ")))))," ")</f>
        <v xml:space="preserve"> </v>
      </c>
      <c r="D17" s="423" t="s">
        <v>44</v>
      </c>
      <c r="E17" s="424"/>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v>
      </c>
      <c r="O17" s="425" t="s">
        <v>45</v>
      </c>
      <c r="P17" s="426"/>
      <c r="Q17" s="273">
        <v>20</v>
      </c>
      <c r="R17" s="274"/>
      <c r="S17" s="274">
        <v>50</v>
      </c>
      <c r="T17" s="274"/>
      <c r="U17" s="273">
        <f t="shared" si="8"/>
        <v>70</v>
      </c>
      <c r="V17" s="273">
        <f t="shared" ref="V17:V37" si="9">INT(U17/2)</f>
        <v>35</v>
      </c>
      <c r="W17" s="348">
        <f t="shared" ref="W17:W37" si="10">INT(U17/5)</f>
        <v>14</v>
      </c>
      <c r="X17" s="247"/>
      <c r="Y17" s="247"/>
      <c r="Z17" s="374"/>
      <c r="AA17" s="374"/>
      <c r="AB17" s="374"/>
      <c r="AC17" s="247"/>
      <c r="AD17" s="247"/>
      <c r="AE17" s="247"/>
    </row>
    <row r="18" spans="2:31" ht="15.6" x14ac:dyDescent="0.25">
      <c r="B18" s="275" t="s">
        <v>39</v>
      </c>
      <c r="C18" s="276" t="str">
        <f>IFERROR(IF(OR(COUNTIF(职业!$V$3:$V$11,$D18)=1,COUNTIF($AA$3:$AA$7,$D18)=1),"★",IF(COUNTIF(职业!$Y$3:$Z$3,$D18),"☆",IF(COUNTIF(职业!$Y$5:$Z$5,$D18),"⊙",IF(COUNTIF(职业!$Y$7:$Z$7,$D18),"※",IF(COUNTIF(职业!$Y$9:$AA$9,$D18),"×"," ")))))," ")</f>
        <v xml:space="preserve"> </v>
      </c>
      <c r="D18" s="427" t="s">
        <v>46</v>
      </c>
      <c r="E18" s="428"/>
      <c r="F18" s="278">
        <v>1</v>
      </c>
      <c r="G18" s="279"/>
      <c r="H18" s="279"/>
      <c r="I18" s="279">
        <v>40</v>
      </c>
      <c r="J18" s="278">
        <f t="shared" si="5"/>
        <v>41</v>
      </c>
      <c r="K18" s="278">
        <f t="shared" si="6"/>
        <v>20</v>
      </c>
      <c r="L18" s="330">
        <f t="shared" si="7"/>
        <v>8</v>
      </c>
      <c r="M18" s="277" t="s">
        <v>39</v>
      </c>
      <c r="N18" s="276" t="str">
        <f>IFERROR(IF(OR(COUNTIF(职业!$V$3:$V$11,$O18)=1,COUNTIF($AA$3:$AA$7,$O18)=1),"★",IF(COUNTIF(职业!$Y$3:$Z$3,$O18),"☆",IF(COUNTIF(职业!$Y$5:$Z$5,$O18),"⊙",IF(COUNTIF(职业!$Y$7:$Z$7,$O18),"※",IF(COUNTIF(职业!$Y$9:$AA$9,$O18),"×"," ")))))," ")</f>
        <v xml:space="preserve"> </v>
      </c>
      <c r="O18" s="427" t="s">
        <v>47</v>
      </c>
      <c r="P18" s="428"/>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25">
      <c r="B19" s="270" t="s">
        <v>39</v>
      </c>
      <c r="C19" s="271" t="str">
        <f>IFERROR(IF(OR(COUNTIF(职业!$V$3:$V$11,$D19)=1,COUNTIF($AA$3:$AA$7,$D19)=1),"★",IF(COUNTIF(职业!$Y$3:$Z$3,$D19),"☆",IF(COUNTIF(职业!$Y$5:$Z$5,$D19),"⊙",IF(COUNTIF(职业!$Y$7:$Z$7,$D19),"※",IF(COUNTIF(职业!$Y$9:$AA$9,$D19),"×"," ")))))," ")</f>
        <v xml:space="preserve"> </v>
      </c>
      <c r="D19" s="280" t="s">
        <v>48</v>
      </c>
      <c r="E19" s="281" t="s">
        <v>49</v>
      </c>
      <c r="F19" s="273">
        <v>5</v>
      </c>
      <c r="G19" s="274"/>
      <c r="H19" s="274"/>
      <c r="I19" s="274"/>
      <c r="J19" s="273">
        <f t="shared" si="5"/>
        <v>5</v>
      </c>
      <c r="K19" s="273">
        <f t="shared" si="6"/>
        <v>2</v>
      </c>
      <c r="L19" s="329">
        <f t="shared" si="7"/>
        <v>1</v>
      </c>
      <c r="M19" s="272" t="s">
        <v>39</v>
      </c>
      <c r="N19" s="271" t="str">
        <f>IFERROR(IF(OR(COUNTIF(职业!$V$3:$V$11,$O19)=1,COUNTIF($AA$3:$AA$7,$O19)=1),"★",IF(COUNTIF(职业!$Y$3:$Z$3,$O19),"☆",IF(COUNTIF(职业!$Y$5:$Z$5,$O19),"⊙",IF(COUNTIF(职业!$Y$7:$Z$7,$O19),"※",IF(COUNTIF(职业!$Y$9:$AA$9,$O19),"×"," ")))))," ")</f>
        <v xml:space="preserve"> </v>
      </c>
      <c r="O19" s="425" t="s">
        <v>50</v>
      </c>
      <c r="P19" s="426"/>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5">
      <c r="B20" s="275" t="s">
        <v>39</v>
      </c>
      <c r="C20" s="276" t="str">
        <f>IFERROR(IF(OR(COUNTIF(职业!$V$3:$V$11,$D20)=1,COUNTIF($AA$3:$AA$7,$D20)=1),"★",IF(COUNTIF(职业!$Y$3:$Z$3,$D20),"☆",IF(COUNTIF(职业!$Y$5:$Z$5,$D20),"⊙",IF(COUNTIF(职业!$Y$7:$Z$7,$D20),"※",IF(COUNTIF(职业!$Y$9:$AA$9,$D20),"×"," ")))))," ")</f>
        <v>☆</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27" t="s">
        <v>52</v>
      </c>
      <c r="P20" s="428"/>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5">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25" t="s">
        <v>54</v>
      </c>
      <c r="P21" s="426"/>
      <c r="Q21" s="273">
        <v>10</v>
      </c>
      <c r="R21" s="274"/>
      <c r="S21" s="274"/>
      <c r="T21" s="274"/>
      <c r="U21" s="273">
        <f t="shared" si="8"/>
        <v>10</v>
      </c>
      <c r="V21" s="273">
        <f t="shared" si="9"/>
        <v>5</v>
      </c>
      <c r="W21" s="348">
        <f t="shared" si="10"/>
        <v>2</v>
      </c>
      <c r="X21" s="247"/>
      <c r="Y21" s="247"/>
      <c r="Z21" s="374"/>
      <c r="AA21" s="374"/>
      <c r="AB21" s="374"/>
      <c r="AC21" s="247"/>
      <c r="AD21" s="247"/>
      <c r="AE21" s="247"/>
    </row>
    <row r="22" spans="2:31" ht="15.6" x14ac:dyDescent="0.25">
      <c r="B22" s="275" t="s">
        <v>39</v>
      </c>
      <c r="C22" s="276" t="str">
        <f>IFERROR(IF(OR(COUNTIF(职业!$V$3:$V$11,$D22)=1,COUNTIF($AA$3:$AA$7,$D22)=1),"★",IF(COUNTIF(职业!$Y$3:$Z$3,$D22),"☆",IF(COUNTIF(职业!$Y$5:$Z$5,$D22),"⊙",IF(COUNTIF(职业!$Y$7:$Z$7,$D22),"※",IF(COUNTIF(职业!$Y$9:$AA$9,$D22),"×"," ")))))," ")&amp;CHAR(10)&amp;IF($K$9=" "," ","☯")</f>
        <v xml:space="preserve"> 
☯</v>
      </c>
      <c r="D22" s="427" t="s">
        <v>55</v>
      </c>
      <c r="E22" s="428"/>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427" t="s">
        <v>56</v>
      </c>
      <c r="P22" s="428"/>
      <c r="Q22" s="278">
        <v>10</v>
      </c>
      <c r="R22" s="279"/>
      <c r="S22" s="279"/>
      <c r="T22" s="279"/>
      <c r="U22" s="278">
        <f t="shared" si="8"/>
        <v>10</v>
      </c>
      <c r="V22" s="278">
        <f t="shared" si="9"/>
        <v>5</v>
      </c>
      <c r="W22" s="349">
        <f t="shared" si="10"/>
        <v>2</v>
      </c>
      <c r="X22" s="247"/>
      <c r="Y22" s="247"/>
      <c r="Z22" s="374"/>
      <c r="AA22" s="374"/>
      <c r="AB22" s="247"/>
      <c r="AC22" s="247"/>
      <c r="AD22" s="247"/>
      <c r="AE22" s="247"/>
    </row>
    <row r="23" spans="2:31" ht="15.6" x14ac:dyDescent="0.3">
      <c r="B23" s="270" t="s">
        <v>39</v>
      </c>
      <c r="C23" s="271" t="str">
        <f>IFERROR(IF(OR(COUNTIF(职业!$V$3:$V$11,$D23)=1,COUNTIF($AA$3:$AA$7,$D23)=1),"★",IF(COUNTIF(职业!$Y$3:$Z$3,$D23),"☆",IF(COUNTIF(职业!$Y$5:$Z$5,$D23),"⊙",IF(COUNTIF(职业!$Y$7:$Z$7,$D23),"※",IF(COUNTIF(职业!$Y$9:$AA$9,$D23),"×"," ")))))," ")</f>
        <v xml:space="preserve"> </v>
      </c>
      <c r="D23" s="423" t="s">
        <v>57</v>
      </c>
      <c r="E23" s="424"/>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25" t="s">
        <v>58</v>
      </c>
      <c r="P23" s="426"/>
      <c r="Q23" s="273">
        <v>5</v>
      </c>
      <c r="R23" s="274"/>
      <c r="S23" s="274"/>
      <c r="T23" s="274"/>
      <c r="U23" s="273">
        <f t="shared" si="8"/>
        <v>5</v>
      </c>
      <c r="V23" s="273">
        <f t="shared" si="9"/>
        <v>2</v>
      </c>
      <c r="W23" s="348">
        <f t="shared" si="10"/>
        <v>1</v>
      </c>
      <c r="X23" s="247"/>
      <c r="Y23" s="247"/>
      <c r="Z23" s="374"/>
      <c r="AA23" s="374"/>
      <c r="AB23" s="375"/>
      <c r="AC23" s="247"/>
      <c r="AD23" s="247"/>
      <c r="AE23" s="247"/>
    </row>
    <row r="24" spans="2:31" ht="15.6" x14ac:dyDescent="0.3">
      <c r="B24" s="275" t="s">
        <v>39</v>
      </c>
      <c r="C24" s="276" t="str">
        <f>IFERROR(IF(OR(COUNTIF(职业!$V$3:$V$11,$D24)=1,COUNTIF($AA$3:$AA$7,$D24)=1),"★",IF(COUNTIF(职业!$Y$3:$Z$3,$D24),"☆",IF(COUNTIF(职业!$Y$5:$Z$5,$D24),"⊙",IF(COUNTIF(职业!$Y$7:$Z$7,$D24),"※",IF(COUNTIF(职业!$Y$9:$AA$9,$D24),"×"," ")))))," ")</f>
        <v xml:space="preserve"> </v>
      </c>
      <c r="D24" s="427" t="s">
        <v>59</v>
      </c>
      <c r="E24" s="428"/>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27" t="s">
        <v>60</v>
      </c>
      <c r="P24" s="428"/>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x14ac:dyDescent="0.25">
      <c r="B25" s="270"/>
      <c r="C25" s="271" t="s">
        <v>61</v>
      </c>
      <c r="D25" s="423" t="s">
        <v>62</v>
      </c>
      <c r="E25" s="424"/>
      <c r="F25" s="273">
        <v>0</v>
      </c>
      <c r="G25" s="274"/>
      <c r="H25" s="274">
        <v>45</v>
      </c>
      <c r="I25" s="274"/>
      <c r="J25" s="273">
        <f t="shared" si="5"/>
        <v>45</v>
      </c>
      <c r="K25" s="273">
        <f t="shared" si="6"/>
        <v>22</v>
      </c>
      <c r="L25" s="329">
        <f t="shared" si="7"/>
        <v>9</v>
      </c>
      <c r="M25" s="272" t="s">
        <v>39</v>
      </c>
      <c r="N25" s="271" t="str">
        <f>IFERROR(IF(OR(COUNTIF(职业!$V$3:$V$11,$O25)=1,COUNTIF($AA$3:$AA$7,$O25)=1),"★",IF(COUNTIF(职业!$Y$3:$Z$3,$O25),"☆",IF(COUNTIF(职业!$Y$5:$Z$5,$O25),"⊙",IF(COUNTIF(职业!$Y$7:$Z$7,$O25),"※",IF(COUNTIF(职业!$Y$9:$AA$9,$O25),"×"," ")))))," ")&amp;CHAR(10)&amp;IF($K$9=" "," ","☯")</f>
        <v xml:space="preserve"> 
☯</v>
      </c>
      <c r="O25" s="425" t="s">
        <v>63</v>
      </c>
      <c r="P25" s="426"/>
      <c r="Q25" s="273">
        <v>10</v>
      </c>
      <c r="R25" s="274"/>
      <c r="S25" s="274"/>
      <c r="T25" s="274"/>
      <c r="U25" s="273">
        <f t="shared" si="8"/>
        <v>10</v>
      </c>
      <c r="V25" s="273">
        <f t="shared" si="9"/>
        <v>5</v>
      </c>
      <c r="W25" s="348">
        <f t="shared" si="10"/>
        <v>2</v>
      </c>
      <c r="X25" s="247"/>
      <c r="Y25" s="247"/>
      <c r="Z25" s="374"/>
      <c r="AA25" s="374"/>
      <c r="AB25" s="374"/>
      <c r="AC25" s="247"/>
      <c r="AD25" s="247"/>
      <c r="AE25" s="247"/>
    </row>
    <row r="26" spans="2:31" ht="15.6" x14ac:dyDescent="0.25">
      <c r="B26" s="275"/>
      <c r="C26" s="276" t="str">
        <f>IFERROR(IF(OR(COUNTIF(职业!$V$3:$V$11,$D26)=1,COUNTIF($AA$3:$AA$7,$D26)=1),"★",IF(COUNTIF(职业!$Y$3:$Z$3,$D26),"☆",IF(COUNTIF(职业!$Y$5:$Z$5,$D26),"⊙",IF(COUNTIF(职业!$Y$7:$Z$7,$D26),"※",IF(COUNTIF(职业!$Y$9:$AA$9,$D26),"×"," ")))))," ")</f>
        <v xml:space="preserve"> </v>
      </c>
      <c r="D26" s="427" t="s">
        <v>64</v>
      </c>
      <c r="E26" s="428"/>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x14ac:dyDescent="0.25">
      <c r="B27" s="270" t="s">
        <v>39</v>
      </c>
      <c r="C27" s="271" t="str">
        <f>IFERROR(IF(OR(COUNTIF(职业!$V$3:$V$11,$D27)=1,COUNTIF($AA$3:$AA$7,$D27)=1),"★",IF(COUNTIF(职业!$Y$3:$Z$3,$D27),"☆",IF(COUNTIF(职业!$Y$5:$Z$5,$D27),"⊙",IF(COUNTIF(职业!$Y$7:$Z$7,$D27),"※",IF(COUNTIF(职业!$Y$9:$AA$9,$D27),"×"," ")))))," ")</f>
        <v>☆</v>
      </c>
      <c r="D27" s="423" t="s">
        <v>67</v>
      </c>
      <c r="E27" s="424"/>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25" t="s">
        <v>68</v>
      </c>
      <c r="P27" s="426"/>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x14ac:dyDescent="0.25">
      <c r="B28" s="275" t="s">
        <v>39</v>
      </c>
      <c r="C28" s="276" t="str">
        <f>IFERROR(IF(OR(COUNTIF(职业!$V$3:$V$11,$D28)=1,COUNTIF($AA$3:$AA$7,$D28)=1),"★",IF(COUNTIF(职业!$Y$3:$Z$3,$D28),"☆",IF(COUNTIF(职业!$Y$5:$Z$5,$D28),"⊙",IF(COUNTIF(职业!$Y$7:$Z$7,$D28),"※",IF(COUNTIF(职业!$Y$9:$AA$9,$D28),"×"," ")))))," ")</f>
        <v xml:space="preserve"> </v>
      </c>
      <c r="D28" s="427" t="s">
        <v>69</v>
      </c>
      <c r="E28" s="428"/>
      <c r="F28" s="278">
        <f>INT(M3/2)</f>
        <v>22</v>
      </c>
      <c r="G28" s="279"/>
      <c r="H28" s="279">
        <v>40</v>
      </c>
      <c r="I28" s="279"/>
      <c r="J28" s="278">
        <f t="shared" si="5"/>
        <v>62</v>
      </c>
      <c r="K28" s="278">
        <f t="shared" si="6"/>
        <v>31</v>
      </c>
      <c r="L28" s="330">
        <f t="shared" si="7"/>
        <v>12</v>
      </c>
      <c r="M28" s="277" t="s">
        <v>39</v>
      </c>
      <c r="N28" s="276" t="str">
        <f>IFERROR(IF(OR(COUNTIF(职业!$V$3:$V$11,$O28)=1,COUNTIF($AA$3:$AA$7,$O28)=1),"★",IF(COUNTIF(职业!$Y$3:$Z$3,$O28),"☆",IF(COUNTIF(职业!$Y$5:$Z$5,$O28),"⊙",IF(COUNTIF(职业!$Y$7:$Z$7,$O28),"※",IF(COUNTIF(职业!$Y$9:$AA$9,$O28),"×"," ")))))," ")</f>
        <v>★</v>
      </c>
      <c r="O28" s="427" t="s">
        <v>70</v>
      </c>
      <c r="P28" s="428"/>
      <c r="Q28" s="278">
        <v>10</v>
      </c>
      <c r="R28" s="279"/>
      <c r="S28" s="279"/>
      <c r="T28" s="279"/>
      <c r="U28" s="278">
        <f t="shared" si="8"/>
        <v>10</v>
      </c>
      <c r="V28" s="278">
        <f t="shared" si="9"/>
        <v>5</v>
      </c>
      <c r="W28" s="349">
        <f t="shared" si="10"/>
        <v>2</v>
      </c>
      <c r="Z28" s="376"/>
      <c r="AA28" s="376"/>
      <c r="AB28" s="376"/>
    </row>
    <row r="29" spans="2:31" ht="15.6" x14ac:dyDescent="0.25">
      <c r="B29" s="270" t="s">
        <v>39</v>
      </c>
      <c r="C29" s="271" t="str">
        <f>IFERROR(IF(OR(COUNTIF(职业!$V$3:$V$11,$D29)=1,COUNTIF($AA$3:$AA$7,$D29)=1),"★",IF(COUNTIF(职业!$Y$3:$Z$3,$D29),"☆",IF(COUNTIF(职业!$Y$5:$Z$5,$D29),"⊙",IF(COUNTIF(职业!$Y$7:$Z$7,$D29),"※",IF(COUNTIF(职业!$Y$9:$AA$9,$D29),"×"," ")))))," ")</f>
        <v xml:space="preserve"> </v>
      </c>
      <c r="D29" s="423" t="s">
        <v>71</v>
      </c>
      <c r="E29" s="424"/>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25" t="s">
        <v>72</v>
      </c>
      <c r="P29" s="426"/>
      <c r="Q29" s="273">
        <v>5</v>
      </c>
      <c r="R29" s="274"/>
      <c r="S29" s="274"/>
      <c r="T29" s="274"/>
      <c r="U29" s="273">
        <f t="shared" si="8"/>
        <v>5</v>
      </c>
      <c r="V29" s="273">
        <f t="shared" si="9"/>
        <v>2</v>
      </c>
      <c r="W29" s="348">
        <f t="shared" si="10"/>
        <v>1</v>
      </c>
      <c r="Z29" s="376"/>
    </row>
    <row r="30" spans="2:31" ht="15.6" x14ac:dyDescent="0.25">
      <c r="B30" s="275" t="s">
        <v>39</v>
      </c>
      <c r="C30" s="276" t="str">
        <f>IFERROR(IF(OR(COUNTIF(职业!$V$3:$V$11,$D30)=1,COUNTIF($AA$3:$AA$7,$D30)=1),"★",IF(COUNTIF(职业!$Y$3:$Z$3,$D30),"☆",IF(COUNTIF(职业!$Y$5:$Z$5,$D30),"⊙",IF(COUNTIF(职业!$Y$7:$Z$7,$D30),"※",IF(COUNTIF(职业!$Y$9:$AA$9,$D30),"×"," ")))))," ")</f>
        <v xml:space="preserve"> </v>
      </c>
      <c r="D30" s="427" t="s">
        <v>73</v>
      </c>
      <c r="E30" s="428"/>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5.6" x14ac:dyDescent="0.25">
      <c r="B31" s="270" t="s">
        <v>39</v>
      </c>
      <c r="C31" s="271" t="str">
        <f>IFERROR(IF(OR(COUNTIF(职业!$V$3:$V$11,$D31)=1,COUNTIF($AA$3:$AA$7,$D31)=1),"★",IF(COUNTIF(职业!$Y$3:$Z$3,$D31),"☆",IF(COUNTIF(职业!$Y$5:$Z$5,$D31),"⊙",IF(COUNTIF(职业!$Y$7:$Z$7,$D31),"※",IF(COUNTIF(职业!$Y$9:$AA$9,$D31),"×"," ")))))," ")</f>
        <v xml:space="preserve"> </v>
      </c>
      <c r="D31" s="423" t="s">
        <v>76</v>
      </c>
      <c r="E31" s="424"/>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5.6" x14ac:dyDescent="0.25">
      <c r="B32" s="275" t="s">
        <v>39</v>
      </c>
      <c r="C32" s="284" t="str">
        <f>IFERROR(IF(OR(COUNTIF(职业!$V$3:$V$11,$D32)=1,COUNTIF($AA$3:$AA$7,$D32)=1),"★",IF(COUNTIF(职业!$Y$3:$Z$3,$D32),"☆",IF(COUNTIF(职业!$Y$5:$Z$5,$D32),"⊙",IF(COUNTIF(职业!$Y$7:$Z$7,$D32),"※",IF(COUNTIF(职业!$Y$9:$AA$9,$D32),"×"," ")))))," ")&amp;CHAR(10)&amp;IF($K$9=" "," ","☯")</f>
        <v xml:space="preserve"> 
☯</v>
      </c>
      <c r="D32" s="427" t="s">
        <v>78</v>
      </c>
      <c r="E32" s="428"/>
      <c r="F32" s="278">
        <v>5</v>
      </c>
      <c r="G32" s="279"/>
      <c r="H32" s="279">
        <v>40</v>
      </c>
      <c r="I32" s="279"/>
      <c r="J32" s="278">
        <f t="shared" si="5"/>
        <v>45</v>
      </c>
      <c r="K32" s="278">
        <f t="shared" si="6"/>
        <v>22</v>
      </c>
      <c r="L32" s="330">
        <f t="shared" si="7"/>
        <v>9</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5.6" x14ac:dyDescent="0.25">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c r="J33" s="273">
        <f t="shared" si="5"/>
        <v>25</v>
      </c>
      <c r="K33" s="273">
        <f t="shared" si="6"/>
        <v>12</v>
      </c>
      <c r="L33" s="329">
        <f t="shared" si="7"/>
        <v>5</v>
      </c>
      <c r="M33" s="272" t="s">
        <v>39</v>
      </c>
      <c r="N33" s="271" t="str">
        <f>IFERROR(IF(OR(COUNTIF(职业!$V$3:$V$11,$O33)=1,COUNTIF($AA$3:$AA$7,$O33)=1),"★",IF(COUNTIF(职业!$Y$3:$Z$3,$O33),"☆",IF(COUNTIF(职业!$Y$5:$Z$5,$O33),"⊙",IF(COUNTIF(职业!$Y$7:$Z$7,$O33),"※",IF(COUNTIF(职业!$Y$9:$AA$9,$O33),"×"," ")))))," ")</f>
        <v xml:space="preserve"> </v>
      </c>
      <c r="O33" s="425" t="s">
        <v>82</v>
      </c>
      <c r="P33" s="426"/>
      <c r="Q33" s="273">
        <v>10</v>
      </c>
      <c r="R33" s="274"/>
      <c r="S33" s="274"/>
      <c r="T33" s="274"/>
      <c r="U33" s="273">
        <f t="shared" si="8"/>
        <v>10</v>
      </c>
      <c r="V33" s="273">
        <f t="shared" si="9"/>
        <v>5</v>
      </c>
      <c r="W33" s="348">
        <f t="shared" si="10"/>
        <v>2</v>
      </c>
    </row>
    <row r="34" spans="1:28" ht="15.6" x14ac:dyDescent="0.25">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v>
      </c>
      <c r="O34" s="427" t="s">
        <v>84</v>
      </c>
      <c r="P34" s="428"/>
      <c r="Q34" s="278">
        <v>25</v>
      </c>
      <c r="R34" s="279"/>
      <c r="S34" s="279">
        <v>40</v>
      </c>
      <c r="T34" s="279"/>
      <c r="U34" s="278">
        <f t="shared" si="8"/>
        <v>65</v>
      </c>
      <c r="V34" s="278">
        <f t="shared" si="9"/>
        <v>32</v>
      </c>
      <c r="W34" s="349">
        <f t="shared" si="10"/>
        <v>13</v>
      </c>
    </row>
    <row r="35" spans="1:28" ht="15.6" x14ac:dyDescent="0.25">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25" t="s">
        <v>86</v>
      </c>
      <c r="P35" s="426"/>
      <c r="Q35" s="273">
        <v>20</v>
      </c>
      <c r="R35" s="274"/>
      <c r="S35" s="274"/>
      <c r="T35" s="274"/>
      <c r="U35" s="273">
        <f t="shared" si="8"/>
        <v>20</v>
      </c>
      <c r="V35" s="273">
        <f t="shared" si="9"/>
        <v>10</v>
      </c>
      <c r="W35" s="348">
        <f t="shared" si="10"/>
        <v>4</v>
      </c>
    </row>
    <row r="36" spans="1:28" ht="16.5" customHeight="1" x14ac:dyDescent="0.25">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v>35</v>
      </c>
      <c r="I36" s="279"/>
      <c r="J36" s="278">
        <f t="shared" si="5"/>
        <v>55</v>
      </c>
      <c r="K36" s="278">
        <f t="shared" si="6"/>
        <v>27</v>
      </c>
      <c r="L36" s="330">
        <f t="shared" si="7"/>
        <v>11</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5.6" x14ac:dyDescent="0.25">
      <c r="A37" s="285"/>
      <c r="B37" s="270" t="s">
        <v>39</v>
      </c>
      <c r="C37" s="271" t="str">
        <f>IFERROR(IF(OR(COUNTIF(职业!$V$3:$V$11,$D37)=1,COUNTIF($AA$3:$AA$7,$D37)=1),"★",IF(COUNTIF(职业!$Y$3:$Z$3,$D37),"☆",IF(COUNTIF(职业!$Y$5:$Z$5,$D37),"⊙",IF(COUNTIF(职业!$Y$7:$Z$7,$D37),"※",IF(COUNTIF(职业!$Y$9:$AA$9,$D37),"×"," ")))))," ")</f>
        <v>★</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25" t="s">
        <v>91</v>
      </c>
      <c r="P37" s="426"/>
      <c r="Q37" s="273">
        <v>20</v>
      </c>
      <c r="R37" s="274"/>
      <c r="S37" s="274"/>
      <c r="T37" s="274"/>
      <c r="U37" s="273">
        <f t="shared" si="8"/>
        <v>20</v>
      </c>
      <c r="V37" s="273">
        <f t="shared" si="9"/>
        <v>10</v>
      </c>
      <c r="W37" s="348">
        <f t="shared" si="10"/>
        <v>4</v>
      </c>
    </row>
    <row r="38" spans="1:28" ht="16.5" customHeight="1" x14ac:dyDescent="0.25">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29" t="s">
        <v>93</v>
      </c>
      <c r="P38" s="430"/>
      <c r="Q38" s="278">
        <v>5</v>
      </c>
      <c r="R38" s="279"/>
      <c r="S38" s="279"/>
      <c r="T38" s="279"/>
      <c r="U38" s="278">
        <f t="shared" ref="U38:U43" si="11">SUM(Q38:T38)</f>
        <v>5</v>
      </c>
      <c r="V38" s="278">
        <f t="shared" ref="V38:V43" si="12">INT(U38/2)</f>
        <v>2</v>
      </c>
      <c r="W38" s="349">
        <f t="shared" ref="W38:W43" si="13">INT(U38/5)</f>
        <v>1</v>
      </c>
    </row>
    <row r="39" spans="1:28" ht="15.6" x14ac:dyDescent="0.25">
      <c r="B39" s="270" t="s">
        <v>39</v>
      </c>
      <c r="C39" s="271" t="str">
        <f>IFERROR(IF(OR(COUNTIF(职业!$V$3:$V$11,$D39)=1,COUNTIF($AA$3:$AA$7,$D39)=1),"★",IF(COUNTIF(职业!$Y$3:$Z$3,$D39),"☆",IF(COUNTIF(职业!$Y$5:$Z$5,$D39),"⊙",IF(COUNTIF(职业!$Y$7:$Z$7,$D39),"※",IF(COUNTIF(职业!$Y$9:$AA$9,$D39),"×"," ")))))," ")</f>
        <v xml:space="preserve"> </v>
      </c>
      <c r="D39" s="423" t="s">
        <v>94</v>
      </c>
      <c r="E39" s="424"/>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31" t="s">
        <v>95</v>
      </c>
      <c r="P39" s="432"/>
      <c r="Q39" s="273">
        <v>1</v>
      </c>
      <c r="R39" s="274"/>
      <c r="S39" s="274"/>
      <c r="T39" s="274"/>
      <c r="U39" s="273">
        <f t="shared" si="11"/>
        <v>1</v>
      </c>
      <c r="V39" s="273">
        <f t="shared" si="12"/>
        <v>0</v>
      </c>
      <c r="W39" s="348">
        <f t="shared" si="13"/>
        <v>0</v>
      </c>
      <c r="Z39" s="376"/>
      <c r="AA39" s="376"/>
      <c r="AB39" s="376"/>
    </row>
    <row r="40" spans="1:28" ht="15.6" x14ac:dyDescent="0.25">
      <c r="B40" s="275" t="s">
        <v>39</v>
      </c>
      <c r="C40" s="276" t="str">
        <f>IFERROR(IF(OR(COUNTIF(职业!$V$3:$V$11,$D40)=1,COUNTIF($AA$3:$AA$7,$D40)=1),"★",IF(COUNTIF(职业!$Y$3:$Z$3,$D40),"☆",IF(COUNTIF(职业!$Y$5:$Z$5,$D40),"⊙",IF(COUNTIF(职业!$Y$7:$Z$7,$D40),"※",IF(COUNTIF(职业!$Y$9:$AA$9,$D40),"×"," ")))))," ")</f>
        <v xml:space="preserve"> </v>
      </c>
      <c r="D40" s="427" t="s">
        <v>96</v>
      </c>
      <c r="E40" s="428"/>
      <c r="F40" s="278">
        <v>5</v>
      </c>
      <c r="G40" s="279"/>
      <c r="H40" s="279"/>
      <c r="I40" s="279">
        <v>30</v>
      </c>
      <c r="J40" s="278">
        <f t="shared" si="5"/>
        <v>35</v>
      </c>
      <c r="K40" s="278">
        <f t="shared" si="6"/>
        <v>17</v>
      </c>
      <c r="L40" s="330">
        <f t="shared" si="7"/>
        <v>7</v>
      </c>
      <c r="M40" s="277" t="s">
        <v>39</v>
      </c>
      <c r="N40" s="276" t="str">
        <f>IFERROR(IF(OR(COUNTIF(职业!$V$3:$V$11,$O40)=1,COUNTIF($AA$3:$AA$7,$O40)=1),"★",IF(COUNTIF(职业!$Y$3:$Z$3,$O40),"☆",IF(COUNTIF(职业!$Y$5:$Z$5,$O40),"⊙",IF(COUNTIF(职业!$Y$7:$Z$7,$O40),"※",IF(COUNTIF(职业!$Y$9:$AA$9,$O40),"×"," ")))))," ")</f>
        <v xml:space="preserve"> </v>
      </c>
      <c r="O40" s="429" t="s">
        <v>97</v>
      </c>
      <c r="P40" s="430"/>
      <c r="Q40" s="278">
        <v>1</v>
      </c>
      <c r="R40" s="279"/>
      <c r="S40" s="279"/>
      <c r="T40" s="279"/>
      <c r="U40" s="278">
        <f t="shared" si="11"/>
        <v>1</v>
      </c>
      <c r="V40" s="278">
        <f t="shared" si="12"/>
        <v>0</v>
      </c>
      <c r="W40" s="349">
        <f t="shared" si="13"/>
        <v>0</v>
      </c>
      <c r="Z40" s="376"/>
      <c r="AA40" s="376"/>
      <c r="AB40" s="376"/>
    </row>
    <row r="41" spans="1:28" ht="15.6" x14ac:dyDescent="0.25">
      <c r="B41" s="270" t="s">
        <v>39</v>
      </c>
      <c r="C41" s="271" t="str">
        <f>IFERROR(IF(OR(COUNTIF(职业!$V$3:$V$11,$D41)=1,COUNTIF($AA$3:$AA$7,$D41)=1),"★",IF(COUNTIF(职业!$Y$3:$Z$3,$D41),"☆",IF(COUNTIF(职业!$Y$5:$Z$5,$D41),"⊙",IF(COUNTIF(职业!$Y$7:$Z$7,$D41),"※",IF(COUNTIF(职业!$Y$9:$AA$9,$D41),"×"," ")))))," ")&amp;CHAR(10)&amp;IF($K$9=" "," ","☯")</f>
        <v xml:space="preserve"> 
☯</v>
      </c>
      <c r="D41" s="423" t="s">
        <v>98</v>
      </c>
      <c r="E41" s="424"/>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31" t="s">
        <v>99</v>
      </c>
      <c r="P41" s="432"/>
      <c r="Q41" s="273">
        <v>1</v>
      </c>
      <c r="R41" s="274"/>
      <c r="S41" s="274"/>
      <c r="T41" s="274"/>
      <c r="U41" s="273">
        <f t="shared" si="11"/>
        <v>1</v>
      </c>
      <c r="V41" s="273">
        <f t="shared" si="12"/>
        <v>0</v>
      </c>
      <c r="W41" s="348">
        <f t="shared" si="13"/>
        <v>0</v>
      </c>
      <c r="Z41" s="376"/>
      <c r="AA41" s="376"/>
      <c r="AB41" s="376"/>
    </row>
    <row r="42" spans="1:28" ht="15.6" x14ac:dyDescent="0.25">
      <c r="B42" s="275" t="s">
        <v>39</v>
      </c>
      <c r="C42" s="276" t="str">
        <f>IFERROR(IF(OR(COUNTIF(职业!$V$3:$V$11,$D42)=1,COUNTIF($AA$3:$AA$7,$D42)=1),"★",IF(COUNTIF(职业!$Y$3:$Z$3,$D42),"☆",IF(COUNTIF(职业!$Y$5:$Z$5,$D42),"⊙",IF(COUNTIF(职业!$Y$7:$Z$7,$D42),"※",IF(COUNTIF(职业!$Y$9:$AA$9,$D42),"×"," ")))))," ")</f>
        <v xml:space="preserve"> </v>
      </c>
      <c r="D42" s="427" t="s">
        <v>100</v>
      </c>
      <c r="E42" s="428"/>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29" t="s">
        <v>101</v>
      </c>
      <c r="P42" s="430"/>
      <c r="Q42" s="278">
        <v>1</v>
      </c>
      <c r="R42" s="279"/>
      <c r="S42" s="279"/>
      <c r="T42" s="279"/>
      <c r="U42" s="278">
        <f t="shared" si="11"/>
        <v>1</v>
      </c>
      <c r="V42" s="278">
        <f t="shared" si="12"/>
        <v>0</v>
      </c>
      <c r="W42" s="349">
        <f t="shared" si="13"/>
        <v>0</v>
      </c>
      <c r="Z42" s="376"/>
      <c r="AA42" s="376"/>
      <c r="AB42" s="376"/>
    </row>
    <row r="43" spans="1:28" ht="16.5" customHeight="1" x14ac:dyDescent="0.25">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31" t="s">
        <v>103</v>
      </c>
      <c r="P43" s="432"/>
      <c r="Q43" s="273">
        <v>1</v>
      </c>
      <c r="R43" s="274"/>
      <c r="S43" s="274"/>
      <c r="T43" s="274"/>
      <c r="U43" s="273">
        <f t="shared" si="11"/>
        <v>1</v>
      </c>
      <c r="V43" s="273">
        <f t="shared" si="12"/>
        <v>0</v>
      </c>
      <c r="W43" s="348">
        <f t="shared" si="13"/>
        <v>0</v>
      </c>
      <c r="Z43" s="376"/>
      <c r="AA43" s="376"/>
      <c r="AB43" s="376"/>
    </row>
    <row r="44" spans="1:28" ht="15.6" x14ac:dyDescent="0.25">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25">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33" t="str">
        <f>IF(OR(O44="",O44="可自设"),"","可自设")</f>
        <v>可自设</v>
      </c>
      <c r="P45" s="434"/>
      <c r="Q45" s="274"/>
      <c r="R45" s="274"/>
      <c r="S45" s="274"/>
      <c r="T45" s="274"/>
      <c r="U45" s="273" t="str">
        <f>IF(SUM(Q45:T45)&lt;&gt;0,SUM(Q45:T45),"")</f>
        <v/>
      </c>
      <c r="V45" s="273" t="str">
        <f>IF(U45="","",INT(U45/2))</f>
        <v/>
      </c>
      <c r="W45" s="348" t="str">
        <f>IF(U45="","",INT(U45/5))</f>
        <v/>
      </c>
      <c r="Z45" s="376"/>
      <c r="AA45" s="376"/>
      <c r="AB45" s="376"/>
    </row>
    <row r="46" spans="1:28" ht="15.6" x14ac:dyDescent="0.25">
      <c r="B46" s="275" t="s">
        <v>39</v>
      </c>
      <c r="C46" s="276" t="str">
        <f>IFERROR(IF(OR(COUNTIF(职业!$V$3:$V$11,$D46)=1,COUNTIF($AA$3:$AA$7,$D46)=1),"★",IF(COUNTIF(职业!$Y$3:$Z$3,$D46),"☆",IF(COUNTIF(职业!$Y$5:$Z$5,$D46),"⊙",IF(COUNTIF(职业!$Y$7:$Z$7,$D46),"※",IF(COUNTIF(职业!$Y$9:$AA$9,$D46),"×"," ")))))," ")</f>
        <v xml:space="preserve"> </v>
      </c>
      <c r="D46" s="296" t="s">
        <v>107</v>
      </c>
      <c r="E46" s="297"/>
      <c r="F46" s="278">
        <f>P5</f>
        <v>90</v>
      </c>
      <c r="G46" s="279"/>
      <c r="H46" s="279"/>
      <c r="I46" s="279"/>
      <c r="J46" s="278">
        <f t="shared" si="5"/>
        <v>90</v>
      </c>
      <c r="K46" s="278">
        <f t="shared" si="6"/>
        <v>45</v>
      </c>
      <c r="L46" s="330">
        <f t="shared" si="7"/>
        <v>18</v>
      </c>
      <c r="M46" s="277" t="s">
        <v>39</v>
      </c>
      <c r="N46" s="276" t="str">
        <f>(IF(N45="","",IF(OR(O46="",O46="可自设"),"","自设")))</f>
        <v/>
      </c>
      <c r="O46" s="435" t="str">
        <f>IF(OR(O45="",O45="可自设"),"","可自设")</f>
        <v/>
      </c>
      <c r="P46" s="436"/>
      <c r="Q46" s="279"/>
      <c r="R46" s="279"/>
      <c r="S46" s="279"/>
      <c r="T46" s="279"/>
      <c r="U46" s="278" t="str">
        <f>IF(SUM(Q46:T46)&lt;&gt;0,SUM(Q46:T46),"")</f>
        <v/>
      </c>
      <c r="V46" s="278" t="str">
        <f>IF(U46="","",INT(U46/2))</f>
        <v/>
      </c>
      <c r="W46" s="349" t="str">
        <f>IF(U46="","",INT(U46/5))</f>
        <v/>
      </c>
      <c r="Z46" s="376"/>
      <c r="AA46" s="376"/>
      <c r="AB46" s="376"/>
    </row>
    <row r="47" spans="1:28" ht="15.6" x14ac:dyDescent="0.25">
      <c r="B47" s="270" t="s">
        <v>39</v>
      </c>
      <c r="C47" s="271" t="str">
        <f>IFERROR(IF(OR(COUNTIF(职业!$V$3:$V$11,$D47)=1,COUNTIF($AA$3:$AA$7,$D47)=1),"★",IF(COUNTIF(职业!$Y$3:$Z$3,$D47),"☆",IF(COUNTIF(职业!$Y$5:$Z$5,$D47),"⊙",IF(COUNTIF(职业!$Y$7:$Z$7,$D47),"※",IF(COUNTIF(职业!$Y$9:$AA$9,$D47),"×"," ")))))," ")</f>
        <v xml:space="preserve"> </v>
      </c>
      <c r="D47" s="423" t="s">
        <v>108</v>
      </c>
      <c r="E47" s="424"/>
      <c r="F47" s="273">
        <v>20</v>
      </c>
      <c r="G47" s="274"/>
      <c r="H47" s="274"/>
      <c r="I47" s="274"/>
      <c r="J47" s="273">
        <f t="shared" si="5"/>
        <v>20</v>
      </c>
      <c r="K47" s="273">
        <f t="shared" si="6"/>
        <v>10</v>
      </c>
      <c r="L47" s="329">
        <f t="shared" si="7"/>
        <v>4</v>
      </c>
      <c r="M47" s="272" t="s">
        <v>39</v>
      </c>
      <c r="N47" s="335" t="str">
        <f>(IF(N46="","",IF(OR(O47="",O47="可自设"),"","自设")))</f>
        <v/>
      </c>
      <c r="O47" s="433" t="str">
        <f>IF(OR(O46="",O46="可自设"),"","可自设")</f>
        <v/>
      </c>
      <c r="P47" s="434"/>
      <c r="Q47" s="274"/>
      <c r="R47" s="274"/>
      <c r="S47" s="274"/>
      <c r="T47" s="274"/>
      <c r="U47" s="273" t="str">
        <f>IF(SUM(Q47:T47)&lt;&gt;0,SUM(Q47:T47),"")</f>
        <v/>
      </c>
      <c r="V47" s="273" t="str">
        <f>IF(U47="","",INT(U47/2))</f>
        <v/>
      </c>
      <c r="W47" s="348" t="str">
        <f>IF(U47="","",INT(U47/5))</f>
        <v/>
      </c>
      <c r="Z47" s="376"/>
      <c r="AA47" s="376"/>
      <c r="AB47" s="376"/>
    </row>
    <row r="48" spans="1:28" ht="15.6" x14ac:dyDescent="0.25">
      <c r="B48" s="300" t="s">
        <v>39</v>
      </c>
      <c r="C48" s="301" t="str">
        <f>IFERROR(IF(OR(COUNTIF(职业!$V$3:$V$11,$D48)=1,COUNTIF($AA$3:$AA$7,$D48)=1),"★",IF(COUNTIF(职业!$Y$3:$Z$3,$D48),"☆",IF(COUNTIF(职业!$Y$5:$Z$5,$D48),"⊙",IF(COUNTIF(职业!$Y$7:$Z$7,$D48),"※",IF(COUNTIF(职业!$Y$9:$AA$9,$D48),"×"," ")))))," ")</f>
        <v xml:space="preserve"> </v>
      </c>
      <c r="D48" s="437" t="s">
        <v>109</v>
      </c>
      <c r="E48" s="438"/>
      <c r="F48" s="303">
        <v>10</v>
      </c>
      <c r="G48" s="304"/>
      <c r="H48" s="304">
        <v>30</v>
      </c>
      <c r="I48" s="304"/>
      <c r="J48" s="303">
        <f t="shared" si="5"/>
        <v>40</v>
      </c>
      <c r="K48" s="303">
        <f t="shared" si="6"/>
        <v>20</v>
      </c>
      <c r="L48" s="336">
        <f t="shared" si="7"/>
        <v>8</v>
      </c>
      <c r="M48" s="302" t="s">
        <v>39</v>
      </c>
      <c r="N48" s="301" t="str">
        <f>(IF(N47="","",IF(OR(O48="",O48="可自设"),"","自设")))</f>
        <v/>
      </c>
      <c r="O48" s="439" t="str">
        <f>IF(OR(O47="",O47="可自设"),"","可自设")</f>
        <v/>
      </c>
      <c r="P48" s="440"/>
      <c r="Q48" s="304"/>
      <c r="R48" s="304"/>
      <c r="S48" s="304"/>
      <c r="T48" s="304"/>
      <c r="U48" s="303" t="str">
        <f>IF(SUM(Q48:T48)&lt;&gt;0,SUM(Q48:T48),"")</f>
        <v/>
      </c>
      <c r="V48" s="303" t="str">
        <f>IF(U48="","",INT(U48/2))</f>
        <v/>
      </c>
      <c r="W48" s="350" t="str">
        <f>IF(U48="","",INT(U48/5))</f>
        <v/>
      </c>
      <c r="Z48" s="376"/>
      <c r="AA48" s="376"/>
      <c r="AB48" s="376"/>
    </row>
    <row r="49" spans="2:28" ht="15.6" x14ac:dyDescent="0.25">
      <c r="B49" s="305" t="str">
        <f>IF(F5=0," ","职业信用范围："&amp;LOOKUP(F5,职业列表!A2:A117,职业列表!D2:D117))</f>
        <v>职业信用范围：20-50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x14ac:dyDescent="0.25">
      <c r="B50" s="441" t="s">
        <v>110</v>
      </c>
      <c r="C50" s="442"/>
      <c r="D50" s="442"/>
      <c r="E50" s="442"/>
      <c r="F50" s="442"/>
      <c r="G50" s="442"/>
      <c r="H50" s="442"/>
      <c r="I50" s="442"/>
      <c r="J50" s="442"/>
      <c r="K50" s="442"/>
      <c r="L50" s="442"/>
      <c r="M50" s="442"/>
      <c r="N50" s="442"/>
      <c r="O50" s="442"/>
      <c r="P50" s="442"/>
      <c r="Q50" s="442"/>
      <c r="R50" s="443"/>
      <c r="T50" s="444" t="s">
        <v>111</v>
      </c>
      <c r="U50" s="445"/>
      <c r="V50" s="445"/>
      <c r="W50" s="446"/>
      <c r="Z50" s="376"/>
      <c r="AA50" s="376"/>
      <c r="AB50" s="376"/>
    </row>
    <row r="51" spans="2:28" ht="16.5" customHeight="1" x14ac:dyDescent="0.25">
      <c r="B51" s="447" t="s">
        <v>112</v>
      </c>
      <c r="C51" s="448"/>
      <c r="D51" s="306" t="s">
        <v>113</v>
      </c>
      <c r="E51" s="306" t="s">
        <v>114</v>
      </c>
      <c r="F51" s="449" t="s">
        <v>38</v>
      </c>
      <c r="G51" s="450"/>
      <c r="H51" s="448"/>
      <c r="I51" s="449" t="s">
        <v>115</v>
      </c>
      <c r="J51" s="448"/>
      <c r="K51" s="451" t="s">
        <v>116</v>
      </c>
      <c r="L51" s="452"/>
      <c r="M51" s="318" t="s">
        <v>117</v>
      </c>
      <c r="N51" s="451" t="s">
        <v>118</v>
      </c>
      <c r="O51" s="452"/>
      <c r="P51" s="451" t="s">
        <v>119</v>
      </c>
      <c r="Q51" s="452"/>
      <c r="R51" s="352" t="s">
        <v>120</v>
      </c>
      <c r="S51" s="353"/>
      <c r="T51" s="684" t="s">
        <v>121</v>
      </c>
      <c r="U51" s="685"/>
      <c r="V51" s="688" t="str">
        <f>LOOKUP(J3+J7,附表!A2:A32,附表!B2:B32)</f>
        <v>+1D4</v>
      </c>
      <c r="W51" s="689"/>
      <c r="Z51" s="376"/>
      <c r="AA51" s="376"/>
      <c r="AB51" s="376"/>
    </row>
    <row r="52" spans="2:28" ht="15.6" x14ac:dyDescent="0.25">
      <c r="B52" s="453" t="s">
        <v>122</v>
      </c>
      <c r="C52" s="454"/>
      <c r="D52" s="307" t="s">
        <v>123</v>
      </c>
      <c r="E52" s="307" t="s">
        <v>81</v>
      </c>
      <c r="F52" s="308">
        <f>J33</f>
        <v>25</v>
      </c>
      <c r="G52" s="307">
        <f>INT(F52/2)</f>
        <v>12</v>
      </c>
      <c r="H52" s="307">
        <f>INT(F52/5)</f>
        <v>5</v>
      </c>
      <c r="I52" s="455" t="s">
        <v>124</v>
      </c>
      <c r="J52" s="454"/>
      <c r="K52" s="455" t="s">
        <v>65</v>
      </c>
      <c r="L52" s="454"/>
      <c r="M52" s="307" t="s">
        <v>125</v>
      </c>
      <c r="N52" s="455">
        <v>1</v>
      </c>
      <c r="O52" s="454"/>
      <c r="P52" s="455" t="s">
        <v>65</v>
      </c>
      <c r="Q52" s="454"/>
      <c r="R52" s="354" t="s">
        <v>65</v>
      </c>
      <c r="S52" s="355"/>
      <c r="T52" s="686"/>
      <c r="U52" s="687"/>
      <c r="V52" s="690"/>
      <c r="W52" s="691"/>
      <c r="Z52" s="376"/>
      <c r="AA52" s="376"/>
      <c r="AB52" s="376"/>
    </row>
    <row r="53" spans="2:28" ht="16.5" customHeight="1" x14ac:dyDescent="0.25">
      <c r="B53" s="456" t="str">
        <f>IF(D53="","",D53)</f>
        <v>.45 自动手枪</v>
      </c>
      <c r="C53" s="457"/>
      <c r="D53" s="309" t="s">
        <v>697</v>
      </c>
      <c r="E53" s="310" t="str">
        <f>IF($D53=0,"请选择类型",VLOOKUP($D53,武器列表!$B$3:$I$106,2,FALSE))</f>
        <v>手枪</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55</v>
      </c>
      <c r="G53" s="311">
        <f>IF(F53="","",INT(F53/2))</f>
        <v>27</v>
      </c>
      <c r="H53" s="311">
        <f>IF(F53="","",INT(F53/5))</f>
        <v>11</v>
      </c>
      <c r="I53" s="458" t="str">
        <f>IF($D53=0,"",VLOOKUP($D53,武器列表!$B$3:$I$106,3,FALSE))</f>
        <v>1D10+2</v>
      </c>
      <c r="J53" s="459"/>
      <c r="K53" s="460" t="str">
        <f>IF($D53=0,"",VLOOKUP($D53,武器列表!$B$3:$I$106,4,FALSE))</f>
        <v>15</v>
      </c>
      <c r="L53" s="461"/>
      <c r="M53" s="338" t="str">
        <f>IF($D53=0,"",VLOOKUP($D53,武器列表!$B$3:$I$106,5,FALSE))</f>
        <v>√</v>
      </c>
      <c r="N53" s="460" t="str">
        <f>IF($D53=0,"",VLOOKUP($D53,武器列表!$B$3:$I$106,6,FALSE))</f>
        <v>1(3)</v>
      </c>
      <c r="O53" s="461"/>
      <c r="P53" s="460" t="str">
        <f>IF($D53=0,"",VLOOKUP($D53,武器列表!$B$3:$I$106,7,FALSE))</f>
        <v>7</v>
      </c>
      <c r="Q53" s="461"/>
      <c r="R53" s="356" t="str">
        <f>IF($D53=0,"",VLOOKUP($D53,武器列表!$B$3:$I$106,8,FALSE))</f>
        <v>100</v>
      </c>
      <c r="S53" s="355"/>
      <c r="T53" s="678" t="s">
        <v>126</v>
      </c>
      <c r="U53" s="679"/>
      <c r="V53" s="680">
        <f>LOOKUP(J3+J7,附表!A2:A32,附表!C2:C32)</f>
        <v>1</v>
      </c>
      <c r="W53" s="681"/>
      <c r="Z53" s="376"/>
      <c r="AA53" s="376"/>
      <c r="AB53" s="376"/>
    </row>
    <row r="54" spans="2:28" ht="15.6" x14ac:dyDescent="0.25">
      <c r="B54" s="462" t="str">
        <f>IF(D54="","",D54)</f>
        <v/>
      </c>
      <c r="C54" s="463"/>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64" t="str">
        <f>IF($D54=0,"",VLOOKUP($D54,武器列表!$B$3:$I$106,3,FALSE))</f>
        <v/>
      </c>
      <c r="J54" s="465"/>
      <c r="K54" s="455" t="str">
        <f>IF($D54=0,"",VLOOKUP($D54,武器列表!$B$3:$I$106,4,FALSE))</f>
        <v/>
      </c>
      <c r="L54" s="454"/>
      <c r="M54" s="307" t="str">
        <f>IF($D54=0,"",VLOOKUP($D54,武器列表!$B$3:$I$106,5,FALSE))</f>
        <v/>
      </c>
      <c r="N54" s="455" t="str">
        <f>IF($D54=0,"",VLOOKUP($D54,武器列表!$B$3:$I$106,6,FALSE))</f>
        <v/>
      </c>
      <c r="O54" s="454"/>
      <c r="P54" s="455" t="str">
        <f>IF($D54=0,"",VLOOKUP($D54,武器列表!$B$3:$I$106,7,FALSE))</f>
        <v/>
      </c>
      <c r="Q54" s="454"/>
      <c r="R54" s="354" t="str">
        <f>IF($D54=0,"",VLOOKUP($D54,武器列表!$B$3:$I$106,8,FALSE))</f>
        <v/>
      </c>
      <c r="S54" s="355"/>
      <c r="T54" s="678"/>
      <c r="U54" s="679"/>
      <c r="V54" s="682"/>
      <c r="W54" s="683"/>
      <c r="Z54" s="376"/>
      <c r="AA54" s="376"/>
      <c r="AB54" s="376"/>
    </row>
    <row r="55" spans="2:28" ht="16.5" customHeight="1" x14ac:dyDescent="0.25">
      <c r="B55" s="456" t="str">
        <f>IF(D55="","",D55)</f>
        <v/>
      </c>
      <c r="C55" s="457"/>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58" t="str">
        <f>IF($D55=0,"",VLOOKUP($D55,武器列表!$B$3:$I$106,3,FALSE))</f>
        <v/>
      </c>
      <c r="J55" s="459"/>
      <c r="K55" s="460" t="str">
        <f>IF($D55=0,"",VLOOKUP($D55,武器列表!$B$3:$I$106,4,FALSE))</f>
        <v/>
      </c>
      <c r="L55" s="461"/>
      <c r="M55" s="338" t="str">
        <f>IF($D55=0,"",VLOOKUP($D55,武器列表!$B$3:$I$106,5,FALSE))</f>
        <v/>
      </c>
      <c r="N55" s="460" t="str">
        <f>IF($D55=0,"",VLOOKUP($D55,武器列表!$B$3:$I$106,6,FALSE))</f>
        <v/>
      </c>
      <c r="O55" s="461"/>
      <c r="P55" s="460" t="str">
        <f>IF($D55=0,"",VLOOKUP($D55,武器列表!$B$3:$I$106,7,FALSE))</f>
        <v/>
      </c>
      <c r="Q55" s="461"/>
      <c r="R55" s="356" t="str">
        <f>IF($D55=0,"",VLOOKUP($D55,武器列表!$B$3:$I$106,8,FALSE))</f>
        <v/>
      </c>
      <c r="S55" s="355"/>
      <c r="T55" s="692" t="s">
        <v>127</v>
      </c>
      <c r="U55" s="693"/>
      <c r="V55" s="589">
        <f>J28</f>
        <v>62</v>
      </c>
      <c r="W55" s="357">
        <f>K28</f>
        <v>31</v>
      </c>
      <c r="Z55" s="376"/>
      <c r="AA55" s="376"/>
      <c r="AB55" s="376"/>
    </row>
    <row r="56" spans="2:28" ht="15.6" x14ac:dyDescent="0.25">
      <c r="B56" s="466"/>
      <c r="C56" s="467"/>
      <c r="D56" s="312"/>
      <c r="E56" s="312"/>
      <c r="F56" s="312"/>
      <c r="G56" s="314" t="str">
        <f>IF(F56="","",INT(F56/2))</f>
        <v/>
      </c>
      <c r="H56" s="315" t="str">
        <f>IF(F56="","",INT(F56/5))</f>
        <v/>
      </c>
      <c r="I56" s="468"/>
      <c r="J56" s="467"/>
      <c r="K56" s="468"/>
      <c r="L56" s="467"/>
      <c r="M56" s="312"/>
      <c r="N56" s="468"/>
      <c r="O56" s="467"/>
      <c r="P56" s="468"/>
      <c r="Q56" s="467"/>
      <c r="R56" s="358"/>
      <c r="S56" s="355"/>
      <c r="T56" s="686"/>
      <c r="U56" s="687"/>
      <c r="V56" s="590"/>
      <c r="W56" s="357">
        <f>L28</f>
        <v>12</v>
      </c>
      <c r="Z56" s="376"/>
      <c r="AA56" s="376"/>
      <c r="AB56" s="376"/>
    </row>
    <row r="57" spans="2:28" ht="16.5" customHeight="1" x14ac:dyDescent="0.25">
      <c r="B57" s="469"/>
      <c r="C57" s="470"/>
      <c r="D57" s="316"/>
      <c r="E57" s="316"/>
      <c r="F57" s="316"/>
      <c r="G57" s="317" t="str">
        <f>IF(F57="","",INT(F57/2))</f>
        <v/>
      </c>
      <c r="H57" s="317" t="str">
        <f>IF(F57="","",INT(F57/5))</f>
        <v/>
      </c>
      <c r="I57" s="471"/>
      <c r="J57" s="470"/>
      <c r="K57" s="471"/>
      <c r="L57" s="470"/>
      <c r="M57" s="316"/>
      <c r="N57" s="471"/>
      <c r="O57" s="470"/>
      <c r="P57" s="471"/>
      <c r="Q57" s="470"/>
      <c r="R57" s="359"/>
      <c r="S57" s="355"/>
      <c r="T57" s="472" t="s">
        <v>128</v>
      </c>
      <c r="U57" s="473"/>
      <c r="V57" s="474">
        <v>0</v>
      </c>
      <c r="W57" s="475"/>
      <c r="Z57" s="376"/>
      <c r="AA57" s="376"/>
      <c r="AB57" s="376"/>
    </row>
    <row r="58" spans="2:28" ht="15.6" x14ac:dyDescent="0.25">
      <c r="B58" s="476" t="s">
        <v>129</v>
      </c>
      <c r="C58" s="476"/>
      <c r="D58" s="476"/>
      <c r="E58" s="476"/>
      <c r="F58" s="476"/>
      <c r="G58" s="476"/>
      <c r="H58" s="476"/>
      <c r="I58" s="476"/>
      <c r="J58" s="476"/>
      <c r="K58" s="476"/>
      <c r="L58" s="476"/>
      <c r="M58" s="476"/>
      <c r="N58" s="476"/>
      <c r="O58" s="476"/>
      <c r="P58" s="476"/>
      <c r="Q58" s="476"/>
      <c r="R58" s="476"/>
      <c r="S58" s="476"/>
      <c r="T58" s="476"/>
      <c r="U58" s="476"/>
      <c r="V58" s="476"/>
      <c r="W58" s="476"/>
      <c r="Z58" s="376"/>
      <c r="AA58" s="376"/>
      <c r="AB58" s="376"/>
    </row>
    <row r="59" spans="2:28" ht="15.6" x14ac:dyDescent="0.25">
      <c r="B59" s="389" t="s">
        <v>130</v>
      </c>
      <c r="C59" s="390"/>
      <c r="D59" s="390"/>
      <c r="E59" s="390"/>
      <c r="F59" s="390"/>
      <c r="G59" s="390"/>
      <c r="H59" s="390"/>
      <c r="I59" s="390"/>
      <c r="J59" s="391"/>
      <c r="L59" s="477" t="s">
        <v>131</v>
      </c>
      <c r="M59" s="478"/>
      <c r="N59" s="478"/>
      <c r="O59" s="478"/>
      <c r="P59" s="478"/>
      <c r="Q59" s="478"/>
      <c r="R59" s="478"/>
      <c r="S59" s="478"/>
      <c r="T59" s="478"/>
      <c r="U59" s="478"/>
      <c r="V59" s="478"/>
      <c r="W59" s="479"/>
      <c r="Z59" s="376"/>
      <c r="AA59" s="376"/>
      <c r="AB59" s="376"/>
    </row>
    <row r="60" spans="2:28" ht="15.6" x14ac:dyDescent="0.25">
      <c r="B60" s="480" t="s">
        <v>62</v>
      </c>
      <c r="C60" s="481"/>
      <c r="D60" s="318" t="s">
        <v>132</v>
      </c>
      <c r="E60" s="482" t="s">
        <v>133</v>
      </c>
      <c r="F60" s="483"/>
      <c r="G60" s="484" t="s">
        <v>134</v>
      </c>
      <c r="H60" s="481"/>
      <c r="I60" s="485" t="s">
        <v>135</v>
      </c>
      <c r="J60" s="486"/>
      <c r="L60" s="603" t="s">
        <v>136</v>
      </c>
      <c r="M60" s="604"/>
      <c r="N60" s="869" t="s">
        <v>1287</v>
      </c>
      <c r="O60" s="660"/>
      <c r="P60" s="660"/>
      <c r="Q60" s="660"/>
      <c r="R60" s="660"/>
      <c r="S60" s="660"/>
      <c r="T60" s="660"/>
      <c r="U60" s="660"/>
      <c r="V60" s="660"/>
      <c r="W60" s="661"/>
      <c r="Z60" s="376"/>
      <c r="AA60" s="376"/>
      <c r="AB60" s="376"/>
    </row>
    <row r="61" spans="2:28" ht="15.6" x14ac:dyDescent="0.25">
      <c r="B61" s="453" t="str">
        <f>J25&amp;"%/"&amp;K25&amp;"%/"&amp;L25&amp;"%"</f>
        <v>45%/22%/9%</v>
      </c>
      <c r="C61" s="454"/>
      <c r="D61" s="307" t="str">
        <f>LOOKUP(J25,{0,1,10,50,90,99},{"身无分文","贫穷","标准","小康","富裕","富豪"})</f>
        <v>标准</v>
      </c>
      <c r="E61" s="48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$2250</v>
      </c>
      <c r="F61" s="488"/>
      <c r="G61" s="489"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490"/>
      <c r="I61" s="489"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$90</v>
      </c>
      <c r="J61" s="491"/>
      <c r="L61" s="605"/>
      <c r="M61" s="606"/>
      <c r="N61" s="662"/>
      <c r="O61" s="663"/>
      <c r="P61" s="663"/>
      <c r="Q61" s="663"/>
      <c r="R61" s="663"/>
      <c r="S61" s="663"/>
      <c r="T61" s="663"/>
      <c r="U61" s="663"/>
      <c r="V61" s="663"/>
      <c r="W61" s="664"/>
      <c r="Z61" s="376"/>
      <c r="AA61" s="376"/>
      <c r="AB61" s="376"/>
    </row>
    <row r="62" spans="2:28" ht="16.5" customHeight="1" x14ac:dyDescent="0.25">
      <c r="B62" s="638"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39"/>
      <c r="D62" s="639"/>
      <c r="E62" s="640"/>
      <c r="F62" s="647" t="s">
        <v>137</v>
      </c>
      <c r="G62" s="648"/>
      <c r="H62" s="648"/>
      <c r="I62" s="648"/>
      <c r="J62" s="649"/>
      <c r="L62" s="607" t="s">
        <v>138</v>
      </c>
      <c r="M62" s="608"/>
      <c r="N62" s="870" t="s">
        <v>1286</v>
      </c>
      <c r="O62" s="665"/>
      <c r="P62" s="665"/>
      <c r="Q62" s="665"/>
      <c r="R62" s="665"/>
      <c r="S62" s="665"/>
      <c r="T62" s="665"/>
      <c r="U62" s="665"/>
      <c r="V62" s="665"/>
      <c r="W62" s="666"/>
      <c r="Z62" s="376"/>
      <c r="AA62" s="376"/>
      <c r="AB62" s="376"/>
    </row>
    <row r="63" spans="2:28" ht="17.25" customHeight="1" x14ac:dyDescent="0.25">
      <c r="B63" s="641"/>
      <c r="C63" s="642"/>
      <c r="D63" s="642"/>
      <c r="E63" s="643"/>
      <c r="F63" s="650"/>
      <c r="G63" s="651"/>
      <c r="H63" s="651"/>
      <c r="I63" s="651"/>
      <c r="J63" s="652"/>
      <c r="L63" s="609"/>
      <c r="M63" s="610"/>
      <c r="N63" s="667"/>
      <c r="O63" s="668"/>
      <c r="P63" s="668"/>
      <c r="Q63" s="668"/>
      <c r="R63" s="668"/>
      <c r="S63" s="668"/>
      <c r="T63" s="668"/>
      <c r="U63" s="668"/>
      <c r="V63" s="668"/>
      <c r="W63" s="669"/>
      <c r="Z63" s="376"/>
      <c r="AA63" s="376"/>
      <c r="AB63" s="376"/>
    </row>
    <row r="64" spans="2:28" ht="17.25" customHeight="1" x14ac:dyDescent="0.25">
      <c r="B64" s="641"/>
      <c r="C64" s="642"/>
      <c r="D64" s="642"/>
      <c r="E64" s="643"/>
      <c r="F64" s="650"/>
      <c r="G64" s="651"/>
      <c r="H64" s="651"/>
      <c r="I64" s="651"/>
      <c r="J64" s="652"/>
      <c r="L64" s="603" t="s">
        <v>139</v>
      </c>
      <c r="M64" s="604"/>
      <c r="N64" s="869" t="s">
        <v>1288</v>
      </c>
      <c r="O64" s="660"/>
      <c r="P64" s="660"/>
      <c r="Q64" s="660"/>
      <c r="R64" s="660"/>
      <c r="S64" s="660"/>
      <c r="T64" s="660"/>
      <c r="U64" s="660"/>
      <c r="V64" s="660"/>
      <c r="W64" s="661"/>
      <c r="Z64" s="376"/>
      <c r="AA64" s="376"/>
      <c r="AB64" s="376"/>
    </row>
    <row r="65" spans="2:28" ht="17.25" customHeight="1" x14ac:dyDescent="0.25">
      <c r="B65" s="644"/>
      <c r="C65" s="645"/>
      <c r="D65" s="645"/>
      <c r="E65" s="646"/>
      <c r="F65" s="653"/>
      <c r="G65" s="654"/>
      <c r="H65" s="654"/>
      <c r="I65" s="654"/>
      <c r="J65" s="655"/>
      <c r="L65" s="605"/>
      <c r="M65" s="606"/>
      <c r="N65" s="662"/>
      <c r="O65" s="663"/>
      <c r="P65" s="663"/>
      <c r="Q65" s="663"/>
      <c r="R65" s="663"/>
      <c r="S65" s="663"/>
      <c r="T65" s="663"/>
      <c r="U65" s="663"/>
      <c r="V65" s="663"/>
      <c r="W65" s="664"/>
      <c r="Z65" s="376"/>
      <c r="AA65" s="376"/>
      <c r="AB65" s="376"/>
    </row>
    <row r="66" spans="2:28" ht="15.6" x14ac:dyDescent="0.25">
      <c r="B66" s="378"/>
      <c r="C66" s="378"/>
      <c r="D66" s="378"/>
      <c r="E66" s="378"/>
      <c r="F66" s="378"/>
      <c r="G66" s="378"/>
      <c r="H66" s="378"/>
      <c r="I66" s="378"/>
      <c r="J66" s="378"/>
      <c r="L66" s="607" t="s">
        <v>140</v>
      </c>
      <c r="M66" s="608"/>
      <c r="N66" s="870" t="s">
        <v>1289</v>
      </c>
      <c r="O66" s="665"/>
      <c r="P66" s="665"/>
      <c r="Q66" s="665"/>
      <c r="R66" s="665"/>
      <c r="S66" s="665"/>
      <c r="T66" s="665"/>
      <c r="U66" s="665"/>
      <c r="V66" s="665"/>
      <c r="W66" s="666"/>
      <c r="Z66" s="376"/>
      <c r="AA66" s="376"/>
      <c r="AB66" s="376"/>
    </row>
    <row r="67" spans="2:28" ht="15.6" x14ac:dyDescent="0.25">
      <c r="B67" s="444" t="s">
        <v>141</v>
      </c>
      <c r="C67" s="445"/>
      <c r="D67" s="445"/>
      <c r="E67" s="445"/>
      <c r="F67" s="445"/>
      <c r="G67" s="445"/>
      <c r="H67" s="445"/>
      <c r="I67" s="445"/>
      <c r="J67" s="446"/>
      <c r="L67" s="609"/>
      <c r="M67" s="610"/>
      <c r="N67" s="667"/>
      <c r="O67" s="668"/>
      <c r="P67" s="668"/>
      <c r="Q67" s="668"/>
      <c r="R67" s="668"/>
      <c r="S67" s="668"/>
      <c r="T67" s="668"/>
      <c r="U67" s="668"/>
      <c r="V67" s="668"/>
      <c r="W67" s="669"/>
      <c r="Z67" s="376"/>
      <c r="AA67" s="376"/>
      <c r="AB67" s="376"/>
    </row>
    <row r="68" spans="2:28" ht="15.6" x14ac:dyDescent="0.25">
      <c r="B68" s="871" t="s">
        <v>1282</v>
      </c>
      <c r="C68" s="493"/>
      <c r="D68" s="493"/>
      <c r="E68" s="493"/>
      <c r="F68" s="493"/>
      <c r="G68" s="493"/>
      <c r="H68" s="493"/>
      <c r="I68" s="493"/>
      <c r="J68" s="494"/>
      <c r="L68" s="603" t="s">
        <v>142</v>
      </c>
      <c r="M68" s="604"/>
      <c r="N68" s="869" t="s">
        <v>1290</v>
      </c>
      <c r="O68" s="660"/>
      <c r="P68" s="660"/>
      <c r="Q68" s="660"/>
      <c r="R68" s="660"/>
      <c r="S68" s="660"/>
      <c r="T68" s="660"/>
      <c r="U68" s="660"/>
      <c r="V68" s="660"/>
      <c r="W68" s="661"/>
      <c r="Z68" s="376"/>
      <c r="AA68" s="376"/>
      <c r="AB68" s="376"/>
    </row>
    <row r="69" spans="2:28" ht="15.6" x14ac:dyDescent="0.25">
      <c r="B69" s="872" t="s">
        <v>1281</v>
      </c>
      <c r="C69" s="496"/>
      <c r="D69" s="496"/>
      <c r="E69" s="496"/>
      <c r="F69" s="496"/>
      <c r="G69" s="496"/>
      <c r="H69" s="496"/>
      <c r="I69" s="496"/>
      <c r="J69" s="497"/>
      <c r="L69" s="605"/>
      <c r="M69" s="606"/>
      <c r="N69" s="662"/>
      <c r="O69" s="663"/>
      <c r="P69" s="663"/>
      <c r="Q69" s="663"/>
      <c r="R69" s="663"/>
      <c r="S69" s="663"/>
      <c r="T69" s="663"/>
      <c r="U69" s="663"/>
      <c r="V69" s="663"/>
      <c r="W69" s="664"/>
      <c r="Z69" s="376"/>
      <c r="AA69" s="376"/>
      <c r="AB69" s="376"/>
    </row>
    <row r="70" spans="2:28" ht="15.6" x14ac:dyDescent="0.25">
      <c r="B70" s="871" t="s">
        <v>1283</v>
      </c>
      <c r="C70" s="493"/>
      <c r="D70" s="493"/>
      <c r="E70" s="493"/>
      <c r="F70" s="493"/>
      <c r="G70" s="493"/>
      <c r="H70" s="493"/>
      <c r="I70" s="493"/>
      <c r="J70" s="494"/>
      <c r="L70" s="607" t="s">
        <v>143</v>
      </c>
      <c r="M70" s="608"/>
      <c r="N70" s="870" t="s">
        <v>1291</v>
      </c>
      <c r="O70" s="665"/>
      <c r="P70" s="665"/>
      <c r="Q70" s="665"/>
      <c r="R70" s="665"/>
      <c r="S70" s="665"/>
      <c r="T70" s="665"/>
      <c r="U70" s="665"/>
      <c r="V70" s="665"/>
      <c r="W70" s="666"/>
      <c r="Z70" s="376"/>
      <c r="AA70" s="376"/>
      <c r="AB70" s="376"/>
    </row>
    <row r="71" spans="2:28" ht="15.6" x14ac:dyDescent="0.25">
      <c r="B71" s="872" t="s">
        <v>1284</v>
      </c>
      <c r="C71" s="496"/>
      <c r="D71" s="496"/>
      <c r="E71" s="496"/>
      <c r="F71" s="496"/>
      <c r="G71" s="496"/>
      <c r="H71" s="496"/>
      <c r="I71" s="496"/>
      <c r="J71" s="497"/>
      <c r="L71" s="609"/>
      <c r="M71" s="610"/>
      <c r="N71" s="667"/>
      <c r="O71" s="668"/>
      <c r="P71" s="668"/>
      <c r="Q71" s="668"/>
      <c r="R71" s="668"/>
      <c r="S71" s="668"/>
      <c r="T71" s="668"/>
      <c r="U71" s="668"/>
      <c r="V71" s="668"/>
      <c r="W71" s="669"/>
      <c r="Z71" s="376"/>
      <c r="AA71" s="376"/>
      <c r="AB71" s="376"/>
    </row>
    <row r="72" spans="2:28" ht="15.6" x14ac:dyDescent="0.25">
      <c r="B72" s="492"/>
      <c r="C72" s="493"/>
      <c r="D72" s="493"/>
      <c r="E72" s="493"/>
      <c r="F72" s="493"/>
      <c r="G72" s="493"/>
      <c r="H72" s="493"/>
      <c r="I72" s="493"/>
      <c r="J72" s="494"/>
      <c r="L72" s="603" t="s">
        <v>144</v>
      </c>
      <c r="M72" s="604"/>
      <c r="N72" s="672" t="s">
        <v>145</v>
      </c>
      <c r="O72" s="673"/>
      <c r="P72" s="673"/>
      <c r="Q72" s="673"/>
      <c r="R72" s="673"/>
      <c r="S72" s="673"/>
      <c r="T72" s="673"/>
      <c r="U72" s="673"/>
      <c r="V72" s="673"/>
      <c r="W72" s="674"/>
      <c r="Z72" s="376"/>
      <c r="AA72" s="376"/>
      <c r="AB72" s="376"/>
    </row>
    <row r="73" spans="2:28" ht="15.6" x14ac:dyDescent="0.25">
      <c r="B73" s="495"/>
      <c r="C73" s="496"/>
      <c r="D73" s="496"/>
      <c r="E73" s="496"/>
      <c r="F73" s="496"/>
      <c r="G73" s="496"/>
      <c r="H73" s="496"/>
      <c r="I73" s="496"/>
      <c r="J73" s="497"/>
      <c r="L73" s="605"/>
      <c r="M73" s="606"/>
      <c r="N73" s="675"/>
      <c r="O73" s="676"/>
      <c r="P73" s="676"/>
      <c r="Q73" s="676"/>
      <c r="R73" s="676"/>
      <c r="S73" s="676"/>
      <c r="T73" s="676"/>
      <c r="U73" s="676"/>
      <c r="V73" s="676"/>
      <c r="W73" s="677"/>
      <c r="Z73" s="376"/>
      <c r="AA73" s="376"/>
      <c r="AB73" s="376"/>
    </row>
    <row r="74" spans="2:28" ht="15.6" x14ac:dyDescent="0.25">
      <c r="B74" s="492"/>
      <c r="C74" s="493"/>
      <c r="D74" s="493"/>
      <c r="E74" s="493"/>
      <c r="F74" s="493"/>
      <c r="G74" s="493"/>
      <c r="H74" s="493"/>
      <c r="I74" s="493"/>
      <c r="J74" s="494"/>
      <c r="L74" s="607" t="s">
        <v>146</v>
      </c>
      <c r="M74" s="608"/>
      <c r="N74" s="597" t="s">
        <v>145</v>
      </c>
      <c r="O74" s="598"/>
      <c r="P74" s="598"/>
      <c r="Q74" s="598"/>
      <c r="R74" s="598"/>
      <c r="S74" s="598"/>
      <c r="T74" s="598"/>
      <c r="U74" s="598"/>
      <c r="V74" s="598"/>
      <c r="W74" s="599"/>
      <c r="Z74" s="376"/>
      <c r="AA74" s="376"/>
      <c r="AB74" s="376"/>
    </row>
    <row r="75" spans="2:28" ht="15.6" x14ac:dyDescent="0.25">
      <c r="B75" s="495"/>
      <c r="C75" s="496"/>
      <c r="D75" s="496"/>
      <c r="E75" s="496"/>
      <c r="F75" s="496"/>
      <c r="G75" s="496"/>
      <c r="H75" s="496"/>
      <c r="I75" s="496"/>
      <c r="J75" s="497"/>
      <c r="L75" s="609"/>
      <c r="M75" s="610"/>
      <c r="N75" s="600"/>
      <c r="O75" s="601"/>
      <c r="P75" s="601"/>
      <c r="Q75" s="601"/>
      <c r="R75" s="601"/>
      <c r="S75" s="601"/>
      <c r="T75" s="601"/>
      <c r="U75" s="601"/>
      <c r="V75" s="601"/>
      <c r="W75" s="602"/>
      <c r="Z75" s="376"/>
      <c r="AA75" s="376"/>
      <c r="AB75" s="376"/>
    </row>
    <row r="76" spans="2:28" ht="17.25" customHeight="1" x14ac:dyDescent="0.25">
      <c r="B76" s="498"/>
      <c r="C76" s="499"/>
      <c r="D76" s="499"/>
      <c r="E76" s="499"/>
      <c r="F76" s="499"/>
      <c r="G76" s="499"/>
      <c r="H76" s="499"/>
      <c r="I76" s="499"/>
      <c r="J76" s="500"/>
      <c r="L76" s="873" t="s">
        <v>1292</v>
      </c>
      <c r="M76" s="648"/>
      <c r="N76" s="648"/>
      <c r="O76" s="648"/>
      <c r="P76" s="648"/>
      <c r="Q76" s="648"/>
      <c r="R76" s="648"/>
      <c r="S76" s="648"/>
      <c r="T76" s="648"/>
      <c r="U76" s="648"/>
      <c r="V76" s="648"/>
      <c r="W76" s="649"/>
      <c r="Z76" s="376"/>
      <c r="AA76" s="376"/>
      <c r="AB76" s="376"/>
    </row>
    <row r="77" spans="2:28" ht="15.6" x14ac:dyDescent="0.25">
      <c r="B77" s="378"/>
      <c r="C77" s="378"/>
      <c r="D77" s="378"/>
      <c r="E77" s="378"/>
      <c r="F77" s="378"/>
      <c r="G77" s="378"/>
      <c r="H77" s="378"/>
      <c r="I77" s="378"/>
      <c r="J77" s="378"/>
      <c r="L77" s="670"/>
      <c r="M77" s="651"/>
      <c r="N77" s="651"/>
      <c r="O77" s="651"/>
      <c r="P77" s="651"/>
      <c r="Q77" s="651"/>
      <c r="R77" s="651"/>
      <c r="S77" s="651"/>
      <c r="T77" s="651"/>
      <c r="U77" s="651"/>
      <c r="V77" s="651"/>
      <c r="W77" s="652"/>
      <c r="Z77" s="376"/>
      <c r="AA77" s="376"/>
      <c r="AB77" s="376"/>
    </row>
    <row r="78" spans="2:28" ht="16.5" customHeight="1" x14ac:dyDescent="0.25">
      <c r="B78" s="444" t="s">
        <v>147</v>
      </c>
      <c r="C78" s="445"/>
      <c r="D78" s="445"/>
      <c r="E78" s="445"/>
      <c r="F78" s="445"/>
      <c r="G78" s="445"/>
      <c r="H78" s="445"/>
      <c r="I78" s="445"/>
      <c r="J78" s="446"/>
      <c r="L78" s="670"/>
      <c r="M78" s="651"/>
      <c r="N78" s="651"/>
      <c r="O78" s="651"/>
      <c r="P78" s="651"/>
      <c r="Q78" s="651"/>
      <c r="R78" s="651"/>
      <c r="S78" s="651"/>
      <c r="T78" s="651"/>
      <c r="U78" s="651"/>
      <c r="V78" s="651"/>
      <c r="W78" s="652"/>
      <c r="Z78" s="376"/>
      <c r="AA78" s="376"/>
      <c r="AB78" s="376"/>
    </row>
    <row r="79" spans="2:28" ht="16.5" customHeight="1" x14ac:dyDescent="0.25">
      <c r="B79" s="501" t="s">
        <v>148</v>
      </c>
      <c r="C79" s="502"/>
      <c r="D79" s="502"/>
      <c r="E79" s="502"/>
      <c r="F79" s="502"/>
      <c r="G79" s="502"/>
      <c r="H79" s="502"/>
      <c r="I79" s="502"/>
      <c r="J79" s="503"/>
      <c r="L79" s="670"/>
      <c r="M79" s="651"/>
      <c r="N79" s="651"/>
      <c r="O79" s="651"/>
      <c r="P79" s="651"/>
      <c r="Q79" s="651"/>
      <c r="R79" s="651"/>
      <c r="S79" s="651"/>
      <c r="T79" s="651"/>
      <c r="U79" s="651"/>
      <c r="V79" s="651"/>
      <c r="W79" s="652"/>
      <c r="Z79" s="376"/>
      <c r="AA79" s="376"/>
      <c r="AB79" s="376"/>
    </row>
    <row r="80" spans="2:28" ht="16.5" customHeight="1" x14ac:dyDescent="0.25">
      <c r="B80" s="495"/>
      <c r="C80" s="496"/>
      <c r="D80" s="496"/>
      <c r="E80" s="496"/>
      <c r="F80" s="496"/>
      <c r="G80" s="496"/>
      <c r="H80" s="496"/>
      <c r="I80" s="496"/>
      <c r="J80" s="497"/>
      <c r="L80" s="670"/>
      <c r="M80" s="651"/>
      <c r="N80" s="651"/>
      <c r="O80" s="651"/>
      <c r="P80" s="651"/>
      <c r="Q80" s="651"/>
      <c r="R80" s="651"/>
      <c r="S80" s="651"/>
      <c r="T80" s="651"/>
      <c r="U80" s="651"/>
      <c r="V80" s="651"/>
      <c r="W80" s="652"/>
      <c r="Z80" s="376"/>
      <c r="AA80" s="376"/>
      <c r="AB80" s="376"/>
    </row>
    <row r="81" spans="2:49" ht="15.6" x14ac:dyDescent="0.25">
      <c r="B81" s="492"/>
      <c r="C81" s="493"/>
      <c r="D81" s="493"/>
      <c r="E81" s="493"/>
      <c r="F81" s="493"/>
      <c r="G81" s="493"/>
      <c r="H81" s="493"/>
      <c r="I81" s="493"/>
      <c r="J81" s="494"/>
      <c r="L81" s="670"/>
      <c r="M81" s="651"/>
      <c r="N81" s="651"/>
      <c r="O81" s="651"/>
      <c r="P81" s="651"/>
      <c r="Q81" s="651"/>
      <c r="R81" s="651"/>
      <c r="S81" s="651"/>
      <c r="T81" s="651"/>
      <c r="U81" s="651"/>
      <c r="V81" s="651"/>
      <c r="W81" s="652"/>
      <c r="Z81" s="376"/>
      <c r="AA81" s="376"/>
      <c r="AB81" s="376"/>
    </row>
    <row r="82" spans="2:49" ht="16.5" customHeight="1" x14ac:dyDescent="0.25">
      <c r="B82" s="495"/>
      <c r="C82" s="496"/>
      <c r="D82" s="496"/>
      <c r="E82" s="496"/>
      <c r="F82" s="496"/>
      <c r="G82" s="496"/>
      <c r="H82" s="496"/>
      <c r="I82" s="496"/>
      <c r="J82" s="497"/>
      <c r="L82" s="670"/>
      <c r="M82" s="651"/>
      <c r="N82" s="651"/>
      <c r="O82" s="651"/>
      <c r="P82" s="651"/>
      <c r="Q82" s="651"/>
      <c r="R82" s="651"/>
      <c r="S82" s="651"/>
      <c r="T82" s="651"/>
      <c r="U82" s="651"/>
      <c r="V82" s="651"/>
      <c r="W82" s="652"/>
      <c r="Z82" s="376"/>
      <c r="AA82" s="376"/>
      <c r="AB82" s="376"/>
    </row>
    <row r="83" spans="2:49" ht="15.6" x14ac:dyDescent="0.25">
      <c r="B83" s="492"/>
      <c r="C83" s="493"/>
      <c r="D83" s="493"/>
      <c r="E83" s="493"/>
      <c r="F83" s="493"/>
      <c r="G83" s="493"/>
      <c r="H83" s="493"/>
      <c r="I83" s="493"/>
      <c r="J83" s="494"/>
      <c r="L83" s="670"/>
      <c r="M83" s="651"/>
      <c r="N83" s="651"/>
      <c r="O83" s="651"/>
      <c r="P83" s="651"/>
      <c r="Q83" s="651"/>
      <c r="R83" s="651"/>
      <c r="S83" s="651"/>
      <c r="T83" s="651"/>
      <c r="U83" s="651"/>
      <c r="V83" s="651"/>
      <c r="W83" s="652"/>
      <c r="Z83" s="376"/>
      <c r="AA83" s="376"/>
      <c r="AB83" s="376"/>
    </row>
    <row r="84" spans="2:49" ht="16.5" customHeight="1" x14ac:dyDescent="0.25">
      <c r="B84" s="495"/>
      <c r="C84" s="496"/>
      <c r="D84" s="496"/>
      <c r="E84" s="496"/>
      <c r="F84" s="496"/>
      <c r="G84" s="496"/>
      <c r="H84" s="496"/>
      <c r="I84" s="496"/>
      <c r="J84" s="497"/>
      <c r="L84" s="670"/>
      <c r="M84" s="651"/>
      <c r="N84" s="651"/>
      <c r="O84" s="651"/>
      <c r="P84" s="651"/>
      <c r="Q84" s="651"/>
      <c r="R84" s="651"/>
      <c r="S84" s="651"/>
      <c r="T84" s="651"/>
      <c r="U84" s="651"/>
      <c r="V84" s="651"/>
      <c r="W84" s="652"/>
      <c r="Z84" s="376"/>
      <c r="AA84" s="376"/>
      <c r="AB84" s="376"/>
    </row>
    <row r="85" spans="2:49" ht="15.6" x14ac:dyDescent="0.25">
      <c r="B85" s="492"/>
      <c r="C85" s="493"/>
      <c r="D85" s="493"/>
      <c r="E85" s="493"/>
      <c r="F85" s="493"/>
      <c r="G85" s="493"/>
      <c r="H85" s="493"/>
      <c r="I85" s="493"/>
      <c r="J85" s="494"/>
      <c r="L85" s="671"/>
      <c r="M85" s="654"/>
      <c r="N85" s="654"/>
      <c r="O85" s="654"/>
      <c r="P85" s="654"/>
      <c r="Q85" s="654"/>
      <c r="R85" s="654"/>
      <c r="S85" s="654"/>
      <c r="T85" s="654"/>
      <c r="U85" s="654"/>
      <c r="V85" s="654"/>
      <c r="W85" s="655"/>
      <c r="Z85" s="376"/>
      <c r="AA85" s="376"/>
      <c r="AB85" s="376"/>
    </row>
    <row r="86" spans="2:49" ht="16.5" customHeight="1" x14ac:dyDescent="0.25">
      <c r="B86" s="495"/>
      <c r="C86" s="496"/>
      <c r="D86" s="496"/>
      <c r="E86" s="496"/>
      <c r="F86" s="496"/>
      <c r="G86" s="496"/>
      <c r="H86" s="496"/>
      <c r="I86" s="496"/>
      <c r="J86" s="497"/>
      <c r="Z86" s="376"/>
      <c r="AA86" s="376"/>
      <c r="AB86" s="376"/>
    </row>
    <row r="87" spans="2:49" ht="15.6" x14ac:dyDescent="0.25">
      <c r="B87" s="492"/>
      <c r="C87" s="493"/>
      <c r="D87" s="493"/>
      <c r="E87" s="493"/>
      <c r="F87" s="493"/>
      <c r="G87" s="493"/>
      <c r="H87" s="493"/>
      <c r="I87" s="493"/>
      <c r="J87" s="494"/>
      <c r="L87" s="504" t="s">
        <v>149</v>
      </c>
      <c r="M87" s="505"/>
      <c r="N87" s="505"/>
      <c r="O87" s="505"/>
      <c r="P87" s="506"/>
      <c r="Q87" s="383"/>
      <c r="R87" s="507" t="s">
        <v>64</v>
      </c>
      <c r="S87" s="508"/>
      <c r="T87" s="508"/>
      <c r="U87" s="508"/>
      <c r="V87" s="508"/>
      <c r="W87" s="509"/>
      <c r="X87" s="376"/>
      <c r="Y87" s="376"/>
      <c r="Z87" s="376"/>
      <c r="AA87" s="376"/>
      <c r="AB87" s="376"/>
      <c r="AC87" s="376"/>
      <c r="AD87" s="376"/>
    </row>
    <row r="88" spans="2:49" ht="17.25" customHeight="1" x14ac:dyDescent="0.25">
      <c r="B88" s="510"/>
      <c r="C88" s="511"/>
      <c r="D88" s="511"/>
      <c r="E88" s="511"/>
      <c r="F88" s="511"/>
      <c r="G88" s="511"/>
      <c r="H88" s="511"/>
      <c r="I88" s="511"/>
      <c r="J88" s="512"/>
      <c r="L88" s="611" t="s">
        <v>150</v>
      </c>
      <c r="M88" s="612"/>
      <c r="N88" s="612"/>
      <c r="O88" s="612"/>
      <c r="P88" s="613"/>
      <c r="Q88" s="384"/>
      <c r="R88" s="513" t="s">
        <v>151</v>
      </c>
      <c r="S88" s="514"/>
      <c r="T88" s="515"/>
      <c r="U88" s="516" t="s">
        <v>152</v>
      </c>
      <c r="V88" s="517"/>
      <c r="W88" s="518"/>
      <c r="X88" s="376"/>
      <c r="Y88" s="376"/>
      <c r="Z88" s="376"/>
      <c r="AA88" s="376"/>
      <c r="AB88" s="376"/>
      <c r="AC88" s="376"/>
      <c r="AD88" s="376"/>
    </row>
    <row r="89" spans="2:49" ht="17.25" customHeight="1" x14ac:dyDescent="0.25">
      <c r="B89" s="519"/>
      <c r="C89" s="520"/>
      <c r="D89" s="520"/>
      <c r="E89" s="520"/>
      <c r="F89" s="520"/>
      <c r="G89" s="520"/>
      <c r="H89" s="520"/>
      <c r="I89" s="520"/>
      <c r="J89" s="521"/>
      <c r="L89" s="614"/>
      <c r="M89" s="615"/>
      <c r="N89" s="615"/>
      <c r="O89" s="615"/>
      <c r="P89" s="616"/>
      <c r="Q89" s="384"/>
      <c r="R89" s="522"/>
      <c r="S89" s="523"/>
      <c r="T89" s="524"/>
      <c r="U89" s="493"/>
      <c r="V89" s="493"/>
      <c r="W89" s="525"/>
      <c r="X89" s="376"/>
      <c r="Y89" s="376"/>
      <c r="Z89" s="376"/>
      <c r="AA89" s="376"/>
      <c r="AB89" s="376"/>
      <c r="AC89" s="376"/>
      <c r="AD89" s="376"/>
    </row>
    <row r="90" spans="2:49" ht="16.5" customHeight="1" x14ac:dyDescent="0.25">
      <c r="B90" s="526"/>
      <c r="C90" s="526"/>
      <c r="D90" s="526"/>
      <c r="E90" s="526"/>
      <c r="F90" s="526"/>
      <c r="G90" s="526"/>
      <c r="H90" s="526"/>
      <c r="I90" s="526"/>
      <c r="J90" s="526"/>
      <c r="L90" s="617"/>
      <c r="M90" s="618"/>
      <c r="N90" s="618"/>
      <c r="O90" s="618"/>
      <c r="P90" s="619"/>
      <c r="Q90" s="384"/>
      <c r="R90" s="527"/>
      <c r="S90" s="496"/>
      <c r="T90" s="528"/>
      <c r="U90" s="496"/>
      <c r="V90" s="496"/>
      <c r="W90" s="529"/>
      <c r="X90" s="376"/>
      <c r="Y90" s="376"/>
      <c r="Z90" s="376"/>
      <c r="AA90" s="376"/>
      <c r="AB90" s="376"/>
      <c r="AC90" s="376"/>
      <c r="AD90" s="376"/>
    </row>
    <row r="91" spans="2:49" ht="15.6" x14ac:dyDescent="0.25">
      <c r="B91" s="504" t="s">
        <v>153</v>
      </c>
      <c r="C91" s="505"/>
      <c r="D91" s="505"/>
      <c r="E91" s="505"/>
      <c r="F91" s="505"/>
      <c r="G91" s="505"/>
      <c r="H91" s="505"/>
      <c r="I91" s="505"/>
      <c r="J91" s="506"/>
      <c r="L91" s="620"/>
      <c r="M91" s="621"/>
      <c r="N91" s="621"/>
      <c r="O91" s="621"/>
      <c r="P91" s="622"/>
      <c r="Q91" s="384"/>
      <c r="R91" s="530"/>
      <c r="S91" s="493"/>
      <c r="T91" s="531"/>
      <c r="U91" s="493"/>
      <c r="V91" s="493"/>
      <c r="W91" s="525"/>
      <c r="X91" s="376"/>
      <c r="Y91" s="376"/>
      <c r="Z91" s="376"/>
      <c r="AA91" s="376"/>
      <c r="AB91" s="376"/>
      <c r="AC91" s="376"/>
      <c r="AD91" s="376"/>
    </row>
    <row r="92" spans="2:49" ht="16.5" customHeight="1" x14ac:dyDescent="0.25">
      <c r="B92" s="658" t="s">
        <v>154</v>
      </c>
      <c r="C92" s="659"/>
      <c r="D92" s="659"/>
      <c r="E92" s="379" t="s">
        <v>155</v>
      </c>
      <c r="F92" s="379" t="s">
        <v>156</v>
      </c>
      <c r="G92" s="379" t="s">
        <v>157</v>
      </c>
      <c r="H92" s="379" t="s">
        <v>158</v>
      </c>
      <c r="I92" s="379" t="s">
        <v>159</v>
      </c>
      <c r="J92" s="381" t="s">
        <v>160</v>
      </c>
      <c r="L92" s="623"/>
      <c r="M92" s="624"/>
      <c r="N92" s="624"/>
      <c r="O92" s="624"/>
      <c r="P92" s="625"/>
      <c r="Q92" s="384"/>
      <c r="R92" s="527"/>
      <c r="S92" s="496"/>
      <c r="T92" s="528"/>
      <c r="U92" s="496"/>
      <c r="V92" s="496"/>
      <c r="W92" s="529"/>
      <c r="X92" s="376"/>
      <c r="Y92" s="376"/>
      <c r="Z92" s="376"/>
      <c r="AA92" s="376"/>
      <c r="AB92" s="376"/>
      <c r="AC92" s="376"/>
      <c r="AD92" s="376"/>
    </row>
    <row r="93" spans="2:49" ht="15.6" x14ac:dyDescent="0.25">
      <c r="B93" s="658"/>
      <c r="C93" s="659"/>
      <c r="D93" s="659"/>
      <c r="E93" s="380" t="s">
        <v>161</v>
      </c>
      <c r="F93" s="380" t="s">
        <v>162</v>
      </c>
      <c r="G93" s="380" t="s">
        <v>163</v>
      </c>
      <c r="H93" s="380" t="s">
        <v>164</v>
      </c>
      <c r="I93" s="380" t="s">
        <v>165</v>
      </c>
      <c r="J93" s="382">
        <v>1</v>
      </c>
      <c r="L93" s="626"/>
      <c r="M93" s="627"/>
      <c r="N93" s="627"/>
      <c r="O93" s="627"/>
      <c r="P93" s="628"/>
      <c r="Q93" s="384"/>
      <c r="R93" s="530"/>
      <c r="S93" s="493"/>
      <c r="T93" s="531"/>
      <c r="U93" s="493"/>
      <c r="V93" s="493"/>
      <c r="W93" s="525"/>
      <c r="X93" s="376"/>
      <c r="Y93" s="376"/>
      <c r="Z93" s="376"/>
      <c r="AA93" s="376"/>
      <c r="AB93" s="376"/>
      <c r="AC93" s="376"/>
      <c r="AD93" s="376"/>
    </row>
    <row r="94" spans="2:49" ht="16.5" customHeight="1" x14ac:dyDescent="0.25">
      <c r="B94" s="656" t="s">
        <v>166</v>
      </c>
      <c r="C94" s="633"/>
      <c r="D94" s="633"/>
      <c r="E94" s="633"/>
      <c r="F94" s="633"/>
      <c r="G94" s="633"/>
      <c r="H94" s="633"/>
      <c r="I94" s="633"/>
      <c r="J94" s="634"/>
      <c r="L94" s="617"/>
      <c r="M94" s="618"/>
      <c r="N94" s="618"/>
      <c r="O94" s="618"/>
      <c r="P94" s="619"/>
      <c r="Q94" s="384"/>
      <c r="R94" s="527"/>
      <c r="S94" s="496"/>
      <c r="T94" s="528"/>
      <c r="U94" s="496"/>
      <c r="V94" s="496"/>
      <c r="W94" s="529"/>
      <c r="X94" s="376"/>
      <c r="Y94" s="376"/>
      <c r="Z94" s="376"/>
      <c r="AA94" s="376"/>
      <c r="AB94" s="376"/>
      <c r="AC94" s="376"/>
      <c r="AD94" s="376"/>
    </row>
    <row r="95" spans="2:49" ht="15.6" x14ac:dyDescent="0.25">
      <c r="B95" s="657"/>
      <c r="C95" s="636"/>
      <c r="D95" s="636"/>
      <c r="E95" s="636"/>
      <c r="F95" s="636"/>
      <c r="G95" s="636"/>
      <c r="H95" s="636"/>
      <c r="I95" s="636"/>
      <c r="J95" s="637"/>
      <c r="L95" s="620"/>
      <c r="M95" s="621"/>
      <c r="N95" s="621"/>
      <c r="O95" s="621"/>
      <c r="P95" s="622"/>
      <c r="Q95" s="384"/>
      <c r="R95" s="530"/>
      <c r="S95" s="493"/>
      <c r="T95" s="531"/>
      <c r="U95" s="493"/>
      <c r="V95" s="493"/>
      <c r="W95" s="525"/>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x14ac:dyDescent="0.25">
      <c r="B96" s="532" t="s">
        <v>167</v>
      </c>
      <c r="C96" s="533"/>
      <c r="D96" s="533"/>
      <c r="E96" s="533"/>
      <c r="F96" s="533" t="s">
        <v>168</v>
      </c>
      <c r="G96" s="533"/>
      <c r="H96" s="533"/>
      <c r="I96" s="533"/>
      <c r="J96" s="534"/>
      <c r="L96" s="623"/>
      <c r="M96" s="624"/>
      <c r="N96" s="624"/>
      <c r="O96" s="624"/>
      <c r="P96" s="625"/>
      <c r="Q96" s="384"/>
      <c r="R96" s="527"/>
      <c r="S96" s="496"/>
      <c r="T96" s="528"/>
      <c r="U96" s="496"/>
      <c r="V96" s="496"/>
      <c r="W96" s="529"/>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x14ac:dyDescent="0.25">
      <c r="B97" s="532" t="s">
        <v>169</v>
      </c>
      <c r="C97" s="533"/>
      <c r="D97" s="535" t="s">
        <v>170</v>
      </c>
      <c r="E97" s="536"/>
      <c r="F97" s="536"/>
      <c r="G97" s="536"/>
      <c r="H97" s="536"/>
      <c r="I97" s="536"/>
      <c r="J97" s="537"/>
      <c r="L97" s="626"/>
      <c r="M97" s="627"/>
      <c r="N97" s="627"/>
      <c r="O97" s="627"/>
      <c r="P97" s="628"/>
      <c r="Q97" s="384"/>
      <c r="R97" s="530"/>
      <c r="S97" s="493"/>
      <c r="T97" s="531"/>
      <c r="U97" s="493"/>
      <c r="V97" s="493"/>
      <c r="W97" s="525"/>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x14ac:dyDescent="0.25">
      <c r="B98" s="532" t="s">
        <v>171</v>
      </c>
      <c r="C98" s="533"/>
      <c r="D98" s="535" t="s">
        <v>172</v>
      </c>
      <c r="E98" s="536"/>
      <c r="F98" s="536"/>
      <c r="G98" s="536"/>
      <c r="H98" s="536"/>
      <c r="I98" s="536"/>
      <c r="J98" s="537"/>
      <c r="L98" s="617"/>
      <c r="M98" s="618"/>
      <c r="N98" s="618"/>
      <c r="O98" s="618"/>
      <c r="P98" s="619"/>
      <c r="Q98" s="384"/>
      <c r="R98" s="527"/>
      <c r="S98" s="496"/>
      <c r="T98" s="528"/>
      <c r="U98" s="496"/>
      <c r="V98" s="496"/>
      <c r="W98" s="529"/>
      <c r="X98" s="376"/>
      <c r="Y98" s="376"/>
      <c r="Z98" s="376"/>
      <c r="AA98" s="376"/>
      <c r="AB98" s="376"/>
      <c r="AC98" s="376"/>
      <c r="AD98" s="376"/>
    </row>
    <row r="99" spans="2:49" ht="16.5" customHeight="1" x14ac:dyDescent="0.25">
      <c r="B99" s="532" t="s">
        <v>173</v>
      </c>
      <c r="C99" s="533"/>
      <c r="D99" s="632" t="s">
        <v>174</v>
      </c>
      <c r="E99" s="633"/>
      <c r="F99" s="633"/>
      <c r="G99" s="633"/>
      <c r="H99" s="633"/>
      <c r="I99" s="633"/>
      <c r="J99" s="634"/>
      <c r="L99" s="620"/>
      <c r="M99" s="621"/>
      <c r="N99" s="621"/>
      <c r="O99" s="621"/>
      <c r="P99" s="622"/>
      <c r="Q99" s="384"/>
      <c r="R99" s="530"/>
      <c r="S99" s="493"/>
      <c r="T99" s="531"/>
      <c r="U99" s="493"/>
      <c r="V99" s="493"/>
      <c r="W99" s="525"/>
      <c r="X99" s="376"/>
      <c r="Y99" s="376"/>
      <c r="Z99" s="376"/>
      <c r="AA99" s="376"/>
      <c r="AB99" s="376"/>
      <c r="AC99" s="376"/>
      <c r="AD99" s="376"/>
    </row>
    <row r="100" spans="2:49" ht="15.6" x14ac:dyDescent="0.25">
      <c r="B100" s="532"/>
      <c r="C100" s="533"/>
      <c r="D100" s="635"/>
      <c r="E100" s="636"/>
      <c r="F100" s="636"/>
      <c r="G100" s="636"/>
      <c r="H100" s="636"/>
      <c r="I100" s="636"/>
      <c r="J100" s="637"/>
      <c r="L100" s="623"/>
      <c r="M100" s="624"/>
      <c r="N100" s="624"/>
      <c r="O100" s="624"/>
      <c r="P100" s="625"/>
      <c r="Q100" s="384"/>
      <c r="R100" s="527"/>
      <c r="S100" s="496"/>
      <c r="T100" s="528"/>
      <c r="U100" s="496"/>
      <c r="V100" s="496"/>
      <c r="W100" s="529"/>
      <c r="X100" s="376"/>
      <c r="Y100" s="376"/>
      <c r="Z100" s="376"/>
      <c r="AA100" s="376"/>
      <c r="AB100" s="376"/>
      <c r="AC100" s="376"/>
      <c r="AD100" s="376"/>
    </row>
    <row r="101" spans="2:49" ht="15.6" x14ac:dyDescent="0.25">
      <c r="B101" s="538" t="s">
        <v>175</v>
      </c>
      <c r="C101" s="539"/>
      <c r="D101" s="539"/>
      <c r="E101" s="539"/>
      <c r="F101" s="539" t="s">
        <v>176</v>
      </c>
      <c r="G101" s="539"/>
      <c r="H101" s="539"/>
      <c r="I101" s="539"/>
      <c r="J101" s="540"/>
      <c r="L101" s="629"/>
      <c r="M101" s="630"/>
      <c r="N101" s="630"/>
      <c r="O101" s="630"/>
      <c r="P101" s="631"/>
      <c r="Q101" s="384"/>
      <c r="R101" s="541"/>
      <c r="S101" s="542"/>
      <c r="T101" s="543"/>
      <c r="U101" s="542"/>
      <c r="V101" s="542"/>
      <c r="W101" s="544"/>
      <c r="X101" s="376"/>
      <c r="Y101" s="376"/>
      <c r="Z101" s="376"/>
      <c r="AA101" s="376"/>
      <c r="AB101" s="376"/>
      <c r="AC101" s="376"/>
      <c r="AD101" s="376"/>
    </row>
    <row r="102" spans="2:49" ht="15.6" x14ac:dyDescent="0.25">
      <c r="B102" s="545" t="s">
        <v>177</v>
      </c>
      <c r="C102" s="545"/>
      <c r="D102" s="545"/>
      <c r="E102" s="546">
        <v>43343</v>
      </c>
      <c r="F102" s="546"/>
      <c r="G102" s="547" t="s">
        <v>178</v>
      </c>
      <c r="H102" s="547"/>
      <c r="I102" s="547"/>
      <c r="J102" s="547"/>
      <c r="L102" s="244" t="str">
        <f>输出!F14</f>
        <v xml:space="preserve">.st力量50 敏捷45 意志60 体质85 外貌60 教育90 体型75 智力55 理智60 幸运65 考古学41 信用评级45 闪避62 话术45 手枪55 历史35 追踪40 图书馆使用60 聆听70 侦查65                    </v>
      </c>
      <c r="X102" s="376"/>
      <c r="Y102" s="376"/>
      <c r="Z102" s="376"/>
      <c r="AA102" s="376"/>
      <c r="AB102" s="376"/>
      <c r="AC102" s="376"/>
      <c r="AD102" s="376"/>
    </row>
    <row r="103" spans="2:49" ht="15.6" x14ac:dyDescent="0.25">
      <c r="B103" s="548" t="s">
        <v>179</v>
      </c>
      <c r="C103" s="549"/>
      <c r="D103" s="549"/>
      <c r="E103" s="549"/>
      <c r="F103" s="549"/>
      <c r="G103" s="549"/>
      <c r="H103" s="549"/>
      <c r="I103" s="549"/>
      <c r="J103" s="549"/>
      <c r="K103" s="549"/>
      <c r="L103" s="549"/>
      <c r="M103" s="549"/>
      <c r="N103" s="549"/>
      <c r="O103" s="549"/>
      <c r="P103" s="549"/>
      <c r="Q103" s="549"/>
      <c r="R103" s="549"/>
      <c r="S103" s="549"/>
      <c r="T103" s="549"/>
      <c r="U103" s="549"/>
      <c r="V103" s="549"/>
      <c r="W103" s="550"/>
      <c r="X103" s="376"/>
      <c r="Y103" s="376"/>
      <c r="Z103" s="376"/>
      <c r="AA103" s="376"/>
      <c r="AB103" s="376"/>
      <c r="AC103" s="376"/>
      <c r="AD103" s="376"/>
    </row>
    <row r="104" spans="2:49" ht="16.5" customHeight="1" x14ac:dyDescent="0.25">
      <c r="B104" s="591" t="str">
        <f>输出!F14</f>
        <v xml:space="preserve">.st力量50 敏捷45 意志60 体质85 外貌60 教育90 体型75 智力55 理智60 幸运65 考古学41 信用评级45 闪避62 话术45 手枪55 历史35 追踪40 图书馆使用60 聆听70 侦查65                    </v>
      </c>
      <c r="C104" s="592"/>
      <c r="D104" s="592"/>
      <c r="E104" s="592"/>
      <c r="F104" s="592"/>
      <c r="G104" s="592"/>
      <c r="H104" s="592"/>
      <c r="I104" s="592"/>
      <c r="J104" s="592"/>
      <c r="K104" s="592"/>
      <c r="L104" s="592"/>
      <c r="M104" s="592"/>
      <c r="N104" s="592"/>
      <c r="O104" s="592"/>
      <c r="P104" s="592"/>
      <c r="Q104" s="592"/>
      <c r="R104" s="592"/>
      <c r="S104" s="592"/>
      <c r="T104" s="592"/>
      <c r="U104" s="592"/>
      <c r="V104" s="592"/>
      <c r="W104" s="593"/>
      <c r="X104" s="376"/>
      <c r="Y104" s="376"/>
      <c r="Z104" s="376"/>
      <c r="AA104" s="376"/>
      <c r="AB104" s="376"/>
      <c r="AC104" s="376"/>
      <c r="AD104" s="376"/>
    </row>
    <row r="105" spans="2:49" x14ac:dyDescent="0.25">
      <c r="B105" s="594"/>
      <c r="C105" s="595"/>
      <c r="D105" s="595"/>
      <c r="E105" s="595"/>
      <c r="F105" s="595"/>
      <c r="G105" s="595"/>
      <c r="H105" s="595"/>
      <c r="I105" s="595"/>
      <c r="J105" s="595"/>
      <c r="K105" s="595"/>
      <c r="L105" s="595"/>
      <c r="M105" s="595"/>
      <c r="N105" s="595"/>
      <c r="O105" s="595"/>
      <c r="P105" s="595"/>
      <c r="Q105" s="595"/>
      <c r="R105" s="595"/>
      <c r="S105" s="595"/>
      <c r="T105" s="595"/>
      <c r="U105" s="595"/>
      <c r="V105" s="595"/>
      <c r="W105" s="596"/>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L74:M75"/>
    <mergeCell ref="N64:W65"/>
    <mergeCell ref="N66:W67"/>
    <mergeCell ref="L62:M63"/>
    <mergeCell ref="N70:W71"/>
    <mergeCell ref="N72:W73"/>
    <mergeCell ref="L60:M61"/>
    <mergeCell ref="T53:U54"/>
    <mergeCell ref="V53:W54"/>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C6:D6"/>
    <mergeCell ref="F6:G6"/>
    <mergeCell ref="C7:G7"/>
    <mergeCell ref="C8:G8"/>
    <mergeCell ref="B9:C9"/>
    <mergeCell ref="E9:J9"/>
    <mergeCell ref="M9:N9"/>
    <mergeCell ref="P9:Q9"/>
    <mergeCell ref="S9:T9"/>
    <mergeCell ref="O5:O6"/>
    <mergeCell ref="O7:O8"/>
    <mergeCell ref="P5:P6"/>
    <mergeCell ref="P7:P8"/>
    <mergeCell ref="S2:W8"/>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1875" defaultRowHeight="15" x14ac:dyDescent="0.25"/>
  <cols>
    <col min="1" max="1" width="8.21875" style="243"/>
    <col min="2" max="2" width="13" style="243" customWidth="1"/>
    <col min="3" max="10" width="8.21875" style="243"/>
    <col min="11" max="11" width="11.21875" style="243" customWidth="1"/>
    <col min="12" max="16384" width="8.21875" style="243"/>
  </cols>
  <sheetData>
    <row r="1" spans="1:16" x14ac:dyDescent="0.25">
      <c r="A1" s="713" t="s">
        <v>180</v>
      </c>
      <c r="B1" s="713"/>
      <c r="C1" s="713"/>
      <c r="D1" s="713"/>
      <c r="E1" s="713"/>
      <c r="F1" s="713"/>
      <c r="G1" s="713"/>
      <c r="H1" s="713"/>
      <c r="I1" s="713"/>
      <c r="J1" s="713"/>
      <c r="K1" s="713"/>
      <c r="L1" s="713"/>
      <c r="M1" s="713"/>
      <c r="N1" s="713"/>
      <c r="O1" s="713"/>
      <c r="P1" s="713"/>
    </row>
    <row r="2" spans="1:16" s="242" customFormat="1" x14ac:dyDescent="0.25">
      <c r="B2" s="444" t="s">
        <v>181</v>
      </c>
      <c r="C2" s="446"/>
      <c r="D2" s="244"/>
      <c r="E2" s="444" t="s">
        <v>182</v>
      </c>
      <c r="F2" s="446"/>
      <c r="G2" s="244"/>
      <c r="H2" s="444" t="s">
        <v>111</v>
      </c>
      <c r="I2" s="446"/>
      <c r="J2" s="244"/>
      <c r="K2" s="444" t="s">
        <v>183</v>
      </c>
      <c r="L2" s="446"/>
      <c r="M2" s="243"/>
      <c r="N2" s="242" t="s">
        <v>184</v>
      </c>
      <c r="P2" s="243"/>
    </row>
    <row r="3" spans="1:16" x14ac:dyDescent="0.25">
      <c r="B3" s="245" t="s">
        <v>31</v>
      </c>
      <c r="C3" s="246" t="s">
        <v>185</v>
      </c>
      <c r="D3" s="247"/>
      <c r="E3" s="245" t="s">
        <v>31</v>
      </c>
      <c r="F3" s="246" t="s">
        <v>185</v>
      </c>
      <c r="G3" s="247"/>
      <c r="H3" s="245" t="s">
        <v>31</v>
      </c>
      <c r="I3" s="246" t="s">
        <v>185</v>
      </c>
      <c r="J3" s="247"/>
      <c r="K3" s="245" t="s">
        <v>31</v>
      </c>
      <c r="L3" s="246" t="s">
        <v>185</v>
      </c>
      <c r="N3" s="242" t="s">
        <v>31</v>
      </c>
      <c r="O3" s="242"/>
    </row>
    <row r="4" spans="1:16" x14ac:dyDescent="0.25">
      <c r="A4" s="714" t="s">
        <v>186</v>
      </c>
      <c r="B4" s="248" t="s">
        <v>187</v>
      </c>
      <c r="C4" s="249">
        <v>5</v>
      </c>
      <c r="D4" s="250"/>
      <c r="E4" s="248" t="s">
        <v>188</v>
      </c>
      <c r="F4" s="249">
        <v>1</v>
      </c>
      <c r="G4" s="250"/>
      <c r="H4" s="248" t="s">
        <v>189</v>
      </c>
      <c r="I4" s="249">
        <v>5</v>
      </c>
      <c r="J4" s="250"/>
      <c r="K4" s="248" t="s">
        <v>190</v>
      </c>
      <c r="L4" s="249">
        <v>25</v>
      </c>
      <c r="N4" s="242" t="s">
        <v>108</v>
      </c>
      <c r="O4" s="242">
        <f>人物卡!J47</f>
        <v>20</v>
      </c>
    </row>
    <row r="5" spans="1:16" x14ac:dyDescent="0.25">
      <c r="A5" s="715"/>
      <c r="B5" s="251" t="s">
        <v>191</v>
      </c>
      <c r="C5" s="252">
        <v>5</v>
      </c>
      <c r="D5" s="250"/>
      <c r="E5" s="251" t="s">
        <v>192</v>
      </c>
      <c r="F5" s="252">
        <v>1</v>
      </c>
      <c r="G5" s="250"/>
      <c r="H5" s="251" t="s">
        <v>193</v>
      </c>
      <c r="I5" s="252">
        <v>10</v>
      </c>
      <c r="J5" s="250"/>
      <c r="K5" s="251" t="s">
        <v>194</v>
      </c>
      <c r="L5" s="252">
        <v>15</v>
      </c>
      <c r="N5" s="242" t="s">
        <v>73</v>
      </c>
      <c r="O5" s="244">
        <f>人物卡!J30</f>
        <v>10</v>
      </c>
    </row>
    <row r="6" spans="1:16" x14ac:dyDescent="0.25">
      <c r="A6" s="715"/>
      <c r="B6" s="248" t="s">
        <v>195</v>
      </c>
      <c r="C6" s="249">
        <v>5</v>
      </c>
      <c r="D6" s="250"/>
      <c r="E6" s="248" t="s">
        <v>75</v>
      </c>
      <c r="F6" s="249">
        <v>1</v>
      </c>
      <c r="G6" s="250"/>
      <c r="H6" s="248" t="s">
        <v>81</v>
      </c>
      <c r="I6" s="249">
        <v>25</v>
      </c>
      <c r="J6" s="250"/>
      <c r="K6" s="248" t="s">
        <v>196</v>
      </c>
      <c r="L6" s="249">
        <v>15</v>
      </c>
      <c r="N6" s="242" t="s">
        <v>103</v>
      </c>
      <c r="O6" s="244">
        <f>人物卡!U43</f>
        <v>1</v>
      </c>
    </row>
    <row r="7" spans="1:16" x14ac:dyDescent="0.25">
      <c r="A7" s="715"/>
      <c r="B7" s="251" t="s">
        <v>197</v>
      </c>
      <c r="C7" s="252">
        <v>5</v>
      </c>
      <c r="D7" s="250"/>
      <c r="E7" s="251" t="s">
        <v>198</v>
      </c>
      <c r="F7" s="252">
        <v>1</v>
      </c>
      <c r="G7" s="250"/>
      <c r="H7" s="251" t="s">
        <v>199</v>
      </c>
      <c r="I7" s="252">
        <v>15</v>
      </c>
      <c r="J7" s="250"/>
      <c r="K7" s="251" t="s">
        <v>200</v>
      </c>
      <c r="L7" s="252">
        <v>10</v>
      </c>
      <c r="N7" s="242"/>
      <c r="O7" s="242"/>
    </row>
    <row r="8" spans="1:16" x14ac:dyDescent="0.25">
      <c r="A8" s="715"/>
      <c r="B8" s="248" t="s">
        <v>201</v>
      </c>
      <c r="C8" s="249">
        <v>5</v>
      </c>
      <c r="D8" s="250"/>
      <c r="E8" s="248" t="s">
        <v>202</v>
      </c>
      <c r="F8" s="249">
        <v>1</v>
      </c>
      <c r="G8" s="250"/>
      <c r="H8" s="248" t="s">
        <v>203</v>
      </c>
      <c r="I8" s="249">
        <v>20</v>
      </c>
      <c r="J8" s="250"/>
      <c r="K8" s="248" t="s">
        <v>204</v>
      </c>
      <c r="L8" s="249">
        <v>10</v>
      </c>
    </row>
    <row r="9" spans="1:16" x14ac:dyDescent="0.25">
      <c r="A9" s="715"/>
      <c r="B9" s="251" t="s">
        <v>205</v>
      </c>
      <c r="C9" s="252">
        <v>5</v>
      </c>
      <c r="D9" s="250"/>
      <c r="E9" s="251" t="s">
        <v>206</v>
      </c>
      <c r="F9" s="252">
        <v>1</v>
      </c>
      <c r="G9" s="250"/>
      <c r="H9" s="251" t="s">
        <v>207</v>
      </c>
      <c r="I9" s="252">
        <v>15</v>
      </c>
      <c r="J9" s="250"/>
      <c r="K9" s="251" t="s">
        <v>88</v>
      </c>
      <c r="L9" s="252">
        <v>20</v>
      </c>
    </row>
    <row r="10" spans="1:16" x14ac:dyDescent="0.25">
      <c r="A10" s="715"/>
      <c r="B10" s="248" t="s">
        <v>208</v>
      </c>
      <c r="C10" s="249">
        <v>5</v>
      </c>
      <c r="D10" s="250"/>
      <c r="E10" s="248" t="s">
        <v>209</v>
      </c>
      <c r="F10" s="249">
        <v>1</v>
      </c>
      <c r="G10" s="250"/>
      <c r="H10" s="248" t="s">
        <v>210</v>
      </c>
      <c r="I10" s="249">
        <v>10</v>
      </c>
      <c r="J10" s="250"/>
      <c r="K10" s="254" t="s">
        <v>211</v>
      </c>
      <c r="L10" s="255">
        <v>10</v>
      </c>
    </row>
    <row r="11" spans="1:16" x14ac:dyDescent="0.25">
      <c r="A11" s="715"/>
      <c r="B11" s="251" t="s">
        <v>212</v>
      </c>
      <c r="C11" s="252">
        <v>5</v>
      </c>
      <c r="D11" s="250"/>
      <c r="E11" s="251" t="s">
        <v>213</v>
      </c>
      <c r="F11" s="252">
        <v>1</v>
      </c>
      <c r="G11" s="250"/>
      <c r="H11" s="253" t="s">
        <v>214</v>
      </c>
      <c r="I11" s="258">
        <v>20</v>
      </c>
      <c r="J11" s="250"/>
      <c r="K11" s="250"/>
      <c r="L11" s="250"/>
    </row>
    <row r="12" spans="1:16" x14ac:dyDescent="0.25">
      <c r="A12" s="715"/>
      <c r="B12" s="248" t="s">
        <v>215</v>
      </c>
      <c r="C12" s="249">
        <v>5</v>
      </c>
      <c r="D12" s="250"/>
      <c r="E12" s="248" t="s">
        <v>216</v>
      </c>
      <c r="F12" s="249">
        <v>1</v>
      </c>
      <c r="G12" s="250"/>
      <c r="H12" s="250"/>
      <c r="I12" s="250"/>
      <c r="J12" s="250"/>
      <c r="K12" s="250"/>
      <c r="L12" s="250"/>
    </row>
    <row r="13" spans="1:16" x14ac:dyDescent="0.25">
      <c r="A13" s="715"/>
      <c r="B13" s="251" t="s">
        <v>217</v>
      </c>
      <c r="C13" s="252">
        <v>5</v>
      </c>
      <c r="D13" s="250"/>
      <c r="E13" s="251" t="s">
        <v>218</v>
      </c>
      <c r="F13" s="252">
        <v>1</v>
      </c>
      <c r="G13" s="250"/>
      <c r="H13" s="250"/>
      <c r="I13" s="250"/>
      <c r="J13" s="250"/>
      <c r="K13" s="250"/>
      <c r="L13" s="250"/>
    </row>
    <row r="14" spans="1:16" x14ac:dyDescent="0.25">
      <c r="A14" s="715"/>
      <c r="B14" s="248" t="s">
        <v>219</v>
      </c>
      <c r="C14" s="249">
        <v>5</v>
      </c>
      <c r="D14" s="250"/>
      <c r="E14" s="248" t="s">
        <v>220</v>
      </c>
      <c r="F14" s="249">
        <v>1</v>
      </c>
      <c r="G14" s="250"/>
      <c r="H14" s="250"/>
      <c r="I14" s="250"/>
      <c r="J14" s="250"/>
      <c r="K14" s="250"/>
      <c r="L14" s="250"/>
    </row>
    <row r="15" spans="1:16" x14ac:dyDescent="0.25">
      <c r="A15" s="715"/>
      <c r="B15" s="251" t="s">
        <v>221</v>
      </c>
      <c r="C15" s="252">
        <v>5</v>
      </c>
      <c r="D15" s="250"/>
      <c r="E15" s="251" t="s">
        <v>222</v>
      </c>
      <c r="F15" s="252">
        <v>1</v>
      </c>
      <c r="G15" s="250"/>
      <c r="H15" s="250"/>
      <c r="I15" s="250"/>
      <c r="J15" s="250"/>
      <c r="K15" s="250"/>
      <c r="L15" s="250"/>
    </row>
    <row r="16" spans="1:16" x14ac:dyDescent="0.25">
      <c r="A16" s="715"/>
      <c r="B16" s="248" t="s">
        <v>223</v>
      </c>
      <c r="C16" s="249">
        <v>5</v>
      </c>
      <c r="D16" s="250"/>
      <c r="E16" s="254" t="s">
        <v>224</v>
      </c>
      <c r="F16" s="255">
        <v>1</v>
      </c>
      <c r="G16" s="250"/>
      <c r="H16" s="250"/>
      <c r="I16" s="250"/>
      <c r="J16" s="250"/>
      <c r="K16" s="250"/>
      <c r="L16" s="250"/>
    </row>
    <row r="17" spans="1:12" x14ac:dyDescent="0.25">
      <c r="A17" s="715"/>
      <c r="B17" s="251" t="s">
        <v>225</v>
      </c>
      <c r="C17" s="252">
        <v>5</v>
      </c>
      <c r="D17" s="250"/>
      <c r="E17" s="250"/>
      <c r="F17" s="250"/>
      <c r="G17" s="250"/>
      <c r="H17" s="250"/>
      <c r="I17" s="250"/>
      <c r="J17" s="250"/>
      <c r="K17" s="250"/>
      <c r="L17" s="250"/>
    </row>
    <row r="18" spans="1:12" x14ac:dyDescent="0.25">
      <c r="A18" s="715"/>
      <c r="B18" s="248" t="s">
        <v>226</v>
      </c>
      <c r="C18" s="249">
        <v>5</v>
      </c>
      <c r="D18" s="250"/>
      <c r="E18" s="250"/>
      <c r="F18" s="250"/>
      <c r="G18" s="250"/>
      <c r="H18" s="250"/>
      <c r="I18" s="250"/>
      <c r="J18" s="250"/>
      <c r="K18" s="250"/>
      <c r="L18" s="250"/>
    </row>
    <row r="19" spans="1:12" x14ac:dyDescent="0.25">
      <c r="A19" s="715"/>
      <c r="B19" s="251" t="s">
        <v>227</v>
      </c>
      <c r="C19" s="252">
        <v>5</v>
      </c>
      <c r="D19" s="250"/>
      <c r="E19" s="250"/>
      <c r="F19" s="250"/>
      <c r="G19" s="250"/>
      <c r="H19" s="250"/>
      <c r="I19" s="250"/>
      <c r="J19" s="250"/>
      <c r="K19" s="250"/>
      <c r="L19" s="250"/>
    </row>
    <row r="20" spans="1:12" x14ac:dyDescent="0.25">
      <c r="A20" s="715"/>
      <c r="B20" s="248" t="s">
        <v>228</v>
      </c>
      <c r="C20" s="249">
        <v>5</v>
      </c>
      <c r="D20" s="250"/>
      <c r="E20" s="250"/>
      <c r="F20" s="250"/>
      <c r="G20" s="250"/>
      <c r="H20" s="250"/>
      <c r="I20" s="250"/>
      <c r="J20" s="250"/>
      <c r="K20" s="250"/>
      <c r="L20" s="250"/>
    </row>
    <row r="21" spans="1:12" x14ac:dyDescent="0.25">
      <c r="A21" s="715"/>
      <c r="B21" s="251" t="s">
        <v>229</v>
      </c>
      <c r="C21" s="252">
        <v>5</v>
      </c>
      <c r="D21" s="250"/>
      <c r="E21" s="250"/>
      <c r="F21" s="250"/>
      <c r="G21" s="250"/>
      <c r="J21" s="250"/>
      <c r="K21" s="250"/>
      <c r="L21" s="250"/>
    </row>
    <row r="22" spans="1:12" x14ac:dyDescent="0.25">
      <c r="A22" s="715"/>
      <c r="B22" s="248" t="s">
        <v>230</v>
      </c>
      <c r="C22" s="249">
        <v>5</v>
      </c>
      <c r="D22" s="250"/>
      <c r="E22" s="250"/>
      <c r="F22" s="250"/>
      <c r="G22" s="250"/>
      <c r="J22" s="250"/>
      <c r="K22" s="250"/>
      <c r="L22" s="250"/>
    </row>
    <row r="23" spans="1:12" x14ac:dyDescent="0.25">
      <c r="A23" s="716"/>
      <c r="B23" s="256" t="s">
        <v>231</v>
      </c>
      <c r="C23" s="257">
        <v>5</v>
      </c>
      <c r="D23" s="250"/>
      <c r="E23" s="250"/>
      <c r="F23" s="250"/>
      <c r="G23" s="250"/>
      <c r="J23" s="250"/>
      <c r="K23" s="250"/>
      <c r="L23" s="250"/>
    </row>
    <row r="24" spans="1:12" ht="17.25" customHeight="1" x14ac:dyDescent="0.25">
      <c r="A24" s="714" t="s">
        <v>232</v>
      </c>
      <c r="B24" s="251" t="s">
        <v>233</v>
      </c>
      <c r="C24" s="252">
        <v>5</v>
      </c>
      <c r="D24" s="250"/>
      <c r="E24" s="250"/>
      <c r="F24" s="250"/>
      <c r="G24" s="250"/>
      <c r="J24" s="250"/>
      <c r="K24" s="250"/>
      <c r="L24" s="250"/>
    </row>
    <row r="25" spans="1:12" x14ac:dyDescent="0.25">
      <c r="A25" s="715"/>
      <c r="B25" s="248" t="s">
        <v>234</v>
      </c>
      <c r="C25" s="249">
        <v>5</v>
      </c>
      <c r="D25" s="250"/>
      <c r="E25" s="250"/>
      <c r="F25" s="250"/>
      <c r="G25" s="250"/>
      <c r="J25" s="250"/>
      <c r="K25" s="250"/>
      <c r="L25" s="250"/>
    </row>
    <row r="26" spans="1:12" x14ac:dyDescent="0.25">
      <c r="A26" s="715"/>
      <c r="B26" s="251" t="s">
        <v>235</v>
      </c>
      <c r="C26" s="252">
        <v>5</v>
      </c>
      <c r="D26" s="250"/>
      <c r="E26" s="250"/>
      <c r="F26" s="250"/>
      <c r="G26" s="250"/>
      <c r="J26" s="250"/>
      <c r="K26" s="250"/>
      <c r="L26" s="250"/>
    </row>
    <row r="27" spans="1:12" x14ac:dyDescent="0.25">
      <c r="A27" s="715"/>
      <c r="B27" s="248" t="s">
        <v>236</v>
      </c>
      <c r="C27" s="249">
        <v>5</v>
      </c>
      <c r="D27" s="250"/>
      <c r="E27" s="250"/>
      <c r="F27" s="250"/>
      <c r="G27" s="250"/>
      <c r="J27" s="250"/>
      <c r="K27" s="250"/>
      <c r="L27" s="250"/>
    </row>
    <row r="28" spans="1:12" x14ac:dyDescent="0.25">
      <c r="A28" s="716"/>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73" activePane="bottomLeft" state="frozen"/>
      <selection pane="bottomLeft" activeCell="E91" sqref="E91"/>
    </sheetView>
  </sheetViews>
  <sheetFormatPr defaultColWidth="9" defaultRowHeight="15.6" x14ac:dyDescent="0.25"/>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x14ac:dyDescent="0.25">
      <c r="A1" s="215" t="s">
        <v>237</v>
      </c>
      <c r="B1" s="717" t="s">
        <v>10</v>
      </c>
      <c r="C1" s="717"/>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5">
      <c r="A2" s="220">
        <v>0</v>
      </c>
      <c r="B2" s="718" t="s">
        <v>242</v>
      </c>
      <c r="C2" s="718"/>
      <c r="D2" s="718"/>
      <c r="E2" s="718"/>
      <c r="F2" s="718"/>
      <c r="G2" s="719"/>
      <c r="H2" s="730" t="s">
        <v>243</v>
      </c>
      <c r="I2" s="720" t="s">
        <v>244</v>
      </c>
      <c r="J2" s="721"/>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5">
      <c r="A3" s="221">
        <v>1</v>
      </c>
      <c r="B3" s="222" t="str">
        <f>IF(C3="","自定义职业",C3)</f>
        <v>自定义职业</v>
      </c>
      <c r="C3" s="223"/>
      <c r="D3" s="224" t="s">
        <v>245</v>
      </c>
      <c r="E3" s="225"/>
      <c r="F3" s="226">
        <f>IF(E3=0,EDU*4,EDU*2+职业列表!E3*2)</f>
        <v>360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0"/>
      <c r="I3" s="722" t="s">
        <v>122</v>
      </c>
      <c r="J3" s="723"/>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5">
      <c r="A4" s="220">
        <v>2</v>
      </c>
      <c r="B4" s="724" t="s">
        <v>246</v>
      </c>
      <c r="C4" s="724"/>
      <c r="D4" s="228" t="s">
        <v>247</v>
      </c>
      <c r="E4" s="228" t="s">
        <v>248</v>
      </c>
      <c r="F4" s="229">
        <f>EDU*4</f>
        <v>360</v>
      </c>
      <c r="G4" s="230" t="s">
        <v>249</v>
      </c>
      <c r="H4" s="730"/>
      <c r="I4" s="722" t="s">
        <v>122</v>
      </c>
      <c r="J4" s="723"/>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5">
      <c r="A5" s="221">
        <v>3</v>
      </c>
      <c r="B5" s="725" t="s">
        <v>250</v>
      </c>
      <c r="C5" s="725"/>
      <c r="D5" s="231" t="s">
        <v>251</v>
      </c>
      <c r="E5" s="232" t="s">
        <v>252</v>
      </c>
      <c r="F5" s="226">
        <f>EDU*2+DEX*2</f>
        <v>270</v>
      </c>
      <c r="G5" s="227" t="s">
        <v>253</v>
      </c>
      <c r="H5" s="730"/>
      <c r="I5" s="722" t="s">
        <v>122</v>
      </c>
      <c r="J5" s="723"/>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5">
      <c r="A6" s="220">
        <v>4</v>
      </c>
      <c r="B6" s="724" t="s">
        <v>254</v>
      </c>
      <c r="C6" s="724"/>
      <c r="D6" s="228" t="s">
        <v>255</v>
      </c>
      <c r="E6" s="228" t="s">
        <v>256</v>
      </c>
      <c r="F6" s="229">
        <f>APP*2+EDU*2</f>
        <v>300</v>
      </c>
      <c r="G6" s="230" t="s">
        <v>257</v>
      </c>
      <c r="H6" s="730"/>
      <c r="I6" s="722" t="s">
        <v>122</v>
      </c>
      <c r="J6" s="723"/>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5">
      <c r="A7" s="221">
        <v>5</v>
      </c>
      <c r="B7" s="725" t="s">
        <v>258</v>
      </c>
      <c r="C7" s="725"/>
      <c r="D7" s="231" t="s">
        <v>259</v>
      </c>
      <c r="E7" s="232" t="s">
        <v>256</v>
      </c>
      <c r="F7" s="226">
        <f>APP*2+EDU*2</f>
        <v>300</v>
      </c>
      <c r="G7" s="227" t="s">
        <v>260</v>
      </c>
      <c r="H7" s="730"/>
      <c r="I7" s="722" t="s">
        <v>122</v>
      </c>
      <c r="J7" s="723"/>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5">
      <c r="A8" s="220">
        <v>6</v>
      </c>
      <c r="B8" s="724" t="s">
        <v>261</v>
      </c>
      <c r="C8" s="724"/>
      <c r="D8" s="228" t="s">
        <v>262</v>
      </c>
      <c r="E8" s="228" t="s">
        <v>263</v>
      </c>
      <c r="F8" s="229">
        <f>EDU*2+MAX(STR,DEX)*2</f>
        <v>280</v>
      </c>
      <c r="G8" s="230" t="s">
        <v>264</v>
      </c>
      <c r="H8" s="730"/>
      <c r="I8" s="722" t="s">
        <v>122</v>
      </c>
      <c r="J8" s="723"/>
      <c r="M8" s="235" t="s">
        <v>53</v>
      </c>
      <c r="N8" s="234"/>
    </row>
    <row r="9" spans="1:172" x14ac:dyDescent="0.25">
      <c r="A9" s="221">
        <v>7</v>
      </c>
      <c r="B9" s="725" t="s">
        <v>265</v>
      </c>
      <c r="C9" s="725"/>
      <c r="D9" s="231" t="s">
        <v>266</v>
      </c>
      <c r="E9" s="232" t="s">
        <v>248</v>
      </c>
      <c r="F9" s="226">
        <f>EDU*4</f>
        <v>360</v>
      </c>
      <c r="G9" s="227" t="s">
        <v>267</v>
      </c>
      <c r="H9" s="730"/>
      <c r="I9" s="722" t="s">
        <v>122</v>
      </c>
      <c r="J9" s="723"/>
      <c r="M9" s="235" t="s">
        <v>55</v>
      </c>
      <c r="N9" s="234"/>
    </row>
    <row r="10" spans="1:172" x14ac:dyDescent="0.25">
      <c r="A10" s="220">
        <v>8</v>
      </c>
      <c r="B10" s="724" t="s">
        <v>268</v>
      </c>
      <c r="C10" s="724"/>
      <c r="D10" s="228" t="s">
        <v>269</v>
      </c>
      <c r="E10" s="228" t="s">
        <v>270</v>
      </c>
      <c r="F10" s="229">
        <f>EDU*2+MAX(APP,POW)*2</f>
        <v>300</v>
      </c>
      <c r="G10" s="230" t="s">
        <v>271</v>
      </c>
      <c r="H10" s="730"/>
      <c r="I10" s="726" t="s">
        <v>122</v>
      </c>
      <c r="J10" s="727"/>
      <c r="M10" s="235" t="s">
        <v>57</v>
      </c>
      <c r="N10" s="234"/>
    </row>
    <row r="11" spans="1:172" ht="17.25" customHeight="1" x14ac:dyDescent="0.25">
      <c r="A11" s="221">
        <v>9</v>
      </c>
      <c r="B11" s="725" t="s">
        <v>272</v>
      </c>
      <c r="C11" s="725"/>
      <c r="D11" s="231" t="s">
        <v>247</v>
      </c>
      <c r="E11" s="232" t="s">
        <v>248</v>
      </c>
      <c r="F11" s="226">
        <f>EDU*4</f>
        <v>360</v>
      </c>
      <c r="G11" s="227" t="s">
        <v>273</v>
      </c>
      <c r="I11" s="728"/>
      <c r="J11" s="728"/>
      <c r="M11" s="235" t="s">
        <v>59</v>
      </c>
      <c r="N11" s="234"/>
    </row>
    <row r="12" spans="1:172" x14ac:dyDescent="0.25">
      <c r="A12" s="220">
        <v>10</v>
      </c>
      <c r="B12" s="724" t="s">
        <v>274</v>
      </c>
      <c r="C12" s="724"/>
      <c r="D12" s="228" t="s">
        <v>275</v>
      </c>
      <c r="E12" s="228" t="s">
        <v>248</v>
      </c>
      <c r="F12" s="229">
        <f>EDU*4</f>
        <v>360</v>
      </c>
      <c r="G12" s="230" t="s">
        <v>276</v>
      </c>
      <c r="M12" s="235" t="s">
        <v>62</v>
      </c>
      <c r="N12" s="234"/>
    </row>
    <row r="13" spans="1:172" x14ac:dyDescent="0.25">
      <c r="A13" s="221">
        <v>11</v>
      </c>
      <c r="B13" s="725" t="s">
        <v>277</v>
      </c>
      <c r="C13" s="725"/>
      <c r="D13" s="231" t="s">
        <v>269</v>
      </c>
      <c r="E13" s="232" t="s">
        <v>248</v>
      </c>
      <c r="F13" s="226">
        <f>EDU*4</f>
        <v>360</v>
      </c>
      <c r="G13" s="227" t="s">
        <v>278</v>
      </c>
      <c r="M13" s="235" t="s">
        <v>64</v>
      </c>
      <c r="N13" s="234"/>
    </row>
    <row r="14" spans="1:172" x14ac:dyDescent="0.25">
      <c r="A14" s="220">
        <v>12</v>
      </c>
      <c r="B14" s="724" t="s">
        <v>279</v>
      </c>
      <c r="C14" s="724"/>
      <c r="D14" s="228" t="s">
        <v>247</v>
      </c>
      <c r="E14" s="228" t="s">
        <v>248</v>
      </c>
      <c r="F14" s="229">
        <f>EDU*4</f>
        <v>360</v>
      </c>
      <c r="G14" s="230" t="s">
        <v>280</v>
      </c>
      <c r="M14" s="235" t="s">
        <v>67</v>
      </c>
      <c r="N14" s="234"/>
    </row>
    <row r="15" spans="1:172" ht="17.25" customHeight="1" x14ac:dyDescent="0.25">
      <c r="A15" s="221">
        <v>13</v>
      </c>
      <c r="B15" s="725" t="s">
        <v>281</v>
      </c>
      <c r="C15" s="725"/>
      <c r="D15" s="231" t="s">
        <v>282</v>
      </c>
      <c r="E15" s="232" t="s">
        <v>283</v>
      </c>
      <c r="F15" s="226">
        <f>EDU*2+MAX(DEX,POW)*2</f>
        <v>300</v>
      </c>
      <c r="G15" s="227" t="s">
        <v>284</v>
      </c>
      <c r="M15" s="235" t="s">
        <v>69</v>
      </c>
      <c r="N15" s="234"/>
    </row>
    <row r="16" spans="1:172" ht="17.25" customHeight="1" x14ac:dyDescent="0.25">
      <c r="A16" s="220">
        <v>14</v>
      </c>
      <c r="B16" s="724" t="s">
        <v>285</v>
      </c>
      <c r="C16" s="724"/>
      <c r="D16" s="228" t="s">
        <v>286</v>
      </c>
      <c r="E16" s="228" t="s">
        <v>263</v>
      </c>
      <c r="F16" s="229">
        <f>EDU*2+MAX(STR,DEX)*2</f>
        <v>280</v>
      </c>
      <c r="G16" s="230" t="s">
        <v>287</v>
      </c>
      <c r="M16" s="235" t="s">
        <v>71</v>
      </c>
      <c r="N16" s="234"/>
    </row>
    <row r="17" spans="1:14" ht="16.5" customHeight="1" x14ac:dyDescent="0.25">
      <c r="A17" s="221">
        <v>15</v>
      </c>
      <c r="B17" s="725" t="s">
        <v>288</v>
      </c>
      <c r="C17" s="725"/>
      <c r="D17" s="231" t="s">
        <v>289</v>
      </c>
      <c r="E17" s="232" t="s">
        <v>290</v>
      </c>
      <c r="F17" s="226">
        <f>EDU*2+MAX(STR,DEX)*2</f>
        <v>280</v>
      </c>
      <c r="G17" s="227" t="s">
        <v>291</v>
      </c>
      <c r="M17" s="235" t="s">
        <v>73</v>
      </c>
      <c r="N17" s="234"/>
    </row>
    <row r="18" spans="1:14" x14ac:dyDescent="0.25">
      <c r="A18" s="220">
        <v>16</v>
      </c>
      <c r="B18" s="724" t="s">
        <v>292</v>
      </c>
      <c r="C18" s="724"/>
      <c r="D18" s="228" t="s">
        <v>293</v>
      </c>
      <c r="E18" s="228" t="s">
        <v>248</v>
      </c>
      <c r="F18" s="229">
        <f>EDU*4</f>
        <v>360</v>
      </c>
      <c r="G18" s="230" t="s">
        <v>294</v>
      </c>
      <c r="M18" s="235" t="s">
        <v>76</v>
      </c>
      <c r="N18" s="234"/>
    </row>
    <row r="19" spans="1:14" ht="16.5" customHeight="1" x14ac:dyDescent="0.25">
      <c r="A19" s="221">
        <v>17</v>
      </c>
      <c r="B19" s="725" t="s">
        <v>295</v>
      </c>
      <c r="C19" s="725"/>
      <c r="D19" s="231" t="s">
        <v>296</v>
      </c>
      <c r="E19" s="232" t="s">
        <v>256</v>
      </c>
      <c r="F19" s="226">
        <f>EDU*2+APP*2</f>
        <v>300</v>
      </c>
      <c r="G19" s="227" t="s">
        <v>297</v>
      </c>
      <c r="M19" s="235" t="s">
        <v>78</v>
      </c>
      <c r="N19" s="234"/>
    </row>
    <row r="20" spans="1:14" ht="16.5" customHeight="1" x14ac:dyDescent="0.25">
      <c r="A20" s="220">
        <v>18</v>
      </c>
      <c r="B20" s="724" t="s">
        <v>298</v>
      </c>
      <c r="C20" s="724"/>
      <c r="D20" s="228" t="s">
        <v>299</v>
      </c>
      <c r="E20" s="228" t="s">
        <v>290</v>
      </c>
      <c r="F20" s="229">
        <f>EDU*2+MAX(STR,DEX)*2</f>
        <v>280</v>
      </c>
      <c r="G20" s="230" t="s">
        <v>300</v>
      </c>
      <c r="M20" s="235" t="s">
        <v>81</v>
      </c>
      <c r="N20" s="234"/>
    </row>
    <row r="21" spans="1:14" x14ac:dyDescent="0.25">
      <c r="A21" s="221">
        <v>19</v>
      </c>
      <c r="B21" s="725" t="s">
        <v>301</v>
      </c>
      <c r="C21" s="725"/>
      <c r="D21" s="231" t="s">
        <v>302</v>
      </c>
      <c r="E21" s="232" t="s">
        <v>248</v>
      </c>
      <c r="F21" s="226">
        <f>EDU*4</f>
        <v>360</v>
      </c>
      <c r="G21" s="227" t="s">
        <v>303</v>
      </c>
      <c r="M21" s="235" t="s">
        <v>83</v>
      </c>
      <c r="N21" s="234"/>
    </row>
    <row r="22" spans="1:14" ht="16.5" customHeight="1" x14ac:dyDescent="0.25">
      <c r="A22" s="220">
        <v>20</v>
      </c>
      <c r="B22" s="724" t="s">
        <v>304</v>
      </c>
      <c r="C22" s="724"/>
      <c r="D22" s="228" t="s">
        <v>293</v>
      </c>
      <c r="E22" s="228" t="s">
        <v>290</v>
      </c>
      <c r="F22" s="229">
        <f>EDU*2+MAX(STR,DEX)*2</f>
        <v>280</v>
      </c>
      <c r="G22" s="230" t="s">
        <v>305</v>
      </c>
      <c r="M22" s="235" t="s">
        <v>85</v>
      </c>
      <c r="N22" s="234"/>
    </row>
    <row r="23" spans="1:14" ht="16.5" customHeight="1" x14ac:dyDescent="0.25">
      <c r="A23" s="221">
        <v>21</v>
      </c>
      <c r="B23" s="725" t="s">
        <v>306</v>
      </c>
      <c r="C23" s="725"/>
      <c r="D23" s="231" t="s">
        <v>307</v>
      </c>
      <c r="E23" s="232" t="s">
        <v>308</v>
      </c>
      <c r="F23" s="226">
        <f>EDU*2+STR*2</f>
        <v>280</v>
      </c>
      <c r="G23" s="227" t="s">
        <v>309</v>
      </c>
      <c r="M23" s="235" t="s">
        <v>88</v>
      </c>
      <c r="N23" s="234"/>
    </row>
    <row r="24" spans="1:14" x14ac:dyDescent="0.25">
      <c r="A24" s="220">
        <v>22</v>
      </c>
      <c r="B24" s="724" t="s">
        <v>310</v>
      </c>
      <c r="C24" s="724"/>
      <c r="D24" s="228" t="s">
        <v>255</v>
      </c>
      <c r="E24" s="228" t="s">
        <v>248</v>
      </c>
      <c r="F24" s="229">
        <f>EDU*4</f>
        <v>360</v>
      </c>
      <c r="G24" s="230" t="s">
        <v>311</v>
      </c>
      <c r="M24" s="235" t="s">
        <v>90</v>
      </c>
      <c r="N24" s="234"/>
    </row>
    <row r="25" spans="1:14" x14ac:dyDescent="0.25">
      <c r="A25" s="221">
        <v>23</v>
      </c>
      <c r="B25" s="725" t="s">
        <v>312</v>
      </c>
      <c r="C25" s="725"/>
      <c r="D25" s="231" t="s">
        <v>307</v>
      </c>
      <c r="E25" s="232" t="s">
        <v>248</v>
      </c>
      <c r="F25" s="226">
        <f>EDU*4</f>
        <v>360</v>
      </c>
      <c r="G25" s="227" t="s">
        <v>313</v>
      </c>
      <c r="M25" s="235" t="s">
        <v>92</v>
      </c>
      <c r="N25" s="234"/>
    </row>
    <row r="26" spans="1:14" x14ac:dyDescent="0.25">
      <c r="A26" s="220">
        <v>24</v>
      </c>
      <c r="B26" s="724" t="s">
        <v>314</v>
      </c>
      <c r="C26" s="724"/>
      <c r="D26" s="228" t="s">
        <v>315</v>
      </c>
      <c r="E26" s="228" t="s">
        <v>248</v>
      </c>
      <c r="F26" s="229">
        <f>EDU*4</f>
        <v>360</v>
      </c>
      <c r="G26" s="230" t="s">
        <v>316</v>
      </c>
      <c r="M26" s="235" t="s">
        <v>94</v>
      </c>
      <c r="N26" s="234"/>
    </row>
    <row r="27" spans="1:14" x14ac:dyDescent="0.25">
      <c r="A27" s="221">
        <v>25</v>
      </c>
      <c r="B27" s="725" t="s">
        <v>317</v>
      </c>
      <c r="C27" s="725"/>
      <c r="D27" s="231" t="s">
        <v>315</v>
      </c>
      <c r="E27" s="232" t="s">
        <v>248</v>
      </c>
      <c r="F27" s="226">
        <f>EDU*4</f>
        <v>360</v>
      </c>
      <c r="G27" s="227" t="s">
        <v>318</v>
      </c>
      <c r="M27" s="235" t="s">
        <v>96</v>
      </c>
      <c r="N27" s="234"/>
    </row>
    <row r="28" spans="1:14" ht="17.25" customHeight="1" x14ac:dyDescent="0.25">
      <c r="A28" s="220">
        <v>26</v>
      </c>
      <c r="B28" s="724" t="s">
        <v>319</v>
      </c>
      <c r="C28" s="724"/>
      <c r="D28" s="228" t="s">
        <v>251</v>
      </c>
      <c r="E28" s="228" t="s">
        <v>320</v>
      </c>
      <c r="F28" s="229">
        <f>EDU*2+MAX(STR,DEX)*2</f>
        <v>280</v>
      </c>
      <c r="G28" s="230" t="s">
        <v>321</v>
      </c>
      <c r="M28" s="235" t="s">
        <v>98</v>
      </c>
      <c r="N28" s="234"/>
    </row>
    <row r="29" spans="1:14" ht="16.5" customHeight="1" x14ac:dyDescent="0.25">
      <c r="A29" s="221">
        <v>27</v>
      </c>
      <c r="B29" s="725" t="s">
        <v>322</v>
      </c>
      <c r="C29" s="725"/>
      <c r="D29" s="231" t="s">
        <v>269</v>
      </c>
      <c r="E29" s="232" t="s">
        <v>252</v>
      </c>
      <c r="F29" s="226">
        <f>EDU*2+DEX*2</f>
        <v>270</v>
      </c>
      <c r="G29" s="227" t="s">
        <v>323</v>
      </c>
      <c r="M29" s="235" t="s">
        <v>100</v>
      </c>
      <c r="N29" s="234"/>
    </row>
    <row r="30" spans="1:14" ht="17.25" customHeight="1" x14ac:dyDescent="0.25">
      <c r="A30" s="220">
        <v>28</v>
      </c>
      <c r="B30" s="724" t="s">
        <v>324</v>
      </c>
      <c r="C30" s="724"/>
      <c r="D30" s="228" t="s">
        <v>325</v>
      </c>
      <c r="E30" s="228" t="s">
        <v>290</v>
      </c>
      <c r="F30" s="229">
        <f>EDU*2+MAX(STR,DEX)*2</f>
        <v>280</v>
      </c>
      <c r="G30" s="230" t="s">
        <v>326</v>
      </c>
      <c r="M30" s="235" t="s">
        <v>102</v>
      </c>
      <c r="N30" s="234"/>
    </row>
    <row r="31" spans="1:14" ht="17.25" customHeight="1" x14ac:dyDescent="0.25">
      <c r="A31" s="221">
        <v>29</v>
      </c>
      <c r="B31" s="725" t="s">
        <v>327</v>
      </c>
      <c r="C31" s="725"/>
      <c r="D31" s="231" t="s">
        <v>328</v>
      </c>
      <c r="E31" s="232" t="s">
        <v>263</v>
      </c>
      <c r="F31" s="226">
        <f>EDU*2+MAX(STR,DEX)*2</f>
        <v>280</v>
      </c>
      <c r="G31" s="227" t="s">
        <v>329</v>
      </c>
      <c r="M31" s="235" t="s">
        <v>104</v>
      </c>
      <c r="N31" s="234"/>
    </row>
    <row r="32" spans="1:14" ht="17.25" customHeight="1" x14ac:dyDescent="0.25">
      <c r="A32" s="220">
        <v>30</v>
      </c>
      <c r="B32" s="724" t="s">
        <v>330</v>
      </c>
      <c r="C32" s="724"/>
      <c r="D32" s="228" t="s">
        <v>331</v>
      </c>
      <c r="E32" s="228" t="s">
        <v>308</v>
      </c>
      <c r="F32" s="229">
        <f>EDU*2+STR*2</f>
        <v>280</v>
      </c>
      <c r="G32" s="230" t="s">
        <v>332</v>
      </c>
      <c r="M32" s="235" t="s">
        <v>106</v>
      </c>
      <c r="N32" s="234"/>
    </row>
    <row r="33" spans="1:14" ht="17.25" customHeight="1" x14ac:dyDescent="0.25">
      <c r="A33" s="221">
        <v>31</v>
      </c>
      <c r="B33" s="725" t="s">
        <v>333</v>
      </c>
      <c r="C33" s="725"/>
      <c r="D33" s="231" t="s">
        <v>334</v>
      </c>
      <c r="E33" s="232" t="s">
        <v>252</v>
      </c>
      <c r="F33" s="226">
        <f>EDU*2+DEX*2</f>
        <v>270</v>
      </c>
      <c r="G33" s="227" t="s">
        <v>335</v>
      </c>
      <c r="M33" s="235" t="s">
        <v>107</v>
      </c>
      <c r="N33" s="234"/>
    </row>
    <row r="34" spans="1:14" ht="17.25" customHeight="1" x14ac:dyDescent="0.25">
      <c r="A34" s="220">
        <v>32</v>
      </c>
      <c r="B34" s="724" t="s">
        <v>336</v>
      </c>
      <c r="C34" s="724"/>
      <c r="D34" s="228" t="s">
        <v>337</v>
      </c>
      <c r="E34" s="228" t="s">
        <v>256</v>
      </c>
      <c r="F34" s="229">
        <f>APP*2+EDU*2</f>
        <v>300</v>
      </c>
      <c r="G34" s="230" t="s">
        <v>338</v>
      </c>
      <c r="M34" s="235" t="s">
        <v>41</v>
      </c>
      <c r="N34" s="234"/>
    </row>
    <row r="35" spans="1:14" ht="17.25" customHeight="1" x14ac:dyDescent="0.25">
      <c r="A35" s="221">
        <v>33</v>
      </c>
      <c r="B35" s="725" t="s">
        <v>339</v>
      </c>
      <c r="C35" s="725"/>
      <c r="D35" s="231" t="s">
        <v>340</v>
      </c>
      <c r="E35" s="232" t="s">
        <v>341</v>
      </c>
      <c r="F35" s="226">
        <f>EDU*2+MAX(APP,DEX)*2</f>
        <v>300</v>
      </c>
      <c r="G35" s="227" t="s">
        <v>342</v>
      </c>
      <c r="M35" s="235" t="s">
        <v>43</v>
      </c>
      <c r="N35" s="234"/>
    </row>
    <row r="36" spans="1:14" ht="17.25" customHeight="1" x14ac:dyDescent="0.25">
      <c r="A36" s="220">
        <v>34</v>
      </c>
      <c r="B36" s="724" t="s">
        <v>343</v>
      </c>
      <c r="C36" s="724"/>
      <c r="D36" s="228" t="s">
        <v>344</v>
      </c>
      <c r="E36" s="228" t="s">
        <v>256</v>
      </c>
      <c r="F36" s="229">
        <f>APP*2+EDU*2</f>
        <v>300</v>
      </c>
      <c r="G36" s="230" t="s">
        <v>345</v>
      </c>
      <c r="M36" s="235" t="s">
        <v>45</v>
      </c>
      <c r="N36" s="234"/>
    </row>
    <row r="37" spans="1:14" ht="17.25" customHeight="1" x14ac:dyDescent="0.25">
      <c r="A37" s="221">
        <v>35</v>
      </c>
      <c r="B37" s="725" t="s">
        <v>346</v>
      </c>
      <c r="C37" s="725"/>
      <c r="D37" s="231" t="s">
        <v>302</v>
      </c>
      <c r="E37" s="232" t="s">
        <v>256</v>
      </c>
      <c r="F37" s="226">
        <f>APP*2+EDU*2</f>
        <v>300</v>
      </c>
      <c r="G37" s="227" t="s">
        <v>347</v>
      </c>
      <c r="M37" s="235" t="s">
        <v>47</v>
      </c>
      <c r="N37" s="234"/>
    </row>
    <row r="38" spans="1:14" x14ac:dyDescent="0.25">
      <c r="A38" s="220">
        <v>36</v>
      </c>
      <c r="B38" s="724" t="s">
        <v>348</v>
      </c>
      <c r="C38" s="724"/>
      <c r="D38" s="228" t="s">
        <v>349</v>
      </c>
      <c r="E38" s="228" t="s">
        <v>248</v>
      </c>
      <c r="F38" s="229">
        <f>EDU*4</f>
        <v>360</v>
      </c>
      <c r="G38" s="230" t="s">
        <v>350</v>
      </c>
      <c r="M38" s="235" t="s">
        <v>50</v>
      </c>
      <c r="N38" s="234"/>
    </row>
    <row r="39" spans="1:14" ht="17.25" customHeight="1" x14ac:dyDescent="0.25">
      <c r="A39" s="221">
        <v>37</v>
      </c>
      <c r="B39" s="725" t="s">
        <v>351</v>
      </c>
      <c r="C39" s="725"/>
      <c r="D39" s="231" t="s">
        <v>349</v>
      </c>
      <c r="E39" s="232" t="s">
        <v>352</v>
      </c>
      <c r="F39" s="226">
        <f>EDU*2+MAX(APP,DEX)*2</f>
        <v>300</v>
      </c>
      <c r="G39" s="227" t="s">
        <v>353</v>
      </c>
      <c r="M39" s="235" t="s">
        <v>52</v>
      </c>
      <c r="N39" s="234"/>
    </row>
    <row r="40" spans="1:14" ht="17.25" customHeight="1" x14ac:dyDescent="0.25">
      <c r="A40" s="220">
        <v>38</v>
      </c>
      <c r="B40" s="724" t="s">
        <v>354</v>
      </c>
      <c r="C40" s="724"/>
      <c r="D40" s="228" t="s">
        <v>355</v>
      </c>
      <c r="E40" s="228" t="s">
        <v>290</v>
      </c>
      <c r="F40" s="229">
        <f>EDU*2+MAX(STR,DEX)*2</f>
        <v>280</v>
      </c>
      <c r="G40" s="230" t="s">
        <v>356</v>
      </c>
      <c r="M40" s="235" t="s">
        <v>54</v>
      </c>
      <c r="N40" s="234"/>
    </row>
    <row r="41" spans="1:14" x14ac:dyDescent="0.25">
      <c r="A41" s="221">
        <v>39</v>
      </c>
      <c r="B41" s="725" t="s">
        <v>357</v>
      </c>
      <c r="C41" s="725"/>
      <c r="D41" s="231" t="s">
        <v>325</v>
      </c>
      <c r="E41" s="232" t="s">
        <v>248</v>
      </c>
      <c r="F41" s="226">
        <f>EDU*4</f>
        <v>360</v>
      </c>
      <c r="G41" s="227" t="s">
        <v>358</v>
      </c>
      <c r="M41" s="235" t="s">
        <v>56</v>
      </c>
      <c r="N41" s="234"/>
    </row>
    <row r="42" spans="1:14" ht="30" x14ac:dyDescent="0.25">
      <c r="A42" s="220">
        <v>40</v>
      </c>
      <c r="B42" s="724" t="s">
        <v>359</v>
      </c>
      <c r="C42" s="724"/>
      <c r="D42" s="228" t="s">
        <v>299</v>
      </c>
      <c r="E42" s="228" t="s">
        <v>248</v>
      </c>
      <c r="F42" s="229">
        <f>EDU*4</f>
        <v>360</v>
      </c>
      <c r="G42" s="230" t="s">
        <v>360</v>
      </c>
      <c r="M42" s="235" t="s">
        <v>58</v>
      </c>
      <c r="N42" s="234"/>
    </row>
    <row r="43" spans="1:14" x14ac:dyDescent="0.25">
      <c r="A43" s="221">
        <v>41</v>
      </c>
      <c r="B43" s="725" t="s">
        <v>361</v>
      </c>
      <c r="C43" s="725"/>
      <c r="D43" s="231" t="s">
        <v>349</v>
      </c>
      <c r="E43" s="232" t="s">
        <v>248</v>
      </c>
      <c r="F43" s="226">
        <f>EDU*4</f>
        <v>360</v>
      </c>
      <c r="G43" s="227" t="s">
        <v>362</v>
      </c>
      <c r="M43" s="235" t="s">
        <v>60</v>
      </c>
      <c r="N43" s="234"/>
    </row>
    <row r="44" spans="1:14" ht="17.25" customHeight="1" x14ac:dyDescent="0.25">
      <c r="A44" s="220">
        <v>42</v>
      </c>
      <c r="B44" s="724" t="s">
        <v>363</v>
      </c>
      <c r="C44" s="724"/>
      <c r="D44" s="228" t="s">
        <v>364</v>
      </c>
      <c r="E44" s="228" t="s">
        <v>256</v>
      </c>
      <c r="F44" s="229">
        <f>APP*2+EDU*2</f>
        <v>300</v>
      </c>
      <c r="G44" s="230" t="s">
        <v>365</v>
      </c>
      <c r="M44" s="235" t="s">
        <v>63</v>
      </c>
      <c r="N44" s="234"/>
    </row>
    <row r="45" spans="1:14" ht="17.25" customHeight="1" x14ac:dyDescent="0.25">
      <c r="A45" s="221">
        <v>43</v>
      </c>
      <c r="B45" s="725" t="s">
        <v>366</v>
      </c>
      <c r="C45" s="725"/>
      <c r="D45" s="231" t="s">
        <v>293</v>
      </c>
      <c r="E45" s="232" t="s">
        <v>252</v>
      </c>
      <c r="F45" s="226">
        <f>EDU*2+DEX*2</f>
        <v>270</v>
      </c>
      <c r="G45" s="227" t="s">
        <v>367</v>
      </c>
      <c r="M45" s="235" t="s">
        <v>66</v>
      </c>
      <c r="N45" s="234"/>
    </row>
    <row r="46" spans="1:14" x14ac:dyDescent="0.25">
      <c r="A46" s="220">
        <v>44</v>
      </c>
      <c r="B46" s="724" t="s">
        <v>368</v>
      </c>
      <c r="C46" s="724"/>
      <c r="D46" s="228" t="s">
        <v>369</v>
      </c>
      <c r="E46" s="228" t="s">
        <v>248</v>
      </c>
      <c r="F46" s="229">
        <f>EDU*4</f>
        <v>360</v>
      </c>
      <c r="G46" s="230" t="s">
        <v>370</v>
      </c>
      <c r="M46" s="235" t="s">
        <v>68</v>
      </c>
      <c r="N46" s="234"/>
    </row>
    <row r="47" spans="1:14" ht="17.25" customHeight="1" x14ac:dyDescent="0.25">
      <c r="A47" s="221">
        <v>45</v>
      </c>
      <c r="B47" s="725" t="s">
        <v>371</v>
      </c>
      <c r="C47" s="725"/>
      <c r="D47" s="231" t="s">
        <v>372</v>
      </c>
      <c r="E47" s="232" t="s">
        <v>373</v>
      </c>
      <c r="F47" s="226">
        <f>(MAX(APP,STR,DEX))*2+EDU*2</f>
        <v>300</v>
      </c>
      <c r="G47" s="227" t="s">
        <v>374</v>
      </c>
      <c r="M47" s="235" t="s">
        <v>70</v>
      </c>
      <c r="N47" s="234"/>
    </row>
    <row r="48" spans="1:14" ht="17.25" customHeight="1" x14ac:dyDescent="0.25">
      <c r="A48" s="220">
        <v>46</v>
      </c>
      <c r="B48" s="724" t="s">
        <v>375</v>
      </c>
      <c r="C48" s="724"/>
      <c r="D48" s="228" t="s">
        <v>269</v>
      </c>
      <c r="E48" s="228" t="s">
        <v>252</v>
      </c>
      <c r="F48" s="229">
        <f>EDU*2+DEX*2</f>
        <v>270</v>
      </c>
      <c r="G48" s="230" t="s">
        <v>376</v>
      </c>
      <c r="M48" s="235" t="s">
        <v>72</v>
      </c>
      <c r="N48" s="234"/>
    </row>
    <row r="49" spans="1:14" ht="17.25" customHeight="1" x14ac:dyDescent="0.25">
      <c r="A49" s="221">
        <v>47</v>
      </c>
      <c r="B49" s="725" t="s">
        <v>377</v>
      </c>
      <c r="C49" s="725"/>
      <c r="D49" s="231" t="s">
        <v>251</v>
      </c>
      <c r="E49" s="232" t="s">
        <v>290</v>
      </c>
      <c r="F49" s="226">
        <f>EDU*2+MAX(STR,DEX)*2</f>
        <v>280</v>
      </c>
      <c r="G49" s="227" t="s">
        <v>378</v>
      </c>
      <c r="M49" s="235" t="s">
        <v>74</v>
      </c>
      <c r="N49" s="234"/>
    </row>
    <row r="50" spans="1:14" ht="17.25" customHeight="1" x14ac:dyDescent="0.25">
      <c r="A50" s="220">
        <v>48</v>
      </c>
      <c r="B50" s="724" t="s">
        <v>379</v>
      </c>
      <c r="C50" s="724"/>
      <c r="D50" s="228" t="s">
        <v>293</v>
      </c>
      <c r="E50" s="228" t="s">
        <v>252</v>
      </c>
      <c r="F50" s="229">
        <f>EDU*2+DEX*2</f>
        <v>270</v>
      </c>
      <c r="G50" s="230" t="s">
        <v>380</v>
      </c>
      <c r="M50" s="235" t="s">
        <v>77</v>
      </c>
      <c r="N50" s="234"/>
    </row>
    <row r="51" spans="1:14" x14ac:dyDescent="0.25">
      <c r="A51" s="221">
        <v>49</v>
      </c>
      <c r="B51" s="725" t="s">
        <v>381</v>
      </c>
      <c r="C51" s="725"/>
      <c r="D51" s="231" t="s">
        <v>382</v>
      </c>
      <c r="E51" s="232" t="s">
        <v>248</v>
      </c>
      <c r="F51" s="226">
        <f>EDU*4</f>
        <v>360</v>
      </c>
      <c r="G51" s="227" t="s">
        <v>383</v>
      </c>
      <c r="M51" s="235" t="s">
        <v>79</v>
      </c>
      <c r="N51" s="234"/>
    </row>
    <row r="52" spans="1:14" ht="17.25" customHeight="1" x14ac:dyDescent="0.25">
      <c r="A52" s="220">
        <v>50</v>
      </c>
      <c r="B52" s="724" t="s">
        <v>384</v>
      </c>
      <c r="C52" s="724"/>
      <c r="D52" s="228" t="s">
        <v>385</v>
      </c>
      <c r="E52" s="228" t="s">
        <v>256</v>
      </c>
      <c r="F52" s="229">
        <f>APP*2+EDU*2</f>
        <v>300</v>
      </c>
      <c r="G52" s="230" t="s">
        <v>386</v>
      </c>
      <c r="M52" s="235" t="s">
        <v>82</v>
      </c>
      <c r="N52" s="234"/>
    </row>
    <row r="53" spans="1:14" x14ac:dyDescent="0.25">
      <c r="A53" s="221">
        <v>51</v>
      </c>
      <c r="B53" s="725" t="s">
        <v>387</v>
      </c>
      <c r="C53" s="725"/>
      <c r="D53" s="231" t="s">
        <v>325</v>
      </c>
      <c r="E53" s="232" t="s">
        <v>248</v>
      </c>
      <c r="F53" s="226">
        <f>EDU*4</f>
        <v>360</v>
      </c>
      <c r="G53" s="227" t="s">
        <v>388</v>
      </c>
      <c r="M53" s="235" t="s">
        <v>84</v>
      </c>
      <c r="N53" s="234"/>
    </row>
    <row r="54" spans="1:14" ht="16.5" customHeight="1" x14ac:dyDescent="0.25">
      <c r="A54" s="220">
        <v>52</v>
      </c>
      <c r="B54" s="724" t="s">
        <v>389</v>
      </c>
      <c r="C54" s="724"/>
      <c r="D54" s="228" t="s">
        <v>289</v>
      </c>
      <c r="E54" s="228" t="s">
        <v>256</v>
      </c>
      <c r="F54" s="229">
        <f>APP*2+EDU*2</f>
        <v>300</v>
      </c>
      <c r="G54" s="230" t="s">
        <v>390</v>
      </c>
      <c r="M54" s="235" t="s">
        <v>86</v>
      </c>
      <c r="N54" s="234"/>
    </row>
    <row r="55" spans="1:14" ht="17.25" customHeight="1" x14ac:dyDescent="0.25">
      <c r="A55" s="221">
        <v>53</v>
      </c>
      <c r="B55" s="725" t="s">
        <v>391</v>
      </c>
      <c r="C55" s="725"/>
      <c r="D55" s="231" t="s">
        <v>392</v>
      </c>
      <c r="E55" s="232" t="s">
        <v>373</v>
      </c>
      <c r="F55" s="226">
        <f>(MAX(APP,STR,DEX))*2+EDU*2</f>
        <v>300</v>
      </c>
      <c r="G55" s="227" t="s">
        <v>393</v>
      </c>
      <c r="M55" s="235" t="s">
        <v>89</v>
      </c>
      <c r="N55" s="234"/>
    </row>
    <row r="56" spans="1:14" ht="16.5" customHeight="1" x14ac:dyDescent="0.25">
      <c r="A56" s="220">
        <v>54</v>
      </c>
      <c r="B56" s="724" t="s">
        <v>394</v>
      </c>
      <c r="C56" s="724"/>
      <c r="D56" s="228" t="s">
        <v>293</v>
      </c>
      <c r="E56" s="228" t="s">
        <v>290</v>
      </c>
      <c r="F56" s="229">
        <f>EDU*2+MAX(STR,DEX)*2</f>
        <v>280</v>
      </c>
      <c r="G56" s="230" t="s">
        <v>395</v>
      </c>
      <c r="M56" s="235" t="s">
        <v>91</v>
      </c>
      <c r="N56" s="234"/>
    </row>
    <row r="57" spans="1:14" x14ac:dyDescent="0.25">
      <c r="A57" s="221">
        <v>55</v>
      </c>
      <c r="B57" s="725" t="s">
        <v>396</v>
      </c>
      <c r="C57" s="725"/>
      <c r="D57" s="231" t="s">
        <v>302</v>
      </c>
      <c r="E57" s="232" t="s">
        <v>248</v>
      </c>
      <c r="F57" s="226">
        <f>EDU*4</f>
        <v>360</v>
      </c>
      <c r="G57" s="227" t="s">
        <v>397</v>
      </c>
      <c r="H57" s="212"/>
      <c r="M57" s="235" t="s">
        <v>108</v>
      </c>
      <c r="N57" s="234"/>
    </row>
    <row r="58" spans="1:14" ht="16.5" customHeight="1" x14ac:dyDescent="0.25">
      <c r="A58" s="220">
        <v>56</v>
      </c>
      <c r="B58" s="724" t="s">
        <v>398</v>
      </c>
      <c r="C58" s="724"/>
      <c r="D58" s="228" t="s">
        <v>293</v>
      </c>
      <c r="E58" s="228" t="s">
        <v>290</v>
      </c>
      <c r="F58" s="229">
        <f>EDU*2+MAX(STR,DEX)*2</f>
        <v>280</v>
      </c>
      <c r="G58" s="230" t="s">
        <v>399</v>
      </c>
      <c r="H58" s="212"/>
      <c r="M58" s="235" t="s">
        <v>109</v>
      </c>
      <c r="N58" s="234"/>
    </row>
    <row r="59" spans="1:14" x14ac:dyDescent="0.25">
      <c r="A59" s="221">
        <v>57</v>
      </c>
      <c r="B59" s="725" t="s">
        <v>400</v>
      </c>
      <c r="C59" s="725"/>
      <c r="D59" s="231" t="s">
        <v>269</v>
      </c>
      <c r="E59" s="232" t="s">
        <v>248</v>
      </c>
      <c r="F59" s="226">
        <f>EDU*4</f>
        <v>360</v>
      </c>
      <c r="G59" s="227" t="s">
        <v>401</v>
      </c>
      <c r="H59" s="212"/>
      <c r="M59" s="235" t="s">
        <v>93</v>
      </c>
      <c r="N59" s="234"/>
    </row>
    <row r="60" spans="1:14" x14ac:dyDescent="0.25">
      <c r="A60" s="220">
        <v>58</v>
      </c>
      <c r="B60" s="724" t="s">
        <v>402</v>
      </c>
      <c r="C60" s="724"/>
      <c r="D60" s="228" t="s">
        <v>403</v>
      </c>
      <c r="E60" s="228" t="s">
        <v>248</v>
      </c>
      <c r="F60" s="229">
        <f>EDU*4</f>
        <v>360</v>
      </c>
      <c r="G60" s="230" t="s">
        <v>404</v>
      </c>
      <c r="H60" s="212"/>
      <c r="M60" s="235" t="s">
        <v>95</v>
      </c>
      <c r="N60" s="234"/>
    </row>
    <row r="61" spans="1:14" x14ac:dyDescent="0.25">
      <c r="A61" s="221">
        <v>59</v>
      </c>
      <c r="B61" s="725" t="s">
        <v>405</v>
      </c>
      <c r="C61" s="725"/>
      <c r="D61" s="231" t="s">
        <v>406</v>
      </c>
      <c r="E61" s="232" t="s">
        <v>352</v>
      </c>
      <c r="F61" s="226">
        <f>EDU*2+MAX(APP,DEX)*2</f>
        <v>300</v>
      </c>
      <c r="G61" s="227" t="s">
        <v>407</v>
      </c>
      <c r="H61" s="212"/>
      <c r="M61" s="235" t="s">
        <v>97</v>
      </c>
      <c r="N61" s="234"/>
    </row>
    <row r="62" spans="1:14" x14ac:dyDescent="0.25">
      <c r="A62" s="220">
        <v>60</v>
      </c>
      <c r="B62" s="724" t="s">
        <v>408</v>
      </c>
      <c r="C62" s="724"/>
      <c r="D62" s="228" t="s">
        <v>409</v>
      </c>
      <c r="E62" s="228" t="s">
        <v>256</v>
      </c>
      <c r="F62" s="229">
        <f>APP*2+EDU*2</f>
        <v>300</v>
      </c>
      <c r="G62" s="230" t="s">
        <v>410</v>
      </c>
      <c r="H62" s="212"/>
      <c r="M62" s="235" t="s">
        <v>99</v>
      </c>
      <c r="N62" s="234"/>
    </row>
    <row r="63" spans="1:14" x14ac:dyDescent="0.25">
      <c r="A63" s="221">
        <v>61</v>
      </c>
      <c r="B63" s="725" t="s">
        <v>411</v>
      </c>
      <c r="C63" s="725"/>
      <c r="D63" s="231" t="s">
        <v>251</v>
      </c>
      <c r="E63" s="232" t="s">
        <v>290</v>
      </c>
      <c r="F63" s="226">
        <f>EDU*2+MAX(STR,DEX)*2</f>
        <v>280</v>
      </c>
      <c r="G63" s="227" t="s">
        <v>412</v>
      </c>
      <c r="H63" s="212"/>
      <c r="M63" s="235" t="s">
        <v>101</v>
      </c>
      <c r="N63" s="234"/>
    </row>
    <row r="64" spans="1:14" x14ac:dyDescent="0.25">
      <c r="A64" s="220">
        <v>62</v>
      </c>
      <c r="B64" s="724" t="s">
        <v>413</v>
      </c>
      <c r="C64" s="724"/>
      <c r="D64" s="228" t="s">
        <v>414</v>
      </c>
      <c r="E64" s="228" t="s">
        <v>256</v>
      </c>
      <c r="F64" s="229">
        <f>APP*2+EDU*2</f>
        <v>300</v>
      </c>
      <c r="G64" s="230" t="s">
        <v>415</v>
      </c>
      <c r="H64" s="212"/>
      <c r="M64" s="235" t="s">
        <v>103</v>
      </c>
      <c r="N64" s="234"/>
    </row>
    <row r="65" spans="1:14" x14ac:dyDescent="0.25">
      <c r="A65" s="221">
        <v>63</v>
      </c>
      <c r="B65" s="725" t="s">
        <v>416</v>
      </c>
      <c r="C65" s="725"/>
      <c r="D65" s="231" t="s">
        <v>372</v>
      </c>
      <c r="E65" s="232" t="s">
        <v>352</v>
      </c>
      <c r="F65" s="226">
        <f>EDU*2+MAX(APP,DEX)*2</f>
        <v>300</v>
      </c>
      <c r="G65" s="227" t="s">
        <v>417</v>
      </c>
      <c r="H65" s="212"/>
      <c r="M65" s="235" t="s">
        <v>122</v>
      </c>
      <c r="N65" s="234"/>
    </row>
    <row r="66" spans="1:14" x14ac:dyDescent="0.25">
      <c r="A66" s="220">
        <v>64</v>
      </c>
      <c r="B66" s="724" t="s">
        <v>418</v>
      </c>
      <c r="C66" s="724"/>
      <c r="D66" s="228" t="s">
        <v>419</v>
      </c>
      <c r="E66" s="228" t="s">
        <v>308</v>
      </c>
      <c r="F66" s="229">
        <f>EDU*2+STR*2</f>
        <v>280</v>
      </c>
      <c r="G66" s="230" t="s">
        <v>420</v>
      </c>
      <c r="H66" s="212"/>
      <c r="M66" s="235" t="s">
        <v>421</v>
      </c>
      <c r="N66" s="234"/>
    </row>
    <row r="67" spans="1:14" x14ac:dyDescent="0.25">
      <c r="A67" s="221">
        <v>65</v>
      </c>
      <c r="B67" s="725" t="s">
        <v>422</v>
      </c>
      <c r="C67" s="725"/>
      <c r="D67" s="231" t="s">
        <v>293</v>
      </c>
      <c r="E67" s="232" t="s">
        <v>248</v>
      </c>
      <c r="F67" s="226">
        <f>EDU*4</f>
        <v>360</v>
      </c>
      <c r="G67" s="227" t="s">
        <v>423</v>
      </c>
      <c r="H67" s="212"/>
      <c r="M67" s="241"/>
      <c r="N67" s="234"/>
    </row>
    <row r="68" spans="1:14" x14ac:dyDescent="0.25">
      <c r="A68" s="220">
        <v>66</v>
      </c>
      <c r="B68" s="724" t="s">
        <v>424</v>
      </c>
      <c r="C68" s="724"/>
      <c r="D68" s="228" t="s">
        <v>293</v>
      </c>
      <c r="E68" s="228" t="s">
        <v>248</v>
      </c>
      <c r="F68" s="229">
        <f>EDU*4</f>
        <v>360</v>
      </c>
      <c r="G68" s="230" t="s">
        <v>425</v>
      </c>
      <c r="H68" s="212"/>
      <c r="M68" s="234"/>
      <c r="N68" s="234"/>
    </row>
    <row r="69" spans="1:14" x14ac:dyDescent="0.25">
      <c r="A69" s="221">
        <v>67</v>
      </c>
      <c r="B69" s="725" t="s">
        <v>426</v>
      </c>
      <c r="C69" s="725"/>
      <c r="D69" s="231" t="s">
        <v>427</v>
      </c>
      <c r="E69" s="232" t="s">
        <v>248</v>
      </c>
      <c r="F69" s="226">
        <f>EDU*4</f>
        <v>360</v>
      </c>
      <c r="G69" s="227" t="s">
        <v>428</v>
      </c>
      <c r="H69" s="212"/>
      <c r="M69" s="234"/>
      <c r="N69" s="234"/>
    </row>
    <row r="70" spans="1:14" x14ac:dyDescent="0.25">
      <c r="A70" s="220">
        <v>68</v>
      </c>
      <c r="B70" s="724" t="s">
        <v>429</v>
      </c>
      <c r="C70" s="724"/>
      <c r="D70" s="228" t="s">
        <v>382</v>
      </c>
      <c r="E70" s="228" t="s">
        <v>248</v>
      </c>
      <c r="F70" s="229">
        <f>EDU*4</f>
        <v>360</v>
      </c>
      <c r="G70" s="230" t="s">
        <v>430</v>
      </c>
      <c r="H70" s="212"/>
      <c r="M70" s="234"/>
      <c r="N70" s="234"/>
    </row>
    <row r="71" spans="1:14" x14ac:dyDescent="0.25">
      <c r="A71" s="221">
        <v>69</v>
      </c>
      <c r="B71" s="725" t="s">
        <v>431</v>
      </c>
      <c r="C71" s="725"/>
      <c r="D71" s="231" t="s">
        <v>293</v>
      </c>
      <c r="E71" s="232" t="s">
        <v>290</v>
      </c>
      <c r="F71" s="226">
        <f>EDU*2+MAX(STR,DEX)*2</f>
        <v>280</v>
      </c>
      <c r="G71" s="227" t="s">
        <v>432</v>
      </c>
      <c r="H71" s="212"/>
      <c r="M71" s="234"/>
      <c r="N71" s="234"/>
    </row>
    <row r="72" spans="1:14" ht="16.5" customHeight="1" x14ac:dyDescent="0.25">
      <c r="A72" s="220">
        <v>70</v>
      </c>
      <c r="B72" s="724" t="s">
        <v>433</v>
      </c>
      <c r="C72" s="724"/>
      <c r="D72" s="228" t="s">
        <v>293</v>
      </c>
      <c r="E72" s="228" t="s">
        <v>290</v>
      </c>
      <c r="F72" s="229">
        <f>EDU*2+MAX(STR,DEX)*2</f>
        <v>280</v>
      </c>
      <c r="G72" s="230" t="s">
        <v>434</v>
      </c>
      <c r="H72" s="212"/>
      <c r="M72" s="234"/>
      <c r="N72" s="234"/>
    </row>
    <row r="73" spans="1:14" ht="16.5" customHeight="1" x14ac:dyDescent="0.25">
      <c r="A73" s="221">
        <v>71</v>
      </c>
      <c r="B73" s="725" t="s">
        <v>435</v>
      </c>
      <c r="C73" s="725"/>
      <c r="D73" s="231" t="s">
        <v>293</v>
      </c>
      <c r="E73" s="232" t="s">
        <v>290</v>
      </c>
      <c r="F73" s="226">
        <f>EDU*2+MAX(STR,DEX)*2</f>
        <v>280</v>
      </c>
      <c r="G73" s="227" t="s">
        <v>436</v>
      </c>
      <c r="H73" s="212"/>
      <c r="M73" s="234"/>
      <c r="N73" s="234"/>
    </row>
    <row r="74" spans="1:14" x14ac:dyDescent="0.25">
      <c r="A74" s="220">
        <v>72</v>
      </c>
      <c r="B74" s="724" t="s">
        <v>437</v>
      </c>
      <c r="C74" s="724"/>
      <c r="D74" s="228" t="s">
        <v>369</v>
      </c>
      <c r="E74" s="228" t="s">
        <v>248</v>
      </c>
      <c r="F74" s="229">
        <f>EDU*4</f>
        <v>360</v>
      </c>
      <c r="G74" s="230" t="s">
        <v>438</v>
      </c>
      <c r="H74" s="212"/>
      <c r="M74" s="234"/>
      <c r="N74" s="234"/>
    </row>
    <row r="75" spans="1:14" x14ac:dyDescent="0.25">
      <c r="A75" s="221">
        <v>73</v>
      </c>
      <c r="B75" s="725" t="s">
        <v>439</v>
      </c>
      <c r="C75" s="725"/>
      <c r="D75" s="231" t="s">
        <v>440</v>
      </c>
      <c r="E75" s="232" t="s">
        <v>248</v>
      </c>
      <c r="F75" s="226">
        <f>EDU*4</f>
        <v>360</v>
      </c>
      <c r="G75" s="227" t="s">
        <v>441</v>
      </c>
      <c r="H75" s="212"/>
      <c r="M75" s="234"/>
      <c r="N75" s="234"/>
    </row>
    <row r="76" spans="1:14" x14ac:dyDescent="0.25">
      <c r="A76" s="220">
        <v>74</v>
      </c>
      <c r="B76" s="724" t="s">
        <v>442</v>
      </c>
      <c r="C76" s="724"/>
      <c r="D76" s="228" t="s">
        <v>255</v>
      </c>
      <c r="E76" s="228" t="s">
        <v>248</v>
      </c>
      <c r="F76" s="229">
        <f>EDU*4</f>
        <v>360</v>
      </c>
      <c r="G76" s="230" t="s">
        <v>443</v>
      </c>
      <c r="H76" s="212"/>
      <c r="M76" s="234"/>
      <c r="N76" s="234"/>
    </row>
    <row r="77" spans="1:14" ht="16.5" customHeight="1" x14ac:dyDescent="0.25">
      <c r="A77" s="221">
        <v>75</v>
      </c>
      <c r="B77" s="725" t="s">
        <v>444</v>
      </c>
      <c r="C77" s="725"/>
      <c r="D77" s="231" t="s">
        <v>445</v>
      </c>
      <c r="E77" s="232" t="s">
        <v>290</v>
      </c>
      <c r="F77" s="226">
        <f>EDU*2+MAX(STR,DEX)*2</f>
        <v>280</v>
      </c>
      <c r="G77" s="227" t="s">
        <v>446</v>
      </c>
      <c r="H77" s="212"/>
      <c r="M77" s="234"/>
      <c r="N77" s="234"/>
    </row>
    <row r="78" spans="1:14" ht="17.25" customHeight="1" x14ac:dyDescent="0.25">
      <c r="A78" s="220">
        <v>76</v>
      </c>
      <c r="B78" s="724" t="s">
        <v>447</v>
      </c>
      <c r="C78" s="724"/>
      <c r="D78" s="228" t="s">
        <v>448</v>
      </c>
      <c r="E78" s="228" t="s">
        <v>256</v>
      </c>
      <c r="F78" s="229">
        <f>EDU*2+APP*2</f>
        <v>300</v>
      </c>
      <c r="G78" s="230" t="s">
        <v>449</v>
      </c>
      <c r="H78" s="212"/>
      <c r="M78" s="234"/>
      <c r="N78" s="234"/>
    </row>
    <row r="79" spans="1:14" ht="17.25" customHeight="1" x14ac:dyDescent="0.25">
      <c r="A79" s="221">
        <v>77</v>
      </c>
      <c r="B79" s="725" t="s">
        <v>450</v>
      </c>
      <c r="C79" s="725"/>
      <c r="D79" s="231" t="s">
        <v>325</v>
      </c>
      <c r="E79" s="232" t="s">
        <v>290</v>
      </c>
      <c r="F79" s="226">
        <f>EDU*2+MAX(STR,DEX)*2</f>
        <v>280</v>
      </c>
      <c r="G79" s="227" t="s">
        <v>451</v>
      </c>
      <c r="H79" s="212"/>
      <c r="M79" s="234"/>
      <c r="N79" s="234"/>
    </row>
    <row r="80" spans="1:14" x14ac:dyDescent="0.25">
      <c r="A80" s="220">
        <v>78</v>
      </c>
      <c r="B80" s="724" t="s">
        <v>452</v>
      </c>
      <c r="C80" s="724"/>
      <c r="D80" s="228" t="s">
        <v>382</v>
      </c>
      <c r="E80" s="228" t="s">
        <v>248</v>
      </c>
      <c r="F80" s="229">
        <f>EDU*4</f>
        <v>360</v>
      </c>
      <c r="G80" s="230" t="s">
        <v>453</v>
      </c>
      <c r="H80" s="212"/>
    </row>
    <row r="81" spans="1:8" ht="16.5" customHeight="1" x14ac:dyDescent="0.25">
      <c r="A81" s="221">
        <v>79</v>
      </c>
      <c r="B81" s="725" t="s">
        <v>454</v>
      </c>
      <c r="C81" s="725"/>
      <c r="D81" s="231" t="s">
        <v>293</v>
      </c>
      <c r="E81" s="232" t="s">
        <v>455</v>
      </c>
      <c r="F81" s="226">
        <f>EDU*2+MAX(POW,DEX)*2</f>
        <v>300</v>
      </c>
      <c r="G81" s="227" t="s">
        <v>456</v>
      </c>
      <c r="H81" s="212"/>
    </row>
    <row r="82" spans="1:8" x14ac:dyDescent="0.25">
      <c r="A82" s="220">
        <v>80</v>
      </c>
      <c r="B82" s="724" t="s">
        <v>457</v>
      </c>
      <c r="C82" s="724"/>
      <c r="D82" s="228" t="s">
        <v>293</v>
      </c>
      <c r="E82" s="228" t="s">
        <v>248</v>
      </c>
      <c r="F82" s="229">
        <f>EDU*4</f>
        <v>360</v>
      </c>
      <c r="G82" s="230" t="s">
        <v>458</v>
      </c>
      <c r="H82" s="212"/>
    </row>
    <row r="83" spans="1:8" ht="30" x14ac:dyDescent="0.25">
      <c r="A83" s="221">
        <v>81</v>
      </c>
      <c r="B83" s="725" t="s">
        <v>459</v>
      </c>
      <c r="C83" s="725"/>
      <c r="D83" s="231" t="s">
        <v>460</v>
      </c>
      <c r="E83" s="232" t="s">
        <v>248</v>
      </c>
      <c r="F83" s="226">
        <f>EDU*4</f>
        <v>360</v>
      </c>
      <c r="G83" s="227" t="s">
        <v>461</v>
      </c>
      <c r="H83" s="212"/>
    </row>
    <row r="84" spans="1:8" ht="16.5" customHeight="1" x14ac:dyDescent="0.25">
      <c r="A84" s="220">
        <v>82</v>
      </c>
      <c r="B84" s="724" t="s">
        <v>462</v>
      </c>
      <c r="C84" s="724"/>
      <c r="D84" s="228" t="s">
        <v>463</v>
      </c>
      <c r="E84" s="228" t="s">
        <v>290</v>
      </c>
      <c r="F84" s="229">
        <f>EDU*2+MAX(STR,DEX)*2</f>
        <v>280</v>
      </c>
      <c r="G84" s="230" t="s">
        <v>464</v>
      </c>
    </row>
    <row r="85" spans="1:8" x14ac:dyDescent="0.25">
      <c r="A85" s="221">
        <v>83</v>
      </c>
      <c r="B85" s="725" t="s">
        <v>465</v>
      </c>
      <c r="C85" s="725"/>
      <c r="D85" s="231" t="s">
        <v>293</v>
      </c>
      <c r="E85" s="232" t="s">
        <v>248</v>
      </c>
      <c r="F85" s="226">
        <f>EDU*4</f>
        <v>360</v>
      </c>
      <c r="G85" s="227" t="s">
        <v>466</v>
      </c>
    </row>
    <row r="86" spans="1:8" x14ac:dyDescent="0.25">
      <c r="A86" s="220">
        <v>84</v>
      </c>
      <c r="B86" s="724" t="s">
        <v>467</v>
      </c>
      <c r="C86" s="724"/>
      <c r="D86" s="228" t="s">
        <v>468</v>
      </c>
      <c r="E86" s="228" t="s">
        <v>248</v>
      </c>
      <c r="F86" s="229">
        <f>EDU*4</f>
        <v>360</v>
      </c>
      <c r="G86" s="230" t="s">
        <v>469</v>
      </c>
    </row>
    <row r="87" spans="1:8" x14ac:dyDescent="0.25">
      <c r="A87" s="221">
        <v>85</v>
      </c>
      <c r="B87" s="725" t="s">
        <v>470</v>
      </c>
      <c r="C87" s="725"/>
      <c r="D87" s="231" t="s">
        <v>293</v>
      </c>
      <c r="E87" s="232" t="s">
        <v>248</v>
      </c>
      <c r="F87" s="226">
        <f>EDU*4</f>
        <v>360</v>
      </c>
      <c r="G87" s="227" t="s">
        <v>471</v>
      </c>
    </row>
    <row r="88" spans="1:8" x14ac:dyDescent="0.25">
      <c r="A88" s="220">
        <v>86</v>
      </c>
      <c r="B88" s="724" t="s">
        <v>472</v>
      </c>
      <c r="C88" s="724"/>
      <c r="D88" s="228" t="s">
        <v>382</v>
      </c>
      <c r="E88" s="228" t="s">
        <v>248</v>
      </c>
      <c r="F88" s="229">
        <f>EDU*4</f>
        <v>360</v>
      </c>
      <c r="G88" s="230" t="s">
        <v>473</v>
      </c>
    </row>
    <row r="89" spans="1:8" ht="16.5" customHeight="1" x14ac:dyDescent="0.25">
      <c r="A89" s="221">
        <v>87</v>
      </c>
      <c r="B89" s="725" t="s">
        <v>474</v>
      </c>
      <c r="C89" s="725"/>
      <c r="D89" s="231" t="s">
        <v>445</v>
      </c>
      <c r="E89" s="232" t="s">
        <v>252</v>
      </c>
      <c r="F89" s="226">
        <f>EDU*2+DEX*2</f>
        <v>270</v>
      </c>
      <c r="G89" s="227" t="s">
        <v>475</v>
      </c>
    </row>
    <row r="90" spans="1:8" x14ac:dyDescent="0.25">
      <c r="A90" s="220">
        <v>88</v>
      </c>
      <c r="B90" s="724" t="s">
        <v>476</v>
      </c>
      <c r="C90" s="724"/>
      <c r="D90" s="228" t="s">
        <v>325</v>
      </c>
      <c r="E90" s="228" t="s">
        <v>248</v>
      </c>
      <c r="F90" s="229">
        <f>EDU*4</f>
        <v>360</v>
      </c>
      <c r="G90" s="230" t="s">
        <v>477</v>
      </c>
    </row>
    <row r="91" spans="1:8" ht="16.5" customHeight="1" x14ac:dyDescent="0.25">
      <c r="A91" s="221">
        <v>89</v>
      </c>
      <c r="B91" s="725" t="s">
        <v>478</v>
      </c>
      <c r="C91" s="725"/>
      <c r="D91" s="231" t="s">
        <v>299</v>
      </c>
      <c r="E91" s="232" t="s">
        <v>290</v>
      </c>
      <c r="F91" s="226">
        <f>EDU*2+MAX(STR,DEX)*2</f>
        <v>280</v>
      </c>
      <c r="G91" s="227" t="s">
        <v>479</v>
      </c>
    </row>
    <row r="92" spans="1:8" ht="16.5" customHeight="1" x14ac:dyDescent="0.25">
      <c r="A92" s="220">
        <v>90</v>
      </c>
      <c r="B92" s="724" t="s">
        <v>480</v>
      </c>
      <c r="C92" s="724"/>
      <c r="D92" s="228" t="s">
        <v>293</v>
      </c>
      <c r="E92" s="228" t="s">
        <v>290</v>
      </c>
      <c r="F92" s="229">
        <f>EDU*2+MAX(STR,DEX)*2</f>
        <v>280</v>
      </c>
      <c r="G92" s="230" t="s">
        <v>481</v>
      </c>
    </row>
    <row r="93" spans="1:8" ht="16.5" customHeight="1" x14ac:dyDescent="0.25">
      <c r="A93" s="221">
        <v>91</v>
      </c>
      <c r="B93" s="725" t="s">
        <v>482</v>
      </c>
      <c r="C93" s="725"/>
      <c r="D93" s="231" t="s">
        <v>293</v>
      </c>
      <c r="E93" s="232" t="s">
        <v>290</v>
      </c>
      <c r="F93" s="226">
        <f>EDU*2+MAX(STR,DEX)*2</f>
        <v>280</v>
      </c>
      <c r="G93" s="227" t="s">
        <v>483</v>
      </c>
    </row>
    <row r="94" spans="1:8" x14ac:dyDescent="0.25">
      <c r="A94" s="220">
        <v>92</v>
      </c>
      <c r="B94" s="724" t="s">
        <v>484</v>
      </c>
      <c r="C94" s="724"/>
      <c r="D94" s="228" t="s">
        <v>445</v>
      </c>
      <c r="E94" s="228" t="s">
        <v>248</v>
      </c>
      <c r="F94" s="229">
        <f>EDU*4</f>
        <v>360</v>
      </c>
      <c r="G94" s="230" t="s">
        <v>485</v>
      </c>
    </row>
    <row r="95" spans="1:8" ht="16.5" customHeight="1" x14ac:dyDescent="0.25">
      <c r="A95" s="221">
        <v>93</v>
      </c>
      <c r="B95" s="725" t="s">
        <v>486</v>
      </c>
      <c r="C95" s="725"/>
      <c r="D95" s="231" t="s">
        <v>487</v>
      </c>
      <c r="E95" s="232" t="s">
        <v>290</v>
      </c>
      <c r="F95" s="226">
        <f>EDU*2+MAX(STR,DEX)*2</f>
        <v>280</v>
      </c>
      <c r="G95" s="227" t="s">
        <v>488</v>
      </c>
    </row>
    <row r="96" spans="1:8" ht="17.25" customHeight="1" x14ac:dyDescent="0.25">
      <c r="A96" s="220">
        <v>94</v>
      </c>
      <c r="B96" s="724" t="s">
        <v>489</v>
      </c>
      <c r="C96" s="724"/>
      <c r="D96" s="228" t="s">
        <v>490</v>
      </c>
      <c r="E96" s="228" t="s">
        <v>256</v>
      </c>
      <c r="F96" s="229">
        <f>EDU*2+APP*2</f>
        <v>300</v>
      </c>
      <c r="G96" s="230" t="s">
        <v>491</v>
      </c>
    </row>
    <row r="97" spans="1:7" x14ac:dyDescent="0.25">
      <c r="A97" s="221">
        <v>95</v>
      </c>
      <c r="B97" s="725" t="s">
        <v>492</v>
      </c>
      <c r="C97" s="725"/>
      <c r="D97" s="231" t="s">
        <v>369</v>
      </c>
      <c r="E97" s="232" t="s">
        <v>248</v>
      </c>
      <c r="F97" s="226">
        <f>EDU*4</f>
        <v>360</v>
      </c>
      <c r="G97" s="227" t="s">
        <v>493</v>
      </c>
    </row>
    <row r="98" spans="1:7" x14ac:dyDescent="0.25">
      <c r="A98" s="220">
        <v>96</v>
      </c>
      <c r="B98" s="724" t="s">
        <v>494</v>
      </c>
      <c r="C98" s="724"/>
      <c r="D98" s="228" t="s">
        <v>269</v>
      </c>
      <c r="E98" s="228" t="s">
        <v>248</v>
      </c>
      <c r="F98" s="229">
        <f>EDU*4</f>
        <v>360</v>
      </c>
      <c r="G98" s="230" t="s">
        <v>495</v>
      </c>
    </row>
    <row r="99" spans="1:7" x14ac:dyDescent="0.25">
      <c r="A99" s="221">
        <v>97</v>
      </c>
      <c r="B99" s="725" t="s">
        <v>496</v>
      </c>
      <c r="C99" s="725"/>
      <c r="D99" s="231" t="s">
        <v>293</v>
      </c>
      <c r="E99" s="232" t="s">
        <v>248</v>
      </c>
      <c r="F99" s="226">
        <f>EDU*4</f>
        <v>360</v>
      </c>
      <c r="G99" s="227" t="s">
        <v>497</v>
      </c>
    </row>
    <row r="100" spans="1:7" x14ac:dyDescent="0.25">
      <c r="A100" s="220">
        <v>98</v>
      </c>
      <c r="B100" s="724" t="s">
        <v>498</v>
      </c>
      <c r="C100" s="724"/>
      <c r="D100" s="228" t="s">
        <v>293</v>
      </c>
      <c r="E100" s="228" t="s">
        <v>248</v>
      </c>
      <c r="F100" s="229">
        <f>EDU*4</f>
        <v>360</v>
      </c>
      <c r="G100" s="230" t="s">
        <v>499</v>
      </c>
    </row>
    <row r="101" spans="1:7" x14ac:dyDescent="0.25">
      <c r="A101" s="221">
        <v>99</v>
      </c>
      <c r="B101" s="725" t="s">
        <v>500</v>
      </c>
      <c r="C101" s="725"/>
      <c r="D101" s="231" t="s">
        <v>302</v>
      </c>
      <c r="E101" s="232" t="s">
        <v>248</v>
      </c>
      <c r="F101" s="226">
        <f>EDU*4</f>
        <v>360</v>
      </c>
      <c r="G101" s="227" t="s">
        <v>501</v>
      </c>
    </row>
    <row r="102" spans="1:7" ht="17.25" customHeight="1" x14ac:dyDescent="0.25">
      <c r="A102" s="220">
        <v>100</v>
      </c>
      <c r="B102" s="724" t="s">
        <v>502</v>
      </c>
      <c r="C102" s="724"/>
      <c r="D102" s="228" t="s">
        <v>255</v>
      </c>
      <c r="E102" s="228" t="s">
        <v>256</v>
      </c>
      <c r="F102" s="229">
        <f>EDU*2+APP*2</f>
        <v>300</v>
      </c>
      <c r="G102" s="230" t="s">
        <v>503</v>
      </c>
    </row>
    <row r="103" spans="1:7" x14ac:dyDescent="0.25">
      <c r="A103" s="221">
        <v>101</v>
      </c>
      <c r="B103" s="725" t="s">
        <v>504</v>
      </c>
      <c r="C103" s="725"/>
      <c r="D103" s="231" t="s">
        <v>282</v>
      </c>
      <c r="E103" s="232" t="s">
        <v>248</v>
      </c>
      <c r="F103" s="226">
        <f>EDU*4</f>
        <v>360</v>
      </c>
      <c r="G103" s="227" t="s">
        <v>505</v>
      </c>
    </row>
    <row r="104" spans="1:7" ht="17.25" customHeight="1" x14ac:dyDescent="0.25">
      <c r="A104" s="220">
        <v>102</v>
      </c>
      <c r="B104" s="724" t="s">
        <v>506</v>
      </c>
      <c r="C104" s="724"/>
      <c r="D104" s="228" t="s">
        <v>293</v>
      </c>
      <c r="E104" s="228" t="s">
        <v>341</v>
      </c>
      <c r="F104" s="229">
        <f>EDU*2+MAX(APP,DEX)*2</f>
        <v>300</v>
      </c>
      <c r="G104" s="230" t="s">
        <v>507</v>
      </c>
    </row>
    <row r="105" spans="1:7" ht="17.25" customHeight="1" x14ac:dyDescent="0.25">
      <c r="A105" s="221">
        <v>103</v>
      </c>
      <c r="B105" s="725" t="s">
        <v>508</v>
      </c>
      <c r="C105" s="725"/>
      <c r="D105" s="231" t="s">
        <v>302</v>
      </c>
      <c r="E105" s="232" t="s">
        <v>352</v>
      </c>
      <c r="F105" s="226">
        <f>EDU*2+MAX(APP,DEX)*2</f>
        <v>300</v>
      </c>
      <c r="G105" s="227" t="s">
        <v>509</v>
      </c>
    </row>
    <row r="106" spans="1:7" ht="16.5" customHeight="1" x14ac:dyDescent="0.25">
      <c r="A106" s="220">
        <v>104</v>
      </c>
      <c r="B106" s="724" t="s">
        <v>510</v>
      </c>
      <c r="C106" s="724"/>
      <c r="D106" s="228" t="s">
        <v>293</v>
      </c>
      <c r="E106" s="228" t="s">
        <v>290</v>
      </c>
      <c r="F106" s="229">
        <f>EDU*2+MAX(STR,DEX)*2</f>
        <v>280</v>
      </c>
      <c r="G106" s="230" t="s">
        <v>511</v>
      </c>
    </row>
    <row r="107" spans="1:7" ht="17.25" customHeight="1" x14ac:dyDescent="0.25">
      <c r="A107" s="221">
        <v>105</v>
      </c>
      <c r="B107" s="725" t="s">
        <v>512</v>
      </c>
      <c r="C107" s="725"/>
      <c r="D107" s="231" t="s">
        <v>349</v>
      </c>
      <c r="E107" s="232" t="s">
        <v>352</v>
      </c>
      <c r="F107" s="226">
        <f>EDU*2+MAX(APP,DEX)*2</f>
        <v>300</v>
      </c>
      <c r="G107" s="227" t="s">
        <v>513</v>
      </c>
    </row>
    <row r="108" spans="1:7" x14ac:dyDescent="0.25">
      <c r="A108" s="220">
        <v>106</v>
      </c>
      <c r="B108" s="724" t="s">
        <v>514</v>
      </c>
      <c r="C108" s="724"/>
      <c r="D108" s="228" t="s">
        <v>515</v>
      </c>
      <c r="E108" s="228" t="s">
        <v>248</v>
      </c>
      <c r="F108" s="229">
        <f>EDU*4</f>
        <v>360</v>
      </c>
      <c r="G108" s="230" t="s">
        <v>516</v>
      </c>
    </row>
    <row r="109" spans="1:7" ht="16.5" customHeight="1" x14ac:dyDescent="0.25">
      <c r="A109" s="221">
        <v>107</v>
      </c>
      <c r="B109" s="725" t="s">
        <v>517</v>
      </c>
      <c r="C109" s="725"/>
      <c r="D109" s="231" t="s">
        <v>518</v>
      </c>
      <c r="E109" s="232" t="s">
        <v>290</v>
      </c>
      <c r="F109" s="226">
        <f>EDU*2+MAX(STR,DEX)*2</f>
        <v>280</v>
      </c>
      <c r="G109" s="227" t="s">
        <v>519</v>
      </c>
    </row>
    <row r="110" spans="1:7" ht="16.5" customHeight="1" x14ac:dyDescent="0.25">
      <c r="A110" s="220">
        <v>108</v>
      </c>
      <c r="B110" s="724" t="s">
        <v>520</v>
      </c>
      <c r="C110" s="724"/>
      <c r="D110" s="228" t="s">
        <v>521</v>
      </c>
      <c r="E110" s="228" t="s">
        <v>290</v>
      </c>
      <c r="F110" s="229">
        <f>EDU*2+MAX(STR,DEX)*2</f>
        <v>280</v>
      </c>
      <c r="G110" s="230" t="s">
        <v>522</v>
      </c>
    </row>
    <row r="111" spans="1:7" x14ac:dyDescent="0.25">
      <c r="A111" s="221">
        <v>109</v>
      </c>
      <c r="B111" s="725" t="s">
        <v>523</v>
      </c>
      <c r="C111" s="725"/>
      <c r="D111" s="231" t="s">
        <v>302</v>
      </c>
      <c r="E111" s="232" t="s">
        <v>248</v>
      </c>
      <c r="F111" s="226">
        <f>EDU*4</f>
        <v>360</v>
      </c>
      <c r="G111" s="227" t="s">
        <v>524</v>
      </c>
    </row>
    <row r="112" spans="1:7" x14ac:dyDescent="0.25">
      <c r="A112" s="220">
        <v>110</v>
      </c>
      <c r="B112" s="724" t="s">
        <v>525</v>
      </c>
      <c r="C112" s="724"/>
      <c r="D112" s="228" t="s">
        <v>490</v>
      </c>
      <c r="E112" s="228" t="s">
        <v>248</v>
      </c>
      <c r="F112" s="229">
        <f>EDU*4</f>
        <v>360</v>
      </c>
      <c r="G112" s="230" t="s">
        <v>526</v>
      </c>
    </row>
    <row r="113" spans="1:7" ht="17.25" customHeight="1" x14ac:dyDescent="0.25">
      <c r="A113" s="221">
        <v>111</v>
      </c>
      <c r="B113" s="725" t="s">
        <v>527</v>
      </c>
      <c r="C113" s="725"/>
      <c r="D113" s="231" t="s">
        <v>251</v>
      </c>
      <c r="E113" s="232" t="s">
        <v>352</v>
      </c>
      <c r="F113" s="226">
        <f>EDU*2+MAX(APP,DEX)*2</f>
        <v>300</v>
      </c>
      <c r="G113" s="227" t="s">
        <v>528</v>
      </c>
    </row>
    <row r="114" spans="1:7" x14ac:dyDescent="0.25">
      <c r="A114" s="220">
        <v>112</v>
      </c>
      <c r="B114" s="724" t="s">
        <v>529</v>
      </c>
      <c r="C114" s="724"/>
      <c r="D114" s="228" t="s">
        <v>251</v>
      </c>
      <c r="E114" s="228" t="s">
        <v>248</v>
      </c>
      <c r="F114" s="229">
        <f>EDU*4</f>
        <v>360</v>
      </c>
      <c r="G114" s="230" t="s">
        <v>530</v>
      </c>
    </row>
    <row r="115" spans="1:7" x14ac:dyDescent="0.25">
      <c r="A115" s="221">
        <v>113</v>
      </c>
      <c r="B115" s="725" t="s">
        <v>531</v>
      </c>
      <c r="C115" s="725"/>
      <c r="D115" s="231" t="s">
        <v>532</v>
      </c>
      <c r="E115" s="232" t="s">
        <v>248</v>
      </c>
      <c r="F115" s="226">
        <f>EDU*4</f>
        <v>360</v>
      </c>
      <c r="G115" s="227" t="s">
        <v>533</v>
      </c>
    </row>
    <row r="116" spans="1:7" ht="16.5" customHeight="1" x14ac:dyDescent="0.25">
      <c r="A116" s="220">
        <v>114</v>
      </c>
      <c r="B116" s="724" t="s">
        <v>534</v>
      </c>
      <c r="C116" s="724"/>
      <c r="D116" s="228" t="s">
        <v>448</v>
      </c>
      <c r="E116" s="228" t="s">
        <v>270</v>
      </c>
      <c r="F116" s="229">
        <f>EDU*2+MAX(APP,POW)*2</f>
        <v>300</v>
      </c>
      <c r="G116" s="230" t="s">
        <v>535</v>
      </c>
    </row>
    <row r="117" spans="1:7" x14ac:dyDescent="0.25">
      <c r="A117" s="236">
        <v>115</v>
      </c>
      <c r="B117" s="729" t="s">
        <v>536</v>
      </c>
      <c r="C117" s="729"/>
      <c r="D117" s="237" t="s">
        <v>255</v>
      </c>
      <c r="E117" s="238" t="s">
        <v>248</v>
      </c>
      <c r="F117" s="239">
        <f>EDU*4</f>
        <v>360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399999999999999" x14ac:dyDescent="0.25"/>
  <cols>
    <col min="1" max="1" width="4" style="206"/>
    <col min="2" max="16384" width="4" style="70"/>
  </cols>
  <sheetData>
    <row r="1" spans="1:44" x14ac:dyDescent="0.25">
      <c r="A1" s="207"/>
      <c r="W1" s="208"/>
      <c r="X1" s="208"/>
      <c r="Y1" s="208"/>
      <c r="Z1" s="208"/>
    </row>
    <row r="2" spans="1:44" x14ac:dyDescent="0.25">
      <c r="A2" s="207">
        <f ca="1">RANDBETWEEN(1,6)</f>
        <v>5</v>
      </c>
      <c r="B2" s="731" t="s">
        <v>538</v>
      </c>
      <c r="C2" s="732"/>
      <c r="D2" s="732"/>
      <c r="E2" s="732"/>
      <c r="F2" s="732"/>
      <c r="G2" s="732"/>
      <c r="H2" s="732"/>
      <c r="I2" s="732"/>
      <c r="J2" s="732"/>
      <c r="K2" s="732"/>
      <c r="L2" s="732"/>
      <c r="M2" s="732"/>
      <c r="N2" s="732"/>
      <c r="O2" s="732"/>
      <c r="P2" s="732"/>
      <c r="Q2" s="732"/>
      <c r="R2" s="732"/>
      <c r="S2" s="733"/>
      <c r="U2" s="734" t="s">
        <v>539</v>
      </c>
      <c r="V2" s="735"/>
      <c r="W2" s="208"/>
      <c r="X2" s="208"/>
      <c r="Y2" s="208"/>
      <c r="Z2" s="208"/>
      <c r="AA2" s="736" t="s">
        <v>540</v>
      </c>
      <c r="AB2" s="737"/>
      <c r="AC2" s="737"/>
      <c r="AD2" s="737"/>
      <c r="AE2" s="737"/>
      <c r="AF2" s="737"/>
      <c r="AG2" s="737"/>
      <c r="AH2" s="737"/>
      <c r="AI2" s="737"/>
      <c r="AJ2" s="737"/>
      <c r="AK2" s="737"/>
      <c r="AL2" s="737"/>
      <c r="AM2" s="737"/>
      <c r="AN2" s="737"/>
      <c r="AO2" s="737"/>
      <c r="AP2" s="737"/>
      <c r="AQ2" s="737"/>
      <c r="AR2" s="738"/>
    </row>
    <row r="3" spans="1:44" ht="17.25" customHeight="1" x14ac:dyDescent="0.25">
      <c r="A3" s="207">
        <f ca="1">RANDBETWEEN(1,6)</f>
        <v>6</v>
      </c>
      <c r="B3" s="768" t="s">
        <v>541</v>
      </c>
      <c r="C3" s="769"/>
      <c r="D3" s="770">
        <f ca="1">SUM(A2:A4)*5</f>
        <v>65</v>
      </c>
      <c r="E3" s="770"/>
      <c r="F3" s="739">
        <f ca="1">INT(D3/2)</f>
        <v>32</v>
      </c>
      <c r="G3" s="739"/>
      <c r="H3" s="771" t="s">
        <v>542</v>
      </c>
      <c r="I3" s="771"/>
      <c r="J3" s="772">
        <f ca="1">SUM(A8:A10)*5</f>
        <v>45</v>
      </c>
      <c r="K3" s="772"/>
      <c r="L3" s="740">
        <f ca="1">INT(J3/2)</f>
        <v>22</v>
      </c>
      <c r="M3" s="740"/>
      <c r="N3" s="769" t="s">
        <v>543</v>
      </c>
      <c r="O3" s="769"/>
      <c r="P3" s="770">
        <f ca="1">SUM(A14:A16)*5</f>
        <v>70</v>
      </c>
      <c r="Q3" s="770"/>
      <c r="R3" s="739">
        <f ca="1">INT(P3/2)</f>
        <v>35</v>
      </c>
      <c r="S3" s="741"/>
      <c r="U3" s="779">
        <f ca="1">SUM(A24:A26)*5</f>
        <v>80</v>
      </c>
      <c r="V3" s="780"/>
      <c r="W3" s="208"/>
      <c r="X3" s="208"/>
      <c r="Y3" s="208"/>
      <c r="Z3" s="208"/>
      <c r="AA3" s="755" t="str">
        <f ca="1">IF(D3&lt;=20,"弱者，虚弱",IF(D3&lt;=40,"手无缚鸡之力",IF(D3&lt;=60,"普通人左右的力量",IF(D3&lt;=80,"搏击手的水准",IF(D3&lt;=90,"一拳一个小朋友")))))</f>
        <v>搏击手的水准</v>
      </c>
      <c r="AB3" s="756"/>
      <c r="AC3" s="756"/>
      <c r="AD3" s="756"/>
      <c r="AE3" s="756"/>
      <c r="AF3" s="756"/>
      <c r="AG3" s="757" t="str">
        <f ca="1">IF(J3&lt;=20,"无法行动自如",IF(J3&lt;=40,"腿脚不灵活",IF(J3&lt;=60,"普通人水平",IF(J3&lt;=80,"运动健将",IF(J3&lt;=90,"跑得比香港记者还快")))))</f>
        <v>普通人水平</v>
      </c>
      <c r="AH3" s="757"/>
      <c r="AI3" s="757"/>
      <c r="AJ3" s="757"/>
      <c r="AK3" s="757"/>
      <c r="AL3" s="757"/>
      <c r="AM3" s="756" t="str">
        <f ca="1">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756"/>
      <c r="AO3" s="756"/>
      <c r="AP3" s="756"/>
      <c r="AQ3" s="756"/>
      <c r="AR3" s="758"/>
    </row>
    <row r="4" spans="1:44" x14ac:dyDescent="0.25">
      <c r="A4" s="207">
        <f t="shared" ref="A4:A22" ca="1" si="0">RANDBETWEEN(1,6)</f>
        <v>2</v>
      </c>
      <c r="B4" s="768"/>
      <c r="C4" s="769"/>
      <c r="D4" s="770"/>
      <c r="E4" s="770"/>
      <c r="F4" s="742">
        <f ca="1">INT(D3/5)</f>
        <v>13</v>
      </c>
      <c r="G4" s="742"/>
      <c r="H4" s="771"/>
      <c r="I4" s="771"/>
      <c r="J4" s="772"/>
      <c r="K4" s="772"/>
      <c r="L4" s="740">
        <f ca="1">INT(J3/5)</f>
        <v>9</v>
      </c>
      <c r="M4" s="740"/>
      <c r="N4" s="769"/>
      <c r="O4" s="769"/>
      <c r="P4" s="770"/>
      <c r="Q4" s="770"/>
      <c r="R4" s="739">
        <f ca="1">INT(P3/5)</f>
        <v>14</v>
      </c>
      <c r="S4" s="741"/>
      <c r="U4" s="781"/>
      <c r="V4" s="782"/>
      <c r="W4" s="208"/>
      <c r="X4" s="208"/>
      <c r="Y4" s="208"/>
      <c r="Z4" s="208"/>
      <c r="AA4" s="755"/>
      <c r="AB4" s="756"/>
      <c r="AC4" s="756"/>
      <c r="AD4" s="756"/>
      <c r="AE4" s="756"/>
      <c r="AF4" s="756"/>
      <c r="AG4" s="757"/>
      <c r="AH4" s="757"/>
      <c r="AI4" s="757"/>
      <c r="AJ4" s="757"/>
      <c r="AK4" s="757"/>
      <c r="AL4" s="757"/>
      <c r="AM4" s="756"/>
      <c r="AN4" s="756"/>
      <c r="AO4" s="756"/>
      <c r="AP4" s="756"/>
      <c r="AQ4" s="756"/>
      <c r="AR4" s="758"/>
    </row>
    <row r="5" spans="1:44" ht="18" customHeight="1" x14ac:dyDescent="0.25">
      <c r="A5" s="207">
        <f t="shared" ca="1" si="0"/>
        <v>3</v>
      </c>
      <c r="B5" s="778" t="s">
        <v>544</v>
      </c>
      <c r="C5" s="771"/>
      <c r="D5" s="772">
        <f ca="1">SUM(A5:A7)*5</f>
        <v>40</v>
      </c>
      <c r="E5" s="772"/>
      <c r="F5" s="740">
        <f ca="1">INT(D5/2)</f>
        <v>20</v>
      </c>
      <c r="G5" s="740"/>
      <c r="H5" s="769" t="s">
        <v>545</v>
      </c>
      <c r="I5" s="769"/>
      <c r="J5" s="772">
        <f ca="1">SUM(A11:A13)*5</f>
        <v>45</v>
      </c>
      <c r="K5" s="772"/>
      <c r="L5" s="739">
        <f ca="1">INT(J5/2)</f>
        <v>22</v>
      </c>
      <c r="M5" s="739"/>
      <c r="N5" s="771" t="s">
        <v>546</v>
      </c>
      <c r="O5" s="771"/>
      <c r="P5" s="772">
        <f ca="1">(SUM(A21:A22)+6)*5</f>
        <v>75</v>
      </c>
      <c r="Q5" s="772"/>
      <c r="R5" s="740">
        <f ca="1">INT(P5/2)</f>
        <v>37</v>
      </c>
      <c r="S5" s="743"/>
      <c r="W5" s="208"/>
      <c r="X5" s="208"/>
      <c r="Y5" s="208"/>
      <c r="Z5" s="208"/>
      <c r="AA5" s="759" t="str">
        <f ca="1">IF(D5&lt;=20,"常年患病在身",IF(D5&lt;=40,"体弱易风寒",IF(D5&lt;=60,"健康",IF(D5&lt;=80,"健硕，基本不会生病",IF(D5&lt;=90,"病痛是什么？能吃吗")))))</f>
        <v>体弱易风寒</v>
      </c>
      <c r="AB5" s="757"/>
      <c r="AC5" s="757"/>
      <c r="AD5" s="757"/>
      <c r="AE5" s="757"/>
      <c r="AF5" s="757"/>
      <c r="AG5" s="756" t="str">
        <f ca="1">IF(J5&lt;=20,"挫｡估计是因为受伤事故或先天如此",IF(J5&lt;=40,"堪堪入目",IF(J5&lt;=60,"普通至极或些许清秀",IF(J5&lt;=80,"柳眉丹凤，仪表堂堂",IF(J5&lt;=90,"沉鱼落雁，闭月羞花")))))</f>
        <v>普通至极或些许清秀</v>
      </c>
      <c r="AH5" s="756"/>
      <c r="AI5" s="756"/>
      <c r="AJ5" s="756"/>
      <c r="AK5" s="756"/>
      <c r="AL5" s="756"/>
      <c r="AM5" s="757" t="str">
        <f ca="1">IF(P5&lt;=20,"任何方面都没有受过教育",IF(P5&lt;=40,"小学毕业",IF(P5&lt;=60,"高中毕业",IF(P5&lt;=80,"是重点大学的学生，或是普通大学的研究生",IF(P5&lt;=90,"博士学位,教授")))))</f>
        <v>是重点大学的学生，或是普通大学的研究生</v>
      </c>
      <c r="AN5" s="757"/>
      <c r="AO5" s="757"/>
      <c r="AP5" s="757"/>
      <c r="AQ5" s="757"/>
      <c r="AR5" s="760"/>
    </row>
    <row r="6" spans="1:44" x14ac:dyDescent="0.25">
      <c r="A6" s="207">
        <f t="shared" ca="1" si="0"/>
        <v>2</v>
      </c>
      <c r="B6" s="778"/>
      <c r="C6" s="771"/>
      <c r="D6" s="772"/>
      <c r="E6" s="772"/>
      <c r="F6" s="744">
        <f ca="1">INT(D5/5)</f>
        <v>8</v>
      </c>
      <c r="G6" s="744"/>
      <c r="H6" s="769"/>
      <c r="I6" s="769"/>
      <c r="J6" s="772"/>
      <c r="K6" s="772"/>
      <c r="L6" s="739">
        <f ca="1">INT(J5/5)</f>
        <v>9</v>
      </c>
      <c r="M6" s="739"/>
      <c r="N6" s="771"/>
      <c r="O6" s="771"/>
      <c r="P6" s="772"/>
      <c r="Q6" s="772"/>
      <c r="R6" s="740">
        <f ca="1">INT(P5/5)</f>
        <v>15</v>
      </c>
      <c r="S6" s="743"/>
      <c r="U6" s="745" t="s">
        <v>547</v>
      </c>
      <c r="V6" s="746"/>
      <c r="W6" s="208"/>
      <c r="X6" s="208"/>
      <c r="Y6" s="208"/>
      <c r="Z6" s="208"/>
      <c r="AA6" s="759"/>
      <c r="AB6" s="757"/>
      <c r="AC6" s="757"/>
      <c r="AD6" s="757"/>
      <c r="AE6" s="757"/>
      <c r="AF6" s="757"/>
      <c r="AG6" s="756"/>
      <c r="AH6" s="756"/>
      <c r="AI6" s="756"/>
      <c r="AJ6" s="756"/>
      <c r="AK6" s="756"/>
      <c r="AL6" s="756"/>
      <c r="AM6" s="757"/>
      <c r="AN6" s="757"/>
      <c r="AO6" s="757"/>
      <c r="AP6" s="757"/>
      <c r="AQ6" s="757"/>
      <c r="AR6" s="760"/>
    </row>
    <row r="7" spans="1:44" ht="17.25" customHeight="1" x14ac:dyDescent="0.25">
      <c r="A7" s="207">
        <f t="shared" ca="1" si="0"/>
        <v>3</v>
      </c>
      <c r="B7" s="768" t="s">
        <v>548</v>
      </c>
      <c r="C7" s="769"/>
      <c r="D7" s="770">
        <f ca="1">(SUM(A17:A18)+6)*5</f>
        <v>60</v>
      </c>
      <c r="E7" s="770"/>
      <c r="F7" s="739">
        <f ca="1">INT(D7/2)</f>
        <v>30</v>
      </c>
      <c r="G7" s="739"/>
      <c r="H7" s="771" t="s">
        <v>549</v>
      </c>
      <c r="I7" s="771"/>
      <c r="J7" s="772">
        <f ca="1">(SUM(A19:A20)+6)*5</f>
        <v>85</v>
      </c>
      <c r="K7" s="772"/>
      <c r="L7" s="740">
        <f ca="1">INT(J7/2)</f>
        <v>42</v>
      </c>
      <c r="M7" s="740"/>
      <c r="N7" s="783" t="str">
        <f ca="1">"所有属性之和="&amp;SUM(D3:E8,J3:K8,P3:Q6)</f>
        <v>所有属性之和=485</v>
      </c>
      <c r="O7" s="784"/>
      <c r="P7" s="784"/>
      <c r="Q7" s="784"/>
      <c r="R7" s="784"/>
      <c r="S7" s="785"/>
      <c r="U7" s="779">
        <f ca="1">SUM(A27:A29)*5</f>
        <v>55</v>
      </c>
      <c r="V7" s="780"/>
      <c r="W7" s="208"/>
      <c r="X7" s="208"/>
      <c r="Y7" s="208"/>
      <c r="Z7" s="208"/>
      <c r="AA7" s="755" t="str">
        <f ca="1">IF(D7&lt;=20,"孩童，身短体瘦",IF(D7&lt;=40,"乙女身材",IF(D7&lt;=60,"普通身高或偏瘦",IF(D7&lt;=80,"不是高就是胖",IF(D7&lt;=90,"体型堪比姚明")))))</f>
        <v>普通身高或偏瘦</v>
      </c>
      <c r="AB7" s="756"/>
      <c r="AC7" s="756"/>
      <c r="AD7" s="756"/>
      <c r="AE7" s="756"/>
      <c r="AF7" s="756"/>
      <c r="AG7" s="757" t="str">
        <f ca="1">IF(J7&lt;=20,"只能理解最常用的数字",IF(J7&lt;=40,"思维比别人慢一拍",IF(J7&lt;=60,"有着普通人的灵光一现",IF(J7&lt;=80,"可以进行简单的发明",IF(J7&lt;=90,"超凡之脑,可以理解多门语言或法则")))))</f>
        <v>超凡之脑,可以理解多门语言或法则</v>
      </c>
      <c r="AH7" s="757"/>
      <c r="AI7" s="757"/>
      <c r="AJ7" s="757"/>
      <c r="AK7" s="757"/>
      <c r="AL7" s="757"/>
      <c r="AM7" s="764" t="str">
        <f ca="1">IF(U3&lt;=20,"克夫克妻",IF(U3&lt;=40,"霉运连连",IF(U3&lt;=60,"命格平庸",IF(U3&lt;=80,"升职加薪顺风顺水",IF(U3&lt;=90,"会被彩票店拒之门外")))))</f>
        <v>升职加薪顺风顺水</v>
      </c>
      <c r="AN7" s="764"/>
      <c r="AO7" s="764"/>
      <c r="AP7" s="764"/>
      <c r="AQ7" s="764"/>
      <c r="AR7" s="765"/>
    </row>
    <row r="8" spans="1:44" x14ac:dyDescent="0.25">
      <c r="A8" s="207">
        <f t="shared" ca="1" si="0"/>
        <v>2</v>
      </c>
      <c r="B8" s="789"/>
      <c r="C8" s="790"/>
      <c r="D8" s="791"/>
      <c r="E8" s="791"/>
      <c r="F8" s="747">
        <f ca="1">INT(D7/5)</f>
        <v>12</v>
      </c>
      <c r="G8" s="747"/>
      <c r="H8" s="792"/>
      <c r="I8" s="792"/>
      <c r="J8" s="775"/>
      <c r="K8" s="775"/>
      <c r="L8" s="748">
        <f ca="1">INT(J7/5)</f>
        <v>17</v>
      </c>
      <c r="M8" s="748"/>
      <c r="N8" s="786"/>
      <c r="O8" s="787"/>
      <c r="P8" s="787"/>
      <c r="Q8" s="787"/>
      <c r="R8" s="787"/>
      <c r="S8" s="788"/>
      <c r="U8" s="781"/>
      <c r="V8" s="782"/>
      <c r="W8" s="208"/>
      <c r="X8" s="208"/>
      <c r="Y8" s="208"/>
      <c r="Z8" s="208"/>
      <c r="AA8" s="761"/>
      <c r="AB8" s="762"/>
      <c r="AC8" s="762"/>
      <c r="AD8" s="762"/>
      <c r="AE8" s="762"/>
      <c r="AF8" s="762"/>
      <c r="AG8" s="763"/>
      <c r="AH8" s="763"/>
      <c r="AI8" s="763"/>
      <c r="AJ8" s="763"/>
      <c r="AK8" s="763"/>
      <c r="AL8" s="763"/>
      <c r="AM8" s="766"/>
      <c r="AN8" s="766"/>
      <c r="AO8" s="766"/>
      <c r="AP8" s="766"/>
      <c r="AQ8" s="766"/>
      <c r="AR8" s="767"/>
    </row>
    <row r="9" spans="1:44" x14ac:dyDescent="0.25">
      <c r="A9" s="207">
        <f t="shared" ca="1" si="0"/>
        <v>4</v>
      </c>
      <c r="W9" s="208"/>
      <c r="X9" s="208"/>
      <c r="Y9" s="208"/>
      <c r="Z9" s="208"/>
    </row>
    <row r="10" spans="1:44" x14ac:dyDescent="0.25">
      <c r="A10" s="207">
        <f t="shared" ca="1" si="0"/>
        <v>3</v>
      </c>
      <c r="B10" s="749" t="s">
        <v>550</v>
      </c>
      <c r="C10" s="750"/>
      <c r="D10" s="750"/>
      <c r="E10" s="750"/>
      <c r="F10" s="750"/>
      <c r="G10" s="750"/>
      <c r="H10" s="750"/>
      <c r="I10" s="750"/>
      <c r="J10" s="750"/>
      <c r="K10" s="750"/>
      <c r="L10" s="750"/>
      <c r="M10" s="750"/>
      <c r="N10" s="750"/>
      <c r="O10" s="750"/>
      <c r="P10" s="750"/>
      <c r="Q10" s="750"/>
      <c r="R10" s="750"/>
      <c r="S10" s="750"/>
      <c r="T10" s="750"/>
      <c r="U10" s="750"/>
      <c r="V10" s="751"/>
      <c r="W10" s="208"/>
      <c r="X10" s="208"/>
      <c r="Y10" s="208"/>
      <c r="Z10" s="208"/>
    </row>
    <row r="11" spans="1:44" x14ac:dyDescent="0.25">
      <c r="A11" s="207">
        <f t="shared" ca="1" si="0"/>
        <v>4</v>
      </c>
      <c r="W11" s="208"/>
      <c r="X11" s="208"/>
      <c r="Y11" s="208"/>
      <c r="Z11" s="208"/>
    </row>
    <row r="12" spans="1:44" x14ac:dyDescent="0.25">
      <c r="A12" s="207">
        <f t="shared" ca="1" si="0"/>
        <v>1</v>
      </c>
      <c r="B12" s="731" t="s">
        <v>551</v>
      </c>
      <c r="C12" s="732"/>
      <c r="D12" s="732"/>
      <c r="E12" s="732"/>
      <c r="F12" s="732"/>
      <c r="G12" s="732"/>
      <c r="H12" s="732"/>
      <c r="I12" s="732"/>
      <c r="J12" s="732"/>
      <c r="K12" s="732"/>
      <c r="L12" s="732"/>
      <c r="M12" s="732"/>
      <c r="N12" s="732"/>
      <c r="O12" s="732"/>
      <c r="P12" s="732"/>
      <c r="Q12" s="732"/>
      <c r="R12" s="732"/>
      <c r="S12" s="732"/>
      <c r="T12" s="732"/>
      <c r="U12" s="732"/>
      <c r="V12" s="733"/>
      <c r="W12" s="208"/>
      <c r="X12" s="208"/>
      <c r="Y12" s="208"/>
      <c r="Z12" s="208"/>
    </row>
    <row r="13" spans="1:44" x14ac:dyDescent="0.25">
      <c r="A13" s="207">
        <f t="shared" ca="1" si="0"/>
        <v>4</v>
      </c>
      <c r="B13" s="752" t="s">
        <v>552</v>
      </c>
      <c r="C13" s="753"/>
      <c r="D13" s="753"/>
      <c r="E13" s="753" t="s">
        <v>553</v>
      </c>
      <c r="F13" s="753"/>
      <c r="G13" s="753"/>
      <c r="H13" s="753" t="s">
        <v>554</v>
      </c>
      <c r="I13" s="753"/>
      <c r="J13" s="753"/>
      <c r="K13" s="753" t="s">
        <v>555</v>
      </c>
      <c r="L13" s="753"/>
      <c r="M13" s="753"/>
      <c r="N13" s="753" t="s">
        <v>556</v>
      </c>
      <c r="O13" s="753"/>
      <c r="P13" s="753"/>
      <c r="Q13" s="753" t="s">
        <v>557</v>
      </c>
      <c r="R13" s="753"/>
      <c r="S13" s="753"/>
      <c r="T13" s="753" t="s">
        <v>558</v>
      </c>
      <c r="U13" s="753"/>
      <c r="V13" s="754"/>
      <c r="W13" s="208"/>
      <c r="X13" s="208"/>
      <c r="Y13" s="208"/>
      <c r="Z13" s="208"/>
    </row>
    <row r="14" spans="1:44" x14ac:dyDescent="0.25">
      <c r="A14" s="207">
        <f t="shared" ca="1" si="0"/>
        <v>4</v>
      </c>
      <c r="B14" s="773">
        <f ca="1">RANDBETWEEN(1,2)</f>
        <v>2</v>
      </c>
      <c r="C14" s="772"/>
      <c r="D14" s="772"/>
      <c r="E14" s="772">
        <f ca="1">RANDBETWEEN(1,4)</f>
        <v>4</v>
      </c>
      <c r="F14" s="772"/>
      <c r="G14" s="772"/>
      <c r="H14" s="772">
        <f ca="1">RANDBETWEEN(1,6)</f>
        <v>2</v>
      </c>
      <c r="I14" s="772"/>
      <c r="J14" s="772"/>
      <c r="K14" s="772">
        <f ca="1">RANDBETWEEN(1,8)</f>
        <v>1</v>
      </c>
      <c r="L14" s="772"/>
      <c r="M14" s="772"/>
      <c r="N14" s="772">
        <f ca="1">RANDBETWEEN(1,10)</f>
        <v>8</v>
      </c>
      <c r="O14" s="772"/>
      <c r="P14" s="772"/>
      <c r="Q14" s="772">
        <f ca="1">RANDBETWEEN(1,20)</f>
        <v>8</v>
      </c>
      <c r="R14" s="772"/>
      <c r="S14" s="772"/>
      <c r="T14" s="772">
        <f ca="1">RANDBETWEEN(1,100)</f>
        <v>92</v>
      </c>
      <c r="U14" s="772"/>
      <c r="V14" s="776"/>
      <c r="W14" s="208"/>
      <c r="X14" s="208"/>
      <c r="Y14" s="208"/>
      <c r="Z14" s="208"/>
    </row>
    <row r="15" spans="1:44" x14ac:dyDescent="0.25">
      <c r="A15" s="207">
        <f t="shared" ca="1" si="0"/>
        <v>5</v>
      </c>
      <c r="B15" s="774"/>
      <c r="C15" s="775"/>
      <c r="D15" s="775"/>
      <c r="E15" s="775"/>
      <c r="F15" s="775"/>
      <c r="G15" s="775"/>
      <c r="H15" s="775"/>
      <c r="I15" s="775"/>
      <c r="J15" s="775"/>
      <c r="K15" s="775"/>
      <c r="L15" s="775"/>
      <c r="M15" s="775"/>
      <c r="N15" s="775"/>
      <c r="O15" s="775"/>
      <c r="P15" s="775"/>
      <c r="Q15" s="775"/>
      <c r="R15" s="775"/>
      <c r="S15" s="775"/>
      <c r="T15" s="775"/>
      <c r="U15" s="775"/>
      <c r="V15" s="777"/>
      <c r="W15" s="208"/>
      <c r="X15" s="208"/>
      <c r="Y15" s="208"/>
      <c r="Z15" s="208"/>
    </row>
    <row r="16" spans="1:44" x14ac:dyDescent="0.25">
      <c r="A16" s="207">
        <f t="shared" ca="1" si="0"/>
        <v>5</v>
      </c>
      <c r="W16" s="208"/>
      <c r="X16" s="208"/>
      <c r="Y16" s="208"/>
      <c r="Z16" s="208"/>
    </row>
    <row r="17" spans="1:26" x14ac:dyDescent="0.25">
      <c r="A17" s="207">
        <f t="shared" ca="1" si="0"/>
        <v>4</v>
      </c>
      <c r="W17" s="208"/>
      <c r="X17" s="208"/>
      <c r="Y17" s="208"/>
      <c r="Z17" s="208"/>
    </row>
    <row r="18" spans="1:26" x14ac:dyDescent="0.25">
      <c r="A18" s="207">
        <f t="shared" ca="1" si="0"/>
        <v>2</v>
      </c>
      <c r="W18" s="208"/>
      <c r="X18" s="208"/>
      <c r="Y18" s="208"/>
      <c r="Z18" s="208"/>
    </row>
    <row r="19" spans="1:26" x14ac:dyDescent="0.25">
      <c r="A19" s="207">
        <f t="shared" ca="1" si="0"/>
        <v>5</v>
      </c>
    </row>
    <row r="20" spans="1:26" x14ac:dyDescent="0.25">
      <c r="A20" s="207">
        <f t="shared" ca="1" si="0"/>
        <v>6</v>
      </c>
    </row>
    <row r="21" spans="1:26" x14ac:dyDescent="0.25">
      <c r="A21" s="207">
        <f t="shared" ca="1" si="0"/>
        <v>4</v>
      </c>
    </row>
    <row r="22" spans="1:26" x14ac:dyDescent="0.25">
      <c r="A22" s="207">
        <f t="shared" ca="1" si="0"/>
        <v>5</v>
      </c>
    </row>
    <row r="23" spans="1:26" x14ac:dyDescent="0.25">
      <c r="A23" s="207"/>
    </row>
    <row r="24" spans="1:26" x14ac:dyDescent="0.25">
      <c r="A24" s="207">
        <f t="shared" ref="A24:A29" ca="1" si="1">RANDBETWEEN(1,6)</f>
        <v>5</v>
      </c>
    </row>
    <row r="25" spans="1:26" x14ac:dyDescent="0.25">
      <c r="A25" s="207">
        <f t="shared" ca="1" si="1"/>
        <v>5</v>
      </c>
    </row>
    <row r="26" spans="1:26" x14ac:dyDescent="0.25">
      <c r="A26" s="207">
        <f t="shared" ca="1" si="1"/>
        <v>6</v>
      </c>
    </row>
    <row r="27" spans="1:26" x14ac:dyDescent="0.25">
      <c r="A27" s="207">
        <f t="shared" ca="1" si="1"/>
        <v>6</v>
      </c>
    </row>
    <row r="28" spans="1:26" x14ac:dyDescent="0.25">
      <c r="A28" s="207">
        <f t="shared" ca="1" si="1"/>
        <v>1</v>
      </c>
    </row>
    <row r="29" spans="1:26" x14ac:dyDescent="0.25">
      <c r="A29" s="207">
        <f t="shared" ca="1" si="1"/>
        <v>4</v>
      </c>
    </row>
  </sheetData>
  <sheetProtection sheet="1" objects="1" scenarios="1" formatCells="0" selectLockedCells="1"/>
  <mergeCells count="64">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 ref="H14:J15"/>
    <mergeCell ref="K14:M15"/>
    <mergeCell ref="N14:P15"/>
    <mergeCell ref="AA5:AF6"/>
    <mergeCell ref="AG5:AL6"/>
    <mergeCell ref="AM5:AR6"/>
    <mergeCell ref="AA7:AF8"/>
    <mergeCell ref="AG7:AL8"/>
    <mergeCell ref="AM7:AR8"/>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88671875" defaultRowHeight="13.8" x14ac:dyDescent="0.25"/>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x14ac:dyDescent="0.25">
      <c r="B1" s="793" t="s">
        <v>559</v>
      </c>
      <c r="C1" s="793"/>
      <c r="D1" s="793"/>
      <c r="E1" s="793"/>
      <c r="F1" s="793"/>
      <c r="G1" s="793"/>
      <c r="H1" s="793"/>
      <c r="I1" s="793"/>
      <c r="J1" s="793"/>
      <c r="K1" s="793"/>
    </row>
    <row r="2" spans="2:11" ht="14.25" customHeight="1" x14ac:dyDescent="0.25">
      <c r="B2" s="188" t="s">
        <v>560</v>
      </c>
      <c r="C2" s="189" t="s">
        <v>31</v>
      </c>
      <c r="D2" s="189" t="s">
        <v>115</v>
      </c>
      <c r="E2" s="189" t="s">
        <v>116</v>
      </c>
      <c r="F2" s="189" t="s">
        <v>117</v>
      </c>
      <c r="G2" s="189" t="s">
        <v>118</v>
      </c>
      <c r="H2" s="189" t="s">
        <v>119</v>
      </c>
      <c r="I2" s="189" t="s">
        <v>120</v>
      </c>
      <c r="J2" s="189" t="s">
        <v>561</v>
      </c>
      <c r="K2" s="196" t="s">
        <v>562</v>
      </c>
    </row>
    <row r="3" spans="2:11" ht="14.25" customHeight="1" x14ac:dyDescent="0.25">
      <c r="B3" s="190" t="s">
        <v>563</v>
      </c>
      <c r="C3" s="191" t="s">
        <v>196</v>
      </c>
      <c r="D3" s="192" t="s">
        <v>564</v>
      </c>
      <c r="E3" s="192" t="s">
        <v>565</v>
      </c>
      <c r="F3" s="192" t="s">
        <v>125</v>
      </c>
      <c r="G3" s="192" t="s">
        <v>566</v>
      </c>
      <c r="H3" s="192" t="s">
        <v>566</v>
      </c>
      <c r="I3" s="192" t="s">
        <v>567</v>
      </c>
      <c r="J3" s="192" t="s">
        <v>568</v>
      </c>
      <c r="K3" s="197" t="s">
        <v>569</v>
      </c>
    </row>
    <row r="4" spans="2:11" ht="14.25" customHeight="1" x14ac:dyDescent="0.25">
      <c r="B4" s="193" t="s">
        <v>570</v>
      </c>
      <c r="C4" s="194" t="s">
        <v>81</v>
      </c>
      <c r="D4" s="195" t="s">
        <v>571</v>
      </c>
      <c r="E4" s="195" t="s">
        <v>572</v>
      </c>
      <c r="F4" s="195" t="s">
        <v>125</v>
      </c>
      <c r="G4" s="195" t="s">
        <v>566</v>
      </c>
      <c r="H4" s="195" t="s">
        <v>65</v>
      </c>
      <c r="I4" s="195" t="s">
        <v>65</v>
      </c>
      <c r="J4" s="195" t="s">
        <v>568</v>
      </c>
      <c r="K4" s="198" t="s">
        <v>573</v>
      </c>
    </row>
    <row r="5" spans="2:11" ht="14.25" customHeight="1" x14ac:dyDescent="0.25">
      <c r="B5" s="190" t="s">
        <v>574</v>
      </c>
      <c r="C5" s="191" t="s">
        <v>189</v>
      </c>
      <c r="D5" s="192" t="s">
        <v>575</v>
      </c>
      <c r="E5" s="192" t="s">
        <v>576</v>
      </c>
      <c r="F5" s="192" t="s">
        <v>125</v>
      </c>
      <c r="G5" s="192" t="s">
        <v>566</v>
      </c>
      <c r="H5" s="192" t="s">
        <v>65</v>
      </c>
      <c r="I5" s="192" t="s">
        <v>65</v>
      </c>
      <c r="J5" s="192" t="s">
        <v>577</v>
      </c>
      <c r="K5" s="197" t="s">
        <v>578</v>
      </c>
    </row>
    <row r="6" spans="2:11" ht="14.25" customHeight="1" x14ac:dyDescent="0.25">
      <c r="B6" s="193" t="s">
        <v>579</v>
      </c>
      <c r="C6" s="194" t="s">
        <v>81</v>
      </c>
      <c r="D6" s="195" t="s">
        <v>580</v>
      </c>
      <c r="E6" s="195" t="s">
        <v>572</v>
      </c>
      <c r="F6" s="195" t="s">
        <v>125</v>
      </c>
      <c r="G6" s="195" t="s">
        <v>566</v>
      </c>
      <c r="H6" s="195" t="s">
        <v>65</v>
      </c>
      <c r="I6" s="195" t="s">
        <v>65</v>
      </c>
      <c r="J6" s="195" t="s">
        <v>568</v>
      </c>
      <c r="K6" s="198" t="s">
        <v>581</v>
      </c>
    </row>
    <row r="7" spans="2:11" ht="14.25" customHeight="1" x14ac:dyDescent="0.25">
      <c r="B7" s="190" t="s">
        <v>193</v>
      </c>
      <c r="C7" s="191" t="s">
        <v>193</v>
      </c>
      <c r="D7" s="192" t="s">
        <v>582</v>
      </c>
      <c r="E7" s="192" t="s">
        <v>572</v>
      </c>
      <c r="F7" s="192" t="s">
        <v>583</v>
      </c>
      <c r="G7" s="192" t="s">
        <v>566</v>
      </c>
      <c r="H7" s="192" t="s">
        <v>65</v>
      </c>
      <c r="I7" s="192" t="s">
        <v>584</v>
      </c>
      <c r="J7" s="192" t="s">
        <v>9</v>
      </c>
      <c r="K7" s="197" t="s">
        <v>585</v>
      </c>
    </row>
    <row r="8" spans="2:11" ht="14.25" customHeight="1" x14ac:dyDescent="0.25">
      <c r="B8" s="193" t="s">
        <v>586</v>
      </c>
      <c r="C8" s="194" t="s">
        <v>81</v>
      </c>
      <c r="D8" s="195" t="s">
        <v>587</v>
      </c>
      <c r="E8" s="195" t="s">
        <v>572</v>
      </c>
      <c r="F8" s="195" t="s">
        <v>125</v>
      </c>
      <c r="G8" s="195" t="s">
        <v>566</v>
      </c>
      <c r="H8" s="195" t="s">
        <v>65</v>
      </c>
      <c r="I8" s="195" t="s">
        <v>65</v>
      </c>
      <c r="J8" s="195" t="s">
        <v>568</v>
      </c>
      <c r="K8" s="198" t="s">
        <v>588</v>
      </c>
    </row>
    <row r="9" spans="2:11" ht="14.25" customHeight="1" x14ac:dyDescent="0.25">
      <c r="B9" s="190" t="s">
        <v>589</v>
      </c>
      <c r="C9" s="191" t="s">
        <v>81</v>
      </c>
      <c r="D9" s="192" t="s">
        <v>587</v>
      </c>
      <c r="E9" s="192" t="s">
        <v>572</v>
      </c>
      <c r="F9" s="192" t="s">
        <v>125</v>
      </c>
      <c r="G9" s="192" t="s">
        <v>566</v>
      </c>
      <c r="H9" s="192" t="s">
        <v>65</v>
      </c>
      <c r="I9" s="192" t="s">
        <v>65</v>
      </c>
      <c r="J9" s="192" t="s">
        <v>568</v>
      </c>
      <c r="K9" s="197" t="s">
        <v>590</v>
      </c>
    </row>
    <row r="10" spans="2:11" ht="14.25" customHeight="1" x14ac:dyDescent="0.25">
      <c r="B10" s="193" t="s">
        <v>591</v>
      </c>
      <c r="C10" s="194" t="s">
        <v>81</v>
      </c>
      <c r="D10" s="195" t="s">
        <v>592</v>
      </c>
      <c r="E10" s="195" t="s">
        <v>572</v>
      </c>
      <c r="F10" s="195" t="s">
        <v>125</v>
      </c>
      <c r="G10" s="195" t="s">
        <v>566</v>
      </c>
      <c r="H10" s="195" t="s">
        <v>65</v>
      </c>
      <c r="I10" s="195" t="s">
        <v>65</v>
      </c>
      <c r="J10" s="195" t="s">
        <v>568</v>
      </c>
      <c r="K10" s="198" t="s">
        <v>590</v>
      </c>
    </row>
    <row r="11" spans="2:11" ht="14.25" customHeight="1" x14ac:dyDescent="0.25">
      <c r="B11" s="190" t="s">
        <v>593</v>
      </c>
      <c r="C11" s="191" t="s">
        <v>196</v>
      </c>
      <c r="D11" s="192" t="s">
        <v>594</v>
      </c>
      <c r="E11" s="192" t="s">
        <v>595</v>
      </c>
      <c r="F11" s="192" t="s">
        <v>583</v>
      </c>
      <c r="G11" s="192" t="s">
        <v>596</v>
      </c>
      <c r="H11" s="192" t="s">
        <v>566</v>
      </c>
      <c r="I11" s="192" t="s">
        <v>597</v>
      </c>
      <c r="J11" s="192" t="s">
        <v>568</v>
      </c>
      <c r="K11" s="197" t="s">
        <v>598</v>
      </c>
    </row>
    <row r="12" spans="2:11" ht="14.25" customHeight="1" x14ac:dyDescent="0.25">
      <c r="B12" s="193" t="s">
        <v>207</v>
      </c>
      <c r="C12" s="194" t="s">
        <v>207</v>
      </c>
      <c r="D12" s="195" t="s">
        <v>592</v>
      </c>
      <c r="E12" s="195" t="s">
        <v>572</v>
      </c>
      <c r="F12" s="195" t="s">
        <v>583</v>
      </c>
      <c r="G12" s="195" t="s">
        <v>566</v>
      </c>
      <c r="H12" s="195" t="s">
        <v>65</v>
      </c>
      <c r="I12" s="195" t="s">
        <v>65</v>
      </c>
      <c r="J12" s="195" t="s">
        <v>568</v>
      </c>
      <c r="K12" s="198" t="s">
        <v>599</v>
      </c>
    </row>
    <row r="13" spans="2:11" ht="14.25" customHeight="1" x14ac:dyDescent="0.25">
      <c r="B13" s="190" t="s">
        <v>600</v>
      </c>
      <c r="C13" s="191" t="s">
        <v>199</v>
      </c>
      <c r="D13" s="192" t="s">
        <v>601</v>
      </c>
      <c r="E13" s="192" t="s">
        <v>572</v>
      </c>
      <c r="F13" s="192" t="s">
        <v>583</v>
      </c>
      <c r="G13" s="192" t="s">
        <v>566</v>
      </c>
      <c r="H13" s="192" t="s">
        <v>65</v>
      </c>
      <c r="I13" s="192" t="s">
        <v>65</v>
      </c>
      <c r="J13" s="192" t="s">
        <v>568</v>
      </c>
      <c r="K13" s="197" t="s">
        <v>602</v>
      </c>
    </row>
    <row r="14" spans="2:11" ht="14.25" customHeight="1" x14ac:dyDescent="0.25">
      <c r="B14" s="193" t="s">
        <v>603</v>
      </c>
      <c r="C14" s="194" t="s">
        <v>81</v>
      </c>
      <c r="D14" s="195" t="s">
        <v>587</v>
      </c>
      <c r="E14" s="195" t="s">
        <v>572</v>
      </c>
      <c r="F14" s="195" t="s">
        <v>583</v>
      </c>
      <c r="G14" s="195" t="s">
        <v>566</v>
      </c>
      <c r="H14" s="195" t="s">
        <v>65</v>
      </c>
      <c r="I14" s="195" t="s">
        <v>65</v>
      </c>
      <c r="J14" s="195" t="s">
        <v>568</v>
      </c>
      <c r="K14" s="198" t="s">
        <v>604</v>
      </c>
    </row>
    <row r="15" spans="2:11" ht="14.25" customHeight="1" x14ac:dyDescent="0.25">
      <c r="B15" s="190" t="s">
        <v>605</v>
      </c>
      <c r="C15" s="191" t="s">
        <v>81</v>
      </c>
      <c r="D15" s="192" t="s">
        <v>606</v>
      </c>
      <c r="E15" s="192" t="s">
        <v>572</v>
      </c>
      <c r="F15" s="192" t="s">
        <v>583</v>
      </c>
      <c r="G15" s="192" t="s">
        <v>566</v>
      </c>
      <c r="H15" s="192" t="s">
        <v>65</v>
      </c>
      <c r="I15" s="192" t="s">
        <v>65</v>
      </c>
      <c r="J15" s="192" t="s">
        <v>568</v>
      </c>
      <c r="K15" s="197" t="s">
        <v>588</v>
      </c>
    </row>
    <row r="16" spans="2:11" ht="14.25" customHeight="1" x14ac:dyDescent="0.25">
      <c r="B16" s="193" t="s">
        <v>607</v>
      </c>
      <c r="C16" s="194" t="s">
        <v>81</v>
      </c>
      <c r="D16" s="195" t="s">
        <v>608</v>
      </c>
      <c r="E16" s="195" t="s">
        <v>572</v>
      </c>
      <c r="F16" s="195" t="s">
        <v>583</v>
      </c>
      <c r="G16" s="195" t="s">
        <v>566</v>
      </c>
      <c r="H16" s="195" t="s">
        <v>65</v>
      </c>
      <c r="I16" s="195" t="s">
        <v>65</v>
      </c>
      <c r="J16" s="195" t="s">
        <v>568</v>
      </c>
      <c r="K16" s="198" t="s">
        <v>609</v>
      </c>
    </row>
    <row r="17" spans="2:11" ht="14.25" customHeight="1" x14ac:dyDescent="0.25">
      <c r="B17" s="190" t="s">
        <v>610</v>
      </c>
      <c r="C17" s="191" t="s">
        <v>81</v>
      </c>
      <c r="D17" s="192" t="s">
        <v>611</v>
      </c>
      <c r="E17" s="192" t="s">
        <v>572</v>
      </c>
      <c r="F17" s="192" t="s">
        <v>125</v>
      </c>
      <c r="G17" s="192" t="s">
        <v>566</v>
      </c>
      <c r="H17" s="192" t="s">
        <v>65</v>
      </c>
      <c r="I17" s="192" t="s">
        <v>584</v>
      </c>
      <c r="J17" s="192" t="s">
        <v>9</v>
      </c>
      <c r="K17" s="197" t="s">
        <v>65</v>
      </c>
    </row>
    <row r="18" spans="2:11" ht="14.25" customHeight="1" x14ac:dyDescent="0.25">
      <c r="B18" s="193" t="s">
        <v>612</v>
      </c>
      <c r="C18" s="194" t="s">
        <v>81</v>
      </c>
      <c r="D18" s="195" t="s">
        <v>613</v>
      </c>
      <c r="E18" s="195" t="s">
        <v>614</v>
      </c>
      <c r="F18" s="195" t="s">
        <v>125</v>
      </c>
      <c r="G18" s="195" t="s">
        <v>566</v>
      </c>
      <c r="H18" s="195" t="s">
        <v>615</v>
      </c>
      <c r="I18" s="195" t="s">
        <v>584</v>
      </c>
      <c r="J18" s="195" t="s">
        <v>568</v>
      </c>
      <c r="K18" s="198" t="s">
        <v>616</v>
      </c>
    </row>
    <row r="19" spans="2:11" ht="14.25" customHeight="1" x14ac:dyDescent="0.25">
      <c r="B19" s="190" t="s">
        <v>617</v>
      </c>
      <c r="C19" s="191" t="s">
        <v>210</v>
      </c>
      <c r="D19" s="192" t="s">
        <v>587</v>
      </c>
      <c r="E19" s="192" t="s">
        <v>572</v>
      </c>
      <c r="F19" s="192" t="s">
        <v>125</v>
      </c>
      <c r="G19" s="192" t="s">
        <v>566</v>
      </c>
      <c r="H19" s="192" t="s">
        <v>65</v>
      </c>
      <c r="I19" s="192" t="s">
        <v>65</v>
      </c>
      <c r="J19" s="192" t="s">
        <v>568</v>
      </c>
      <c r="K19" s="197" t="s">
        <v>573</v>
      </c>
    </row>
    <row r="20" spans="2:11" ht="14.25" customHeight="1" x14ac:dyDescent="0.25">
      <c r="B20" s="193" t="s">
        <v>618</v>
      </c>
      <c r="C20" s="194" t="s">
        <v>108</v>
      </c>
      <c r="D20" s="195" t="s">
        <v>619</v>
      </c>
      <c r="E20" s="195" t="s">
        <v>620</v>
      </c>
      <c r="F20" s="195" t="s">
        <v>125</v>
      </c>
      <c r="G20" s="195" t="s">
        <v>566</v>
      </c>
      <c r="H20" s="195" t="s">
        <v>65</v>
      </c>
      <c r="I20" s="195" t="s">
        <v>65</v>
      </c>
      <c r="J20" s="195" t="s">
        <v>568</v>
      </c>
      <c r="K20" s="198" t="s">
        <v>65</v>
      </c>
    </row>
    <row r="21" spans="2:11" ht="14.25" customHeight="1" x14ac:dyDescent="0.25">
      <c r="B21" s="190" t="s">
        <v>621</v>
      </c>
      <c r="C21" s="191" t="s">
        <v>108</v>
      </c>
      <c r="D21" s="192" t="s">
        <v>575</v>
      </c>
      <c r="E21" s="192" t="s">
        <v>622</v>
      </c>
      <c r="F21" s="192" t="s">
        <v>583</v>
      </c>
      <c r="G21" s="192" t="s">
        <v>623</v>
      </c>
      <c r="H21" s="192" t="s">
        <v>624</v>
      </c>
      <c r="I21" s="192" t="s">
        <v>625</v>
      </c>
      <c r="J21" s="192" t="s">
        <v>568</v>
      </c>
      <c r="K21" s="197" t="s">
        <v>599</v>
      </c>
    </row>
    <row r="22" spans="2:11" ht="14.25" customHeight="1" x14ac:dyDescent="0.25">
      <c r="B22" s="193" t="s">
        <v>626</v>
      </c>
      <c r="C22" s="194" t="s">
        <v>214</v>
      </c>
      <c r="D22" s="195" t="s">
        <v>627</v>
      </c>
      <c r="E22" s="195" t="s">
        <v>572</v>
      </c>
      <c r="F22" s="195" t="s">
        <v>583</v>
      </c>
      <c r="G22" s="195" t="s">
        <v>566</v>
      </c>
      <c r="H22" s="195" t="s">
        <v>65</v>
      </c>
      <c r="I22" s="195" t="s">
        <v>65</v>
      </c>
      <c r="J22" s="195" t="s">
        <v>568</v>
      </c>
      <c r="K22" s="198" t="s">
        <v>628</v>
      </c>
    </row>
    <row r="23" spans="2:11" ht="14.25" customHeight="1" x14ac:dyDescent="0.25">
      <c r="B23" s="190" t="s">
        <v>629</v>
      </c>
      <c r="C23" s="191" t="s">
        <v>108</v>
      </c>
      <c r="D23" s="192" t="s">
        <v>630</v>
      </c>
      <c r="E23" s="192" t="s">
        <v>631</v>
      </c>
      <c r="F23" s="192" t="s">
        <v>583</v>
      </c>
      <c r="G23" s="192" t="s">
        <v>566</v>
      </c>
      <c r="H23" s="192" t="s">
        <v>65</v>
      </c>
      <c r="I23" s="192" t="s">
        <v>65</v>
      </c>
      <c r="J23" s="192" t="s">
        <v>632</v>
      </c>
      <c r="K23" s="197" t="s">
        <v>633</v>
      </c>
    </row>
    <row r="24" spans="2:11" ht="14.25" customHeight="1" x14ac:dyDescent="0.25">
      <c r="B24" s="193" t="s">
        <v>634</v>
      </c>
      <c r="C24" s="194" t="s">
        <v>203</v>
      </c>
      <c r="D24" s="195" t="s">
        <v>635</v>
      </c>
      <c r="E24" s="195" t="s">
        <v>572</v>
      </c>
      <c r="F24" s="195" t="s">
        <v>125</v>
      </c>
      <c r="G24" s="195" t="s">
        <v>566</v>
      </c>
      <c r="H24" s="195" t="s">
        <v>65</v>
      </c>
      <c r="I24" s="195" t="s">
        <v>65</v>
      </c>
      <c r="J24" s="195" t="s">
        <v>568</v>
      </c>
      <c r="K24" s="198" t="s">
        <v>636</v>
      </c>
    </row>
    <row r="25" spans="2:11" ht="14.25" customHeight="1" x14ac:dyDescent="0.25">
      <c r="B25" s="190" t="s">
        <v>637</v>
      </c>
      <c r="C25" s="191" t="s">
        <v>203</v>
      </c>
      <c r="D25" s="192" t="s">
        <v>601</v>
      </c>
      <c r="E25" s="192" t="s">
        <v>572</v>
      </c>
      <c r="F25" s="192" t="s">
        <v>583</v>
      </c>
      <c r="G25" s="192" t="s">
        <v>566</v>
      </c>
      <c r="H25" s="192" t="s">
        <v>65</v>
      </c>
      <c r="I25" s="192" t="s">
        <v>65</v>
      </c>
      <c r="J25" s="192" t="s">
        <v>568</v>
      </c>
      <c r="K25" s="197" t="s">
        <v>638</v>
      </c>
    </row>
    <row r="26" spans="2:11" ht="14.25" customHeight="1" x14ac:dyDescent="0.25">
      <c r="B26" s="193" t="s">
        <v>639</v>
      </c>
      <c r="C26" s="194" t="s">
        <v>203</v>
      </c>
      <c r="D26" s="195" t="s">
        <v>592</v>
      </c>
      <c r="E26" s="195" t="s">
        <v>572</v>
      </c>
      <c r="F26" s="195" t="s">
        <v>583</v>
      </c>
      <c r="G26" s="195" t="s">
        <v>566</v>
      </c>
      <c r="H26" s="195" t="s">
        <v>65</v>
      </c>
      <c r="I26" s="195" t="s">
        <v>65</v>
      </c>
      <c r="J26" s="195" t="s">
        <v>568</v>
      </c>
      <c r="K26" s="198" t="s">
        <v>640</v>
      </c>
    </row>
    <row r="27" spans="2:11" ht="14.25" customHeight="1" x14ac:dyDescent="0.25">
      <c r="B27" s="190" t="s">
        <v>641</v>
      </c>
      <c r="C27" s="191" t="s">
        <v>81</v>
      </c>
      <c r="D27" s="192" t="s">
        <v>642</v>
      </c>
      <c r="E27" s="192" t="s">
        <v>572</v>
      </c>
      <c r="F27" s="192" t="s">
        <v>125</v>
      </c>
      <c r="G27" s="192" t="s">
        <v>566</v>
      </c>
      <c r="H27" s="192" t="s">
        <v>643</v>
      </c>
      <c r="I27" s="192" t="s">
        <v>567</v>
      </c>
      <c r="J27" s="192" t="s">
        <v>9</v>
      </c>
      <c r="K27" s="197" t="s">
        <v>644</v>
      </c>
    </row>
    <row r="28" spans="2:11" ht="14.25" customHeight="1" x14ac:dyDescent="0.25">
      <c r="B28" s="193" t="s">
        <v>645</v>
      </c>
      <c r="C28" s="194" t="s">
        <v>88</v>
      </c>
      <c r="D28" s="195" t="s">
        <v>642</v>
      </c>
      <c r="E28" s="195" t="s">
        <v>646</v>
      </c>
      <c r="F28" s="195" t="s">
        <v>125</v>
      </c>
      <c r="G28" s="195" t="s">
        <v>566</v>
      </c>
      <c r="H28" s="195" t="s">
        <v>647</v>
      </c>
      <c r="I28" s="195" t="s">
        <v>584</v>
      </c>
      <c r="J28" s="195" t="s">
        <v>9</v>
      </c>
      <c r="K28" s="198" t="s">
        <v>648</v>
      </c>
    </row>
    <row r="29" spans="2:11" ht="14.25" customHeight="1" x14ac:dyDescent="0.25">
      <c r="B29" s="190" t="s">
        <v>649</v>
      </c>
      <c r="C29" s="191" t="s">
        <v>108</v>
      </c>
      <c r="D29" s="192" t="s">
        <v>630</v>
      </c>
      <c r="E29" s="192" t="s">
        <v>622</v>
      </c>
      <c r="F29" s="192" t="s">
        <v>125</v>
      </c>
      <c r="G29" s="192" t="s">
        <v>566</v>
      </c>
      <c r="H29" s="192" t="s">
        <v>65</v>
      </c>
      <c r="I29" s="192" t="s">
        <v>65</v>
      </c>
      <c r="J29" s="192" t="s">
        <v>632</v>
      </c>
      <c r="K29" s="197" t="s">
        <v>650</v>
      </c>
    </row>
    <row r="30" spans="2:11" ht="14.25" customHeight="1" x14ac:dyDescent="0.25">
      <c r="B30" s="193" t="s">
        <v>651</v>
      </c>
      <c r="C30" s="194" t="s">
        <v>199</v>
      </c>
      <c r="D30" s="195" t="s">
        <v>652</v>
      </c>
      <c r="E30" s="195" t="s">
        <v>572</v>
      </c>
      <c r="F30" s="195" t="s">
        <v>583</v>
      </c>
      <c r="G30" s="195" t="s">
        <v>566</v>
      </c>
      <c r="H30" s="195" t="s">
        <v>65</v>
      </c>
      <c r="I30" s="195" t="s">
        <v>65</v>
      </c>
      <c r="J30" s="195" t="s">
        <v>568</v>
      </c>
      <c r="K30" s="198" t="s">
        <v>653</v>
      </c>
    </row>
    <row r="31" spans="2:11" ht="14.25" customHeight="1" x14ac:dyDescent="0.25">
      <c r="B31" s="190" t="s">
        <v>654</v>
      </c>
      <c r="C31" s="191" t="s">
        <v>88</v>
      </c>
      <c r="D31" s="192" t="s">
        <v>655</v>
      </c>
      <c r="E31" s="192" t="s">
        <v>656</v>
      </c>
      <c r="F31" s="192" t="s">
        <v>583</v>
      </c>
      <c r="G31" s="192" t="s">
        <v>657</v>
      </c>
      <c r="H31" s="192" t="s">
        <v>566</v>
      </c>
      <c r="I31" s="192" t="s">
        <v>584</v>
      </c>
      <c r="J31" s="192" t="s">
        <v>632</v>
      </c>
      <c r="K31" s="197" t="s">
        <v>658</v>
      </c>
    </row>
    <row r="32" spans="2:11" ht="14.25" customHeight="1" x14ac:dyDescent="0.25">
      <c r="B32" s="193" t="s">
        <v>659</v>
      </c>
      <c r="C32" s="194" t="s">
        <v>88</v>
      </c>
      <c r="D32" s="195" t="s">
        <v>660</v>
      </c>
      <c r="E32" s="195" t="s">
        <v>656</v>
      </c>
      <c r="F32" s="195" t="s">
        <v>583</v>
      </c>
      <c r="G32" s="195" t="s">
        <v>661</v>
      </c>
      <c r="H32" s="195" t="s">
        <v>662</v>
      </c>
      <c r="I32" s="195" t="s">
        <v>625</v>
      </c>
      <c r="J32" s="195" t="s">
        <v>568</v>
      </c>
      <c r="K32" s="198" t="s">
        <v>663</v>
      </c>
    </row>
    <row r="33" spans="2:14" ht="14.25" customHeight="1" x14ac:dyDescent="0.25">
      <c r="B33" s="190" t="s">
        <v>664</v>
      </c>
      <c r="C33" s="191" t="s">
        <v>88</v>
      </c>
      <c r="D33" s="192" t="s">
        <v>660</v>
      </c>
      <c r="E33" s="192" t="s">
        <v>647</v>
      </c>
      <c r="F33" s="192" t="s">
        <v>583</v>
      </c>
      <c r="G33" s="192" t="s">
        <v>566</v>
      </c>
      <c r="H33" s="192" t="s">
        <v>566</v>
      </c>
      <c r="I33" s="192" t="s">
        <v>625</v>
      </c>
      <c r="J33" s="192" t="s">
        <v>577</v>
      </c>
      <c r="K33" s="197" t="s">
        <v>665</v>
      </c>
    </row>
    <row r="34" spans="2:14" ht="14.25" customHeight="1" x14ac:dyDescent="0.25">
      <c r="B34" s="193" t="s">
        <v>666</v>
      </c>
      <c r="C34" s="194" t="s">
        <v>88</v>
      </c>
      <c r="D34" s="195" t="s">
        <v>667</v>
      </c>
      <c r="E34" s="195" t="s">
        <v>668</v>
      </c>
      <c r="F34" s="195" t="s">
        <v>583</v>
      </c>
      <c r="G34" s="195" t="s">
        <v>661</v>
      </c>
      <c r="H34" s="195" t="s">
        <v>662</v>
      </c>
      <c r="I34" s="195" t="s">
        <v>625</v>
      </c>
      <c r="J34" s="195" t="s">
        <v>568</v>
      </c>
      <c r="K34" s="198" t="s">
        <v>669</v>
      </c>
    </row>
    <row r="35" spans="2:14" ht="14.25" customHeight="1" x14ac:dyDescent="0.25">
      <c r="B35" s="190" t="s">
        <v>670</v>
      </c>
      <c r="C35" s="191" t="s">
        <v>88</v>
      </c>
      <c r="D35" s="192" t="s">
        <v>667</v>
      </c>
      <c r="E35" s="192" t="s">
        <v>668</v>
      </c>
      <c r="F35" s="192" t="s">
        <v>583</v>
      </c>
      <c r="G35" s="192" t="s">
        <v>661</v>
      </c>
      <c r="H35" s="192" t="s">
        <v>671</v>
      </c>
      <c r="I35" s="192" t="s">
        <v>672</v>
      </c>
      <c r="J35" s="192" t="s">
        <v>568</v>
      </c>
      <c r="K35" s="197" t="s">
        <v>673</v>
      </c>
    </row>
    <row r="36" spans="2:14" ht="14.25" customHeight="1" x14ac:dyDescent="0.25">
      <c r="B36" s="193" t="s">
        <v>674</v>
      </c>
      <c r="C36" s="194" t="s">
        <v>88</v>
      </c>
      <c r="D36" s="195" t="s">
        <v>675</v>
      </c>
      <c r="E36" s="195" t="s">
        <v>668</v>
      </c>
      <c r="F36" s="195" t="s">
        <v>583</v>
      </c>
      <c r="G36" s="195" t="s">
        <v>661</v>
      </c>
      <c r="H36" s="195" t="s">
        <v>662</v>
      </c>
      <c r="I36" s="195" t="s">
        <v>625</v>
      </c>
      <c r="J36" s="195" t="s">
        <v>9</v>
      </c>
      <c r="K36" s="198" t="s">
        <v>676</v>
      </c>
    </row>
    <row r="37" spans="2:14" ht="14.25" customHeight="1" x14ac:dyDescent="0.25">
      <c r="B37" s="190" t="s">
        <v>677</v>
      </c>
      <c r="C37" s="191" t="s">
        <v>88</v>
      </c>
      <c r="D37" s="192" t="s">
        <v>678</v>
      </c>
      <c r="E37" s="192" t="s">
        <v>668</v>
      </c>
      <c r="F37" s="192" t="s">
        <v>583</v>
      </c>
      <c r="G37" s="192" t="s">
        <v>661</v>
      </c>
      <c r="H37" s="192" t="s">
        <v>662</v>
      </c>
      <c r="I37" s="192" t="s">
        <v>625</v>
      </c>
      <c r="J37" s="192" t="s">
        <v>568</v>
      </c>
      <c r="K37" s="197" t="s">
        <v>679</v>
      </c>
    </row>
    <row r="38" spans="2:14" ht="14.25" customHeight="1" x14ac:dyDescent="0.25">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x14ac:dyDescent="0.25">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x14ac:dyDescent="0.25">
      <c r="B40" s="193" t="s">
        <v>685</v>
      </c>
      <c r="C40" s="194" t="s">
        <v>88</v>
      </c>
      <c r="D40" s="195" t="s">
        <v>678</v>
      </c>
      <c r="E40" s="195" t="s">
        <v>668</v>
      </c>
      <c r="F40" s="195" t="s">
        <v>583</v>
      </c>
      <c r="G40" s="195" t="s">
        <v>661</v>
      </c>
      <c r="H40" s="195" t="s">
        <v>686</v>
      </c>
      <c r="I40" s="195" t="s">
        <v>683</v>
      </c>
      <c r="J40" s="195" t="s">
        <v>9</v>
      </c>
      <c r="K40" s="198" t="s">
        <v>684</v>
      </c>
    </row>
    <row r="41" spans="2:14" ht="14.25" customHeight="1" x14ac:dyDescent="0.25">
      <c r="B41" s="190" t="s">
        <v>687</v>
      </c>
      <c r="C41" s="191" t="s">
        <v>88</v>
      </c>
      <c r="D41" s="192" t="s">
        <v>678</v>
      </c>
      <c r="E41" s="192" t="s">
        <v>668</v>
      </c>
      <c r="F41" s="192" t="s">
        <v>583</v>
      </c>
      <c r="G41" s="192" t="s">
        <v>661</v>
      </c>
      <c r="H41" s="192" t="s">
        <v>671</v>
      </c>
      <c r="I41" s="192" t="s">
        <v>672</v>
      </c>
      <c r="J41" s="192" t="s">
        <v>568</v>
      </c>
      <c r="K41" s="197" t="s">
        <v>688</v>
      </c>
    </row>
    <row r="42" spans="2:14" ht="14.25" customHeight="1" x14ac:dyDescent="0.25">
      <c r="B42" s="193" t="s">
        <v>689</v>
      </c>
      <c r="C42" s="194" t="s">
        <v>88</v>
      </c>
      <c r="D42" s="195" t="s">
        <v>678</v>
      </c>
      <c r="E42" s="195" t="s">
        <v>668</v>
      </c>
      <c r="F42" s="195" t="s">
        <v>583</v>
      </c>
      <c r="G42" s="195" t="s">
        <v>661</v>
      </c>
      <c r="H42" s="195" t="s">
        <v>671</v>
      </c>
      <c r="I42" s="195" t="s">
        <v>625</v>
      </c>
      <c r="J42" s="195" t="s">
        <v>690</v>
      </c>
      <c r="K42" s="198" t="s">
        <v>691</v>
      </c>
    </row>
    <row r="43" spans="2:14" ht="14.25" customHeight="1" x14ac:dyDescent="0.25">
      <c r="B43" s="190" t="s">
        <v>692</v>
      </c>
      <c r="C43" s="191" t="s">
        <v>88</v>
      </c>
      <c r="D43" s="192" t="s">
        <v>693</v>
      </c>
      <c r="E43" s="192" t="s">
        <v>668</v>
      </c>
      <c r="F43" s="192" t="s">
        <v>583</v>
      </c>
      <c r="G43" s="192" t="s">
        <v>661</v>
      </c>
      <c r="H43" s="192" t="s">
        <v>662</v>
      </c>
      <c r="I43" s="192" t="s">
        <v>625</v>
      </c>
      <c r="J43" s="192" t="s">
        <v>9</v>
      </c>
      <c r="K43" s="197" t="s">
        <v>694</v>
      </c>
    </row>
    <row r="44" spans="2:14" ht="14.25" customHeight="1" x14ac:dyDescent="0.25">
      <c r="B44" s="193" t="s">
        <v>695</v>
      </c>
      <c r="C44" s="194" t="s">
        <v>88</v>
      </c>
      <c r="D44" s="195" t="s">
        <v>696</v>
      </c>
      <c r="E44" s="195" t="s">
        <v>668</v>
      </c>
      <c r="F44" s="195" t="s">
        <v>583</v>
      </c>
      <c r="G44" s="195" t="s">
        <v>661</v>
      </c>
      <c r="H44" s="195" t="s">
        <v>662</v>
      </c>
      <c r="I44" s="195" t="s">
        <v>625</v>
      </c>
      <c r="J44" s="195" t="s">
        <v>568</v>
      </c>
      <c r="K44" s="198" t="s">
        <v>658</v>
      </c>
    </row>
    <row r="45" spans="2:14" ht="14.25" customHeight="1" x14ac:dyDescent="0.25">
      <c r="B45" s="190" t="s">
        <v>697</v>
      </c>
      <c r="C45" s="191" t="s">
        <v>88</v>
      </c>
      <c r="D45" s="192" t="s">
        <v>696</v>
      </c>
      <c r="E45" s="192" t="s">
        <v>668</v>
      </c>
      <c r="F45" s="192" t="s">
        <v>583</v>
      </c>
      <c r="G45" s="192" t="s">
        <v>661</v>
      </c>
      <c r="H45" s="192" t="s">
        <v>698</v>
      </c>
      <c r="I45" s="192" t="s">
        <v>625</v>
      </c>
      <c r="J45" s="192" t="s">
        <v>568</v>
      </c>
      <c r="K45" s="197" t="s">
        <v>699</v>
      </c>
    </row>
    <row r="46" spans="2:14" ht="14.25" customHeight="1" x14ac:dyDescent="0.25">
      <c r="B46" s="193" t="s">
        <v>700</v>
      </c>
      <c r="C46" s="194" t="s">
        <v>88</v>
      </c>
      <c r="D46" s="195" t="s">
        <v>701</v>
      </c>
      <c r="E46" s="195" t="s">
        <v>668</v>
      </c>
      <c r="F46" s="195" t="s">
        <v>583</v>
      </c>
      <c r="G46" s="195" t="s">
        <v>661</v>
      </c>
      <c r="H46" s="195" t="s">
        <v>698</v>
      </c>
      <c r="I46" s="195" t="s">
        <v>702</v>
      </c>
      <c r="J46" s="195" t="s">
        <v>9</v>
      </c>
      <c r="K46" s="198" t="s">
        <v>703</v>
      </c>
    </row>
    <row r="47" spans="2:14" ht="14.25" customHeight="1" x14ac:dyDescent="0.25">
      <c r="B47" s="190" t="s">
        <v>704</v>
      </c>
      <c r="C47" s="191" t="s">
        <v>190</v>
      </c>
      <c r="D47" s="192" t="s">
        <v>705</v>
      </c>
      <c r="E47" s="192" t="s">
        <v>706</v>
      </c>
      <c r="F47" s="192" t="s">
        <v>583</v>
      </c>
      <c r="G47" s="192" t="s">
        <v>657</v>
      </c>
      <c r="H47" s="192" t="s">
        <v>566</v>
      </c>
      <c r="I47" s="192" t="s">
        <v>584</v>
      </c>
      <c r="J47" s="192" t="s">
        <v>632</v>
      </c>
      <c r="K47" s="197" t="s">
        <v>707</v>
      </c>
    </row>
    <row r="48" spans="2:14" ht="14.25" customHeight="1" x14ac:dyDescent="0.25">
      <c r="B48" s="193" t="s">
        <v>708</v>
      </c>
      <c r="C48" s="194" t="s">
        <v>190</v>
      </c>
      <c r="D48" s="195" t="s">
        <v>655</v>
      </c>
      <c r="E48" s="195" t="s">
        <v>709</v>
      </c>
      <c r="F48" s="195" t="s">
        <v>583</v>
      </c>
      <c r="G48" s="195" t="s">
        <v>566</v>
      </c>
      <c r="H48" s="195" t="s">
        <v>662</v>
      </c>
      <c r="I48" s="195" t="s">
        <v>672</v>
      </c>
      <c r="J48" s="195" t="s">
        <v>568</v>
      </c>
      <c r="K48" s="198" t="s">
        <v>710</v>
      </c>
    </row>
    <row r="49" spans="2:11" ht="14.25" customHeight="1" x14ac:dyDescent="0.25">
      <c r="B49" s="190" t="s">
        <v>711</v>
      </c>
      <c r="C49" s="191" t="s">
        <v>190</v>
      </c>
      <c r="D49" s="192" t="s">
        <v>712</v>
      </c>
      <c r="E49" s="192" t="s">
        <v>713</v>
      </c>
      <c r="F49" s="192" t="s">
        <v>583</v>
      </c>
      <c r="G49" s="192" t="s">
        <v>566</v>
      </c>
      <c r="H49" s="192" t="s">
        <v>662</v>
      </c>
      <c r="I49" s="192" t="s">
        <v>683</v>
      </c>
      <c r="J49" s="192" t="s">
        <v>568</v>
      </c>
      <c r="K49" s="197" t="s">
        <v>714</v>
      </c>
    </row>
    <row r="50" spans="2:11" ht="14.25" customHeight="1" x14ac:dyDescent="0.25">
      <c r="B50" s="193" t="s">
        <v>715</v>
      </c>
      <c r="C50" s="194" t="s">
        <v>190</v>
      </c>
      <c r="D50" s="195" t="s">
        <v>716</v>
      </c>
      <c r="E50" s="195" t="s">
        <v>717</v>
      </c>
      <c r="F50" s="195" t="s">
        <v>583</v>
      </c>
      <c r="G50" s="195" t="s">
        <v>718</v>
      </c>
      <c r="H50" s="195" t="s">
        <v>566</v>
      </c>
      <c r="I50" s="195" t="s">
        <v>625</v>
      </c>
      <c r="J50" s="195" t="s">
        <v>577</v>
      </c>
      <c r="K50" s="198" t="s">
        <v>719</v>
      </c>
    </row>
    <row r="51" spans="2:11" ht="14.25" customHeight="1" x14ac:dyDescent="0.25">
      <c r="B51" s="190" t="s">
        <v>720</v>
      </c>
      <c r="C51" s="191" t="s">
        <v>190</v>
      </c>
      <c r="D51" s="192" t="s">
        <v>721</v>
      </c>
      <c r="E51" s="192" t="s">
        <v>722</v>
      </c>
      <c r="F51" s="192" t="s">
        <v>583</v>
      </c>
      <c r="G51" s="192" t="s">
        <v>718</v>
      </c>
      <c r="H51" s="192" t="s">
        <v>566</v>
      </c>
      <c r="I51" s="192" t="s">
        <v>723</v>
      </c>
      <c r="J51" s="192" t="s">
        <v>577</v>
      </c>
      <c r="K51" s="197" t="s">
        <v>724</v>
      </c>
    </row>
    <row r="52" spans="2:11" ht="14.25" customHeight="1" x14ac:dyDescent="0.25">
      <c r="B52" s="193" t="s">
        <v>725</v>
      </c>
      <c r="C52" s="194" t="s">
        <v>190</v>
      </c>
      <c r="D52" s="195" t="s">
        <v>726</v>
      </c>
      <c r="E52" s="195" t="s">
        <v>727</v>
      </c>
      <c r="F52" s="195" t="s">
        <v>583</v>
      </c>
      <c r="G52" s="195" t="s">
        <v>566</v>
      </c>
      <c r="H52" s="195" t="s">
        <v>671</v>
      </c>
      <c r="I52" s="195" t="s">
        <v>625</v>
      </c>
      <c r="J52" s="195" t="s">
        <v>728</v>
      </c>
      <c r="K52" s="198" t="s">
        <v>729</v>
      </c>
    </row>
    <row r="53" spans="2:11" ht="14.25" customHeight="1" x14ac:dyDescent="0.25">
      <c r="B53" s="190" t="s">
        <v>730</v>
      </c>
      <c r="C53" s="191" t="s">
        <v>190</v>
      </c>
      <c r="D53" s="192" t="s">
        <v>721</v>
      </c>
      <c r="E53" s="192" t="s">
        <v>731</v>
      </c>
      <c r="F53" s="192" t="s">
        <v>583</v>
      </c>
      <c r="G53" s="192" t="s">
        <v>732</v>
      </c>
      <c r="H53" s="192" t="s">
        <v>656</v>
      </c>
      <c r="I53" s="192" t="s">
        <v>567</v>
      </c>
      <c r="J53" s="192" t="s">
        <v>9</v>
      </c>
      <c r="K53" s="197" t="s">
        <v>733</v>
      </c>
    </row>
    <row r="54" spans="2:11" ht="14.25" customHeight="1" x14ac:dyDescent="0.25">
      <c r="B54" s="193" t="s">
        <v>734</v>
      </c>
      <c r="C54" s="194" t="s">
        <v>190</v>
      </c>
      <c r="D54" s="195" t="s">
        <v>726</v>
      </c>
      <c r="E54" s="195" t="s">
        <v>727</v>
      </c>
      <c r="F54" s="195" t="s">
        <v>583</v>
      </c>
      <c r="G54" s="195" t="s">
        <v>566</v>
      </c>
      <c r="H54" s="195" t="s">
        <v>735</v>
      </c>
      <c r="I54" s="195" t="s">
        <v>625</v>
      </c>
      <c r="J54" s="195" t="s">
        <v>568</v>
      </c>
      <c r="K54" s="198" t="s">
        <v>736</v>
      </c>
    </row>
    <row r="55" spans="2:11" ht="14.25" customHeight="1" x14ac:dyDescent="0.25">
      <c r="B55" s="190" t="s">
        <v>737</v>
      </c>
      <c r="C55" s="191" t="s">
        <v>190</v>
      </c>
      <c r="D55" s="192" t="s">
        <v>726</v>
      </c>
      <c r="E55" s="192" t="s">
        <v>727</v>
      </c>
      <c r="F55" s="192" t="s">
        <v>583</v>
      </c>
      <c r="G55" s="192" t="s">
        <v>566</v>
      </c>
      <c r="H55" s="192" t="s">
        <v>735</v>
      </c>
      <c r="I55" s="192" t="s">
        <v>625</v>
      </c>
      <c r="J55" s="192" t="s">
        <v>568</v>
      </c>
      <c r="K55" s="197" t="s">
        <v>738</v>
      </c>
    </row>
    <row r="56" spans="2:11" ht="14.25" customHeight="1" x14ac:dyDescent="0.25">
      <c r="B56" s="193" t="s">
        <v>739</v>
      </c>
      <c r="C56" s="194" t="s">
        <v>190</v>
      </c>
      <c r="D56" s="195" t="s">
        <v>726</v>
      </c>
      <c r="E56" s="195" t="s">
        <v>727</v>
      </c>
      <c r="F56" s="195" t="s">
        <v>583</v>
      </c>
      <c r="G56" s="195" t="s">
        <v>566</v>
      </c>
      <c r="H56" s="195" t="s">
        <v>735</v>
      </c>
      <c r="I56" s="195" t="s">
        <v>625</v>
      </c>
      <c r="J56" s="195" t="s">
        <v>9</v>
      </c>
      <c r="K56" s="198" t="s">
        <v>740</v>
      </c>
    </row>
    <row r="57" spans="2:11" ht="14.25" customHeight="1" x14ac:dyDescent="0.25">
      <c r="B57" s="190" t="s">
        <v>741</v>
      </c>
      <c r="C57" s="191" t="s">
        <v>190</v>
      </c>
      <c r="D57" s="192" t="s">
        <v>742</v>
      </c>
      <c r="E57" s="192" t="s">
        <v>727</v>
      </c>
      <c r="F57" s="192" t="s">
        <v>583</v>
      </c>
      <c r="G57" s="192" t="s">
        <v>566</v>
      </c>
      <c r="H57" s="192" t="s">
        <v>735</v>
      </c>
      <c r="I57" s="192" t="s">
        <v>683</v>
      </c>
      <c r="J57" s="192" t="s">
        <v>9</v>
      </c>
      <c r="K57" s="197" t="s">
        <v>729</v>
      </c>
    </row>
    <row r="58" spans="2:11" ht="14.25" customHeight="1" x14ac:dyDescent="0.25">
      <c r="B58" s="193" t="s">
        <v>743</v>
      </c>
      <c r="C58" s="194" t="s">
        <v>190</v>
      </c>
      <c r="D58" s="195" t="s">
        <v>744</v>
      </c>
      <c r="E58" s="195" t="s">
        <v>625</v>
      </c>
      <c r="F58" s="195" t="s">
        <v>583</v>
      </c>
      <c r="G58" s="195" t="s">
        <v>745</v>
      </c>
      <c r="H58" s="195" t="s">
        <v>623</v>
      </c>
      <c r="I58" s="195" t="s">
        <v>625</v>
      </c>
      <c r="J58" s="195" t="s">
        <v>568</v>
      </c>
      <c r="K58" s="198" t="s">
        <v>746</v>
      </c>
    </row>
    <row r="59" spans="2:11" ht="14.25" customHeight="1" x14ac:dyDescent="0.25">
      <c r="B59" s="190" t="s">
        <v>747</v>
      </c>
      <c r="C59" s="191" t="s">
        <v>190</v>
      </c>
      <c r="D59" s="192" t="s">
        <v>748</v>
      </c>
      <c r="E59" s="192" t="s">
        <v>749</v>
      </c>
      <c r="F59" s="192" t="s">
        <v>125</v>
      </c>
      <c r="G59" s="192" t="s">
        <v>745</v>
      </c>
      <c r="H59" s="192" t="s">
        <v>623</v>
      </c>
      <c r="I59" s="192" t="s">
        <v>625</v>
      </c>
      <c r="J59" s="192" t="s">
        <v>577</v>
      </c>
      <c r="K59" s="197" t="s">
        <v>750</v>
      </c>
    </row>
    <row r="60" spans="2:11" ht="14.25" customHeight="1" x14ac:dyDescent="0.25">
      <c r="B60" s="193" t="s">
        <v>751</v>
      </c>
      <c r="C60" s="194" t="s">
        <v>190</v>
      </c>
      <c r="D60" s="195" t="s">
        <v>752</v>
      </c>
      <c r="E60" s="195" t="s">
        <v>749</v>
      </c>
      <c r="F60" s="195" t="s">
        <v>125</v>
      </c>
      <c r="G60" s="195" t="s">
        <v>745</v>
      </c>
      <c r="H60" s="195" t="s">
        <v>623</v>
      </c>
      <c r="I60" s="195" t="s">
        <v>625</v>
      </c>
      <c r="J60" s="195" t="s">
        <v>577</v>
      </c>
      <c r="K60" s="198" t="s">
        <v>753</v>
      </c>
    </row>
    <row r="61" spans="2:11" ht="14.25" customHeight="1" x14ac:dyDescent="0.25">
      <c r="B61" s="190" t="s">
        <v>754</v>
      </c>
      <c r="C61" s="191" t="s">
        <v>190</v>
      </c>
      <c r="D61" s="192" t="s">
        <v>755</v>
      </c>
      <c r="E61" s="192" t="s">
        <v>749</v>
      </c>
      <c r="F61" s="192" t="s">
        <v>125</v>
      </c>
      <c r="G61" s="192" t="s">
        <v>745</v>
      </c>
      <c r="H61" s="192" t="s">
        <v>623</v>
      </c>
      <c r="I61" s="192" t="s">
        <v>625</v>
      </c>
      <c r="J61" s="192" t="s">
        <v>568</v>
      </c>
      <c r="K61" s="197" t="s">
        <v>756</v>
      </c>
    </row>
    <row r="62" spans="2:11" ht="14.25" customHeight="1" x14ac:dyDescent="0.25">
      <c r="B62" s="193" t="s">
        <v>757</v>
      </c>
      <c r="C62" s="194" t="s">
        <v>190</v>
      </c>
      <c r="D62" s="195" t="s">
        <v>755</v>
      </c>
      <c r="E62" s="195" t="s">
        <v>749</v>
      </c>
      <c r="F62" s="195" t="s">
        <v>125</v>
      </c>
      <c r="G62" s="195" t="s">
        <v>566</v>
      </c>
      <c r="H62" s="195" t="s">
        <v>735</v>
      </c>
      <c r="I62" s="195" t="s">
        <v>625</v>
      </c>
      <c r="J62" s="195" t="s">
        <v>9</v>
      </c>
      <c r="K62" s="198" t="s">
        <v>758</v>
      </c>
    </row>
    <row r="63" spans="2:11" ht="14.25" customHeight="1" x14ac:dyDescent="0.25">
      <c r="B63" s="190" t="s">
        <v>759</v>
      </c>
      <c r="C63" s="191" t="s">
        <v>190</v>
      </c>
      <c r="D63" s="192" t="s">
        <v>755</v>
      </c>
      <c r="E63" s="192" t="s">
        <v>749</v>
      </c>
      <c r="F63" s="192" t="s">
        <v>125</v>
      </c>
      <c r="G63" s="192" t="s">
        <v>623</v>
      </c>
      <c r="H63" s="192" t="s">
        <v>735</v>
      </c>
      <c r="I63" s="192" t="s">
        <v>625</v>
      </c>
      <c r="J63" s="192" t="s">
        <v>9</v>
      </c>
      <c r="K63" s="197" t="s">
        <v>758</v>
      </c>
    </row>
    <row r="64" spans="2:11" ht="14.25" customHeight="1" x14ac:dyDescent="0.25">
      <c r="B64" s="193" t="s">
        <v>760</v>
      </c>
      <c r="C64" s="194" t="s">
        <v>190</v>
      </c>
      <c r="D64" s="195" t="s">
        <v>761</v>
      </c>
      <c r="E64" s="195" t="s">
        <v>653</v>
      </c>
      <c r="F64" s="195" t="s">
        <v>125</v>
      </c>
      <c r="G64" s="195" t="s">
        <v>745</v>
      </c>
      <c r="H64" s="195" t="s">
        <v>623</v>
      </c>
      <c r="I64" s="195" t="s">
        <v>625</v>
      </c>
      <c r="J64" s="195" t="s">
        <v>577</v>
      </c>
      <c r="K64" s="198" t="s">
        <v>762</v>
      </c>
    </row>
    <row r="65" spans="2:11" ht="14.25" customHeight="1" x14ac:dyDescent="0.25">
      <c r="B65" s="190" t="s">
        <v>763</v>
      </c>
      <c r="C65" s="191" t="s">
        <v>190</v>
      </c>
      <c r="D65" s="192" t="s">
        <v>764</v>
      </c>
      <c r="E65" s="192" t="s">
        <v>749</v>
      </c>
      <c r="F65" s="192" t="s">
        <v>125</v>
      </c>
      <c r="G65" s="192" t="s">
        <v>745</v>
      </c>
      <c r="H65" s="192" t="s">
        <v>623</v>
      </c>
      <c r="I65" s="192" t="s">
        <v>625</v>
      </c>
      <c r="J65" s="192" t="s">
        <v>765</v>
      </c>
      <c r="K65" s="197" t="s">
        <v>766</v>
      </c>
    </row>
    <row r="66" spans="2:11" ht="14.25" customHeight="1" x14ac:dyDescent="0.25">
      <c r="B66" s="193" t="s">
        <v>767</v>
      </c>
      <c r="C66" s="194" t="s">
        <v>190</v>
      </c>
      <c r="D66" s="195" t="s">
        <v>755</v>
      </c>
      <c r="E66" s="195" t="s">
        <v>749</v>
      </c>
      <c r="F66" s="195" t="s">
        <v>125</v>
      </c>
      <c r="G66" s="195" t="s">
        <v>745</v>
      </c>
      <c r="H66" s="195" t="s">
        <v>698</v>
      </c>
      <c r="I66" s="195" t="s">
        <v>625</v>
      </c>
      <c r="J66" s="195" t="s">
        <v>9</v>
      </c>
      <c r="K66" s="198" t="s">
        <v>768</v>
      </c>
    </row>
    <row r="67" spans="2:11" ht="14.25" customHeight="1" x14ac:dyDescent="0.25">
      <c r="B67" s="190" t="s">
        <v>769</v>
      </c>
      <c r="C67" s="191" t="s">
        <v>190</v>
      </c>
      <c r="D67" s="192" t="s">
        <v>755</v>
      </c>
      <c r="E67" s="192" t="s">
        <v>749</v>
      </c>
      <c r="F67" s="192" t="s">
        <v>125</v>
      </c>
      <c r="G67" s="192" t="s">
        <v>566</v>
      </c>
      <c r="H67" s="192" t="s">
        <v>671</v>
      </c>
      <c r="I67" s="192" t="s">
        <v>683</v>
      </c>
      <c r="J67" s="192" t="s">
        <v>9</v>
      </c>
      <c r="K67" s="197" t="s">
        <v>770</v>
      </c>
    </row>
    <row r="68" spans="2:11" ht="14.25" customHeight="1" x14ac:dyDescent="0.25">
      <c r="B68" s="193" t="s">
        <v>771</v>
      </c>
      <c r="C68" s="194" t="s">
        <v>190</v>
      </c>
      <c r="D68" s="195" t="s">
        <v>721</v>
      </c>
      <c r="E68" s="195" t="s">
        <v>625</v>
      </c>
      <c r="F68" s="195" t="s">
        <v>583</v>
      </c>
      <c r="G68" s="195" t="s">
        <v>772</v>
      </c>
      <c r="H68" s="195" t="s">
        <v>709</v>
      </c>
      <c r="I68" s="195" t="s">
        <v>625</v>
      </c>
      <c r="J68" s="195" t="s">
        <v>9</v>
      </c>
      <c r="K68" s="198" t="s">
        <v>644</v>
      </c>
    </row>
    <row r="69" spans="2:11" ht="14.25" customHeight="1" x14ac:dyDescent="0.25">
      <c r="B69" s="190" t="s">
        <v>773</v>
      </c>
      <c r="C69" s="191" t="s">
        <v>190</v>
      </c>
      <c r="D69" s="192" t="s">
        <v>712</v>
      </c>
      <c r="E69" s="192" t="s">
        <v>727</v>
      </c>
      <c r="F69" s="192" t="s">
        <v>583</v>
      </c>
      <c r="G69" s="192" t="s">
        <v>772</v>
      </c>
      <c r="H69" s="192" t="s">
        <v>709</v>
      </c>
      <c r="I69" s="192" t="s">
        <v>567</v>
      </c>
      <c r="J69" s="192" t="s">
        <v>9</v>
      </c>
      <c r="K69" s="197" t="s">
        <v>774</v>
      </c>
    </row>
    <row r="70" spans="2:11" ht="14.25" customHeight="1" x14ac:dyDescent="0.25">
      <c r="B70" s="193" t="s">
        <v>775</v>
      </c>
      <c r="C70" s="194" t="s">
        <v>190</v>
      </c>
      <c r="D70" s="195" t="s">
        <v>776</v>
      </c>
      <c r="E70" s="195" t="s">
        <v>777</v>
      </c>
      <c r="F70" s="195" t="s">
        <v>583</v>
      </c>
      <c r="G70" s="195" t="s">
        <v>566</v>
      </c>
      <c r="H70" s="195" t="s">
        <v>778</v>
      </c>
      <c r="I70" s="195" t="s">
        <v>597</v>
      </c>
      <c r="J70" s="195" t="s">
        <v>9</v>
      </c>
      <c r="K70" s="198" t="s">
        <v>779</v>
      </c>
    </row>
    <row r="71" spans="2:11" ht="14.25" customHeight="1" x14ac:dyDescent="0.25">
      <c r="B71" s="190" t="s">
        <v>780</v>
      </c>
      <c r="C71" s="191" t="s">
        <v>190</v>
      </c>
      <c r="D71" s="192" t="s">
        <v>726</v>
      </c>
      <c r="E71" s="192" t="s">
        <v>727</v>
      </c>
      <c r="F71" s="192" t="s">
        <v>583</v>
      </c>
      <c r="G71" s="192" t="s">
        <v>781</v>
      </c>
      <c r="H71" s="192" t="s">
        <v>722</v>
      </c>
      <c r="I71" s="192" t="s">
        <v>567</v>
      </c>
      <c r="J71" s="192" t="s">
        <v>9</v>
      </c>
      <c r="K71" s="197" t="s">
        <v>782</v>
      </c>
    </row>
    <row r="72" spans="2:11" ht="14.25" customHeight="1" x14ac:dyDescent="0.25">
      <c r="B72" s="193" t="s">
        <v>783</v>
      </c>
      <c r="C72" s="194" t="s">
        <v>190</v>
      </c>
      <c r="D72" s="195" t="s">
        <v>712</v>
      </c>
      <c r="E72" s="195" t="s">
        <v>727</v>
      </c>
      <c r="F72" s="195" t="s">
        <v>583</v>
      </c>
      <c r="G72" s="195" t="s">
        <v>781</v>
      </c>
      <c r="H72" s="195" t="s">
        <v>722</v>
      </c>
      <c r="I72" s="195" t="s">
        <v>683</v>
      </c>
      <c r="J72" s="195" t="s">
        <v>9</v>
      </c>
      <c r="K72" s="198" t="s">
        <v>784</v>
      </c>
    </row>
    <row r="73" spans="2:11" ht="14.25" customHeight="1" x14ac:dyDescent="0.25">
      <c r="B73" s="190" t="s">
        <v>785</v>
      </c>
      <c r="C73" s="191" t="s">
        <v>190</v>
      </c>
      <c r="D73" s="192" t="s">
        <v>712</v>
      </c>
      <c r="E73" s="192" t="s">
        <v>727</v>
      </c>
      <c r="F73" s="192" t="s">
        <v>583</v>
      </c>
      <c r="G73" s="192" t="s">
        <v>781</v>
      </c>
      <c r="H73" s="192" t="s">
        <v>709</v>
      </c>
      <c r="I73" s="192" t="s">
        <v>567</v>
      </c>
      <c r="J73" s="192" t="s">
        <v>9</v>
      </c>
      <c r="K73" s="197" t="s">
        <v>762</v>
      </c>
    </row>
    <row r="74" spans="2:11" ht="14.25" customHeight="1" x14ac:dyDescent="0.25">
      <c r="B74" s="193" t="s">
        <v>786</v>
      </c>
      <c r="C74" s="194" t="s">
        <v>190</v>
      </c>
      <c r="D74" s="195" t="s">
        <v>712</v>
      </c>
      <c r="E74" s="195" t="s">
        <v>731</v>
      </c>
      <c r="F74" s="195" t="s">
        <v>583</v>
      </c>
      <c r="G74" s="195" t="s">
        <v>781</v>
      </c>
      <c r="H74" s="195" t="s">
        <v>709</v>
      </c>
      <c r="I74" s="195" t="s">
        <v>567</v>
      </c>
      <c r="J74" s="195" t="s">
        <v>9</v>
      </c>
      <c r="K74" s="198" t="s">
        <v>762</v>
      </c>
    </row>
    <row r="75" spans="2:11" ht="14.25" customHeight="1" x14ac:dyDescent="0.25">
      <c r="B75" s="190" t="s">
        <v>787</v>
      </c>
      <c r="C75" s="191" t="s">
        <v>190</v>
      </c>
      <c r="D75" s="192" t="s">
        <v>712</v>
      </c>
      <c r="E75" s="192" t="s">
        <v>727</v>
      </c>
      <c r="F75" s="192" t="s">
        <v>583</v>
      </c>
      <c r="G75" s="192" t="s">
        <v>772</v>
      </c>
      <c r="H75" s="192" t="s">
        <v>709</v>
      </c>
      <c r="I75" s="192" t="s">
        <v>672</v>
      </c>
      <c r="J75" s="192" t="s">
        <v>9</v>
      </c>
      <c r="K75" s="197" t="s">
        <v>788</v>
      </c>
    </row>
    <row r="76" spans="2:11" ht="14.25" customHeight="1" x14ac:dyDescent="0.25">
      <c r="B76" s="193" t="s">
        <v>789</v>
      </c>
      <c r="C76" s="194" t="s">
        <v>190</v>
      </c>
      <c r="D76" s="195" t="s">
        <v>712</v>
      </c>
      <c r="E76" s="195" t="s">
        <v>727</v>
      </c>
      <c r="F76" s="195" t="s">
        <v>583</v>
      </c>
      <c r="G76" s="195" t="s">
        <v>790</v>
      </c>
      <c r="H76" s="195" t="s">
        <v>709</v>
      </c>
      <c r="I76" s="195" t="s">
        <v>672</v>
      </c>
      <c r="J76" s="195" t="s">
        <v>9</v>
      </c>
      <c r="K76" s="198" t="s">
        <v>791</v>
      </c>
    </row>
    <row r="77" spans="2:11" ht="14.25" customHeight="1" x14ac:dyDescent="0.25">
      <c r="B77" s="190" t="s">
        <v>792</v>
      </c>
      <c r="C77" s="191" t="s">
        <v>194</v>
      </c>
      <c r="D77" s="192" t="s">
        <v>678</v>
      </c>
      <c r="E77" s="192" t="s">
        <v>722</v>
      </c>
      <c r="F77" s="192" t="s">
        <v>583</v>
      </c>
      <c r="G77" s="192" t="s">
        <v>772</v>
      </c>
      <c r="H77" s="192" t="s">
        <v>793</v>
      </c>
      <c r="I77" s="192" t="s">
        <v>597</v>
      </c>
      <c r="J77" s="192" t="s">
        <v>577</v>
      </c>
      <c r="K77" s="197" t="s">
        <v>794</v>
      </c>
    </row>
    <row r="78" spans="2:11" ht="14.25" customHeight="1" x14ac:dyDescent="0.25">
      <c r="B78" s="193" t="s">
        <v>795</v>
      </c>
      <c r="C78" s="194" t="s">
        <v>194</v>
      </c>
      <c r="D78" s="195" t="s">
        <v>678</v>
      </c>
      <c r="E78" s="195" t="s">
        <v>722</v>
      </c>
      <c r="F78" s="195" t="s">
        <v>583</v>
      </c>
      <c r="G78" s="195" t="s">
        <v>772</v>
      </c>
      <c r="H78" s="195" t="s">
        <v>796</v>
      </c>
      <c r="I78" s="195" t="s">
        <v>567</v>
      </c>
      <c r="J78" s="195" t="s">
        <v>9</v>
      </c>
      <c r="K78" s="198" t="s">
        <v>762</v>
      </c>
    </row>
    <row r="79" spans="2:11" ht="14.25" customHeight="1" x14ac:dyDescent="0.25">
      <c r="B79" s="190" t="s">
        <v>797</v>
      </c>
      <c r="C79" s="191" t="s">
        <v>194</v>
      </c>
      <c r="D79" s="192" t="s">
        <v>678</v>
      </c>
      <c r="E79" s="192" t="s">
        <v>668</v>
      </c>
      <c r="F79" s="192" t="s">
        <v>583</v>
      </c>
      <c r="G79" s="192" t="s">
        <v>798</v>
      </c>
      <c r="H79" s="192" t="s">
        <v>799</v>
      </c>
      <c r="I79" s="192" t="s">
        <v>597</v>
      </c>
      <c r="J79" s="192" t="s">
        <v>9</v>
      </c>
      <c r="K79" s="197" t="s">
        <v>800</v>
      </c>
    </row>
    <row r="80" spans="2:11" ht="14.25" customHeight="1" x14ac:dyDescent="0.25">
      <c r="B80" s="193" t="s">
        <v>801</v>
      </c>
      <c r="C80" s="194" t="s">
        <v>194</v>
      </c>
      <c r="D80" s="195" t="s">
        <v>667</v>
      </c>
      <c r="E80" s="195" t="s">
        <v>668</v>
      </c>
      <c r="F80" s="195" t="s">
        <v>583</v>
      </c>
      <c r="G80" s="195" t="s">
        <v>798</v>
      </c>
      <c r="H80" s="195" t="s">
        <v>722</v>
      </c>
      <c r="I80" s="195" t="s">
        <v>597</v>
      </c>
      <c r="J80" s="195" t="s">
        <v>9</v>
      </c>
      <c r="K80" s="198" t="s">
        <v>762</v>
      </c>
    </row>
    <row r="81" spans="2:11" ht="14.25" customHeight="1" x14ac:dyDescent="0.25">
      <c r="B81" s="190" t="s">
        <v>802</v>
      </c>
      <c r="C81" s="191" t="s">
        <v>194</v>
      </c>
      <c r="D81" s="192" t="s">
        <v>696</v>
      </c>
      <c r="E81" s="192" t="s">
        <v>722</v>
      </c>
      <c r="F81" s="192" t="s">
        <v>583</v>
      </c>
      <c r="G81" s="192" t="s">
        <v>803</v>
      </c>
      <c r="H81" s="192" t="s">
        <v>804</v>
      </c>
      <c r="I81" s="192" t="s">
        <v>597</v>
      </c>
      <c r="J81" s="192" t="s">
        <v>577</v>
      </c>
      <c r="K81" s="197" t="s">
        <v>805</v>
      </c>
    </row>
    <row r="82" spans="2:11" ht="14.25" customHeight="1" x14ac:dyDescent="0.25">
      <c r="B82" s="193" t="s">
        <v>806</v>
      </c>
      <c r="C82" s="194" t="s">
        <v>194</v>
      </c>
      <c r="D82" s="195" t="s">
        <v>678</v>
      </c>
      <c r="E82" s="195" t="s">
        <v>722</v>
      </c>
      <c r="F82" s="195" t="s">
        <v>583</v>
      </c>
      <c r="G82" s="195" t="s">
        <v>772</v>
      </c>
      <c r="H82" s="195" t="s">
        <v>799</v>
      </c>
      <c r="I82" s="195" t="s">
        <v>683</v>
      </c>
      <c r="J82" s="195" t="s">
        <v>9</v>
      </c>
      <c r="K82" s="198" t="s">
        <v>774</v>
      </c>
    </row>
    <row r="83" spans="2:11" ht="14.25" customHeight="1" x14ac:dyDescent="0.25">
      <c r="B83" s="190" t="s">
        <v>807</v>
      </c>
      <c r="C83" s="191" t="s">
        <v>204</v>
      </c>
      <c r="D83" s="192" t="s">
        <v>726</v>
      </c>
      <c r="E83" s="192" t="s">
        <v>625</v>
      </c>
      <c r="F83" s="192" t="s">
        <v>583</v>
      </c>
      <c r="G83" s="192" t="s">
        <v>808</v>
      </c>
      <c r="H83" s="192" t="s">
        <v>724</v>
      </c>
      <c r="I83" s="192" t="s">
        <v>597</v>
      </c>
      <c r="J83" s="192" t="s">
        <v>765</v>
      </c>
      <c r="K83" s="197" t="s">
        <v>809</v>
      </c>
    </row>
    <row r="84" spans="2:11" ht="14.25" customHeight="1" x14ac:dyDescent="0.25">
      <c r="B84" s="193" t="s">
        <v>810</v>
      </c>
      <c r="C84" s="194" t="s">
        <v>204</v>
      </c>
      <c r="D84" s="195" t="s">
        <v>726</v>
      </c>
      <c r="E84" s="195" t="s">
        <v>731</v>
      </c>
      <c r="F84" s="195" t="s">
        <v>583</v>
      </c>
      <c r="G84" s="195" t="s">
        <v>772</v>
      </c>
      <c r="H84" s="195" t="s">
        <v>722</v>
      </c>
      <c r="I84" s="195" t="s">
        <v>625</v>
      </c>
      <c r="J84" s="195" t="s">
        <v>577</v>
      </c>
      <c r="K84" s="198" t="s">
        <v>811</v>
      </c>
    </row>
    <row r="85" spans="2:11" ht="14.25" customHeight="1" x14ac:dyDescent="0.25">
      <c r="B85" s="190" t="s">
        <v>812</v>
      </c>
      <c r="C85" s="191" t="s">
        <v>204</v>
      </c>
      <c r="D85" s="192" t="s">
        <v>726</v>
      </c>
      <c r="E85" s="192" t="s">
        <v>813</v>
      </c>
      <c r="F85" s="192" t="s">
        <v>583</v>
      </c>
      <c r="G85" s="192" t="s">
        <v>808</v>
      </c>
      <c r="H85" s="192" t="s">
        <v>777</v>
      </c>
      <c r="I85" s="192" t="s">
        <v>597</v>
      </c>
      <c r="J85" s="192" t="s">
        <v>577</v>
      </c>
      <c r="K85" s="197" t="s">
        <v>814</v>
      </c>
    </row>
    <row r="86" spans="2:11" ht="14.25" customHeight="1" x14ac:dyDescent="0.25">
      <c r="B86" s="193" t="s">
        <v>815</v>
      </c>
      <c r="C86" s="194" t="s">
        <v>204</v>
      </c>
      <c r="D86" s="195" t="s">
        <v>726</v>
      </c>
      <c r="E86" s="195" t="s">
        <v>727</v>
      </c>
      <c r="F86" s="195" t="s">
        <v>583</v>
      </c>
      <c r="G86" s="195" t="s">
        <v>803</v>
      </c>
      <c r="H86" s="195" t="s">
        <v>816</v>
      </c>
      <c r="I86" s="195" t="s">
        <v>597</v>
      </c>
      <c r="J86" s="195" t="s">
        <v>577</v>
      </c>
      <c r="K86" s="198" t="s">
        <v>817</v>
      </c>
    </row>
    <row r="87" spans="2:11" ht="14.25" customHeight="1" x14ac:dyDescent="0.25">
      <c r="B87" s="190" t="s">
        <v>818</v>
      </c>
      <c r="C87" s="191" t="s">
        <v>204</v>
      </c>
      <c r="D87" s="192" t="s">
        <v>726</v>
      </c>
      <c r="E87" s="192" t="s">
        <v>727</v>
      </c>
      <c r="F87" s="192" t="s">
        <v>583</v>
      </c>
      <c r="G87" s="192" t="s">
        <v>808</v>
      </c>
      <c r="H87" s="192" t="s">
        <v>819</v>
      </c>
      <c r="I87" s="192" t="s">
        <v>597</v>
      </c>
      <c r="J87" s="192" t="s">
        <v>577</v>
      </c>
      <c r="K87" s="197" t="s">
        <v>820</v>
      </c>
    </row>
    <row r="88" spans="2:11" ht="14.25" customHeight="1" x14ac:dyDescent="0.25">
      <c r="B88" s="193" t="s">
        <v>821</v>
      </c>
      <c r="C88" s="194" t="s">
        <v>204</v>
      </c>
      <c r="D88" s="195" t="s">
        <v>726</v>
      </c>
      <c r="E88" s="195" t="s">
        <v>724</v>
      </c>
      <c r="F88" s="195" t="s">
        <v>583</v>
      </c>
      <c r="G88" s="195" t="s">
        <v>808</v>
      </c>
      <c r="H88" s="195" t="s">
        <v>822</v>
      </c>
      <c r="I88" s="195" t="s">
        <v>683</v>
      </c>
      <c r="J88" s="195" t="s">
        <v>9</v>
      </c>
      <c r="K88" s="198" t="s">
        <v>762</v>
      </c>
    </row>
    <row r="89" spans="2:11" ht="14.25" customHeight="1" x14ac:dyDescent="0.25">
      <c r="B89" s="190" t="s">
        <v>823</v>
      </c>
      <c r="C89" s="191" t="s">
        <v>204</v>
      </c>
      <c r="D89" s="192" t="s">
        <v>712</v>
      </c>
      <c r="E89" s="192" t="s">
        <v>727</v>
      </c>
      <c r="F89" s="192" t="s">
        <v>583</v>
      </c>
      <c r="G89" s="192" t="s">
        <v>808</v>
      </c>
      <c r="H89" s="192" t="s">
        <v>824</v>
      </c>
      <c r="I89" s="192" t="s">
        <v>672</v>
      </c>
      <c r="J89" s="192" t="s">
        <v>9</v>
      </c>
      <c r="K89" s="197" t="s">
        <v>762</v>
      </c>
    </row>
    <row r="90" spans="2:11" ht="14.25" customHeight="1" x14ac:dyDescent="0.25">
      <c r="B90" s="193" t="s">
        <v>825</v>
      </c>
      <c r="C90" s="194" t="s">
        <v>204</v>
      </c>
      <c r="D90" s="195" t="s">
        <v>726</v>
      </c>
      <c r="E90" s="195" t="s">
        <v>727</v>
      </c>
      <c r="F90" s="195" t="s">
        <v>583</v>
      </c>
      <c r="G90" s="195" t="s">
        <v>808</v>
      </c>
      <c r="H90" s="195" t="s">
        <v>777</v>
      </c>
      <c r="I90" s="195" t="s">
        <v>672</v>
      </c>
      <c r="J90" s="195" t="s">
        <v>577</v>
      </c>
      <c r="K90" s="198" t="s">
        <v>762</v>
      </c>
    </row>
    <row r="91" spans="2:11" ht="14.25" customHeight="1" x14ac:dyDescent="0.25">
      <c r="B91" s="190" t="s">
        <v>826</v>
      </c>
      <c r="C91" s="191" t="s">
        <v>108</v>
      </c>
      <c r="D91" s="192" t="s">
        <v>827</v>
      </c>
      <c r="E91" s="192" t="s">
        <v>631</v>
      </c>
      <c r="F91" s="192" t="s">
        <v>583</v>
      </c>
      <c r="G91" s="192" t="s">
        <v>596</v>
      </c>
      <c r="H91" s="192" t="s">
        <v>624</v>
      </c>
      <c r="I91" s="192" t="s">
        <v>584</v>
      </c>
      <c r="J91" s="192" t="s">
        <v>568</v>
      </c>
      <c r="K91" s="197" t="s">
        <v>762</v>
      </c>
    </row>
    <row r="92" spans="2:11" ht="14.25" customHeight="1" x14ac:dyDescent="0.25">
      <c r="B92" s="193" t="s">
        <v>828</v>
      </c>
      <c r="C92" s="194" t="s">
        <v>88</v>
      </c>
      <c r="D92" s="195" t="s">
        <v>829</v>
      </c>
      <c r="E92" s="195" t="s">
        <v>656</v>
      </c>
      <c r="F92" s="195" t="s">
        <v>583</v>
      </c>
      <c r="G92" s="195" t="s">
        <v>596</v>
      </c>
      <c r="H92" s="195" t="s">
        <v>566</v>
      </c>
      <c r="I92" s="195" t="s">
        <v>625</v>
      </c>
      <c r="J92" s="195" t="s">
        <v>568</v>
      </c>
      <c r="K92" s="198" t="s">
        <v>830</v>
      </c>
    </row>
    <row r="93" spans="2:11" ht="14.25" customHeight="1" x14ac:dyDescent="0.25">
      <c r="B93" s="190" t="s">
        <v>831</v>
      </c>
      <c r="C93" s="191" t="s">
        <v>211</v>
      </c>
      <c r="D93" s="192" t="s">
        <v>832</v>
      </c>
      <c r="E93" s="192" t="s">
        <v>722</v>
      </c>
      <c r="F93" s="192" t="s">
        <v>583</v>
      </c>
      <c r="G93" s="192" t="s">
        <v>718</v>
      </c>
      <c r="H93" s="192" t="s">
        <v>566</v>
      </c>
      <c r="I93" s="192" t="s">
        <v>672</v>
      </c>
      <c r="J93" s="192" t="s">
        <v>9</v>
      </c>
      <c r="K93" s="197" t="s">
        <v>762</v>
      </c>
    </row>
    <row r="94" spans="2:11" ht="14.25" customHeight="1" x14ac:dyDescent="0.25">
      <c r="B94" s="193" t="s">
        <v>833</v>
      </c>
      <c r="C94" s="194" t="s">
        <v>108</v>
      </c>
      <c r="D94" s="195" t="s">
        <v>834</v>
      </c>
      <c r="E94" s="195" t="s">
        <v>620</v>
      </c>
      <c r="F94" s="195" t="s">
        <v>583</v>
      </c>
      <c r="G94" s="195" t="s">
        <v>596</v>
      </c>
      <c r="H94" s="195" t="s">
        <v>624</v>
      </c>
      <c r="I94" s="195" t="s">
        <v>672</v>
      </c>
      <c r="J94" s="195" t="s">
        <v>568</v>
      </c>
      <c r="K94" s="198" t="s">
        <v>835</v>
      </c>
    </row>
    <row r="95" spans="2:11" ht="14.25" customHeight="1" x14ac:dyDescent="0.25">
      <c r="B95" s="190" t="s">
        <v>836</v>
      </c>
      <c r="C95" s="191" t="s">
        <v>73</v>
      </c>
      <c r="D95" s="192" t="s">
        <v>837</v>
      </c>
      <c r="E95" s="192" t="s">
        <v>762</v>
      </c>
      <c r="F95" s="192" t="s">
        <v>583</v>
      </c>
      <c r="G95" s="192" t="s">
        <v>762</v>
      </c>
      <c r="H95" s="192" t="s">
        <v>624</v>
      </c>
      <c r="I95" s="192" t="s">
        <v>625</v>
      </c>
      <c r="J95" s="192" t="s">
        <v>568</v>
      </c>
      <c r="K95" s="197" t="s">
        <v>838</v>
      </c>
    </row>
    <row r="96" spans="2:11" ht="14.25" customHeight="1" x14ac:dyDescent="0.25">
      <c r="B96" s="193" t="s">
        <v>839</v>
      </c>
      <c r="C96" s="194" t="s">
        <v>97</v>
      </c>
      <c r="D96" s="195" t="s">
        <v>840</v>
      </c>
      <c r="E96" s="195" t="s">
        <v>841</v>
      </c>
      <c r="F96" s="195" t="s">
        <v>583</v>
      </c>
      <c r="G96" s="195" t="s">
        <v>842</v>
      </c>
      <c r="H96" s="195" t="s">
        <v>624</v>
      </c>
      <c r="I96" s="195" t="s">
        <v>584</v>
      </c>
      <c r="J96" s="195" t="s">
        <v>568</v>
      </c>
      <c r="K96" s="198" t="s">
        <v>762</v>
      </c>
    </row>
    <row r="97" spans="1:11" ht="14.25" customHeight="1" x14ac:dyDescent="0.25">
      <c r="B97" s="190" t="s">
        <v>843</v>
      </c>
      <c r="C97" s="191" t="s">
        <v>97</v>
      </c>
      <c r="D97" s="192" t="s">
        <v>844</v>
      </c>
      <c r="E97" s="192" t="s">
        <v>841</v>
      </c>
      <c r="F97" s="192" t="s">
        <v>583</v>
      </c>
      <c r="G97" s="192" t="s">
        <v>842</v>
      </c>
      <c r="H97" s="192" t="s">
        <v>624</v>
      </c>
      <c r="I97" s="192" t="s">
        <v>672</v>
      </c>
      <c r="J97" s="192" t="s">
        <v>9</v>
      </c>
      <c r="K97" s="197" t="s">
        <v>762</v>
      </c>
    </row>
    <row r="98" spans="1:11" ht="14.25" customHeight="1" x14ac:dyDescent="0.25">
      <c r="B98" s="193" t="s">
        <v>845</v>
      </c>
      <c r="C98" s="194" t="s">
        <v>108</v>
      </c>
      <c r="D98" s="195" t="s">
        <v>834</v>
      </c>
      <c r="E98" s="195" t="s">
        <v>620</v>
      </c>
      <c r="F98" s="195" t="s">
        <v>583</v>
      </c>
      <c r="G98" s="195" t="s">
        <v>596</v>
      </c>
      <c r="H98" s="195" t="s">
        <v>624</v>
      </c>
      <c r="I98" s="195" t="s">
        <v>672</v>
      </c>
      <c r="J98" s="195" t="s">
        <v>568</v>
      </c>
      <c r="K98" s="198" t="s">
        <v>762</v>
      </c>
    </row>
    <row r="99" spans="1:11" ht="14.25" customHeight="1" x14ac:dyDescent="0.25">
      <c r="B99" s="190" t="s">
        <v>846</v>
      </c>
      <c r="C99" s="191" t="s">
        <v>103</v>
      </c>
      <c r="D99" s="192" t="s">
        <v>847</v>
      </c>
      <c r="E99" s="192" t="s">
        <v>848</v>
      </c>
      <c r="F99" s="192" t="s">
        <v>583</v>
      </c>
      <c r="G99" s="192" t="s">
        <v>623</v>
      </c>
      <c r="H99" s="192" t="s">
        <v>849</v>
      </c>
      <c r="I99" s="192" t="s">
        <v>625</v>
      </c>
      <c r="J99" s="192" t="s">
        <v>9</v>
      </c>
      <c r="K99" s="197" t="s">
        <v>762</v>
      </c>
    </row>
    <row r="100" spans="1:11" ht="14.25" customHeight="1" x14ac:dyDescent="0.25">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x14ac:dyDescent="0.25">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x14ac:dyDescent="0.25">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x14ac:dyDescent="0.25">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x14ac:dyDescent="0.25">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x14ac:dyDescent="0.25">
      <c r="B105" s="190" t="s">
        <v>200</v>
      </c>
      <c r="C105" s="191" t="s">
        <v>200</v>
      </c>
      <c r="D105" s="192" t="s">
        <v>827</v>
      </c>
      <c r="E105" s="192" t="s">
        <v>864</v>
      </c>
      <c r="F105" s="192" t="s">
        <v>583</v>
      </c>
      <c r="G105" s="192" t="s">
        <v>566</v>
      </c>
      <c r="H105" s="192" t="s">
        <v>865</v>
      </c>
      <c r="I105" s="192" t="s">
        <v>866</v>
      </c>
      <c r="J105" s="192" t="s">
        <v>568</v>
      </c>
      <c r="K105" s="197" t="s">
        <v>762</v>
      </c>
    </row>
    <row r="106" spans="1:11" x14ac:dyDescent="0.25">
      <c r="A106" s="201"/>
      <c r="B106" s="202" t="s">
        <v>867</v>
      </c>
      <c r="C106" s="203" t="s">
        <v>211</v>
      </c>
      <c r="D106" s="204" t="s">
        <v>868</v>
      </c>
      <c r="E106" s="204" t="s">
        <v>869</v>
      </c>
      <c r="F106" s="204" t="s">
        <v>583</v>
      </c>
      <c r="G106" s="204" t="s">
        <v>566</v>
      </c>
      <c r="H106" s="204" t="s">
        <v>566</v>
      </c>
      <c r="I106" s="204" t="s">
        <v>683</v>
      </c>
      <c r="J106" s="204" t="s">
        <v>9</v>
      </c>
      <c r="K106" s="205" t="s">
        <v>762</v>
      </c>
    </row>
    <row r="107" spans="1:11" x14ac:dyDescent="0.25">
      <c r="A107" s="201" t="s">
        <v>870</v>
      </c>
      <c r="B107" s="201"/>
      <c r="C107" s="201"/>
    </row>
    <row r="108" spans="1:11" x14ac:dyDescent="0.25">
      <c r="A108" s="201" t="s">
        <v>871</v>
      </c>
      <c r="B108" s="201"/>
      <c r="C108" s="201"/>
    </row>
    <row r="109" spans="1:11" x14ac:dyDescent="0.25">
      <c r="A109" s="201" t="s">
        <v>872</v>
      </c>
      <c r="B109" s="201"/>
      <c r="C109" s="201"/>
    </row>
    <row r="110" spans="1:11" x14ac:dyDescent="0.25">
      <c r="A110" s="201" t="s">
        <v>873</v>
      </c>
      <c r="B110" s="201"/>
      <c r="C110" s="201"/>
    </row>
    <row r="111" spans="1:11" x14ac:dyDescent="0.25">
      <c r="A111" s="201" t="s">
        <v>874</v>
      </c>
      <c r="B111" s="201"/>
      <c r="C111" s="201"/>
    </row>
    <row r="112" spans="1:11" x14ac:dyDescent="0.25">
      <c r="A112" s="201" t="s">
        <v>875</v>
      </c>
      <c r="B112" s="201"/>
      <c r="C112" s="201"/>
    </row>
    <row r="113" spans="1:7" x14ac:dyDescent="0.25">
      <c r="A113" s="201" t="s">
        <v>876</v>
      </c>
      <c r="B113" s="201"/>
      <c r="C113" s="201"/>
    </row>
    <row r="114" spans="1:7" x14ac:dyDescent="0.25">
      <c r="A114" s="201" t="s">
        <v>877</v>
      </c>
      <c r="B114" s="201"/>
      <c r="C114" s="201"/>
    </row>
    <row r="115" spans="1:7" x14ac:dyDescent="0.25">
      <c r="A115" s="201"/>
      <c r="B115" s="201"/>
      <c r="C115" s="201"/>
    </row>
    <row r="116" spans="1:7" x14ac:dyDescent="0.25">
      <c r="A116" s="201"/>
      <c r="B116" s="201"/>
      <c r="C116" s="201"/>
    </row>
    <row r="117" spans="1:7" x14ac:dyDescent="0.25">
      <c r="A117" s="201"/>
      <c r="B117" s="201"/>
      <c r="C117" s="201"/>
    </row>
    <row r="118" spans="1:7" x14ac:dyDescent="0.25">
      <c r="A118" s="201"/>
      <c r="B118" s="201"/>
      <c r="C118" s="201"/>
    </row>
    <row r="119" spans="1:7" x14ac:dyDescent="0.25">
      <c r="A119" s="201"/>
      <c r="B119" s="201"/>
      <c r="C119" s="201"/>
    </row>
    <row r="120" spans="1:7" x14ac:dyDescent="0.25">
      <c r="A120" s="201"/>
      <c r="B120" s="201"/>
      <c r="C120" s="201"/>
    </row>
    <row r="121" spans="1:7" x14ac:dyDescent="0.25">
      <c r="A121" s="201"/>
      <c r="B121" s="201"/>
      <c r="C121" s="201"/>
    </row>
    <row r="122" spans="1:7" x14ac:dyDescent="0.25">
      <c r="A122" s="201"/>
      <c r="B122" s="201"/>
      <c r="C122" s="201"/>
    </row>
    <row r="123" spans="1:7" x14ac:dyDescent="0.25">
      <c r="A123" s="201"/>
      <c r="B123" s="201"/>
      <c r="C123" s="201"/>
    </row>
    <row r="124" spans="1:7" x14ac:dyDescent="0.25">
      <c r="A124" s="201"/>
      <c r="B124" s="201"/>
      <c r="C124" s="201"/>
    </row>
    <row r="125" spans="1:7" x14ac:dyDescent="0.25">
      <c r="A125" s="201"/>
      <c r="B125" s="201"/>
      <c r="C125" s="201"/>
    </row>
    <row r="126" spans="1:7" x14ac:dyDescent="0.25">
      <c r="A126" s="201"/>
      <c r="B126" s="201"/>
      <c r="C126" s="201"/>
    </row>
    <row r="127" spans="1:7" x14ac:dyDescent="0.25">
      <c r="A127" s="201"/>
      <c r="B127" s="201"/>
      <c r="C127" s="201"/>
    </row>
    <row r="128" spans="1:7" x14ac:dyDescent="0.25">
      <c r="A128" s="201"/>
      <c r="B128" s="201"/>
      <c r="C128" s="201"/>
      <c r="D128" s="201"/>
      <c r="E128" s="201"/>
      <c r="F128" s="201"/>
      <c r="G128" s="201"/>
    </row>
    <row r="129" spans="1:7" x14ac:dyDescent="0.25">
      <c r="A129" s="201"/>
      <c r="B129" s="201"/>
      <c r="C129" s="201"/>
      <c r="D129" s="201"/>
      <c r="E129" s="201"/>
      <c r="F129" s="201"/>
      <c r="G129" s="201"/>
    </row>
    <row r="130" spans="1:7" x14ac:dyDescent="0.25">
      <c r="A130" s="201"/>
      <c r="B130" s="201"/>
      <c r="C130" s="201"/>
      <c r="D130" s="201"/>
      <c r="E130" s="201"/>
      <c r="F130" s="201"/>
      <c r="G130" s="201"/>
    </row>
    <row r="131" spans="1:7" x14ac:dyDescent="0.25">
      <c r="A131" s="201"/>
      <c r="B131" s="201"/>
      <c r="C131" s="201"/>
      <c r="D131" s="201"/>
      <c r="E131" s="201"/>
      <c r="F131" s="201"/>
      <c r="G131" s="201"/>
    </row>
    <row r="132" spans="1:7" x14ac:dyDescent="0.25">
      <c r="A132" s="201"/>
      <c r="B132" s="201"/>
      <c r="C132" s="201"/>
      <c r="D132" s="201"/>
      <c r="E132" s="201"/>
      <c r="F132" s="201"/>
      <c r="G132" s="201"/>
    </row>
    <row r="133" spans="1:7" x14ac:dyDescent="0.25">
      <c r="A133" s="201"/>
      <c r="B133" s="201"/>
      <c r="C133" s="201"/>
      <c r="D133" s="201"/>
      <c r="E133" s="201"/>
      <c r="F133" s="201"/>
      <c r="G133" s="201"/>
    </row>
    <row r="134" spans="1:7" x14ac:dyDescent="0.25">
      <c r="A134" s="201"/>
      <c r="B134" s="201"/>
      <c r="C134" s="201"/>
      <c r="D134" s="201"/>
      <c r="E134" s="201"/>
      <c r="F134" s="201"/>
      <c r="G134" s="201"/>
    </row>
    <row r="135" spans="1:7" x14ac:dyDescent="0.25">
      <c r="A135" s="201"/>
      <c r="B135" s="201"/>
      <c r="C135" s="201"/>
      <c r="D135" s="201"/>
      <c r="E135" s="201"/>
      <c r="F135" s="201"/>
      <c r="G135" s="201"/>
    </row>
    <row r="136" spans="1:7" x14ac:dyDescent="0.25">
      <c r="A136" s="201"/>
      <c r="B136" s="201"/>
      <c r="C136" s="201"/>
      <c r="D136" s="201"/>
      <c r="E136" s="201"/>
      <c r="F136" s="201"/>
      <c r="G136" s="201"/>
    </row>
    <row r="137" spans="1:7" x14ac:dyDescent="0.25">
      <c r="A137" s="201"/>
      <c r="B137" s="201"/>
      <c r="C137" s="201"/>
      <c r="D137" s="201"/>
      <c r="E137" s="201"/>
      <c r="F137" s="201"/>
      <c r="G137" s="201"/>
    </row>
    <row r="138" spans="1:7" x14ac:dyDescent="0.25">
      <c r="A138" s="201"/>
      <c r="B138" s="201"/>
      <c r="C138" s="201"/>
      <c r="D138" s="201"/>
      <c r="E138" s="201"/>
      <c r="F138" s="201"/>
      <c r="G138" s="201"/>
    </row>
    <row r="139" spans="1:7" x14ac:dyDescent="0.25">
      <c r="A139" s="201"/>
      <c r="B139" s="201"/>
      <c r="C139" s="201"/>
      <c r="D139" s="201"/>
      <c r="E139" s="201"/>
      <c r="F139" s="201"/>
      <c r="G139" s="201"/>
    </row>
    <row r="140" spans="1:7" x14ac:dyDescent="0.25">
      <c r="A140" s="201"/>
      <c r="B140" s="201"/>
      <c r="C140" s="201"/>
      <c r="D140" s="201"/>
      <c r="E140" s="201"/>
      <c r="F140" s="201"/>
      <c r="G140" s="201"/>
    </row>
    <row r="141" spans="1:7" x14ac:dyDescent="0.25">
      <c r="A141" s="201"/>
      <c r="B141" s="201"/>
      <c r="C141" s="201"/>
      <c r="D141" s="201"/>
      <c r="E141" s="201"/>
      <c r="F141" s="201"/>
      <c r="G141" s="201"/>
    </row>
    <row r="142" spans="1:7" x14ac:dyDescent="0.25">
      <c r="A142" s="201"/>
      <c r="B142" s="201"/>
      <c r="C142" s="201"/>
      <c r="D142" s="201"/>
      <c r="E142" s="201"/>
      <c r="F142" s="201"/>
      <c r="G142" s="201"/>
    </row>
    <row r="143" spans="1:7" x14ac:dyDescent="0.25">
      <c r="A143" s="201"/>
      <c r="B143" s="201"/>
      <c r="C143" s="201"/>
      <c r="D143" s="201"/>
      <c r="E143" s="201"/>
      <c r="F143" s="201"/>
      <c r="G143" s="201"/>
    </row>
    <row r="144" spans="1:7" x14ac:dyDescent="0.25">
      <c r="A144" s="201"/>
      <c r="B144" s="201"/>
      <c r="C144" s="201"/>
      <c r="D144" s="201"/>
      <c r="E144" s="201"/>
      <c r="F144" s="201"/>
      <c r="G144" s="201"/>
    </row>
    <row r="145" spans="1:10" x14ac:dyDescent="0.25">
      <c r="A145" s="201"/>
      <c r="B145" s="201"/>
      <c r="C145" s="201"/>
      <c r="D145" s="201"/>
      <c r="E145" s="201"/>
      <c r="F145" s="201"/>
      <c r="G145" s="201"/>
    </row>
    <row r="146" spans="1:10" x14ac:dyDescent="0.25">
      <c r="A146" s="201"/>
      <c r="B146" s="201"/>
      <c r="C146" s="201"/>
      <c r="D146" s="201"/>
      <c r="E146" s="201"/>
      <c r="F146" s="201"/>
      <c r="G146" s="201"/>
    </row>
    <row r="147" spans="1:10" x14ac:dyDescent="0.25">
      <c r="A147" s="201"/>
      <c r="B147" s="201"/>
      <c r="C147" s="201"/>
      <c r="D147" s="201"/>
      <c r="E147" s="201"/>
      <c r="F147" s="201"/>
      <c r="G147" s="201"/>
    </row>
    <row r="148" spans="1:10" x14ac:dyDescent="0.25">
      <c r="A148" s="201"/>
      <c r="B148" s="201"/>
      <c r="C148" s="201"/>
      <c r="D148" s="201"/>
      <c r="E148" s="201"/>
      <c r="F148" s="201"/>
      <c r="G148" s="201"/>
      <c r="H148" s="201"/>
      <c r="I148" s="201"/>
      <c r="J148" s="201"/>
    </row>
    <row r="149" spans="1:10" x14ac:dyDescent="0.25">
      <c r="A149" s="201"/>
      <c r="B149" s="201"/>
      <c r="C149" s="201"/>
      <c r="D149" s="201"/>
      <c r="E149" s="201"/>
      <c r="F149" s="201"/>
      <c r="G149" s="201"/>
      <c r="H149" s="201"/>
      <c r="I149" s="201"/>
      <c r="J149" s="201"/>
    </row>
    <row r="150" spans="1:10" x14ac:dyDescent="0.25">
      <c r="A150" s="201"/>
      <c r="B150" s="201"/>
      <c r="C150" s="201"/>
      <c r="D150" s="201"/>
      <c r="E150" s="201"/>
      <c r="F150" s="201"/>
      <c r="G150" s="201"/>
      <c r="H150" s="201"/>
      <c r="I150" s="201"/>
      <c r="J150" s="201"/>
    </row>
    <row r="151" spans="1:10" x14ac:dyDescent="0.25">
      <c r="A151" s="201"/>
      <c r="B151" s="201"/>
      <c r="C151" s="201"/>
      <c r="D151" s="201"/>
      <c r="E151" s="201"/>
      <c r="F151" s="201"/>
      <c r="G151" s="201"/>
      <c r="H151" s="201"/>
      <c r="I151" s="201"/>
      <c r="J151" s="201"/>
    </row>
    <row r="152" spans="1:10" x14ac:dyDescent="0.25">
      <c r="A152" s="201"/>
      <c r="B152" s="201"/>
      <c r="C152" s="201"/>
      <c r="D152" s="201"/>
      <c r="E152" s="201"/>
      <c r="F152" s="201"/>
      <c r="G152" s="201"/>
      <c r="H152" s="201"/>
      <c r="I152" s="201"/>
      <c r="J152" s="201"/>
    </row>
    <row r="153" spans="1:10" x14ac:dyDescent="0.25">
      <c r="A153" s="201"/>
      <c r="B153" s="201"/>
      <c r="C153" s="201"/>
      <c r="D153" s="201"/>
      <c r="E153" s="201"/>
      <c r="F153" s="201"/>
      <c r="G153" s="201"/>
      <c r="H153" s="201"/>
      <c r="I153" s="201"/>
      <c r="J153" s="201"/>
    </row>
    <row r="154" spans="1:10" x14ac:dyDescent="0.25">
      <c r="A154" s="201"/>
      <c r="B154" s="201"/>
      <c r="C154" s="201"/>
      <c r="D154" s="201"/>
      <c r="E154" s="201"/>
      <c r="F154" s="201"/>
      <c r="G154" s="201"/>
      <c r="H154" s="201"/>
      <c r="I154" s="201"/>
      <c r="J154" s="201"/>
    </row>
    <row r="155" spans="1:10" x14ac:dyDescent="0.25">
      <c r="A155" s="201"/>
      <c r="B155" s="201"/>
      <c r="C155" s="201"/>
      <c r="D155" s="201"/>
      <c r="E155" s="201"/>
      <c r="F155" s="201"/>
      <c r="G155" s="201"/>
      <c r="H155" s="201"/>
      <c r="I155" s="201"/>
      <c r="J155" s="201"/>
    </row>
    <row r="156" spans="1:10" x14ac:dyDescent="0.25">
      <c r="A156" s="201"/>
      <c r="B156" s="201"/>
      <c r="C156" s="201"/>
      <c r="D156" s="201"/>
      <c r="E156" s="201"/>
      <c r="F156" s="201"/>
      <c r="G156" s="201"/>
      <c r="H156" s="201"/>
      <c r="I156" s="201"/>
      <c r="J156" s="201"/>
    </row>
    <row r="157" spans="1:10" x14ac:dyDescent="0.25">
      <c r="A157" s="201"/>
      <c r="B157" s="201"/>
      <c r="C157" s="201"/>
      <c r="D157" s="201"/>
      <c r="E157" s="201"/>
      <c r="F157" s="201"/>
      <c r="G157" s="201"/>
      <c r="H157" s="201"/>
      <c r="I157" s="201"/>
      <c r="J157" s="201"/>
    </row>
    <row r="158" spans="1:10" x14ac:dyDescent="0.25">
      <c r="A158" s="201"/>
      <c r="B158" s="201"/>
      <c r="C158" s="201"/>
      <c r="D158" s="201"/>
      <c r="E158" s="201"/>
      <c r="F158" s="201"/>
      <c r="G158" s="201"/>
      <c r="H158" s="201"/>
      <c r="I158" s="201"/>
      <c r="J158" s="201"/>
    </row>
    <row r="159" spans="1:10" x14ac:dyDescent="0.25">
      <c r="A159" s="201"/>
      <c r="B159" s="201"/>
      <c r="C159" s="201"/>
      <c r="D159" s="201"/>
      <c r="E159" s="201"/>
      <c r="F159" s="201"/>
      <c r="G159" s="201"/>
      <c r="H159" s="201"/>
      <c r="I159" s="201"/>
      <c r="J159" s="201"/>
    </row>
    <row r="160" spans="1:10" x14ac:dyDescent="0.25">
      <c r="A160" s="201"/>
      <c r="B160" s="201"/>
      <c r="C160" s="201"/>
      <c r="D160" s="201"/>
      <c r="E160" s="201"/>
      <c r="F160" s="201"/>
      <c r="G160" s="201"/>
      <c r="H160" s="201"/>
      <c r="I160" s="201"/>
      <c r="J160" s="201"/>
    </row>
    <row r="161" spans="1:10" x14ac:dyDescent="0.25">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3.8" x14ac:dyDescent="0.25"/>
  <cols>
    <col min="2" max="2" width="6.21875" customWidth="1"/>
    <col min="3" max="3" width="5.6640625" style="141" customWidth="1"/>
    <col min="4" max="4" width="79.21875" style="142" customWidth="1"/>
    <col min="6" max="6" width="5.6640625" style="69" customWidth="1"/>
    <col min="7" max="7" width="79.21875" style="2" customWidth="1"/>
  </cols>
  <sheetData>
    <row r="1" spans="1:51" x14ac:dyDescent="0.25">
      <c r="A1" s="143"/>
      <c r="B1" s="143"/>
      <c r="C1" s="801" t="s">
        <v>878</v>
      </c>
      <c r="D1" s="801"/>
      <c r="E1" s="801"/>
      <c r="F1" s="801"/>
      <c r="G1" s="801"/>
    </row>
    <row r="2" spans="1:51" x14ac:dyDescent="0.25">
      <c r="A2" s="143"/>
      <c r="B2" s="143"/>
      <c r="C2" s="801"/>
      <c r="D2" s="801"/>
      <c r="E2" s="801"/>
      <c r="F2" s="801"/>
      <c r="G2" s="801"/>
    </row>
    <row r="3" spans="1:51" ht="33" customHeight="1" x14ac:dyDescent="0.25">
      <c r="A3" s="143"/>
      <c r="B3" s="143"/>
      <c r="C3" s="801"/>
      <c r="D3" s="801"/>
      <c r="E3" s="801"/>
      <c r="F3" s="801"/>
      <c r="G3" s="801"/>
    </row>
    <row r="4" spans="1:51" ht="18.75" customHeight="1" x14ac:dyDescent="0.25">
      <c r="A4" s="143"/>
      <c r="B4" s="144"/>
      <c r="C4" s="794" t="s">
        <v>879</v>
      </c>
      <c r="D4" s="795"/>
      <c r="E4" s="46"/>
      <c r="F4" s="796" t="s">
        <v>880</v>
      </c>
      <c r="G4" s="797"/>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25">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25">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25">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25">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25">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25">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25">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25">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25">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25">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5">
      <c r="A17" s="143"/>
      <c r="B17" s="144"/>
      <c r="C17" s="798" t="s">
        <v>902</v>
      </c>
      <c r="D17" s="799"/>
      <c r="E17" s="148"/>
      <c r="F17" s="798" t="s">
        <v>903</v>
      </c>
      <c r="G17" s="799"/>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5">
      <c r="A22" s="143"/>
      <c r="B22" s="143"/>
      <c r="C22" s="800" t="s">
        <v>905</v>
      </c>
      <c r="D22" s="800"/>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5">
      <c r="A318" s="143"/>
      <c r="B318" s="143"/>
      <c r="C318" s="183"/>
      <c r="D318" s="184"/>
      <c r="E318" s="143"/>
      <c r="F318" s="177"/>
      <c r="G318" s="179"/>
      <c r="H318" s="143"/>
      <c r="I318" s="143"/>
      <c r="J318" s="143"/>
      <c r="K318" s="143"/>
      <c r="L318" s="143"/>
      <c r="M318" s="143"/>
      <c r="N318" s="143"/>
      <c r="O318" s="143"/>
      <c r="P318" s="143"/>
    </row>
    <row r="319" spans="1:51" x14ac:dyDescent="0.25">
      <c r="A319" s="143"/>
      <c r="B319" s="143"/>
      <c r="C319" s="183"/>
      <c r="D319" s="184"/>
      <c r="E319" s="143"/>
      <c r="F319" s="177"/>
      <c r="G319" s="179"/>
      <c r="H319" s="143"/>
      <c r="I319" s="143"/>
      <c r="J319" s="143"/>
      <c r="K319" s="143"/>
      <c r="L319" s="143"/>
      <c r="M319" s="143"/>
      <c r="N319" s="143"/>
      <c r="O319" s="143"/>
      <c r="P319" s="143"/>
    </row>
    <row r="320" spans="1:51" x14ac:dyDescent="0.25">
      <c r="A320" s="143"/>
      <c r="B320" s="143"/>
      <c r="C320" s="183"/>
      <c r="D320" s="184"/>
      <c r="E320" s="143"/>
      <c r="F320" s="177"/>
      <c r="G320" s="179"/>
      <c r="H320" s="143"/>
      <c r="I320" s="143"/>
      <c r="J320" s="143"/>
      <c r="K320" s="143"/>
      <c r="L320" s="143"/>
      <c r="M320" s="143"/>
      <c r="N320" s="143"/>
      <c r="O320" s="143"/>
      <c r="P320" s="143"/>
    </row>
    <row r="321" spans="1:16" x14ac:dyDescent="0.25">
      <c r="A321" s="143"/>
      <c r="B321" s="143"/>
      <c r="C321" s="183"/>
      <c r="D321" s="184"/>
      <c r="E321" s="143"/>
      <c r="F321" s="177"/>
      <c r="G321" s="179"/>
      <c r="H321" s="143"/>
      <c r="I321" s="143"/>
      <c r="J321" s="143"/>
      <c r="K321" s="143"/>
      <c r="L321" s="143"/>
      <c r="M321" s="143"/>
      <c r="N321" s="143"/>
      <c r="O321" s="143"/>
      <c r="P321" s="143"/>
    </row>
    <row r="322" spans="1:16" x14ac:dyDescent="0.25">
      <c r="A322" s="143"/>
      <c r="B322" s="143"/>
      <c r="C322" s="183"/>
      <c r="D322" s="184"/>
      <c r="E322" s="143"/>
      <c r="F322" s="177"/>
      <c r="G322" s="179"/>
      <c r="H322" s="143"/>
      <c r="I322" s="143"/>
      <c r="J322" s="143"/>
      <c r="K322" s="143"/>
      <c r="L322" s="143"/>
      <c r="M322" s="143"/>
      <c r="N322" s="143"/>
      <c r="O322" s="143"/>
      <c r="P322" s="143"/>
    </row>
    <row r="323" spans="1:16" x14ac:dyDescent="0.25">
      <c r="A323" s="143"/>
      <c r="B323" s="143"/>
      <c r="C323" s="183"/>
      <c r="D323" s="184"/>
      <c r="E323" s="143"/>
      <c r="F323" s="177"/>
      <c r="G323" s="179"/>
      <c r="H323" s="143"/>
      <c r="I323" s="143"/>
      <c r="J323" s="143"/>
      <c r="K323" s="143"/>
      <c r="L323" s="143"/>
      <c r="M323" s="143"/>
      <c r="N323" s="143"/>
      <c r="O323" s="143"/>
      <c r="P323" s="143"/>
    </row>
    <row r="324" spans="1:16" x14ac:dyDescent="0.25">
      <c r="A324" s="143"/>
      <c r="B324" s="143"/>
      <c r="C324" s="183"/>
      <c r="D324" s="184"/>
      <c r="E324" s="143"/>
      <c r="F324" s="177"/>
      <c r="G324" s="179"/>
      <c r="H324" s="143"/>
      <c r="I324" s="143"/>
      <c r="J324" s="143"/>
      <c r="K324" s="143"/>
      <c r="L324" s="143"/>
      <c r="M324" s="143"/>
      <c r="N324" s="143"/>
      <c r="O324" s="143"/>
      <c r="P324" s="143"/>
    </row>
    <row r="325" spans="1:16" x14ac:dyDescent="0.25">
      <c r="A325" s="143"/>
      <c r="B325" s="143"/>
      <c r="C325" s="183"/>
      <c r="D325" s="184"/>
      <c r="E325" s="143"/>
      <c r="F325" s="177"/>
      <c r="G325" s="179"/>
      <c r="H325" s="143"/>
      <c r="I325" s="143"/>
      <c r="J325" s="143"/>
      <c r="K325" s="143"/>
      <c r="L325" s="143"/>
      <c r="M325" s="143"/>
      <c r="N325" s="143"/>
      <c r="O325" s="143"/>
      <c r="P325" s="143"/>
    </row>
    <row r="326" spans="1:16" x14ac:dyDescent="0.25">
      <c r="A326" s="143"/>
      <c r="B326" s="143"/>
      <c r="C326" s="183"/>
      <c r="D326" s="184"/>
      <c r="E326" s="143"/>
      <c r="F326" s="177"/>
      <c r="G326" s="179"/>
      <c r="H326" s="143"/>
      <c r="I326" s="143"/>
      <c r="J326" s="143"/>
      <c r="K326" s="143"/>
      <c r="L326" s="143"/>
      <c r="M326" s="143"/>
      <c r="N326" s="143"/>
      <c r="O326" s="143"/>
      <c r="P326" s="143"/>
    </row>
    <row r="327" spans="1:16" x14ac:dyDescent="0.25">
      <c r="A327" s="143"/>
      <c r="B327" s="143"/>
      <c r="C327" s="183"/>
      <c r="D327" s="184"/>
      <c r="E327" s="143"/>
      <c r="F327" s="177"/>
      <c r="G327" s="179"/>
      <c r="H327" s="143"/>
      <c r="I327" s="143"/>
      <c r="J327" s="143"/>
      <c r="K327" s="143"/>
      <c r="L327" s="143"/>
      <c r="M327" s="143"/>
      <c r="N327" s="143"/>
      <c r="O327" s="143"/>
      <c r="P327" s="143"/>
    </row>
    <row r="328" spans="1:16" x14ac:dyDescent="0.25">
      <c r="A328" s="143"/>
      <c r="B328" s="143"/>
      <c r="C328" s="183"/>
      <c r="D328" s="184"/>
      <c r="E328" s="143"/>
      <c r="F328" s="177"/>
      <c r="G328" s="179"/>
      <c r="H328" s="143"/>
      <c r="I328" s="143"/>
      <c r="J328" s="143"/>
      <c r="K328" s="143"/>
      <c r="L328" s="143"/>
      <c r="M328" s="143"/>
      <c r="N328" s="143"/>
      <c r="O328" s="143"/>
      <c r="P328" s="143"/>
    </row>
    <row r="329" spans="1:16" x14ac:dyDescent="0.25">
      <c r="A329" s="143"/>
      <c r="B329" s="143"/>
      <c r="C329" s="183"/>
      <c r="D329" s="184"/>
      <c r="E329" s="143"/>
      <c r="F329" s="177"/>
      <c r="G329" s="179"/>
      <c r="H329" s="143"/>
      <c r="I329" s="143"/>
      <c r="J329" s="143"/>
      <c r="K329" s="143"/>
      <c r="L329" s="143"/>
      <c r="M329" s="143"/>
      <c r="N329" s="143"/>
      <c r="O329" s="143"/>
      <c r="P329" s="143"/>
    </row>
    <row r="330" spans="1:16" x14ac:dyDescent="0.25">
      <c r="A330" s="143"/>
      <c r="B330" s="143"/>
      <c r="C330" s="183"/>
      <c r="D330" s="184"/>
      <c r="E330" s="143"/>
      <c r="F330" s="177"/>
      <c r="G330" s="179"/>
      <c r="H330" s="143"/>
      <c r="I330" s="143"/>
      <c r="J330" s="143"/>
      <c r="K330" s="143"/>
      <c r="L330" s="143"/>
      <c r="M330" s="143"/>
      <c r="N330" s="143"/>
      <c r="O330" s="143"/>
      <c r="P330" s="143"/>
    </row>
    <row r="331" spans="1:16" x14ac:dyDescent="0.25">
      <c r="A331" s="143"/>
      <c r="B331" s="143"/>
      <c r="C331" s="183"/>
      <c r="D331" s="184"/>
      <c r="E331" s="143"/>
      <c r="F331" s="177"/>
      <c r="G331" s="179"/>
      <c r="H331" s="143"/>
      <c r="I331" s="143"/>
      <c r="J331" s="143"/>
      <c r="K331" s="143"/>
      <c r="L331" s="143"/>
      <c r="M331" s="143"/>
      <c r="N331" s="143"/>
      <c r="O331" s="143"/>
      <c r="P331" s="143"/>
    </row>
    <row r="332" spans="1:16" x14ac:dyDescent="0.25">
      <c r="A332" s="143"/>
      <c r="B332" s="143"/>
      <c r="C332" s="183"/>
      <c r="D332" s="184"/>
      <c r="E332" s="143"/>
      <c r="F332" s="177"/>
      <c r="G332" s="179"/>
      <c r="H332" s="143"/>
      <c r="I332" s="143"/>
      <c r="J332" s="143"/>
      <c r="K332" s="143"/>
      <c r="L332" s="143"/>
      <c r="M332" s="143"/>
      <c r="N332" s="143"/>
      <c r="O332" s="143"/>
      <c r="P332" s="143"/>
    </row>
    <row r="333" spans="1:16" x14ac:dyDescent="0.25">
      <c r="A333" s="143"/>
      <c r="B333" s="143"/>
      <c r="C333" s="183"/>
      <c r="D333" s="184"/>
      <c r="E333" s="143"/>
      <c r="F333" s="177"/>
      <c r="G333" s="179"/>
      <c r="H333" s="143"/>
      <c r="I333" s="143"/>
      <c r="J333" s="143"/>
      <c r="K333" s="143"/>
      <c r="L333" s="143"/>
      <c r="M333" s="143"/>
      <c r="N333" s="143"/>
      <c r="O333" s="143"/>
      <c r="P333" s="143"/>
    </row>
    <row r="334" spans="1:16" x14ac:dyDescent="0.25">
      <c r="A334" s="143"/>
      <c r="B334" s="143"/>
      <c r="C334" s="183"/>
      <c r="D334" s="184"/>
      <c r="E334" s="143"/>
      <c r="F334" s="177"/>
      <c r="G334" s="179"/>
      <c r="H334" s="143"/>
      <c r="I334" s="143"/>
      <c r="J334" s="143"/>
      <c r="K334" s="143"/>
      <c r="L334" s="143"/>
      <c r="M334" s="143"/>
      <c r="N334" s="143"/>
      <c r="O334" s="143"/>
      <c r="P334" s="143"/>
    </row>
    <row r="335" spans="1:16" x14ac:dyDescent="0.25">
      <c r="A335" s="143"/>
      <c r="B335" s="143"/>
      <c r="C335" s="183"/>
      <c r="D335" s="184"/>
      <c r="E335" s="143"/>
      <c r="F335" s="177"/>
      <c r="G335" s="179"/>
      <c r="H335" s="143"/>
      <c r="I335" s="143"/>
      <c r="J335" s="143"/>
      <c r="K335" s="143"/>
      <c r="L335" s="143"/>
      <c r="M335" s="143"/>
      <c r="N335" s="143"/>
      <c r="O335" s="143"/>
      <c r="P335" s="143"/>
    </row>
    <row r="336" spans="1:16" x14ac:dyDescent="0.25">
      <c r="A336" s="143"/>
      <c r="B336" s="143"/>
      <c r="C336" s="183"/>
      <c r="D336" s="184"/>
      <c r="E336" s="143"/>
      <c r="F336" s="177"/>
      <c r="G336" s="179"/>
      <c r="H336" s="143"/>
      <c r="I336" s="143"/>
      <c r="J336" s="143"/>
      <c r="K336" s="143"/>
      <c r="L336" s="143"/>
      <c r="M336" s="143"/>
      <c r="N336" s="143"/>
      <c r="O336" s="143"/>
      <c r="P336" s="143"/>
    </row>
    <row r="337" spans="1:16" x14ac:dyDescent="0.25">
      <c r="A337" s="143"/>
      <c r="B337" s="143"/>
      <c r="C337" s="183"/>
      <c r="D337" s="184"/>
      <c r="E337" s="143"/>
      <c r="F337" s="177"/>
      <c r="G337" s="179"/>
      <c r="H337" s="143"/>
      <c r="I337" s="143"/>
      <c r="J337" s="143"/>
      <c r="K337" s="143"/>
      <c r="L337" s="143"/>
      <c r="M337" s="143"/>
      <c r="N337" s="143"/>
      <c r="O337" s="143"/>
      <c r="P337" s="143"/>
    </row>
    <row r="338" spans="1:16" x14ac:dyDescent="0.25">
      <c r="A338" s="143"/>
      <c r="B338" s="143"/>
      <c r="C338" s="183"/>
      <c r="D338" s="184"/>
      <c r="E338" s="143"/>
      <c r="F338" s="177"/>
      <c r="G338" s="179"/>
      <c r="H338" s="143"/>
      <c r="I338" s="143"/>
      <c r="J338" s="143"/>
      <c r="K338" s="143"/>
      <c r="L338" s="143"/>
      <c r="M338" s="143"/>
      <c r="N338" s="143"/>
      <c r="O338" s="143"/>
      <c r="P338" s="143"/>
    </row>
    <row r="339" spans="1:16" x14ac:dyDescent="0.25">
      <c r="A339" s="143"/>
      <c r="B339" s="143"/>
      <c r="C339" s="183"/>
      <c r="D339" s="184"/>
      <c r="E339" s="143"/>
      <c r="F339" s="177"/>
      <c r="G339" s="179"/>
      <c r="H339" s="143"/>
      <c r="I339" s="143"/>
      <c r="J339" s="143"/>
      <c r="K339" s="143"/>
      <c r="L339" s="143"/>
      <c r="M339" s="143"/>
      <c r="N339" s="143"/>
      <c r="O339" s="143"/>
      <c r="P339" s="143"/>
    </row>
    <row r="340" spans="1:16" x14ac:dyDescent="0.25">
      <c r="A340" s="143"/>
      <c r="B340" s="143"/>
      <c r="C340" s="183"/>
      <c r="D340" s="184"/>
      <c r="E340" s="143"/>
      <c r="F340" s="177"/>
      <c r="G340" s="179"/>
      <c r="H340" s="143"/>
      <c r="I340" s="143"/>
      <c r="J340" s="143"/>
      <c r="K340" s="143"/>
      <c r="L340" s="143"/>
      <c r="M340" s="143"/>
      <c r="N340" s="143"/>
      <c r="O340" s="143"/>
      <c r="P340" s="143"/>
    </row>
    <row r="341" spans="1:16" x14ac:dyDescent="0.25">
      <c r="A341" s="143"/>
      <c r="B341" s="143"/>
      <c r="C341" s="183"/>
      <c r="D341" s="184"/>
      <c r="E341" s="143"/>
      <c r="F341" s="177"/>
      <c r="G341" s="179"/>
      <c r="H341" s="143"/>
      <c r="I341" s="143"/>
      <c r="J341" s="143"/>
      <c r="K341" s="143"/>
      <c r="L341" s="143"/>
      <c r="M341" s="143"/>
      <c r="N341" s="143"/>
      <c r="O341" s="143"/>
      <c r="P341" s="143"/>
    </row>
    <row r="342" spans="1:16" x14ac:dyDescent="0.25">
      <c r="A342" s="143"/>
      <c r="B342" s="143"/>
      <c r="C342" s="183"/>
      <c r="D342" s="184"/>
      <c r="E342" s="143"/>
      <c r="F342" s="177"/>
      <c r="G342" s="179"/>
      <c r="H342" s="143"/>
      <c r="I342" s="143"/>
      <c r="J342" s="143"/>
      <c r="K342" s="143"/>
      <c r="L342" s="143"/>
      <c r="M342" s="143"/>
      <c r="N342" s="143"/>
      <c r="O342" s="143"/>
      <c r="P342" s="143"/>
    </row>
    <row r="343" spans="1:16" x14ac:dyDescent="0.25">
      <c r="A343" s="143"/>
      <c r="B343" s="143"/>
      <c r="C343" s="183"/>
      <c r="D343" s="184"/>
      <c r="E343" s="143"/>
      <c r="F343" s="177"/>
      <c r="G343" s="179"/>
      <c r="H343" s="143"/>
      <c r="I343" s="143"/>
      <c r="J343" s="143"/>
      <c r="K343" s="143"/>
      <c r="L343" s="143"/>
      <c r="M343" s="143"/>
      <c r="N343" s="143"/>
      <c r="O343" s="143"/>
      <c r="P343" s="143"/>
    </row>
    <row r="344" spans="1:16" x14ac:dyDescent="0.25">
      <c r="A344" s="143"/>
      <c r="B344" s="143"/>
      <c r="C344" s="183"/>
      <c r="D344" s="184"/>
      <c r="E344" s="143"/>
      <c r="F344" s="177"/>
      <c r="G344" s="179"/>
      <c r="H344" s="143"/>
      <c r="I344" s="143"/>
      <c r="J344" s="143"/>
      <c r="K344" s="143"/>
      <c r="L344" s="143"/>
      <c r="M344" s="143"/>
      <c r="N344" s="143"/>
      <c r="O344" s="143"/>
      <c r="P344" s="143"/>
    </row>
    <row r="345" spans="1:16" x14ac:dyDescent="0.25">
      <c r="A345" s="143"/>
      <c r="B345" s="143"/>
      <c r="C345" s="183"/>
      <c r="D345" s="184"/>
      <c r="E345" s="143"/>
      <c r="F345" s="177"/>
      <c r="G345" s="179"/>
      <c r="H345" s="143"/>
      <c r="I345" s="143"/>
      <c r="J345" s="143"/>
      <c r="K345" s="143"/>
      <c r="L345" s="143"/>
      <c r="M345" s="143"/>
      <c r="N345" s="143"/>
      <c r="O345" s="143"/>
      <c r="P345" s="143"/>
    </row>
    <row r="346" spans="1:16" x14ac:dyDescent="0.25">
      <c r="A346" s="143"/>
      <c r="B346" s="143"/>
      <c r="C346" s="183"/>
      <c r="D346" s="184"/>
      <c r="E346" s="143"/>
      <c r="F346" s="177"/>
      <c r="G346" s="179"/>
      <c r="H346" s="143"/>
      <c r="I346" s="143"/>
      <c r="J346" s="143"/>
      <c r="K346" s="143"/>
      <c r="L346" s="143"/>
      <c r="M346" s="143"/>
      <c r="N346" s="143"/>
      <c r="O346" s="143"/>
      <c r="P346" s="143"/>
    </row>
    <row r="347" spans="1:16" x14ac:dyDescent="0.25">
      <c r="A347" s="143"/>
      <c r="B347" s="143"/>
      <c r="C347" s="183"/>
      <c r="D347" s="184"/>
      <c r="E347" s="143"/>
      <c r="F347" s="177"/>
      <c r="G347" s="179"/>
      <c r="H347" s="143"/>
      <c r="I347" s="143"/>
      <c r="J347" s="143"/>
      <c r="K347" s="143"/>
      <c r="L347" s="143"/>
      <c r="M347" s="143"/>
      <c r="N347" s="143"/>
      <c r="O347" s="143"/>
      <c r="P347" s="143"/>
    </row>
    <row r="348" spans="1:16" x14ac:dyDescent="0.25">
      <c r="A348" s="143"/>
      <c r="B348" s="143"/>
      <c r="C348" s="183"/>
      <c r="D348" s="184"/>
      <c r="E348" s="143"/>
      <c r="F348" s="177"/>
      <c r="G348" s="179"/>
      <c r="H348" s="143"/>
      <c r="I348" s="143"/>
      <c r="J348" s="143"/>
      <c r="K348" s="143"/>
      <c r="L348" s="143"/>
      <c r="M348" s="143"/>
      <c r="N348" s="143"/>
      <c r="O348" s="143"/>
      <c r="P348" s="143"/>
    </row>
    <row r="349" spans="1:16" x14ac:dyDescent="0.25">
      <c r="A349" s="143"/>
      <c r="B349" s="143"/>
      <c r="C349" s="183"/>
      <c r="D349" s="184"/>
      <c r="E349" s="143"/>
      <c r="F349" s="177"/>
      <c r="G349" s="179"/>
      <c r="H349" s="143"/>
      <c r="I349" s="143"/>
      <c r="J349" s="143"/>
      <c r="K349" s="143"/>
      <c r="L349" s="143"/>
      <c r="M349" s="143"/>
      <c r="N349" s="143"/>
      <c r="O349" s="143"/>
      <c r="P349" s="143"/>
    </row>
    <row r="350" spans="1:16" x14ac:dyDescent="0.25">
      <c r="A350" s="143"/>
      <c r="B350" s="143"/>
      <c r="C350" s="183"/>
      <c r="D350" s="184"/>
      <c r="E350" s="143"/>
      <c r="F350" s="177"/>
      <c r="G350" s="179"/>
      <c r="H350" s="143"/>
      <c r="I350" s="143"/>
      <c r="J350" s="143"/>
      <c r="K350" s="143"/>
      <c r="L350" s="143"/>
      <c r="M350" s="143"/>
      <c r="N350" s="143"/>
      <c r="O350" s="143"/>
      <c r="P350" s="143"/>
    </row>
    <row r="351" spans="1:16" x14ac:dyDescent="0.25">
      <c r="A351" s="143"/>
      <c r="B351" s="143"/>
      <c r="C351" s="183"/>
      <c r="D351" s="184"/>
      <c r="E351" s="143"/>
      <c r="F351" s="177"/>
      <c r="G351" s="179"/>
      <c r="H351" s="143"/>
      <c r="I351" s="143"/>
      <c r="J351" s="143"/>
      <c r="K351" s="143"/>
      <c r="L351" s="143"/>
      <c r="M351" s="143"/>
      <c r="N351" s="143"/>
      <c r="O351" s="143"/>
      <c r="P351" s="143"/>
    </row>
    <row r="352" spans="1:16" x14ac:dyDescent="0.25">
      <c r="A352" s="143"/>
      <c r="B352" s="143"/>
      <c r="C352" s="183"/>
      <c r="D352" s="184"/>
      <c r="E352" s="143"/>
      <c r="F352" s="177"/>
      <c r="G352" s="179"/>
      <c r="H352" s="143"/>
      <c r="I352" s="143"/>
      <c r="J352" s="143"/>
      <c r="K352" s="143"/>
      <c r="L352" s="143"/>
      <c r="M352" s="143"/>
      <c r="N352" s="143"/>
      <c r="O352" s="143"/>
      <c r="P352" s="143"/>
    </row>
    <row r="353" spans="1:16" x14ac:dyDescent="0.25">
      <c r="A353" s="143"/>
      <c r="B353" s="143"/>
      <c r="C353" s="183"/>
      <c r="D353" s="184"/>
      <c r="E353" s="143"/>
      <c r="F353" s="177"/>
      <c r="G353" s="179"/>
      <c r="H353" s="143"/>
      <c r="I353" s="143"/>
      <c r="J353" s="143"/>
      <c r="K353" s="143"/>
      <c r="L353" s="143"/>
      <c r="M353" s="143"/>
      <c r="N353" s="143"/>
      <c r="O353" s="143"/>
      <c r="P353" s="143"/>
    </row>
    <row r="354" spans="1:16" x14ac:dyDescent="0.25">
      <c r="A354" s="143"/>
      <c r="B354" s="143"/>
      <c r="C354" s="183"/>
      <c r="D354" s="184"/>
      <c r="E354" s="143"/>
      <c r="F354" s="177"/>
      <c r="G354" s="179"/>
      <c r="H354" s="143"/>
      <c r="I354" s="143"/>
      <c r="J354" s="143"/>
      <c r="K354" s="143"/>
      <c r="L354" s="143"/>
      <c r="M354" s="143"/>
      <c r="N354" s="143"/>
      <c r="O354" s="143"/>
      <c r="P354" s="143"/>
    </row>
    <row r="355" spans="1:16" x14ac:dyDescent="0.25">
      <c r="A355" s="143"/>
      <c r="B355" s="143"/>
      <c r="C355" s="183"/>
      <c r="D355" s="184"/>
      <c r="E355" s="143"/>
      <c r="F355" s="177"/>
      <c r="G355" s="179"/>
      <c r="H355" s="143"/>
      <c r="I355" s="143"/>
      <c r="J355" s="143"/>
      <c r="K355" s="143"/>
      <c r="L355" s="143"/>
      <c r="M355" s="143"/>
      <c r="N355" s="143"/>
      <c r="O355" s="143"/>
      <c r="P355" s="143"/>
    </row>
    <row r="356" spans="1:16" x14ac:dyDescent="0.25">
      <c r="H356" s="185"/>
      <c r="I356" s="185"/>
      <c r="J356" s="143"/>
      <c r="K356" s="143"/>
      <c r="L356" s="143"/>
      <c r="M356" s="143"/>
      <c r="N356" s="143"/>
      <c r="O356" s="143"/>
      <c r="P356" s="143"/>
    </row>
    <row r="357" spans="1:16" x14ac:dyDescent="0.25">
      <c r="H357" s="143"/>
      <c r="I357" s="143"/>
      <c r="J357" s="143"/>
      <c r="K357" s="143"/>
      <c r="L357" s="143"/>
      <c r="M357" s="143"/>
      <c r="N357" s="143"/>
      <c r="O357" s="143"/>
      <c r="P357" s="143"/>
    </row>
    <row r="358" spans="1:16" x14ac:dyDescent="0.25">
      <c r="H358" s="143"/>
      <c r="I358" s="143"/>
      <c r="J358" s="143"/>
      <c r="K358" s="143"/>
      <c r="L358" s="143"/>
      <c r="M358" s="143"/>
      <c r="N358" s="143"/>
      <c r="O358" s="143"/>
      <c r="P358" s="143"/>
    </row>
    <row r="359" spans="1:16" x14ac:dyDescent="0.25">
      <c r="H359" s="143"/>
      <c r="I359" s="143"/>
      <c r="J359" s="143"/>
      <c r="K359" s="143"/>
      <c r="L359" s="143"/>
      <c r="M359" s="143"/>
      <c r="N359" s="143"/>
      <c r="O359" s="143"/>
      <c r="P359" s="143"/>
    </row>
    <row r="360" spans="1:16" x14ac:dyDescent="0.25">
      <c r="H360" s="143"/>
      <c r="I360" s="143"/>
      <c r="J360" s="143"/>
      <c r="K360" s="143"/>
      <c r="L360" s="143"/>
      <c r="M360" s="143"/>
      <c r="N360" s="143"/>
      <c r="O360" s="143"/>
      <c r="P360" s="143"/>
    </row>
    <row r="361" spans="1:16" x14ac:dyDescent="0.25">
      <c r="H361" s="143"/>
      <c r="I361" s="143"/>
      <c r="J361" s="143"/>
      <c r="K361" s="143"/>
      <c r="L361" s="143"/>
      <c r="M361" s="143"/>
      <c r="N361" s="143"/>
      <c r="O361" s="143"/>
      <c r="P361" s="143"/>
    </row>
    <row r="362" spans="1:16" x14ac:dyDescent="0.25">
      <c r="H362" s="143"/>
      <c r="I362" s="143"/>
      <c r="J362" s="143"/>
      <c r="K362" s="143"/>
      <c r="L362" s="143"/>
      <c r="M362" s="143"/>
      <c r="N362" s="143"/>
      <c r="O362" s="143"/>
      <c r="P362" s="143"/>
    </row>
    <row r="363" spans="1:16" x14ac:dyDescent="0.25">
      <c r="H363" s="143"/>
      <c r="I363" s="143"/>
      <c r="J363" s="143"/>
      <c r="K363" s="143"/>
      <c r="L363" s="143"/>
      <c r="M363" s="143"/>
      <c r="N363" s="143"/>
      <c r="O363" s="143"/>
      <c r="P363" s="143"/>
    </row>
    <row r="364" spans="1:16" x14ac:dyDescent="0.25">
      <c r="H364" s="143"/>
      <c r="I364" s="143"/>
      <c r="J364" s="143"/>
      <c r="K364" s="143"/>
      <c r="L364" s="143"/>
      <c r="M364" s="143"/>
      <c r="N364" s="143"/>
      <c r="O364" s="143"/>
      <c r="P364" s="143"/>
    </row>
    <row r="365" spans="1:16" x14ac:dyDescent="0.25">
      <c r="H365" s="143"/>
      <c r="I365" s="143"/>
      <c r="J365" s="143"/>
      <c r="K365" s="143"/>
      <c r="L365" s="143"/>
      <c r="M365" s="143"/>
      <c r="N365" s="143"/>
      <c r="O365" s="143"/>
      <c r="P365" s="143"/>
    </row>
    <row r="366" spans="1:16" x14ac:dyDescent="0.25">
      <c r="H366" s="143"/>
      <c r="I366" s="143"/>
      <c r="J366" s="143"/>
      <c r="K366" s="143"/>
      <c r="L366" s="143"/>
      <c r="M366" s="143"/>
      <c r="N366" s="143"/>
      <c r="O366" s="143"/>
      <c r="P366" s="143"/>
    </row>
    <row r="367" spans="1:16" x14ac:dyDescent="0.25">
      <c r="H367" s="143"/>
      <c r="I367" s="143"/>
      <c r="J367" s="143"/>
      <c r="K367" s="143"/>
      <c r="L367" s="143"/>
      <c r="M367" s="143"/>
      <c r="N367" s="143"/>
      <c r="O367" s="143"/>
      <c r="P367" s="143"/>
    </row>
    <row r="368" spans="1:16" x14ac:dyDescent="0.25">
      <c r="H368" s="143"/>
      <c r="I368" s="143"/>
      <c r="J368" s="143"/>
      <c r="K368" s="143"/>
      <c r="L368" s="143"/>
      <c r="M368" s="143"/>
      <c r="N368" s="143"/>
      <c r="O368" s="143"/>
      <c r="P368" s="143"/>
    </row>
    <row r="369" spans="8:16" x14ac:dyDescent="0.25">
      <c r="H369" s="143"/>
      <c r="I369" s="143"/>
      <c r="J369" s="143"/>
      <c r="K369" s="143"/>
      <c r="L369" s="143"/>
      <c r="M369" s="143"/>
      <c r="N369" s="143"/>
      <c r="O369" s="143"/>
      <c r="P369" s="143"/>
    </row>
    <row r="370" spans="8:16" x14ac:dyDescent="0.25">
      <c r="H370" s="143"/>
      <c r="I370" s="143"/>
      <c r="J370" s="143"/>
      <c r="K370" s="143"/>
      <c r="L370" s="143"/>
      <c r="M370" s="143"/>
      <c r="N370" s="143"/>
      <c r="O370" s="143"/>
      <c r="P370" s="143"/>
    </row>
    <row r="371" spans="8:16" x14ac:dyDescent="0.25">
      <c r="H371" s="143"/>
      <c r="I371" s="143"/>
      <c r="J371" s="143"/>
      <c r="K371" s="143"/>
      <c r="L371" s="143"/>
      <c r="M371" s="143"/>
      <c r="N371" s="143"/>
      <c r="O371" s="143"/>
      <c r="P371" s="143"/>
    </row>
    <row r="372" spans="8:16" x14ac:dyDescent="0.25">
      <c r="H372" s="143"/>
      <c r="I372" s="143"/>
      <c r="J372" s="143"/>
      <c r="K372" s="143"/>
      <c r="L372" s="143"/>
      <c r="M372" s="143"/>
      <c r="N372" s="143"/>
      <c r="O372" s="143"/>
      <c r="P372" s="143"/>
    </row>
    <row r="373" spans="8:16" x14ac:dyDescent="0.25">
      <c r="H373" s="143"/>
      <c r="I373" s="143"/>
      <c r="J373" s="143"/>
      <c r="K373" s="143"/>
      <c r="L373" s="143"/>
      <c r="M373" s="143"/>
      <c r="N373" s="143"/>
      <c r="O373" s="143"/>
      <c r="P373" s="143"/>
    </row>
    <row r="374" spans="8:16" x14ac:dyDescent="0.25">
      <c r="H374" s="143"/>
      <c r="I374" s="143"/>
      <c r="J374" s="143"/>
      <c r="K374" s="143"/>
      <c r="L374" s="143"/>
      <c r="M374" s="143"/>
      <c r="N374" s="143"/>
      <c r="O374" s="143"/>
      <c r="P374" s="143"/>
    </row>
    <row r="375" spans="8:16" x14ac:dyDescent="0.25">
      <c r="H375" s="143"/>
      <c r="I375" s="143"/>
      <c r="J375" s="143"/>
      <c r="K375" s="143"/>
      <c r="L375" s="143"/>
      <c r="M375" s="143"/>
      <c r="N375" s="143"/>
      <c r="O375" s="143"/>
      <c r="P375" s="143"/>
    </row>
    <row r="376" spans="8:16" x14ac:dyDescent="0.25">
      <c r="H376" s="143"/>
      <c r="I376" s="143"/>
      <c r="J376" s="143"/>
      <c r="K376" s="143"/>
      <c r="L376" s="143"/>
      <c r="M376" s="143"/>
      <c r="N376" s="143"/>
      <c r="O376" s="143"/>
      <c r="P376" s="143"/>
    </row>
    <row r="377" spans="8:16" x14ac:dyDescent="0.25">
      <c r="H377" s="143"/>
      <c r="I377" s="143"/>
      <c r="J377" s="143"/>
      <c r="K377" s="143"/>
      <c r="L377" s="143"/>
      <c r="M377" s="143"/>
      <c r="N377" s="143"/>
      <c r="O377" s="143"/>
      <c r="P377" s="143"/>
    </row>
    <row r="378" spans="8:16" x14ac:dyDescent="0.25">
      <c r="H378" s="143"/>
      <c r="I378" s="143"/>
      <c r="J378" s="143"/>
      <c r="K378" s="143"/>
      <c r="L378" s="143"/>
      <c r="M378" s="143"/>
      <c r="N378" s="143"/>
      <c r="O378" s="143"/>
      <c r="P378" s="143"/>
    </row>
    <row r="379" spans="8:16" x14ac:dyDescent="0.25">
      <c r="H379" s="143"/>
      <c r="I379" s="143"/>
      <c r="J379" s="143"/>
      <c r="K379" s="143"/>
      <c r="L379" s="143"/>
      <c r="M379" s="143"/>
      <c r="N379" s="143"/>
      <c r="O379" s="143"/>
      <c r="P379" s="143"/>
    </row>
    <row r="380" spans="8:16" x14ac:dyDescent="0.25">
      <c r="H380" s="143"/>
      <c r="I380" s="143"/>
      <c r="J380" s="143"/>
      <c r="K380" s="143"/>
      <c r="L380" s="143"/>
      <c r="M380" s="143"/>
      <c r="N380" s="143"/>
      <c r="O380" s="143"/>
      <c r="P380" s="143"/>
    </row>
    <row r="381" spans="8:16" x14ac:dyDescent="0.25">
      <c r="H381" s="143"/>
      <c r="I381" s="143"/>
      <c r="J381" s="143"/>
      <c r="K381" s="143"/>
      <c r="L381" s="143"/>
      <c r="M381" s="143"/>
      <c r="N381" s="143"/>
      <c r="O381" s="143"/>
      <c r="P381" s="143"/>
    </row>
    <row r="382" spans="8:16" x14ac:dyDescent="0.25">
      <c r="H382" s="143"/>
      <c r="I382" s="143"/>
      <c r="J382" s="143"/>
      <c r="K382" s="143"/>
      <c r="L382" s="143"/>
      <c r="M382" s="143"/>
      <c r="N382" s="143"/>
      <c r="O382" s="143"/>
      <c r="P382" s="143"/>
    </row>
    <row r="383" spans="8:16" x14ac:dyDescent="0.25">
      <c r="H383" s="143"/>
      <c r="I383" s="143"/>
      <c r="J383" s="143"/>
      <c r="K383" s="143"/>
      <c r="L383" s="143"/>
      <c r="M383" s="143"/>
      <c r="N383" s="143"/>
      <c r="O383" s="143"/>
      <c r="P383" s="143"/>
    </row>
    <row r="384" spans="8:16" x14ac:dyDescent="0.25">
      <c r="H384" s="143"/>
      <c r="I384" s="143"/>
      <c r="J384" s="143"/>
      <c r="K384" s="143"/>
      <c r="L384" s="143"/>
      <c r="M384" s="143"/>
      <c r="N384" s="143"/>
      <c r="O384" s="143"/>
      <c r="P384" s="143"/>
    </row>
    <row r="385" spans="8:16" x14ac:dyDescent="0.25">
      <c r="H385" s="143"/>
      <c r="I385" s="143"/>
      <c r="J385" s="143"/>
      <c r="K385" s="143"/>
      <c r="L385" s="143"/>
      <c r="M385" s="143"/>
      <c r="N385" s="143"/>
      <c r="O385" s="143"/>
      <c r="P385" s="143"/>
    </row>
    <row r="386" spans="8:16" x14ac:dyDescent="0.25">
      <c r="H386" s="143"/>
      <c r="I386" s="143"/>
      <c r="J386" s="143"/>
      <c r="K386" s="143"/>
      <c r="L386" s="143"/>
      <c r="M386" s="143"/>
      <c r="N386" s="143"/>
      <c r="O386" s="143"/>
      <c r="P386" s="143"/>
    </row>
    <row r="387" spans="8:16" x14ac:dyDescent="0.25">
      <c r="H387" s="143"/>
      <c r="I387" s="143"/>
      <c r="J387" s="143"/>
      <c r="K387" s="143"/>
      <c r="L387" s="143"/>
      <c r="M387" s="143"/>
      <c r="N387" s="143"/>
      <c r="O387" s="143"/>
      <c r="P387" s="143"/>
    </row>
    <row r="388" spans="8:16" x14ac:dyDescent="0.25">
      <c r="H388" s="143"/>
      <c r="I388" s="143"/>
      <c r="J388" s="143"/>
      <c r="K388" s="143"/>
      <c r="L388" s="143"/>
      <c r="M388" s="143"/>
      <c r="N388" s="143"/>
      <c r="O388" s="143"/>
      <c r="P388" s="143"/>
    </row>
    <row r="389" spans="8:16" x14ac:dyDescent="0.25">
      <c r="H389" s="143"/>
      <c r="I389" s="143"/>
      <c r="J389" s="143"/>
      <c r="K389" s="143"/>
      <c r="L389" s="143"/>
      <c r="M389" s="143"/>
      <c r="N389" s="143"/>
      <c r="O389" s="143"/>
      <c r="P389" s="143"/>
    </row>
    <row r="390" spans="8:16" x14ac:dyDescent="0.25">
      <c r="H390" s="143"/>
      <c r="I390" s="143"/>
      <c r="J390" s="143"/>
      <c r="K390" s="143"/>
      <c r="L390" s="143"/>
      <c r="M390" s="143"/>
      <c r="N390" s="143"/>
      <c r="O390" s="143"/>
      <c r="P390" s="143"/>
    </row>
    <row r="391" spans="8:16" x14ac:dyDescent="0.25">
      <c r="H391" s="143"/>
      <c r="I391" s="143"/>
      <c r="J391" s="143"/>
      <c r="K391" s="143"/>
      <c r="L391" s="143"/>
      <c r="M391" s="143"/>
      <c r="N391" s="143"/>
      <c r="O391" s="143"/>
      <c r="P391" s="143"/>
    </row>
    <row r="392" spans="8:16" x14ac:dyDescent="0.25">
      <c r="H392" s="143"/>
      <c r="I392" s="143"/>
      <c r="J392" s="143"/>
      <c r="K392" s="143"/>
      <c r="L392" s="143"/>
      <c r="M392" s="143"/>
      <c r="N392" s="143"/>
      <c r="O392" s="143"/>
      <c r="P392" s="143"/>
    </row>
    <row r="393" spans="8:16" x14ac:dyDescent="0.25">
      <c r="H393" s="143"/>
      <c r="I393" s="143"/>
      <c r="J393" s="143"/>
      <c r="K393" s="143"/>
      <c r="L393" s="143"/>
      <c r="M393" s="143"/>
      <c r="N393" s="143"/>
      <c r="O393" s="143"/>
      <c r="P393" s="143"/>
    </row>
  </sheetData>
  <sheetProtection formatCells="0" selectLockedCells="1"/>
  <mergeCells count="6">
    <mergeCell ref="C1:G3"/>
    <mergeCell ref="C4:D4"/>
    <mergeCell ref="F4:G4"/>
    <mergeCell ref="C17:D17"/>
    <mergeCell ref="F17:G17"/>
    <mergeCell ref="C22:D22"/>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1875" defaultRowHeight="15.6" x14ac:dyDescent="0.25"/>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x14ac:dyDescent="0.25">
      <c r="A1" s="802" t="s">
        <v>906</v>
      </c>
      <c r="B1" s="802"/>
      <c r="C1" s="802"/>
      <c r="D1" s="802"/>
      <c r="E1" s="802"/>
      <c r="F1" s="802"/>
      <c r="G1" s="802"/>
      <c r="H1" s="802"/>
      <c r="I1" s="802"/>
      <c r="J1" s="802"/>
      <c r="K1" s="802"/>
      <c r="L1" s="802"/>
      <c r="M1" s="802"/>
      <c r="N1" s="802"/>
      <c r="O1" s="802"/>
      <c r="P1" s="802"/>
      <c r="Q1" s="802"/>
      <c r="R1" s="802"/>
      <c r="S1" s="802"/>
    </row>
    <row r="2" spans="1:19" s="125" customFormat="1" ht="16.5" customHeight="1" x14ac:dyDescent="0.25">
      <c r="A2" s="802" t="s">
        <v>907</v>
      </c>
      <c r="B2" s="802"/>
      <c r="C2" s="802"/>
      <c r="D2" s="802"/>
      <c r="E2" s="802"/>
      <c r="F2" s="802"/>
      <c r="G2" s="802"/>
      <c r="H2" s="802"/>
      <c r="I2" s="802"/>
      <c r="J2" s="802"/>
      <c r="K2" s="802"/>
      <c r="L2" s="802"/>
      <c r="M2" s="802"/>
      <c r="N2" s="802"/>
      <c r="O2" s="802"/>
      <c r="P2" s="802"/>
      <c r="Q2" s="802"/>
      <c r="R2" s="802"/>
      <c r="S2" s="802"/>
    </row>
    <row r="3" spans="1:19" x14ac:dyDescent="0.25">
      <c r="E3" s="803" t="s">
        <v>908</v>
      </c>
      <c r="F3" s="803"/>
      <c r="G3" s="803"/>
      <c r="H3" s="803"/>
      <c r="I3" s="803"/>
      <c r="J3" s="803"/>
      <c r="K3" s="803"/>
    </row>
    <row r="4" spans="1:19" x14ac:dyDescent="0.25">
      <c r="E4" s="804" t="s">
        <v>909</v>
      </c>
      <c r="F4" s="805"/>
      <c r="G4" s="805"/>
      <c r="H4" s="805"/>
      <c r="I4" s="805"/>
      <c r="J4" s="805"/>
      <c r="K4" s="806"/>
      <c r="M4" s="804" t="s">
        <v>910</v>
      </c>
      <c r="N4" s="805"/>
      <c r="O4" s="805"/>
      <c r="P4" s="805"/>
      <c r="Q4" s="805"/>
      <c r="R4" s="805"/>
      <c r="S4" s="806"/>
    </row>
    <row r="5" spans="1:19" ht="20.100000000000001" customHeight="1" x14ac:dyDescent="0.25">
      <c r="E5" s="127" t="s">
        <v>132</v>
      </c>
      <c r="F5" s="128" t="s">
        <v>62</v>
      </c>
      <c r="G5" s="807" t="s">
        <v>135</v>
      </c>
      <c r="H5" s="807"/>
      <c r="I5" s="807" t="s">
        <v>133</v>
      </c>
      <c r="J5" s="807"/>
      <c r="K5" s="136" t="s">
        <v>134</v>
      </c>
      <c r="M5" s="127" t="s">
        <v>132</v>
      </c>
      <c r="N5" s="128" t="s">
        <v>62</v>
      </c>
      <c r="O5" s="807" t="s">
        <v>135</v>
      </c>
      <c r="P5" s="807"/>
      <c r="Q5" s="807" t="s">
        <v>133</v>
      </c>
      <c r="R5" s="807"/>
      <c r="S5" s="136" t="s">
        <v>134</v>
      </c>
    </row>
    <row r="6" spans="1:19" ht="50.1" customHeight="1" x14ac:dyDescent="0.25">
      <c r="E6" s="129" t="s">
        <v>911</v>
      </c>
      <c r="F6" s="130" t="s">
        <v>912</v>
      </c>
      <c r="G6" s="808">
        <v>0.5</v>
      </c>
      <c r="H6" s="808"/>
      <c r="I6" s="809" t="s">
        <v>913</v>
      </c>
      <c r="J6" s="809"/>
      <c r="K6" s="137">
        <v>0.5</v>
      </c>
      <c r="M6" s="129" t="s">
        <v>911</v>
      </c>
      <c r="N6" s="130" t="s">
        <v>912</v>
      </c>
      <c r="O6" s="808">
        <v>10</v>
      </c>
      <c r="P6" s="808"/>
      <c r="Q6" s="809" t="s">
        <v>913</v>
      </c>
      <c r="R6" s="809"/>
      <c r="S6" s="137">
        <v>10</v>
      </c>
    </row>
    <row r="7" spans="1:19" ht="50.1" customHeight="1" x14ac:dyDescent="0.25">
      <c r="E7" s="131" t="s">
        <v>914</v>
      </c>
      <c r="F7" s="132" t="s">
        <v>915</v>
      </c>
      <c r="G7" s="810" t="s">
        <v>916</v>
      </c>
      <c r="H7" s="810"/>
      <c r="I7" s="810" t="s">
        <v>917</v>
      </c>
      <c r="J7" s="810"/>
      <c r="K7" s="138">
        <v>2</v>
      </c>
      <c r="M7" s="131" t="s">
        <v>914</v>
      </c>
      <c r="N7" s="132" t="s">
        <v>915</v>
      </c>
      <c r="O7" s="810" t="s">
        <v>918</v>
      </c>
      <c r="P7" s="810"/>
      <c r="Q7" s="810" t="s">
        <v>919</v>
      </c>
      <c r="R7" s="810"/>
      <c r="S7" s="138">
        <v>40</v>
      </c>
    </row>
    <row r="8" spans="1:19" ht="50.1" customHeight="1" x14ac:dyDescent="0.25">
      <c r="E8" s="129" t="s">
        <v>920</v>
      </c>
      <c r="F8" s="130" t="s">
        <v>921</v>
      </c>
      <c r="G8" s="811" t="s">
        <v>922</v>
      </c>
      <c r="H8" s="811"/>
      <c r="I8" s="811" t="s">
        <v>923</v>
      </c>
      <c r="J8" s="811"/>
      <c r="K8" s="139">
        <v>10</v>
      </c>
      <c r="M8" s="129" t="s">
        <v>920</v>
      </c>
      <c r="N8" s="130" t="s">
        <v>921</v>
      </c>
      <c r="O8" s="811" t="s">
        <v>924</v>
      </c>
      <c r="P8" s="811"/>
      <c r="Q8" s="811" t="s">
        <v>925</v>
      </c>
      <c r="R8" s="811"/>
      <c r="S8" s="139">
        <v>200</v>
      </c>
    </row>
    <row r="9" spans="1:19" ht="50.1" customHeight="1" x14ac:dyDescent="0.25">
      <c r="E9" s="131" t="s">
        <v>926</v>
      </c>
      <c r="F9" s="132" t="s">
        <v>927</v>
      </c>
      <c r="G9" s="810" t="s">
        <v>928</v>
      </c>
      <c r="H9" s="810"/>
      <c r="I9" s="810" t="s">
        <v>929</v>
      </c>
      <c r="J9" s="810"/>
      <c r="K9" s="138">
        <v>50</v>
      </c>
      <c r="M9" s="131" t="s">
        <v>926</v>
      </c>
      <c r="N9" s="132" t="s">
        <v>927</v>
      </c>
      <c r="O9" s="810" t="s">
        <v>930</v>
      </c>
      <c r="P9" s="810"/>
      <c r="Q9" s="810" t="s">
        <v>931</v>
      </c>
      <c r="R9" s="810"/>
      <c r="S9" s="138">
        <v>1000</v>
      </c>
    </row>
    <row r="10" spans="1:19" ht="50.1" customHeight="1" x14ac:dyDescent="0.25">
      <c r="E10" s="129" t="s">
        <v>932</v>
      </c>
      <c r="F10" s="130" t="s">
        <v>933</v>
      </c>
      <c r="G10" s="811" t="s">
        <v>934</v>
      </c>
      <c r="H10" s="811"/>
      <c r="I10" s="811" t="s">
        <v>935</v>
      </c>
      <c r="J10" s="811"/>
      <c r="K10" s="139">
        <v>250</v>
      </c>
      <c r="M10" s="129" t="s">
        <v>932</v>
      </c>
      <c r="N10" s="130" t="s">
        <v>933</v>
      </c>
      <c r="O10" s="811" t="s">
        <v>936</v>
      </c>
      <c r="P10" s="811"/>
      <c r="Q10" s="811" t="s">
        <v>937</v>
      </c>
      <c r="R10" s="811"/>
      <c r="S10" s="139">
        <v>5000</v>
      </c>
    </row>
    <row r="11" spans="1:19" ht="50.1" customHeight="1" x14ac:dyDescent="0.25">
      <c r="E11" s="133" t="s">
        <v>938</v>
      </c>
      <c r="F11" s="134">
        <v>99</v>
      </c>
      <c r="G11" s="812">
        <v>50000</v>
      </c>
      <c r="H11" s="812"/>
      <c r="I11" s="813" t="s">
        <v>939</v>
      </c>
      <c r="J11" s="813"/>
      <c r="K11" s="140">
        <v>5000</v>
      </c>
      <c r="M11" s="133" t="s">
        <v>938</v>
      </c>
      <c r="N11" s="134">
        <v>99</v>
      </c>
      <c r="O11" s="812" t="s">
        <v>940</v>
      </c>
      <c r="P11" s="812"/>
      <c r="Q11" s="813" t="s">
        <v>941</v>
      </c>
      <c r="R11" s="813"/>
      <c r="S11" s="140">
        <v>100000</v>
      </c>
    </row>
    <row r="12" spans="1:19" x14ac:dyDescent="0.25">
      <c r="E12" s="135"/>
    </row>
    <row r="13" spans="1:19" x14ac:dyDescent="0.25">
      <c r="F13" s="814" t="s">
        <v>911</v>
      </c>
      <c r="G13" s="815"/>
      <c r="H13" s="815"/>
      <c r="I13" s="815"/>
      <c r="J13" s="816"/>
    </row>
    <row r="14" spans="1:19" ht="52.5" customHeight="1" x14ac:dyDescent="0.25">
      <c r="F14" s="817" t="s">
        <v>942</v>
      </c>
      <c r="G14" s="818"/>
      <c r="H14" s="818"/>
      <c r="I14" s="818"/>
      <c r="J14" s="819"/>
    </row>
    <row r="15" spans="1:19" x14ac:dyDescent="0.25">
      <c r="B15" s="135"/>
      <c r="F15" s="820" t="s">
        <v>943</v>
      </c>
      <c r="G15" s="807"/>
      <c r="H15" s="807"/>
      <c r="I15" s="807"/>
      <c r="J15" s="821"/>
    </row>
    <row r="16" spans="1:19" ht="69.75" customHeight="1" x14ac:dyDescent="0.25">
      <c r="F16" s="817" t="s">
        <v>944</v>
      </c>
      <c r="G16" s="818"/>
      <c r="H16" s="818"/>
      <c r="I16" s="818"/>
      <c r="J16" s="819"/>
    </row>
    <row r="17" spans="2:10" x14ac:dyDescent="0.25">
      <c r="F17" s="820" t="s">
        <v>920</v>
      </c>
      <c r="G17" s="807"/>
      <c r="H17" s="807"/>
      <c r="I17" s="807"/>
      <c r="J17" s="821"/>
    </row>
    <row r="18" spans="2:10" ht="87.75" customHeight="1" x14ac:dyDescent="0.25">
      <c r="F18" s="817" t="s">
        <v>945</v>
      </c>
      <c r="G18" s="818"/>
      <c r="H18" s="818"/>
      <c r="I18" s="818"/>
      <c r="J18" s="819"/>
    </row>
    <row r="19" spans="2:10" x14ac:dyDescent="0.25">
      <c r="F19" s="820" t="s">
        <v>926</v>
      </c>
      <c r="G19" s="807"/>
      <c r="H19" s="807"/>
      <c r="I19" s="807"/>
      <c r="J19" s="821"/>
    </row>
    <row r="20" spans="2:10" ht="85.5" customHeight="1" x14ac:dyDescent="0.25">
      <c r="F20" s="817" t="s">
        <v>946</v>
      </c>
      <c r="G20" s="818"/>
      <c r="H20" s="818"/>
      <c r="I20" s="818"/>
      <c r="J20" s="819"/>
    </row>
    <row r="21" spans="2:10" x14ac:dyDescent="0.25">
      <c r="F21" s="820" t="s">
        <v>932</v>
      </c>
      <c r="G21" s="807"/>
      <c r="H21" s="807"/>
      <c r="I21" s="807"/>
      <c r="J21" s="821"/>
    </row>
    <row r="22" spans="2:10" ht="138" customHeight="1" x14ac:dyDescent="0.25">
      <c r="F22" s="817" t="s">
        <v>947</v>
      </c>
      <c r="G22" s="818"/>
      <c r="H22" s="818"/>
      <c r="I22" s="818"/>
      <c r="J22" s="819"/>
    </row>
    <row r="23" spans="2:10" x14ac:dyDescent="0.25">
      <c r="B23" s="135"/>
      <c r="F23" s="820" t="s">
        <v>948</v>
      </c>
      <c r="G23" s="807"/>
      <c r="H23" s="807"/>
      <c r="I23" s="807"/>
      <c r="J23" s="821"/>
    </row>
    <row r="24" spans="2:10" ht="35.25" customHeight="1" x14ac:dyDescent="0.25">
      <c r="F24" s="822" t="s">
        <v>949</v>
      </c>
      <c r="G24" s="823"/>
      <c r="H24" s="823"/>
      <c r="I24" s="823"/>
      <c r="J24" s="824"/>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8671875" defaultRowHeight="17.399999999999999" x14ac:dyDescent="0.25"/>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x14ac:dyDescent="0.25">
      <c r="A1" s="72" t="s">
        <v>950</v>
      </c>
      <c r="B1" s="73" t="s">
        <v>951</v>
      </c>
      <c r="C1" s="74" t="s">
        <v>952</v>
      </c>
      <c r="E1" s="72" t="s">
        <v>15</v>
      </c>
      <c r="F1" s="74" t="s">
        <v>953</v>
      </c>
      <c r="J1" s="114"/>
    </row>
    <row r="2" spans="1:10" x14ac:dyDescent="0.25">
      <c r="A2" s="75">
        <v>0</v>
      </c>
      <c r="B2" s="76" t="s">
        <v>954</v>
      </c>
      <c r="C2" s="77">
        <v>0</v>
      </c>
      <c r="E2" s="78">
        <f>人物卡!C6</f>
        <v>35</v>
      </c>
      <c r="F2" s="79">
        <f>IF((人物卡!C6&lt;39)*AND(人物卡!C6&gt;=0),0,IF(人物卡!C6&lt;50,1,IF(人物卡!C6&lt;60,2,IF(人物卡!C6&lt;70,3,IF(人物卡!C6&lt;80,4,IF(人物卡!C6&lt;90,5))))))</f>
        <v>0</v>
      </c>
    </row>
    <row r="3" spans="1:10" x14ac:dyDescent="0.25">
      <c r="A3" s="80">
        <v>2</v>
      </c>
      <c r="B3" s="81">
        <v>-2</v>
      </c>
      <c r="C3" s="82">
        <v>-2</v>
      </c>
    </row>
    <row r="4" spans="1:10" x14ac:dyDescent="0.25">
      <c r="A4" s="75">
        <v>65</v>
      </c>
      <c r="B4" s="76">
        <v>-1</v>
      </c>
      <c r="C4" s="77">
        <v>-1</v>
      </c>
    </row>
    <row r="5" spans="1:10" x14ac:dyDescent="0.25">
      <c r="A5" s="80">
        <v>85</v>
      </c>
      <c r="B5" s="81">
        <v>0</v>
      </c>
      <c r="C5" s="82">
        <v>0</v>
      </c>
    </row>
    <row r="6" spans="1:10" x14ac:dyDescent="0.25">
      <c r="A6" s="75">
        <v>125</v>
      </c>
      <c r="B6" s="76" t="s">
        <v>955</v>
      </c>
      <c r="C6" s="77">
        <v>1</v>
      </c>
    </row>
    <row r="7" spans="1:10" x14ac:dyDescent="0.25">
      <c r="A7" s="80">
        <v>165</v>
      </c>
      <c r="B7" s="81" t="s">
        <v>956</v>
      </c>
      <c r="C7" s="82">
        <v>2</v>
      </c>
    </row>
    <row r="8" spans="1:10" x14ac:dyDescent="0.25">
      <c r="A8" s="75">
        <v>205</v>
      </c>
      <c r="B8" s="76" t="s">
        <v>957</v>
      </c>
      <c r="C8" s="77">
        <v>3</v>
      </c>
    </row>
    <row r="9" spans="1:10" x14ac:dyDescent="0.25">
      <c r="A9" s="80">
        <v>285</v>
      </c>
      <c r="B9" s="81" t="s">
        <v>958</v>
      </c>
      <c r="C9" s="82">
        <v>4</v>
      </c>
      <c r="E9" s="825" t="s">
        <v>959</v>
      </c>
      <c r="F9" s="826"/>
    </row>
    <row r="10" spans="1:10" x14ac:dyDescent="0.25">
      <c r="A10" s="75">
        <v>365</v>
      </c>
      <c r="B10" s="76" t="s">
        <v>960</v>
      </c>
      <c r="C10" s="77">
        <v>5</v>
      </c>
      <c r="E10" s="83" t="s">
        <v>961</v>
      </c>
      <c r="F10" s="77">
        <f>人物卡!J3</f>
        <v>50</v>
      </c>
    </row>
    <row r="11" spans="1:10" x14ac:dyDescent="0.25">
      <c r="A11" s="80">
        <v>445</v>
      </c>
      <c r="B11" s="81" t="s">
        <v>962</v>
      </c>
      <c r="C11" s="82">
        <v>6</v>
      </c>
      <c r="E11" s="80" t="s">
        <v>963</v>
      </c>
      <c r="F11" s="82">
        <f>人物卡!M3</f>
        <v>45</v>
      </c>
    </row>
    <row r="12" spans="1:10" x14ac:dyDescent="0.25">
      <c r="A12" s="75">
        <v>525</v>
      </c>
      <c r="B12" s="76" t="s">
        <v>964</v>
      </c>
      <c r="C12" s="77">
        <v>7</v>
      </c>
      <c r="E12" s="83" t="s">
        <v>965</v>
      </c>
      <c r="F12" s="77">
        <f>人物卡!J7</f>
        <v>75</v>
      </c>
    </row>
    <row r="13" spans="1:10" x14ac:dyDescent="0.25">
      <c r="A13" s="80">
        <v>605</v>
      </c>
      <c r="B13" s="81" t="s">
        <v>966</v>
      </c>
      <c r="C13" s="82">
        <v>8</v>
      </c>
      <c r="E13" s="80" t="s">
        <v>967</v>
      </c>
      <c r="F13" s="82" t="b">
        <f>IF(F10&gt;F12,TRUE())</f>
        <v>0</v>
      </c>
    </row>
    <row r="14" spans="1:10" x14ac:dyDescent="0.25">
      <c r="A14" s="75">
        <v>685</v>
      </c>
      <c r="B14" s="76" t="s">
        <v>968</v>
      </c>
      <c r="C14" s="77">
        <v>9</v>
      </c>
      <c r="E14" s="83" t="s">
        <v>969</v>
      </c>
      <c r="F14" s="77" t="b">
        <f>IF(F11&gt;F12,TRUE())</f>
        <v>0</v>
      </c>
    </row>
    <row r="15" spans="1:10" x14ac:dyDescent="0.25">
      <c r="A15" s="80">
        <v>765</v>
      </c>
      <c r="B15" s="81" t="s">
        <v>970</v>
      </c>
      <c r="C15" s="82">
        <v>10</v>
      </c>
      <c r="E15" s="80" t="s">
        <v>971</v>
      </c>
      <c r="F15" s="82" t="b">
        <f>IF(F10=F12,TRUE())</f>
        <v>0</v>
      </c>
    </row>
    <row r="16" spans="1:10" x14ac:dyDescent="0.25">
      <c r="A16" s="75">
        <v>845</v>
      </c>
      <c r="B16" s="76" t="s">
        <v>972</v>
      </c>
      <c r="C16" s="77">
        <v>11</v>
      </c>
      <c r="E16" s="83" t="s">
        <v>973</v>
      </c>
      <c r="F16" s="77" t="b">
        <f>IF(F11=F12,TRUE())</f>
        <v>0</v>
      </c>
    </row>
    <row r="17" spans="1:6" x14ac:dyDescent="0.25">
      <c r="A17" s="80">
        <v>925</v>
      </c>
      <c r="B17" s="81" t="s">
        <v>974</v>
      </c>
      <c r="C17" s="82">
        <v>12</v>
      </c>
      <c r="E17" s="80" t="s">
        <v>975</v>
      </c>
      <c r="F17" s="82" t="b">
        <f>IF(F10&lt;F12,TRUE())</f>
        <v>1</v>
      </c>
    </row>
    <row r="18" spans="1:6" x14ac:dyDescent="0.25">
      <c r="A18" s="75">
        <v>1005</v>
      </c>
      <c r="B18" s="76" t="s">
        <v>976</v>
      </c>
      <c r="C18" s="77">
        <v>13</v>
      </c>
      <c r="E18" s="83" t="s">
        <v>977</v>
      </c>
      <c r="F18" s="77" t="b">
        <f>IF(F11&lt;F12,TRUE())</f>
        <v>1</v>
      </c>
    </row>
    <row r="19" spans="1:6" x14ac:dyDescent="0.25">
      <c r="A19" s="80">
        <v>1085</v>
      </c>
      <c r="B19" s="81" t="s">
        <v>978</v>
      </c>
      <c r="C19" s="82">
        <v>14</v>
      </c>
      <c r="E19" s="80" t="s">
        <v>979</v>
      </c>
      <c r="F19" s="82" t="b">
        <f>AND(F17:F18)</f>
        <v>1</v>
      </c>
    </row>
    <row r="20" spans="1:6" x14ac:dyDescent="0.25">
      <c r="A20" s="75">
        <v>1165</v>
      </c>
      <c r="B20" s="76" t="s">
        <v>980</v>
      </c>
      <c r="C20" s="77">
        <v>15</v>
      </c>
      <c r="E20" s="83" t="s">
        <v>981</v>
      </c>
      <c r="F20" s="77" t="b">
        <f>AND(F13:F14)</f>
        <v>0</v>
      </c>
    </row>
    <row r="21" spans="1:6" x14ac:dyDescent="0.25">
      <c r="A21" s="80">
        <v>1245</v>
      </c>
      <c r="B21" s="81" t="s">
        <v>982</v>
      </c>
      <c r="C21" s="82">
        <v>16</v>
      </c>
      <c r="E21" s="80" t="s">
        <v>983</v>
      </c>
      <c r="F21" s="82" t="b">
        <f>AND(F15:F16)</f>
        <v>0</v>
      </c>
    </row>
    <row r="22" spans="1:6" x14ac:dyDescent="0.25">
      <c r="A22" s="75">
        <v>1325</v>
      </c>
      <c r="B22" s="76" t="s">
        <v>984</v>
      </c>
      <c r="C22" s="77">
        <v>17</v>
      </c>
      <c r="E22" s="83" t="s">
        <v>985</v>
      </c>
      <c r="F22" s="77" t="b">
        <f>OR(F13:F14)</f>
        <v>0</v>
      </c>
    </row>
    <row r="23" spans="1:6" x14ac:dyDescent="0.25">
      <c r="A23" s="80">
        <v>1405</v>
      </c>
      <c r="B23" s="81" t="s">
        <v>986</v>
      </c>
      <c r="C23" s="82">
        <v>18</v>
      </c>
      <c r="E23" s="80" t="s">
        <v>987</v>
      </c>
      <c r="F23" s="82">
        <f>IF(OR(F15:F16),8,0)</f>
        <v>0</v>
      </c>
    </row>
    <row r="24" spans="1:6" x14ac:dyDescent="0.25">
      <c r="A24" s="75">
        <v>1485</v>
      </c>
      <c r="B24" s="76" t="s">
        <v>988</v>
      </c>
      <c r="C24" s="77">
        <v>19</v>
      </c>
      <c r="E24" s="83" t="s">
        <v>989</v>
      </c>
      <c r="F24" s="77">
        <f>IF(F19,7,0)</f>
        <v>7</v>
      </c>
    </row>
    <row r="25" spans="1:6" x14ac:dyDescent="0.25">
      <c r="A25" s="80">
        <v>1565</v>
      </c>
      <c r="B25" s="81" t="s">
        <v>990</v>
      </c>
      <c r="C25" s="82">
        <v>20</v>
      </c>
      <c r="E25" s="80" t="s">
        <v>991</v>
      </c>
      <c r="F25" s="82">
        <f>IF(F20,9,0)</f>
        <v>0</v>
      </c>
    </row>
    <row r="26" spans="1:6" x14ac:dyDescent="0.25">
      <c r="A26" s="75">
        <v>1645</v>
      </c>
      <c r="B26" s="76" t="s">
        <v>992</v>
      </c>
      <c r="C26" s="77">
        <v>21</v>
      </c>
      <c r="E26" s="83" t="s">
        <v>987</v>
      </c>
      <c r="F26" s="77">
        <f>IF(OR(F21:F22),8,0)</f>
        <v>0</v>
      </c>
    </row>
    <row r="27" spans="1:6" x14ac:dyDescent="0.25">
      <c r="A27" s="80">
        <v>1725</v>
      </c>
      <c r="B27" s="81" t="s">
        <v>993</v>
      </c>
      <c r="C27" s="82">
        <v>22</v>
      </c>
      <c r="E27" s="80" t="s">
        <v>994</v>
      </c>
      <c r="F27" s="82">
        <f>MAX(F23:F26)</f>
        <v>7</v>
      </c>
    </row>
    <row r="28" spans="1:6" x14ac:dyDescent="0.25">
      <c r="A28" s="75">
        <v>1805</v>
      </c>
      <c r="B28" s="76" t="s">
        <v>995</v>
      </c>
      <c r="C28" s="77">
        <v>23</v>
      </c>
      <c r="E28" s="84" t="s">
        <v>996</v>
      </c>
      <c r="F28" s="85">
        <f>F27-F2</f>
        <v>7</v>
      </c>
    </row>
    <row r="29" spans="1:6" x14ac:dyDescent="0.25">
      <c r="A29" s="80">
        <v>1885</v>
      </c>
      <c r="B29" s="81" t="s">
        <v>997</v>
      </c>
      <c r="C29" s="82">
        <v>24</v>
      </c>
    </row>
    <row r="30" spans="1:6" x14ac:dyDescent="0.25">
      <c r="A30" s="75">
        <v>1965</v>
      </c>
      <c r="B30" s="76" t="s">
        <v>998</v>
      </c>
      <c r="C30" s="77">
        <v>25</v>
      </c>
    </row>
    <row r="31" spans="1:6" x14ac:dyDescent="0.25">
      <c r="A31" s="80">
        <v>2045</v>
      </c>
      <c r="B31" s="81" t="s">
        <v>999</v>
      </c>
      <c r="C31" s="82">
        <v>26</v>
      </c>
    </row>
    <row r="32" spans="1:6" x14ac:dyDescent="0.25">
      <c r="A32" s="86">
        <v>2125</v>
      </c>
      <c r="B32" s="87" t="s">
        <v>1000</v>
      </c>
      <c r="C32" s="79">
        <v>27</v>
      </c>
    </row>
    <row r="34" spans="1:19" x14ac:dyDescent="0.25">
      <c r="A34" s="88" t="s">
        <v>1001</v>
      </c>
      <c r="B34" s="89" t="s">
        <v>1002</v>
      </c>
    </row>
    <row r="35" spans="1:19" ht="34.799999999999997" x14ac:dyDescent="0.25">
      <c r="A35" s="90" t="s">
        <v>541</v>
      </c>
      <c r="B35" s="91">
        <f>STR</f>
        <v>50</v>
      </c>
    </row>
    <row r="36" spans="1:19" ht="34.799999999999997" x14ac:dyDescent="0.25">
      <c r="A36" s="92" t="s">
        <v>542</v>
      </c>
      <c r="B36" s="93">
        <f>DEX</f>
        <v>45</v>
      </c>
    </row>
    <row r="37" spans="1:19" ht="34.799999999999997" x14ac:dyDescent="0.25">
      <c r="A37" s="90" t="s">
        <v>543</v>
      </c>
      <c r="B37" s="91">
        <f>POW</f>
        <v>60</v>
      </c>
    </row>
    <row r="38" spans="1:19" ht="34.799999999999997" x14ac:dyDescent="0.25">
      <c r="A38" s="92" t="s">
        <v>544</v>
      </c>
      <c r="B38" s="93">
        <f>CON</f>
        <v>85</v>
      </c>
    </row>
    <row r="39" spans="1:19" ht="34.799999999999997" x14ac:dyDescent="0.25">
      <c r="A39" s="90" t="s">
        <v>545</v>
      </c>
      <c r="B39" s="91">
        <f>APP</f>
        <v>60</v>
      </c>
    </row>
    <row r="40" spans="1:19" ht="34.799999999999997" x14ac:dyDescent="0.25">
      <c r="A40" s="92" t="s">
        <v>546</v>
      </c>
      <c r="B40" s="93">
        <f>EDU</f>
        <v>90</v>
      </c>
    </row>
    <row r="41" spans="1:19" ht="34.799999999999997" x14ac:dyDescent="0.25">
      <c r="A41" s="90" t="s">
        <v>548</v>
      </c>
      <c r="B41" s="94">
        <f>SIZ</f>
        <v>75</v>
      </c>
    </row>
    <row r="42" spans="1:19" ht="34.799999999999997" x14ac:dyDescent="0.25">
      <c r="A42" s="95" t="s">
        <v>549</v>
      </c>
      <c r="B42" s="96">
        <f>INT</f>
        <v>55</v>
      </c>
    </row>
    <row r="43" spans="1:19" x14ac:dyDescent="0.25">
      <c r="B43" s="70"/>
      <c r="C43" s="70"/>
    </row>
    <row r="45" spans="1:19" x14ac:dyDescent="0.25">
      <c r="A45" s="97" t="s">
        <v>1003</v>
      </c>
      <c r="B45" s="98" t="s">
        <v>1004</v>
      </c>
      <c r="C45" s="827" t="s">
        <v>1005</v>
      </c>
      <c r="D45" s="827"/>
      <c r="E45" s="827"/>
      <c r="F45" s="827"/>
      <c r="G45" s="827"/>
      <c r="H45" s="827"/>
      <c r="I45" s="827"/>
      <c r="J45" s="827"/>
      <c r="K45" s="827"/>
      <c r="L45" s="827"/>
      <c r="M45" s="827"/>
      <c r="N45" s="827"/>
      <c r="O45" s="827"/>
      <c r="P45" s="827"/>
      <c r="Q45" s="828"/>
      <c r="R45" s="98" t="s">
        <v>1006</v>
      </c>
      <c r="S45" s="115" t="s">
        <v>1007</v>
      </c>
    </row>
    <row r="46" spans="1:19" x14ac:dyDescent="0.25">
      <c r="A46" s="99" t="s">
        <v>1008</v>
      </c>
      <c r="B46" s="100">
        <f t="shared" ref="B46:B51" si="0">($R46/$S46)*10+20</f>
        <v>145</v>
      </c>
      <c r="C46" s="101">
        <f>SUM(人物卡!$G$33:$I$35)</f>
        <v>0</v>
      </c>
      <c r="D46" s="102">
        <f>SUM(人物卡!$G$28:$I$28)</f>
        <v>40</v>
      </c>
      <c r="E46" s="102">
        <f>SUM(人物卡!$G$36:$I$38)</f>
        <v>35</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75</v>
      </c>
      <c r="S46" s="118">
        <f t="shared" ref="S46:S51" si="1">COUNT($C46:$Q46)</f>
        <v>6</v>
      </c>
    </row>
    <row r="47" spans="1:19" x14ac:dyDescent="0.25">
      <c r="A47" s="103" t="s">
        <v>31</v>
      </c>
      <c r="B47" s="104">
        <f t="shared" si="0"/>
        <v>20</v>
      </c>
      <c r="C47" s="105">
        <f>SUM(人物卡!$G$19:$I$21)</f>
        <v>0</v>
      </c>
      <c r="D47" s="81">
        <f>SUM(人物卡!$G$29:$I$29)</f>
        <v>0</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0</v>
      </c>
      <c r="S47" s="120">
        <f t="shared" si="1"/>
        <v>15</v>
      </c>
    </row>
    <row r="48" spans="1:19" x14ac:dyDescent="0.25">
      <c r="A48" s="106" t="s">
        <v>1009</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x14ac:dyDescent="0.25">
      <c r="A49" s="103" t="s">
        <v>1010</v>
      </c>
      <c r="B49" s="104">
        <f t="shared" si="0"/>
        <v>70</v>
      </c>
      <c r="C49" s="105">
        <f>SUM(人物卡!$G$15:$I$15)</f>
        <v>0</v>
      </c>
      <c r="D49" s="81">
        <f>SUM(人物卡!$R$28:$T$28)</f>
        <v>0</v>
      </c>
      <c r="E49" s="81">
        <f>SUM(人物卡!$G$22:$I$22)</f>
        <v>0</v>
      </c>
      <c r="F49" s="81">
        <f>SUM(人物卡!$G$32:$I$32)</f>
        <v>40</v>
      </c>
      <c r="G49" s="81">
        <f>SUM(人物卡!$G$41:$I$41)</f>
        <v>0</v>
      </c>
      <c r="H49" s="81">
        <f>SUM(人物卡!$G$43:$I$45)</f>
        <v>0</v>
      </c>
      <c r="I49" s="81">
        <f>SUM(人物卡!$G$46:$I$46)</f>
        <v>0</v>
      </c>
      <c r="J49" s="81">
        <f>SUM(人物卡!$R$25:$T$25)</f>
        <v>0</v>
      </c>
      <c r="K49" s="81" t="s">
        <v>122</v>
      </c>
      <c r="L49" s="81" t="s">
        <v>122</v>
      </c>
      <c r="M49" s="81" t="s">
        <v>122</v>
      </c>
      <c r="N49" s="81" t="s">
        <v>122</v>
      </c>
      <c r="O49" s="81" t="s">
        <v>122</v>
      </c>
      <c r="P49" s="81" t="s">
        <v>122</v>
      </c>
      <c r="Q49" s="119" t="s">
        <v>122</v>
      </c>
      <c r="R49" s="104">
        <f>SUM($C49:$O49)</f>
        <v>40</v>
      </c>
      <c r="S49" s="120">
        <f t="shared" si="1"/>
        <v>8</v>
      </c>
    </row>
    <row r="50" spans="1:19" x14ac:dyDescent="0.25">
      <c r="A50" s="106" t="s">
        <v>1011</v>
      </c>
      <c r="B50" s="107">
        <f t="shared" si="0"/>
        <v>90</v>
      </c>
      <c r="C50" s="108">
        <f>SUM(人物卡!$G$18:$I$18)</f>
        <v>40</v>
      </c>
      <c r="D50" s="109">
        <f>SUM(人物卡!$G$24:$I$24)</f>
        <v>0</v>
      </c>
      <c r="E50" s="109">
        <f>SUM(人物卡!$G$31:$I$31)</f>
        <v>0</v>
      </c>
      <c r="F50" s="109">
        <f>SUM(人物卡!$R$21:$T$21)</f>
        <v>0</v>
      </c>
      <c r="G50" s="109">
        <f>SUM(人物卡!$R$23:$T$23)</f>
        <v>0</v>
      </c>
      <c r="H50" s="109">
        <f>SUM(人物卡!$R$30:$T$32)</f>
        <v>0</v>
      </c>
      <c r="I50" s="109">
        <f>SUM(人物卡!$G$40:$I$40)</f>
        <v>30</v>
      </c>
      <c r="J50" s="109">
        <f>SUM(人物卡!$R$15:$T$15)</f>
        <v>0</v>
      </c>
      <c r="K50" s="109">
        <f>SUM(人物卡!$G$17:$I$17)</f>
        <v>0</v>
      </c>
      <c r="L50" s="109">
        <f>SUM(人物卡!$G$16:$I$16)</f>
        <v>0</v>
      </c>
      <c r="M50" s="109" t="s">
        <v>122</v>
      </c>
      <c r="N50" s="109" t="s">
        <v>122</v>
      </c>
      <c r="O50" s="109" t="s">
        <v>122</v>
      </c>
      <c r="P50" s="109" t="s">
        <v>122</v>
      </c>
      <c r="Q50" s="121" t="s">
        <v>122</v>
      </c>
      <c r="R50" s="107">
        <f>SUM($C50:$O50)</f>
        <v>70</v>
      </c>
      <c r="S50" s="122">
        <f t="shared" si="1"/>
        <v>10</v>
      </c>
    </row>
    <row r="51" spans="1:19" x14ac:dyDescent="0.25">
      <c r="A51" s="110" t="s">
        <v>1012</v>
      </c>
      <c r="B51" s="111">
        <f t="shared" si="0"/>
        <v>197.77777777777777</v>
      </c>
      <c r="C51" s="112">
        <f>SUM(人物卡!$R$16:$T$16)</f>
        <v>40</v>
      </c>
      <c r="D51" s="113">
        <f>SUM(人物卡!$R$17:$T$17)</f>
        <v>50</v>
      </c>
      <c r="E51" s="113">
        <f>SUM(人物卡!$R$22:$T$22)</f>
        <v>0</v>
      </c>
      <c r="F51" s="113">
        <f>SUM(人物卡!$R$34:$T$34)</f>
        <v>40</v>
      </c>
      <c r="G51" s="113">
        <f>SUM(人物卡!$R$35:$T$35)</f>
        <v>0</v>
      </c>
      <c r="H51" s="113">
        <f>SUM(人物卡!$R$36:$T$36)</f>
        <v>0</v>
      </c>
      <c r="I51" s="113">
        <f>SUM(人物卡!$G$48:$I$48)</f>
        <v>30</v>
      </c>
      <c r="J51" s="113">
        <f>SUM(人物卡!$G$42:$I$42)</f>
        <v>0</v>
      </c>
      <c r="K51" s="113">
        <f>SUM(人物卡!$G$23:$I$23)</f>
        <v>0</v>
      </c>
      <c r="L51" s="113" t="s">
        <v>122</v>
      </c>
      <c r="M51" s="113" t="s">
        <v>122</v>
      </c>
      <c r="N51" s="113" t="s">
        <v>122</v>
      </c>
      <c r="O51" s="113" t="s">
        <v>122</v>
      </c>
      <c r="P51" s="113" t="s">
        <v>122</v>
      </c>
      <c r="Q51" s="123" t="s">
        <v>122</v>
      </c>
      <c r="R51" s="111">
        <f>SUM($C51:$M51)</f>
        <v>160</v>
      </c>
      <c r="S51" s="124">
        <f t="shared" si="1"/>
        <v>9</v>
      </c>
    </row>
    <row r="52" spans="1:19" x14ac:dyDescent="0.25">
      <c r="R52" s="70">
        <f>SUM(R46:R51)</f>
        <v>345</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3.8" x14ac:dyDescent="0.25"/>
  <cols>
    <col min="2" max="2" width="67.77734375" style="2" customWidth="1"/>
    <col min="4" max="4" width="74.77734375" style="2" customWidth="1"/>
  </cols>
  <sheetData>
    <row r="1" spans="1:4" ht="17.399999999999999" x14ac:dyDescent="0.25">
      <c r="B1" s="67" t="s">
        <v>902</v>
      </c>
      <c r="D1" s="67" t="s">
        <v>903</v>
      </c>
    </row>
    <row r="2" spans="1:4" ht="46.8" x14ac:dyDescent="0.25">
      <c r="A2">
        <v>0</v>
      </c>
      <c r="B2" s="68" t="s">
        <v>1013</v>
      </c>
      <c r="C2">
        <v>0</v>
      </c>
      <c r="D2" s="68" t="s">
        <v>1014</v>
      </c>
    </row>
    <row r="3" spans="1:4" ht="15.6" x14ac:dyDescent="0.25">
      <c r="A3">
        <v>1</v>
      </c>
      <c r="B3" s="68" t="s">
        <v>1015</v>
      </c>
      <c r="C3">
        <v>1</v>
      </c>
      <c r="D3" s="68" t="s">
        <v>1016</v>
      </c>
    </row>
    <row r="4" spans="1:4" ht="15.6" x14ac:dyDescent="0.25">
      <c r="A4">
        <v>2</v>
      </c>
      <c r="B4" s="68" t="s">
        <v>1017</v>
      </c>
      <c r="C4">
        <v>2</v>
      </c>
      <c r="D4" s="68" t="s">
        <v>1018</v>
      </c>
    </row>
    <row r="5" spans="1:4" ht="15.6" x14ac:dyDescent="0.25">
      <c r="A5">
        <v>3</v>
      </c>
      <c r="B5" s="68" t="s">
        <v>1019</v>
      </c>
      <c r="C5">
        <v>3</v>
      </c>
      <c r="D5" s="68" t="s">
        <v>1020</v>
      </c>
    </row>
    <row r="6" spans="1:4" ht="15.6" x14ac:dyDescent="0.25">
      <c r="A6">
        <v>4</v>
      </c>
      <c r="B6" s="68" t="s">
        <v>1021</v>
      </c>
      <c r="C6">
        <v>4</v>
      </c>
      <c r="D6" s="68" t="s">
        <v>1022</v>
      </c>
    </row>
    <row r="7" spans="1:4" ht="15.6" x14ac:dyDescent="0.25">
      <c r="A7">
        <v>5</v>
      </c>
      <c r="B7" s="68" t="s">
        <v>1023</v>
      </c>
      <c r="C7">
        <v>5</v>
      </c>
      <c r="D7" s="68" t="s">
        <v>1024</v>
      </c>
    </row>
    <row r="8" spans="1:4" ht="15.6" x14ac:dyDescent="0.25">
      <c r="A8">
        <v>6</v>
      </c>
      <c r="B8" s="68" t="s">
        <v>1025</v>
      </c>
      <c r="C8">
        <v>6</v>
      </c>
      <c r="D8" s="68" t="s">
        <v>1026</v>
      </c>
    </row>
    <row r="9" spans="1:4" ht="15.6" x14ac:dyDescent="0.25">
      <c r="A9">
        <v>7</v>
      </c>
      <c r="B9" s="68" t="s">
        <v>1027</v>
      </c>
      <c r="C9">
        <v>7</v>
      </c>
      <c r="D9" s="68" t="s">
        <v>1028</v>
      </c>
    </row>
    <row r="10" spans="1:4" ht="15.6" x14ac:dyDescent="0.25">
      <c r="A10">
        <v>8</v>
      </c>
      <c r="B10" s="68" t="s">
        <v>1029</v>
      </c>
      <c r="C10">
        <v>8</v>
      </c>
      <c r="D10" s="68" t="s">
        <v>1030</v>
      </c>
    </row>
    <row r="11" spans="1:4" ht="15.6" x14ac:dyDescent="0.25">
      <c r="A11">
        <v>9</v>
      </c>
      <c r="B11" s="68" t="s">
        <v>1031</v>
      </c>
      <c r="C11">
        <v>9</v>
      </c>
      <c r="D11" s="68" t="s">
        <v>1032</v>
      </c>
    </row>
    <row r="12" spans="1:4" ht="15.6" x14ac:dyDescent="0.25">
      <c r="A12">
        <v>10</v>
      </c>
      <c r="B12" s="68" t="s">
        <v>1033</v>
      </c>
      <c r="C12">
        <v>10</v>
      </c>
      <c r="D12" s="68" t="s">
        <v>1034</v>
      </c>
    </row>
    <row r="13" spans="1:4" ht="15.6" x14ac:dyDescent="0.25">
      <c r="A13">
        <v>11</v>
      </c>
      <c r="B13" s="68" t="s">
        <v>1035</v>
      </c>
      <c r="C13">
        <v>11</v>
      </c>
      <c r="D13" s="68" t="s">
        <v>1036</v>
      </c>
    </row>
    <row r="14" spans="1:4" ht="15.6" x14ac:dyDescent="0.25">
      <c r="A14">
        <v>12</v>
      </c>
      <c r="B14" s="68" t="s">
        <v>1037</v>
      </c>
      <c r="C14">
        <v>12</v>
      </c>
      <c r="D14" s="68" t="s">
        <v>1038</v>
      </c>
    </row>
    <row r="15" spans="1:4" ht="15.6" x14ac:dyDescent="0.25">
      <c r="A15">
        <v>13</v>
      </c>
      <c r="B15" s="68" t="s">
        <v>1039</v>
      </c>
      <c r="C15">
        <v>13</v>
      </c>
      <c r="D15" s="68" t="s">
        <v>1040</v>
      </c>
    </row>
    <row r="16" spans="1:4" ht="15.6" x14ac:dyDescent="0.25">
      <c r="A16">
        <v>14</v>
      </c>
      <c r="B16" s="68" t="s">
        <v>1041</v>
      </c>
      <c r="C16">
        <v>14</v>
      </c>
      <c r="D16" s="68" t="s">
        <v>1042</v>
      </c>
    </row>
    <row r="17" spans="1:4" ht="15.6" x14ac:dyDescent="0.25">
      <c r="A17">
        <v>15</v>
      </c>
      <c r="B17" s="68" t="s">
        <v>1043</v>
      </c>
      <c r="C17">
        <v>15</v>
      </c>
      <c r="D17" s="68" t="s">
        <v>1044</v>
      </c>
    </row>
    <row r="18" spans="1:4" ht="31.2" x14ac:dyDescent="0.25">
      <c r="A18">
        <v>16</v>
      </c>
      <c r="B18" s="68" t="s">
        <v>1045</v>
      </c>
      <c r="C18">
        <v>16</v>
      </c>
      <c r="D18" s="68" t="s">
        <v>1046</v>
      </c>
    </row>
    <row r="19" spans="1:4" ht="15.6" x14ac:dyDescent="0.25">
      <c r="A19">
        <v>17</v>
      </c>
      <c r="B19" s="68" t="s">
        <v>1047</v>
      </c>
      <c r="C19">
        <v>17</v>
      </c>
      <c r="D19" s="68" t="s">
        <v>1048</v>
      </c>
    </row>
    <row r="20" spans="1:4" ht="15.6" x14ac:dyDescent="0.25">
      <c r="A20">
        <v>18</v>
      </c>
      <c r="B20" s="68" t="s">
        <v>1049</v>
      </c>
      <c r="C20">
        <v>18</v>
      </c>
      <c r="D20" s="68" t="s">
        <v>1050</v>
      </c>
    </row>
    <row r="21" spans="1:4" ht="15.6" x14ac:dyDescent="0.25">
      <c r="A21">
        <v>19</v>
      </c>
      <c r="B21" s="68" t="s">
        <v>1051</v>
      </c>
      <c r="C21">
        <v>19</v>
      </c>
      <c r="D21" s="68" t="s">
        <v>1052</v>
      </c>
    </row>
    <row r="22" spans="1:4" ht="15.6" x14ac:dyDescent="0.25">
      <c r="A22">
        <v>20</v>
      </c>
      <c r="B22" s="68" t="s">
        <v>1053</v>
      </c>
      <c r="C22">
        <v>20</v>
      </c>
      <c r="D22" s="68" t="s">
        <v>1054</v>
      </c>
    </row>
    <row r="23" spans="1:4" ht="15.6" x14ac:dyDescent="0.25">
      <c r="A23">
        <v>21</v>
      </c>
      <c r="B23" s="68" t="s">
        <v>1055</v>
      </c>
      <c r="C23">
        <v>21</v>
      </c>
      <c r="D23" s="68" t="s">
        <v>1056</v>
      </c>
    </row>
    <row r="24" spans="1:4" ht="15.6" x14ac:dyDescent="0.25">
      <c r="A24">
        <v>22</v>
      </c>
      <c r="B24" s="68" t="s">
        <v>1057</v>
      </c>
      <c r="C24">
        <v>22</v>
      </c>
      <c r="D24" s="68" t="s">
        <v>1058</v>
      </c>
    </row>
    <row r="25" spans="1:4" ht="15.6" x14ac:dyDescent="0.25">
      <c r="A25">
        <v>23</v>
      </c>
      <c r="B25" s="68" t="s">
        <v>1059</v>
      </c>
      <c r="C25">
        <v>23</v>
      </c>
      <c r="D25" s="68" t="s">
        <v>1060</v>
      </c>
    </row>
    <row r="26" spans="1:4" ht="15.6" x14ac:dyDescent="0.25">
      <c r="A26">
        <v>24</v>
      </c>
      <c r="B26" s="68" t="s">
        <v>1061</v>
      </c>
      <c r="C26">
        <v>24</v>
      </c>
      <c r="D26" s="68" t="s">
        <v>1062</v>
      </c>
    </row>
    <row r="27" spans="1:4" ht="15.6" x14ac:dyDescent="0.25">
      <c r="A27">
        <v>25</v>
      </c>
      <c r="B27" s="68" t="s">
        <v>1063</v>
      </c>
      <c r="C27">
        <v>25</v>
      </c>
      <c r="D27" s="68" t="s">
        <v>1064</v>
      </c>
    </row>
    <row r="28" spans="1:4" ht="15.6" x14ac:dyDescent="0.25">
      <c r="A28">
        <v>26</v>
      </c>
      <c r="B28" s="68" t="s">
        <v>1065</v>
      </c>
      <c r="C28">
        <v>26</v>
      </c>
      <c r="D28" s="68" t="s">
        <v>1066</v>
      </c>
    </row>
    <row r="29" spans="1:4" ht="15.6" x14ac:dyDescent="0.25">
      <c r="A29">
        <v>27</v>
      </c>
      <c r="B29" s="68" t="s">
        <v>1067</v>
      </c>
      <c r="C29">
        <v>27</v>
      </c>
      <c r="D29" s="68" t="s">
        <v>1068</v>
      </c>
    </row>
    <row r="30" spans="1:4" ht="15.6" x14ac:dyDescent="0.25">
      <c r="A30">
        <v>28</v>
      </c>
      <c r="B30" s="68" t="s">
        <v>1069</v>
      </c>
      <c r="C30">
        <v>28</v>
      </c>
      <c r="D30" s="68" t="s">
        <v>1070</v>
      </c>
    </row>
    <row r="31" spans="1:4" ht="15.6" x14ac:dyDescent="0.25">
      <c r="A31">
        <v>29</v>
      </c>
      <c r="B31" s="68" t="s">
        <v>1071</v>
      </c>
      <c r="C31">
        <v>29</v>
      </c>
      <c r="D31" s="68" t="s">
        <v>1072</v>
      </c>
    </row>
    <row r="32" spans="1:4" ht="15.6" x14ac:dyDescent="0.25">
      <c r="A32">
        <v>30</v>
      </c>
      <c r="B32" s="68" t="s">
        <v>1073</v>
      </c>
      <c r="C32">
        <v>30</v>
      </c>
      <c r="D32" s="68" t="s">
        <v>1074</v>
      </c>
    </row>
    <row r="33" spans="1:4" ht="15.6" x14ac:dyDescent="0.25">
      <c r="A33">
        <v>31</v>
      </c>
      <c r="B33" s="68" t="s">
        <v>1075</v>
      </c>
      <c r="C33">
        <v>31</v>
      </c>
      <c r="D33" s="68" t="s">
        <v>1076</v>
      </c>
    </row>
    <row r="34" spans="1:4" ht="15.6" x14ac:dyDescent="0.25">
      <c r="A34">
        <v>32</v>
      </c>
      <c r="B34" s="68" t="s">
        <v>1077</v>
      </c>
      <c r="C34">
        <v>32</v>
      </c>
      <c r="D34" s="68" t="s">
        <v>1078</v>
      </c>
    </row>
    <row r="35" spans="1:4" ht="15.6" x14ac:dyDescent="0.25">
      <c r="A35">
        <v>33</v>
      </c>
      <c r="B35" s="68" t="s">
        <v>1079</v>
      </c>
      <c r="C35">
        <v>33</v>
      </c>
      <c r="D35" s="68" t="s">
        <v>1080</v>
      </c>
    </row>
    <row r="36" spans="1:4" ht="15.6" x14ac:dyDescent="0.25">
      <c r="A36">
        <v>34</v>
      </c>
      <c r="B36" s="68" t="s">
        <v>1081</v>
      </c>
      <c r="C36">
        <v>34</v>
      </c>
      <c r="D36" s="68" t="s">
        <v>1082</v>
      </c>
    </row>
    <row r="37" spans="1:4" ht="15.6" x14ac:dyDescent="0.25">
      <c r="A37">
        <v>35</v>
      </c>
      <c r="B37" s="68" t="s">
        <v>1083</v>
      </c>
      <c r="C37">
        <v>35</v>
      </c>
      <c r="D37" s="68" t="s">
        <v>1084</v>
      </c>
    </row>
    <row r="38" spans="1:4" ht="15.6" x14ac:dyDescent="0.25">
      <c r="A38">
        <v>36</v>
      </c>
      <c r="B38" s="68" t="s">
        <v>1085</v>
      </c>
      <c r="C38">
        <v>36</v>
      </c>
      <c r="D38" s="68" t="s">
        <v>1086</v>
      </c>
    </row>
    <row r="39" spans="1:4" ht="15.6" x14ac:dyDescent="0.25">
      <c r="A39">
        <v>37</v>
      </c>
      <c r="B39" s="68" t="s">
        <v>1087</v>
      </c>
      <c r="C39">
        <v>37</v>
      </c>
      <c r="D39" s="68" t="s">
        <v>1088</v>
      </c>
    </row>
    <row r="40" spans="1:4" ht="15.6" x14ac:dyDescent="0.25">
      <c r="A40">
        <v>38</v>
      </c>
      <c r="B40" s="68" t="s">
        <v>1089</v>
      </c>
      <c r="C40">
        <v>38</v>
      </c>
      <c r="D40" s="68" t="s">
        <v>1090</v>
      </c>
    </row>
    <row r="41" spans="1:4" ht="15.6" x14ac:dyDescent="0.25">
      <c r="A41">
        <v>39</v>
      </c>
      <c r="B41" s="68" t="s">
        <v>1091</v>
      </c>
      <c r="C41">
        <v>39</v>
      </c>
      <c r="D41" s="68" t="s">
        <v>1092</v>
      </c>
    </row>
    <row r="42" spans="1:4" ht="15.6" x14ac:dyDescent="0.25">
      <c r="A42">
        <v>40</v>
      </c>
      <c r="B42" s="68" t="s">
        <v>1093</v>
      </c>
      <c r="C42">
        <v>40</v>
      </c>
      <c r="D42" s="68" t="s">
        <v>1094</v>
      </c>
    </row>
    <row r="43" spans="1:4" ht="15.6" x14ac:dyDescent="0.25">
      <c r="A43">
        <v>41</v>
      </c>
      <c r="B43" s="68" t="s">
        <v>1095</v>
      </c>
      <c r="C43">
        <v>41</v>
      </c>
      <c r="D43" s="68" t="s">
        <v>1096</v>
      </c>
    </row>
    <row r="44" spans="1:4" ht="15.6" x14ac:dyDescent="0.25">
      <c r="A44">
        <v>42</v>
      </c>
      <c r="B44" s="68" t="s">
        <v>1097</v>
      </c>
      <c r="C44">
        <v>42</v>
      </c>
      <c r="D44" s="68" t="s">
        <v>1098</v>
      </c>
    </row>
    <row r="45" spans="1:4" ht="15.6" x14ac:dyDescent="0.25">
      <c r="A45">
        <v>43</v>
      </c>
      <c r="B45" s="68" t="s">
        <v>1099</v>
      </c>
      <c r="C45">
        <v>43</v>
      </c>
      <c r="D45" s="68" t="s">
        <v>1100</v>
      </c>
    </row>
    <row r="46" spans="1:4" ht="15.6" x14ac:dyDescent="0.25">
      <c r="A46">
        <v>44</v>
      </c>
      <c r="B46" s="68" t="s">
        <v>1101</v>
      </c>
      <c r="C46">
        <v>44</v>
      </c>
      <c r="D46" s="68" t="s">
        <v>1102</v>
      </c>
    </row>
    <row r="47" spans="1:4" ht="15.6" x14ac:dyDescent="0.25">
      <c r="A47">
        <v>45</v>
      </c>
      <c r="B47" s="68" t="s">
        <v>1103</v>
      </c>
      <c r="C47">
        <v>45</v>
      </c>
      <c r="D47" s="68" t="s">
        <v>1104</v>
      </c>
    </row>
    <row r="48" spans="1:4" ht="15.6" x14ac:dyDescent="0.25">
      <c r="A48">
        <v>46</v>
      </c>
      <c r="B48" s="68" t="s">
        <v>1105</v>
      </c>
      <c r="C48">
        <v>46</v>
      </c>
      <c r="D48" s="68" t="s">
        <v>1106</v>
      </c>
    </row>
    <row r="49" spans="1:4" ht="15.6" x14ac:dyDescent="0.25">
      <c r="A49">
        <v>47</v>
      </c>
      <c r="B49" s="68" t="s">
        <v>1107</v>
      </c>
      <c r="C49">
        <v>47</v>
      </c>
      <c r="D49" s="68" t="s">
        <v>1108</v>
      </c>
    </row>
    <row r="50" spans="1:4" ht="15.6" x14ac:dyDescent="0.25">
      <c r="A50">
        <v>48</v>
      </c>
      <c r="B50" s="68" t="s">
        <v>1109</v>
      </c>
      <c r="C50">
        <v>48</v>
      </c>
      <c r="D50" s="68" t="s">
        <v>1110</v>
      </c>
    </row>
    <row r="51" spans="1:4" ht="15.6" x14ac:dyDescent="0.25">
      <c r="A51">
        <v>49</v>
      </c>
      <c r="B51" s="68" t="s">
        <v>1111</v>
      </c>
      <c r="C51">
        <v>49</v>
      </c>
      <c r="D51" s="68" t="s">
        <v>1112</v>
      </c>
    </row>
    <row r="52" spans="1:4" ht="15.6" x14ac:dyDescent="0.25">
      <c r="A52">
        <v>50</v>
      </c>
      <c r="B52" s="68" t="s">
        <v>1113</v>
      </c>
      <c r="C52">
        <v>50</v>
      </c>
      <c r="D52" s="68" t="s">
        <v>1114</v>
      </c>
    </row>
    <row r="53" spans="1:4" ht="15.6" x14ac:dyDescent="0.25">
      <c r="A53">
        <v>51</v>
      </c>
      <c r="B53" s="68" t="s">
        <v>1115</v>
      </c>
      <c r="C53">
        <v>51</v>
      </c>
      <c r="D53" s="68" t="s">
        <v>1116</v>
      </c>
    </row>
    <row r="54" spans="1:4" ht="15.6" x14ac:dyDescent="0.25">
      <c r="A54">
        <v>52</v>
      </c>
      <c r="B54" s="68" t="s">
        <v>1117</v>
      </c>
      <c r="C54">
        <v>52</v>
      </c>
      <c r="D54" s="68" t="s">
        <v>1118</v>
      </c>
    </row>
    <row r="55" spans="1:4" ht="15.6" x14ac:dyDescent="0.25">
      <c r="A55">
        <v>53</v>
      </c>
      <c r="B55" s="68" t="s">
        <v>1119</v>
      </c>
      <c r="C55">
        <v>53</v>
      </c>
      <c r="D55" s="68" t="s">
        <v>1120</v>
      </c>
    </row>
    <row r="56" spans="1:4" ht="15.6" x14ac:dyDescent="0.25">
      <c r="A56">
        <v>54</v>
      </c>
      <c r="B56" s="68" t="s">
        <v>1121</v>
      </c>
      <c r="C56">
        <v>54</v>
      </c>
      <c r="D56" s="68" t="s">
        <v>1122</v>
      </c>
    </row>
    <row r="57" spans="1:4" ht="15.6" x14ac:dyDescent="0.25">
      <c r="A57">
        <v>55</v>
      </c>
      <c r="B57" s="68" t="s">
        <v>1123</v>
      </c>
      <c r="C57">
        <v>55</v>
      </c>
      <c r="D57" s="68" t="s">
        <v>1124</v>
      </c>
    </row>
    <row r="58" spans="1:4" ht="15.6" x14ac:dyDescent="0.25">
      <c r="A58">
        <v>56</v>
      </c>
      <c r="B58" s="68" t="s">
        <v>1125</v>
      </c>
      <c r="C58">
        <v>56</v>
      </c>
      <c r="D58" s="68" t="s">
        <v>1126</v>
      </c>
    </row>
    <row r="59" spans="1:4" ht="15.6" x14ac:dyDescent="0.25">
      <c r="A59">
        <v>57</v>
      </c>
      <c r="B59" s="68" t="s">
        <v>1127</v>
      </c>
      <c r="C59">
        <v>57</v>
      </c>
      <c r="D59" s="68" t="s">
        <v>1128</v>
      </c>
    </row>
    <row r="60" spans="1:4" ht="15.6" x14ac:dyDescent="0.25">
      <c r="A60">
        <v>58</v>
      </c>
      <c r="B60" s="68" t="s">
        <v>1129</v>
      </c>
      <c r="C60">
        <v>58</v>
      </c>
      <c r="D60" s="68" t="s">
        <v>1130</v>
      </c>
    </row>
    <row r="61" spans="1:4" ht="15.6" x14ac:dyDescent="0.25">
      <c r="A61">
        <v>59</v>
      </c>
      <c r="B61" s="68" t="s">
        <v>1131</v>
      </c>
      <c r="C61">
        <v>59</v>
      </c>
      <c r="D61" s="68" t="s">
        <v>1132</v>
      </c>
    </row>
    <row r="62" spans="1:4" ht="15.6" x14ac:dyDescent="0.25">
      <c r="A62">
        <v>60</v>
      </c>
      <c r="B62" s="68" t="s">
        <v>1133</v>
      </c>
      <c r="C62">
        <v>60</v>
      </c>
      <c r="D62" s="68" t="s">
        <v>1134</v>
      </c>
    </row>
    <row r="63" spans="1:4" ht="15.6" x14ac:dyDescent="0.25">
      <c r="A63">
        <v>61</v>
      </c>
      <c r="B63" s="68" t="s">
        <v>1135</v>
      </c>
      <c r="C63">
        <v>61</v>
      </c>
      <c r="D63" s="68" t="s">
        <v>1136</v>
      </c>
    </row>
    <row r="64" spans="1:4" ht="15.6" x14ac:dyDescent="0.25">
      <c r="A64">
        <v>62</v>
      </c>
      <c r="B64" s="68" t="s">
        <v>1137</v>
      </c>
      <c r="C64">
        <v>62</v>
      </c>
      <c r="D64" s="68" t="s">
        <v>1138</v>
      </c>
    </row>
    <row r="65" spans="1:4" ht="15.6" x14ac:dyDescent="0.25">
      <c r="A65">
        <v>63</v>
      </c>
      <c r="B65" s="68" t="s">
        <v>1139</v>
      </c>
      <c r="C65">
        <v>63</v>
      </c>
      <c r="D65" s="68" t="s">
        <v>1140</v>
      </c>
    </row>
    <row r="66" spans="1:4" ht="15.6" x14ac:dyDescent="0.25">
      <c r="A66">
        <v>64</v>
      </c>
      <c r="B66" s="68" t="s">
        <v>1141</v>
      </c>
      <c r="C66">
        <v>64</v>
      </c>
      <c r="D66" s="68" t="s">
        <v>1142</v>
      </c>
    </row>
    <row r="67" spans="1:4" ht="15.6" x14ac:dyDescent="0.25">
      <c r="A67">
        <v>65</v>
      </c>
      <c r="B67" s="68" t="s">
        <v>1143</v>
      </c>
      <c r="C67">
        <v>65</v>
      </c>
      <c r="D67" s="68" t="s">
        <v>1144</v>
      </c>
    </row>
    <row r="68" spans="1:4" ht="31.2" x14ac:dyDescent="0.25">
      <c r="A68">
        <v>66</v>
      </c>
      <c r="B68" s="68" t="s">
        <v>1145</v>
      </c>
      <c r="C68">
        <v>66</v>
      </c>
      <c r="D68" s="68" t="s">
        <v>1146</v>
      </c>
    </row>
    <row r="69" spans="1:4" ht="15.6" x14ac:dyDescent="0.25">
      <c r="A69">
        <v>67</v>
      </c>
      <c r="B69" s="68" t="s">
        <v>1147</v>
      </c>
      <c r="C69">
        <v>67</v>
      </c>
      <c r="D69" s="68" t="s">
        <v>1148</v>
      </c>
    </row>
    <row r="70" spans="1:4" ht="15.6" x14ac:dyDescent="0.25">
      <c r="A70">
        <v>68</v>
      </c>
      <c r="B70" s="68" t="s">
        <v>1149</v>
      </c>
      <c r="C70">
        <v>68</v>
      </c>
      <c r="D70" s="68" t="s">
        <v>1150</v>
      </c>
    </row>
    <row r="71" spans="1:4" ht="15.6" x14ac:dyDescent="0.25">
      <c r="A71">
        <v>69</v>
      </c>
      <c r="B71" s="68" t="s">
        <v>1151</v>
      </c>
      <c r="C71">
        <v>69</v>
      </c>
      <c r="D71" s="68" t="s">
        <v>1152</v>
      </c>
    </row>
    <row r="72" spans="1:4" ht="15.6" x14ac:dyDescent="0.25">
      <c r="A72">
        <v>70</v>
      </c>
      <c r="B72" s="68" t="s">
        <v>1153</v>
      </c>
      <c r="C72">
        <v>70</v>
      </c>
      <c r="D72" s="68" t="s">
        <v>1154</v>
      </c>
    </row>
    <row r="73" spans="1:4" ht="15.6" x14ac:dyDescent="0.25">
      <c r="A73">
        <v>71</v>
      </c>
      <c r="B73" s="68" t="s">
        <v>1155</v>
      </c>
      <c r="C73">
        <v>71</v>
      </c>
      <c r="D73" s="68" t="s">
        <v>1156</v>
      </c>
    </row>
    <row r="74" spans="1:4" ht="15.6" x14ac:dyDescent="0.25">
      <c r="A74">
        <v>72</v>
      </c>
      <c r="B74" s="68" t="s">
        <v>1157</v>
      </c>
      <c r="C74">
        <v>72</v>
      </c>
      <c r="D74" s="68" t="s">
        <v>1158</v>
      </c>
    </row>
    <row r="75" spans="1:4" ht="15.6" x14ac:dyDescent="0.25">
      <c r="A75">
        <v>73</v>
      </c>
      <c r="B75" s="68" t="s">
        <v>1159</v>
      </c>
      <c r="C75">
        <v>73</v>
      </c>
      <c r="D75" s="68" t="s">
        <v>1160</v>
      </c>
    </row>
    <row r="76" spans="1:4" ht="15.6" x14ac:dyDescent="0.25">
      <c r="A76">
        <v>74</v>
      </c>
      <c r="B76" s="68" t="s">
        <v>1161</v>
      </c>
      <c r="C76">
        <v>74</v>
      </c>
      <c r="D76" s="68" t="s">
        <v>1162</v>
      </c>
    </row>
    <row r="77" spans="1:4" ht="15.6" x14ac:dyDescent="0.25">
      <c r="A77">
        <v>75</v>
      </c>
      <c r="B77" s="68" t="s">
        <v>1163</v>
      </c>
      <c r="C77">
        <v>75</v>
      </c>
      <c r="D77" s="68" t="s">
        <v>1164</v>
      </c>
    </row>
    <row r="78" spans="1:4" ht="15.6" x14ac:dyDescent="0.25">
      <c r="A78">
        <v>76</v>
      </c>
      <c r="B78" s="68" t="s">
        <v>1165</v>
      </c>
      <c r="C78">
        <v>76</v>
      </c>
      <c r="D78" s="68" t="s">
        <v>1166</v>
      </c>
    </row>
    <row r="79" spans="1:4" ht="15.6" x14ac:dyDescent="0.25">
      <c r="A79">
        <v>77</v>
      </c>
      <c r="B79" s="68" t="s">
        <v>1167</v>
      </c>
      <c r="C79">
        <v>77</v>
      </c>
      <c r="D79" s="68" t="s">
        <v>1168</v>
      </c>
    </row>
    <row r="80" spans="1:4" ht="15.6" x14ac:dyDescent="0.25">
      <c r="A80">
        <v>78</v>
      </c>
      <c r="B80" s="68" t="s">
        <v>1169</v>
      </c>
      <c r="C80">
        <v>78</v>
      </c>
      <c r="D80" s="68" t="s">
        <v>1170</v>
      </c>
    </row>
    <row r="81" spans="1:4" ht="15.6" x14ac:dyDescent="0.25">
      <c r="A81">
        <v>79</v>
      </c>
      <c r="B81" s="68" t="s">
        <v>1171</v>
      </c>
      <c r="C81">
        <v>79</v>
      </c>
      <c r="D81" s="68" t="s">
        <v>1172</v>
      </c>
    </row>
    <row r="82" spans="1:4" ht="15.6" x14ac:dyDescent="0.25">
      <c r="A82">
        <v>80</v>
      </c>
      <c r="B82" s="68" t="s">
        <v>1173</v>
      </c>
      <c r="C82">
        <v>80</v>
      </c>
      <c r="D82" s="68" t="s">
        <v>1174</v>
      </c>
    </row>
    <row r="83" spans="1:4" ht="15.6" x14ac:dyDescent="0.25">
      <c r="A83">
        <v>81</v>
      </c>
      <c r="B83" s="68" t="s">
        <v>1175</v>
      </c>
      <c r="C83">
        <v>81</v>
      </c>
      <c r="D83" s="68" t="s">
        <v>1176</v>
      </c>
    </row>
    <row r="84" spans="1:4" ht="15.6" x14ac:dyDescent="0.25">
      <c r="A84">
        <v>82</v>
      </c>
      <c r="B84" s="68" t="s">
        <v>1177</v>
      </c>
      <c r="C84">
        <v>82</v>
      </c>
      <c r="D84" s="68" t="s">
        <v>1178</v>
      </c>
    </row>
    <row r="85" spans="1:4" ht="31.2" x14ac:dyDescent="0.25">
      <c r="A85">
        <v>83</v>
      </c>
      <c r="B85" s="68" t="s">
        <v>1179</v>
      </c>
      <c r="C85">
        <v>83</v>
      </c>
      <c r="D85" s="68" t="s">
        <v>1180</v>
      </c>
    </row>
    <row r="86" spans="1:4" ht="15.6" x14ac:dyDescent="0.25">
      <c r="A86">
        <v>84</v>
      </c>
      <c r="B86" s="68" t="s">
        <v>1181</v>
      </c>
      <c r="C86">
        <v>84</v>
      </c>
      <c r="D86" s="68" t="s">
        <v>1182</v>
      </c>
    </row>
    <row r="87" spans="1:4" ht="15.6" x14ac:dyDescent="0.25">
      <c r="A87">
        <v>85</v>
      </c>
      <c r="B87" s="68" t="s">
        <v>1183</v>
      </c>
      <c r="C87">
        <v>85</v>
      </c>
      <c r="D87" s="68" t="s">
        <v>1184</v>
      </c>
    </row>
    <row r="88" spans="1:4" ht="15.6" x14ac:dyDescent="0.25">
      <c r="A88">
        <v>86</v>
      </c>
      <c r="B88" s="68" t="s">
        <v>1185</v>
      </c>
      <c r="C88">
        <v>86</v>
      </c>
      <c r="D88" s="68" t="s">
        <v>1186</v>
      </c>
    </row>
    <row r="89" spans="1:4" ht="15.6" x14ac:dyDescent="0.25">
      <c r="A89">
        <v>87</v>
      </c>
      <c r="B89" s="68" t="s">
        <v>1187</v>
      </c>
      <c r="C89">
        <v>87</v>
      </c>
      <c r="D89" s="68" t="s">
        <v>1188</v>
      </c>
    </row>
    <row r="90" spans="1:4" ht="15.6" x14ac:dyDescent="0.25">
      <c r="A90">
        <v>88</v>
      </c>
      <c r="B90" s="68" t="s">
        <v>1189</v>
      </c>
      <c r="C90">
        <v>88</v>
      </c>
      <c r="D90" s="68" t="s">
        <v>1190</v>
      </c>
    </row>
    <row r="91" spans="1:4" ht="15.6" x14ac:dyDescent="0.25">
      <c r="A91">
        <v>89</v>
      </c>
      <c r="B91" s="68" t="s">
        <v>1191</v>
      </c>
      <c r="C91">
        <v>89</v>
      </c>
      <c r="D91" s="68" t="s">
        <v>1192</v>
      </c>
    </row>
    <row r="92" spans="1:4" ht="31.2" x14ac:dyDescent="0.25">
      <c r="A92">
        <v>90</v>
      </c>
      <c r="B92" s="68" t="s">
        <v>1193</v>
      </c>
      <c r="C92">
        <v>90</v>
      </c>
      <c r="D92" s="68" t="s">
        <v>1194</v>
      </c>
    </row>
    <row r="93" spans="1:4" ht="15.6" x14ac:dyDescent="0.25">
      <c r="A93">
        <v>91</v>
      </c>
      <c r="B93" s="68" t="s">
        <v>1195</v>
      </c>
      <c r="C93">
        <v>91</v>
      </c>
      <c r="D93" s="68" t="s">
        <v>1196</v>
      </c>
    </row>
    <row r="94" spans="1:4" ht="15.6" x14ac:dyDescent="0.25">
      <c r="A94">
        <v>92</v>
      </c>
      <c r="B94" s="68" t="s">
        <v>1197</v>
      </c>
      <c r="C94">
        <v>92</v>
      </c>
      <c r="D94" s="68" t="s">
        <v>1198</v>
      </c>
    </row>
    <row r="95" spans="1:4" ht="15.6" x14ac:dyDescent="0.25">
      <c r="A95">
        <v>93</v>
      </c>
      <c r="B95" s="68" t="s">
        <v>1199</v>
      </c>
      <c r="C95">
        <v>93</v>
      </c>
      <c r="D95" s="68" t="s">
        <v>1200</v>
      </c>
    </row>
    <row r="96" spans="1:4" ht="15.6" x14ac:dyDescent="0.25">
      <c r="A96">
        <v>94</v>
      </c>
      <c r="B96" s="68" t="s">
        <v>1201</v>
      </c>
      <c r="C96">
        <v>94</v>
      </c>
      <c r="D96" s="68" t="s">
        <v>1202</v>
      </c>
    </row>
    <row r="97" spans="1:4" ht="15.6" x14ac:dyDescent="0.25">
      <c r="A97">
        <v>95</v>
      </c>
      <c r="B97" s="68" t="s">
        <v>1203</v>
      </c>
      <c r="C97">
        <v>95</v>
      </c>
      <c r="D97" s="68" t="s">
        <v>1204</v>
      </c>
    </row>
    <row r="98" spans="1:4" ht="15.6" x14ac:dyDescent="0.25">
      <c r="A98">
        <v>96</v>
      </c>
      <c r="B98" s="68" t="s">
        <v>1205</v>
      </c>
      <c r="C98">
        <v>96</v>
      </c>
      <c r="D98" s="68" t="s">
        <v>1206</v>
      </c>
    </row>
    <row r="99" spans="1:4" ht="15.6" x14ac:dyDescent="0.25">
      <c r="A99">
        <v>97</v>
      </c>
      <c r="B99" s="68" t="s">
        <v>1207</v>
      </c>
      <c r="C99">
        <v>97</v>
      </c>
      <c r="D99" s="68" t="s">
        <v>1208</v>
      </c>
    </row>
    <row r="100" spans="1:4" ht="15.6" x14ac:dyDescent="0.25">
      <c r="A100">
        <v>98</v>
      </c>
      <c r="B100" s="68" t="s">
        <v>1209</v>
      </c>
      <c r="C100">
        <v>98</v>
      </c>
      <c r="D100" s="68" t="s">
        <v>1210</v>
      </c>
    </row>
    <row r="101" spans="1:4" ht="15.6" x14ac:dyDescent="0.25">
      <c r="A101">
        <v>99</v>
      </c>
      <c r="B101" s="68" t="s">
        <v>1211</v>
      </c>
      <c r="C101">
        <v>99</v>
      </c>
      <c r="D101" s="68" t="s">
        <v>1212</v>
      </c>
    </row>
    <row r="102" spans="1:4" ht="15.6" x14ac:dyDescent="0.25">
      <c r="A102">
        <v>100</v>
      </c>
      <c r="B102" s="68" t="s">
        <v>1213</v>
      </c>
      <c r="C102">
        <v>100</v>
      </c>
      <c r="D102" s="68" t="s">
        <v>1214</v>
      </c>
    </row>
    <row r="103" spans="1:4" ht="46.8" x14ac:dyDescent="0.25">
      <c r="B103" s="68" t="s">
        <v>1215</v>
      </c>
      <c r="D103" s="69"/>
    </row>
    <row r="104" spans="1:4" ht="15.6" x14ac:dyDescent="0.25">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3.8" x14ac:dyDescent="0.25"/>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x14ac:dyDescent="0.25">
      <c r="A1" s="829" t="s">
        <v>1217</v>
      </c>
      <c r="B1" s="830"/>
      <c r="C1" s="830"/>
      <c r="D1" s="830"/>
      <c r="E1" s="830"/>
      <c r="F1" s="831"/>
      <c r="G1" s="832" t="s">
        <v>1218</v>
      </c>
      <c r="H1" s="832"/>
      <c r="I1" s="833"/>
      <c r="J1" s="833"/>
      <c r="K1" s="834"/>
    </row>
    <row r="2" spans="1:15" ht="14.25" customHeight="1" x14ac:dyDescent="0.25">
      <c r="A2" s="847" t="s">
        <v>1219</v>
      </c>
      <c r="B2" s="835" t="s">
        <v>1220</v>
      </c>
      <c r="C2" s="835"/>
      <c r="D2" s="835"/>
      <c r="E2" s="835"/>
      <c r="F2" s="32">
        <v>43343</v>
      </c>
      <c r="G2" s="836" t="s">
        <v>1221</v>
      </c>
      <c r="H2" s="837"/>
      <c r="I2" s="60" t="s">
        <v>1222</v>
      </c>
      <c r="J2" s="61" t="s">
        <v>1223</v>
      </c>
      <c r="K2" s="855" t="s">
        <v>1224</v>
      </c>
    </row>
    <row r="3" spans="1:15" ht="121.5" customHeight="1" x14ac:dyDescent="0.25">
      <c r="A3" s="848"/>
      <c r="B3" s="838" t="s">
        <v>1225</v>
      </c>
      <c r="C3" s="839"/>
      <c r="D3" s="839"/>
      <c r="E3" s="839"/>
      <c r="F3" s="840"/>
      <c r="G3" s="858" t="s">
        <v>1226</v>
      </c>
      <c r="H3" s="859"/>
      <c r="I3" s="62" t="s">
        <v>1227</v>
      </c>
      <c r="J3" s="63" t="s">
        <v>1228</v>
      </c>
      <c r="K3" s="856"/>
    </row>
    <row r="4" spans="1:15" ht="14.25" customHeight="1" x14ac:dyDescent="0.25">
      <c r="A4" s="848"/>
      <c r="B4" s="835" t="s">
        <v>1229</v>
      </c>
      <c r="C4" s="835"/>
      <c r="D4" s="835"/>
      <c r="E4" s="835"/>
      <c r="F4" s="32">
        <v>43309</v>
      </c>
      <c r="G4" s="860"/>
      <c r="H4" s="861"/>
      <c r="I4" s="60" t="s">
        <v>1230</v>
      </c>
      <c r="J4" s="61" t="s">
        <v>1223</v>
      </c>
      <c r="K4" s="856"/>
    </row>
    <row r="5" spans="1:15" ht="87.75" customHeight="1" x14ac:dyDescent="0.25">
      <c r="A5" s="848"/>
      <c r="B5" s="841" t="s">
        <v>1231</v>
      </c>
      <c r="C5" s="832"/>
      <c r="D5" s="832"/>
      <c r="E5" s="832"/>
      <c r="F5" s="842"/>
      <c r="G5" s="862"/>
      <c r="H5" s="863"/>
      <c r="I5" s="64" t="s">
        <v>1232</v>
      </c>
      <c r="J5" s="65" t="s">
        <v>1233</v>
      </c>
      <c r="K5" s="856"/>
    </row>
    <row r="6" spans="1:15" ht="14.25" customHeight="1" x14ac:dyDescent="0.25">
      <c r="A6" s="848"/>
      <c r="B6" s="835" t="s">
        <v>1234</v>
      </c>
      <c r="C6" s="835"/>
      <c r="D6" s="835"/>
      <c r="E6" s="835"/>
      <c r="F6" s="32">
        <v>43281</v>
      </c>
      <c r="G6" s="33"/>
      <c r="H6" s="34"/>
      <c r="I6" s="60" t="s">
        <v>1235</v>
      </c>
      <c r="J6" s="61" t="s">
        <v>1223</v>
      </c>
      <c r="K6" s="856"/>
    </row>
    <row r="7" spans="1:15" ht="202.5" customHeight="1" x14ac:dyDescent="0.25">
      <c r="A7" s="848"/>
      <c r="B7" s="843" t="s">
        <v>1236</v>
      </c>
      <c r="C7" s="843"/>
      <c r="D7" s="843"/>
      <c r="E7" s="843"/>
      <c r="F7" s="843"/>
      <c r="G7" s="35"/>
      <c r="H7" s="34"/>
      <c r="I7" s="849" t="s">
        <v>1237</v>
      </c>
      <c r="J7" s="852" t="s">
        <v>1238</v>
      </c>
      <c r="K7" s="856"/>
    </row>
    <row r="8" spans="1:15" ht="14.25" customHeight="1" x14ac:dyDescent="0.25">
      <c r="A8" s="848"/>
      <c r="B8" s="835" t="s">
        <v>1239</v>
      </c>
      <c r="C8" s="835"/>
      <c r="D8" s="835"/>
      <c r="E8" s="835"/>
      <c r="F8" s="32">
        <v>43248</v>
      </c>
      <c r="G8" s="35"/>
      <c r="H8" s="36"/>
      <c r="I8" s="850"/>
      <c r="J8" s="853"/>
      <c r="K8" s="856"/>
    </row>
    <row r="9" spans="1:15" ht="205.5" customHeight="1" x14ac:dyDescent="0.25">
      <c r="A9" s="848"/>
      <c r="B9" s="844" t="s">
        <v>1240</v>
      </c>
      <c r="C9" s="845"/>
      <c r="D9" s="845"/>
      <c r="E9" s="845"/>
      <c r="F9" s="845"/>
      <c r="G9" s="37"/>
      <c r="H9" s="34"/>
      <c r="I9" s="850"/>
      <c r="J9" s="853"/>
      <c r="K9" s="856"/>
    </row>
    <row r="10" spans="1:15" ht="13.5" customHeight="1" x14ac:dyDescent="0.25">
      <c r="A10" s="848"/>
      <c r="B10" s="835" t="s">
        <v>1241</v>
      </c>
      <c r="C10" s="835"/>
      <c r="D10" s="835"/>
      <c r="E10" s="835"/>
      <c r="F10" s="32">
        <v>43218</v>
      </c>
      <c r="G10" s="38"/>
      <c r="H10" s="39"/>
      <c r="I10" s="850"/>
      <c r="J10" s="853"/>
      <c r="K10" s="856"/>
    </row>
    <row r="11" spans="1:15" ht="17.25" customHeight="1" x14ac:dyDescent="0.25">
      <c r="A11" s="848"/>
      <c r="B11" s="846" t="s">
        <v>1242</v>
      </c>
      <c r="C11" s="844"/>
      <c r="D11" s="844"/>
      <c r="E11" s="844"/>
      <c r="F11" s="844"/>
      <c r="G11" s="40"/>
      <c r="H11" s="39"/>
      <c r="I11" s="850"/>
      <c r="J11" s="853"/>
      <c r="K11" s="856"/>
    </row>
    <row r="12" spans="1:15" ht="14.25" customHeight="1" x14ac:dyDescent="0.25">
      <c r="A12" s="848"/>
      <c r="B12" s="835" t="s">
        <v>1243</v>
      </c>
      <c r="C12" s="835"/>
      <c r="D12" s="835"/>
      <c r="E12" s="835"/>
      <c r="F12" s="32">
        <v>43187</v>
      </c>
      <c r="G12" s="41"/>
      <c r="H12" s="42"/>
      <c r="I12" s="850"/>
      <c r="J12" s="853"/>
      <c r="K12" s="856"/>
    </row>
    <row r="13" spans="1:15" ht="190.5" customHeight="1" x14ac:dyDescent="0.25">
      <c r="A13" s="848"/>
      <c r="B13" s="844" t="s">
        <v>1244</v>
      </c>
      <c r="C13" s="845"/>
      <c r="D13" s="845"/>
      <c r="E13" s="845"/>
      <c r="F13" s="845"/>
      <c r="G13" s="43"/>
      <c r="H13" s="44"/>
      <c r="I13" s="850"/>
      <c r="J13" s="853"/>
      <c r="K13" s="856"/>
    </row>
    <row r="14" spans="1:15" ht="18" customHeight="1" x14ac:dyDescent="0.25">
      <c r="A14" s="848"/>
      <c r="B14" s="835" t="s">
        <v>1245</v>
      </c>
      <c r="C14" s="835"/>
      <c r="D14" s="835"/>
      <c r="E14" s="835"/>
      <c r="F14" s="32">
        <v>43164</v>
      </c>
      <c r="G14" s="45"/>
      <c r="H14" s="46"/>
      <c r="I14" s="850"/>
      <c r="J14" s="853"/>
      <c r="K14" s="856"/>
    </row>
    <row r="15" spans="1:15" s="26" customFormat="1" ht="59.25" customHeight="1" x14ac:dyDescent="0.25">
      <c r="A15" s="848"/>
      <c r="B15" s="844" t="s">
        <v>1246</v>
      </c>
      <c r="C15" s="845"/>
      <c r="D15" s="845"/>
      <c r="E15" s="845"/>
      <c r="F15" s="845"/>
      <c r="G15" s="47"/>
      <c r="H15" s="48"/>
      <c r="I15" s="850"/>
      <c r="J15" s="853"/>
      <c r="K15" s="856"/>
      <c r="L15" s="66"/>
      <c r="M15" s="66"/>
      <c r="N15" s="66"/>
      <c r="O15" s="66"/>
    </row>
    <row r="16" spans="1:15" ht="18" customHeight="1" x14ac:dyDescent="0.25">
      <c r="A16" s="848"/>
      <c r="B16" s="835" t="s">
        <v>1247</v>
      </c>
      <c r="C16" s="835"/>
      <c r="D16" s="835"/>
      <c r="E16" s="835"/>
      <c r="F16" s="32">
        <v>43153</v>
      </c>
      <c r="G16" s="49">
        <v>43103</v>
      </c>
      <c r="H16" s="50">
        <v>43131</v>
      </c>
      <c r="I16" s="850"/>
      <c r="J16" s="853"/>
      <c r="K16" s="856"/>
    </row>
    <row r="17" spans="1:15" ht="96" customHeight="1" x14ac:dyDescent="0.25">
      <c r="A17" s="848"/>
      <c r="B17" s="844" t="s">
        <v>1248</v>
      </c>
      <c r="C17" s="845"/>
      <c r="D17" s="845"/>
      <c r="E17" s="845"/>
      <c r="F17" s="845"/>
      <c r="G17" s="51"/>
      <c r="H17" s="52"/>
      <c r="I17" s="850"/>
      <c r="J17" s="853"/>
      <c r="K17" s="856"/>
      <c r="L17" s="58"/>
      <c r="M17" s="58"/>
    </row>
    <row r="18" spans="1:15" ht="18" customHeight="1" x14ac:dyDescent="0.25">
      <c r="A18" s="848"/>
      <c r="B18" s="835" t="s">
        <v>1249</v>
      </c>
      <c r="C18" s="835" t="s">
        <v>1250</v>
      </c>
      <c r="D18" s="835"/>
      <c r="E18" s="835"/>
      <c r="F18" s="32">
        <v>43040</v>
      </c>
      <c r="G18" s="49">
        <v>42958</v>
      </c>
      <c r="H18" s="53">
        <v>43008</v>
      </c>
      <c r="I18" s="850"/>
      <c r="J18" s="853"/>
      <c r="K18" s="856"/>
      <c r="L18"/>
      <c r="M18"/>
      <c r="N18"/>
      <c r="O18"/>
    </row>
    <row r="19" spans="1:15" s="27" customFormat="1" ht="375.75" customHeight="1" x14ac:dyDescent="0.25">
      <c r="A19" s="848"/>
      <c r="B19" s="844" t="s">
        <v>1251</v>
      </c>
      <c r="C19" s="845"/>
      <c r="D19" s="845"/>
      <c r="E19" s="845"/>
      <c r="F19" s="845"/>
      <c r="G19" s="54"/>
      <c r="H19" s="55"/>
      <c r="I19" s="850"/>
      <c r="J19" s="853"/>
      <c r="K19" s="856"/>
    </row>
    <row r="20" spans="1:15" ht="15.75" customHeight="1" x14ac:dyDescent="0.25">
      <c r="A20" s="848"/>
      <c r="B20" s="835" t="s">
        <v>1252</v>
      </c>
      <c r="C20" s="835"/>
      <c r="D20" s="835"/>
      <c r="E20" s="835"/>
      <c r="F20" s="32">
        <v>42949</v>
      </c>
      <c r="G20" s="56"/>
      <c r="H20" s="57"/>
      <c r="I20" s="850"/>
      <c r="J20" s="853"/>
      <c r="K20" s="856"/>
      <c r="L20"/>
      <c r="M20"/>
      <c r="N20"/>
      <c r="O20"/>
    </row>
    <row r="21" spans="1:15" ht="60" customHeight="1" x14ac:dyDescent="0.25">
      <c r="A21" s="848"/>
      <c r="B21" s="844" t="s">
        <v>1253</v>
      </c>
      <c r="C21" s="844"/>
      <c r="D21" s="844"/>
      <c r="E21" s="844"/>
      <c r="F21" s="844"/>
      <c r="G21" s="56"/>
      <c r="H21" s="57"/>
      <c r="I21" s="850"/>
      <c r="J21" s="853"/>
      <c r="K21" s="856"/>
      <c r="L21"/>
      <c r="M21"/>
      <c r="N21"/>
      <c r="O21"/>
    </row>
    <row r="22" spans="1:15" ht="13.5" customHeight="1" x14ac:dyDescent="0.25">
      <c r="A22" s="848"/>
      <c r="B22" s="835" t="s">
        <v>1254</v>
      </c>
      <c r="C22" s="835"/>
      <c r="D22" s="835"/>
      <c r="E22" s="835"/>
      <c r="F22" s="32">
        <v>42948</v>
      </c>
      <c r="G22" s="56"/>
      <c r="H22" s="57"/>
      <c r="I22" s="850"/>
      <c r="J22" s="853"/>
      <c r="K22" s="856"/>
      <c r="L22"/>
      <c r="M22"/>
      <c r="N22"/>
      <c r="O22"/>
    </row>
    <row r="23" spans="1:15" ht="124.5" customHeight="1" x14ac:dyDescent="0.25">
      <c r="A23" s="848"/>
      <c r="B23" s="844" t="s">
        <v>1255</v>
      </c>
      <c r="C23" s="844"/>
      <c r="D23" s="844"/>
      <c r="E23" s="844"/>
      <c r="F23" s="844"/>
      <c r="G23" s="56"/>
      <c r="H23" s="57"/>
      <c r="I23" s="850"/>
      <c r="J23" s="853"/>
      <c r="K23" s="856"/>
      <c r="L23"/>
      <c r="M23"/>
      <c r="N23"/>
      <c r="O23"/>
    </row>
    <row r="24" spans="1:15" ht="13.5" customHeight="1" x14ac:dyDescent="0.25">
      <c r="A24" s="848"/>
      <c r="B24" s="835" t="s">
        <v>1256</v>
      </c>
      <c r="C24" s="835"/>
      <c r="D24" s="835"/>
      <c r="E24" s="835"/>
      <c r="F24" s="835"/>
      <c r="G24" s="56"/>
      <c r="H24" s="57"/>
      <c r="I24" s="850"/>
      <c r="J24" s="853"/>
      <c r="K24" s="856"/>
      <c r="L24"/>
      <c r="M24"/>
      <c r="N24"/>
      <c r="O24"/>
    </row>
    <row r="25" spans="1:15" ht="109.5" customHeight="1" x14ac:dyDescent="0.25">
      <c r="A25" s="848"/>
      <c r="B25" s="844" t="s">
        <v>1257</v>
      </c>
      <c r="C25" s="844"/>
      <c r="D25" s="844"/>
      <c r="E25" s="844"/>
      <c r="F25" s="844"/>
      <c r="G25" s="56"/>
      <c r="H25" s="57"/>
      <c r="I25" s="850"/>
      <c r="J25" s="853"/>
      <c r="K25" s="856"/>
      <c r="L25"/>
      <c r="M25"/>
      <c r="N25"/>
      <c r="O25"/>
    </row>
    <row r="26" spans="1:15" ht="13.5" customHeight="1" x14ac:dyDescent="0.25">
      <c r="A26" s="848"/>
      <c r="B26" s="835" t="s">
        <v>1258</v>
      </c>
      <c r="C26" s="835"/>
      <c r="D26" s="835"/>
      <c r="E26" s="835"/>
      <c r="F26" s="835"/>
      <c r="G26" s="56"/>
      <c r="H26" s="57"/>
      <c r="I26" s="850"/>
      <c r="J26" s="853"/>
      <c r="K26" s="856"/>
      <c r="L26"/>
      <c r="M26"/>
      <c r="N26"/>
      <c r="O26"/>
    </row>
    <row r="27" spans="1:15" ht="68.25" customHeight="1" x14ac:dyDescent="0.25">
      <c r="A27" s="848"/>
      <c r="B27" s="843" t="s">
        <v>1259</v>
      </c>
      <c r="C27" s="843"/>
      <c r="D27" s="843"/>
      <c r="E27" s="843"/>
      <c r="F27" s="843"/>
      <c r="G27" s="56"/>
      <c r="H27" s="57"/>
      <c r="I27" s="850"/>
      <c r="J27" s="853"/>
      <c r="K27" s="856"/>
      <c r="L27"/>
      <c r="M27"/>
      <c r="N27"/>
      <c r="O27"/>
    </row>
    <row r="28" spans="1:15" ht="14.4" x14ac:dyDescent="0.25">
      <c r="A28" s="848"/>
      <c r="B28" s="835" t="s">
        <v>1260</v>
      </c>
      <c r="C28" s="835"/>
      <c r="D28" s="835"/>
      <c r="E28" s="835"/>
      <c r="F28" s="835"/>
      <c r="H28"/>
      <c r="I28" s="850"/>
      <c r="J28" s="853"/>
      <c r="K28" s="856"/>
      <c r="L28"/>
      <c r="M28"/>
      <c r="N28"/>
      <c r="O28"/>
    </row>
    <row r="29" spans="1:15" ht="32.25" customHeight="1" x14ac:dyDescent="0.25">
      <c r="A29" s="848"/>
      <c r="B29" s="844" t="s">
        <v>1261</v>
      </c>
      <c r="C29" s="844"/>
      <c r="D29" s="844"/>
      <c r="E29" s="844"/>
      <c r="F29" s="844"/>
      <c r="H29"/>
      <c r="I29" s="851"/>
      <c r="J29" s="854"/>
      <c r="K29" s="857"/>
      <c r="L29"/>
      <c r="M29"/>
      <c r="N29"/>
      <c r="O29"/>
    </row>
    <row r="30" spans="1:15" ht="14.4" x14ac:dyDescent="0.25">
      <c r="B30" s="58"/>
      <c r="C30" s="59"/>
      <c r="D30" s="59"/>
      <c r="E30" s="59"/>
      <c r="F30" s="59"/>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x14ac:dyDescent="0.2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5">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5" x14ac:dyDescent="0.2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f>LOOKUP(人物卡!F$5,职业!$A$1:$A$115,职业!$B$1:$B$115)</f>
        <v>0</v>
      </c>
      <c r="W3" s="16">
        <v>1</v>
      </c>
      <c r="X3" s="6"/>
      <c r="Y3" s="23" t="str">
        <f>IF(LOOKUP(人物卡!$F$5,职业!$A$1:$A$115,职业!$J$1:$J$115)&lt;&gt;0,LOOKUP(人物卡!$F$5,职业!$A$1:$A$115,职业!$K$1:$K$115),0)</f>
        <v>技艺②</v>
      </c>
      <c r="Z3" s="23" t="str">
        <f>IF(LOOKUP(人物卡!$F$5,职业!$A$1:$A$115,职业!$J$1:$J$115)&lt;&gt;0,LOOKUP(人物卡!$F$5,职业!$A$1:$A$115,职业!$L$1:$L$115))</f>
        <v>乔装</v>
      </c>
      <c r="AA3" s="22"/>
    </row>
    <row r="4" spans="1:31" ht="15" x14ac:dyDescent="0.2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射击①</v>
      </c>
      <c r="W4" s="16">
        <v>1</v>
      </c>
      <c r="X4" s="6"/>
      <c r="Y4" s="864" t="s">
        <v>1266</v>
      </c>
      <c r="Z4" s="864"/>
      <c r="AA4" s="22"/>
    </row>
    <row r="5" spans="1:31" ht="15" x14ac:dyDescent="0.2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t="str">
        <f>LOOKUP(人物卡!F$5,职业!$A$1:$A$115,职业!$D$1:$D$115)</f>
        <v>法律</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x14ac:dyDescent="0.2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聆听</v>
      </c>
      <c r="W6" s="16">
        <v>1</v>
      </c>
      <c r="X6" s="6"/>
      <c r="Y6" s="864" t="s">
        <v>1267</v>
      </c>
      <c r="Z6" s="864"/>
      <c r="AA6" s="22"/>
    </row>
    <row r="7" spans="1:31" ht="15" x14ac:dyDescent="0.2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社交技能</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x14ac:dyDescent="0.2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心理学</v>
      </c>
      <c r="W8" s="16">
        <v>1</v>
      </c>
      <c r="X8" s="6"/>
      <c r="Y8" s="864" t="s">
        <v>1268</v>
      </c>
      <c r="Z8" s="864"/>
      <c r="AA8" s="864"/>
    </row>
    <row r="9" spans="1:31" ht="15" x14ac:dyDescent="0.2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侦查</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x14ac:dyDescent="0.2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5" x14ac:dyDescent="0.2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x14ac:dyDescent="0.2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x14ac:dyDescent="0.25">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5">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5">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5">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5">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5">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5">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5">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5">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5">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x14ac:dyDescent="0.2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5">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5">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x14ac:dyDescent="0.25">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5">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5">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5">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5">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5">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5">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5">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5">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5">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5">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5">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5">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5">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5">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5">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5">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5">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5">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5">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5">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5">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5">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5">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5">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x14ac:dyDescent="0.2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5">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5">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5">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5">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5">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5">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5">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5">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5">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x14ac:dyDescent="0.25">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5">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5">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5">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5">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5">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5">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5">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5">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5">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5">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5">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5">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5">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5">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5">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x14ac:dyDescent="0.25">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5">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5">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5">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5">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x14ac:dyDescent="0.2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5">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5">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5">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5">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5">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5">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5">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5">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5">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5">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5">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5">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5">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5">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5">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5">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5">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5">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3.8" x14ac:dyDescent="0.25"/>
  <cols>
    <col min="1" max="1" width="12.6640625" customWidth="1"/>
    <col min="6" max="6" width="51.77734375" customWidth="1"/>
    <col min="7" max="7" width="16.44140625" customWidth="1"/>
    <col min="10" max="10" width="9" style="1"/>
  </cols>
  <sheetData>
    <row r="1" spans="1:13" x14ac:dyDescent="0.25">
      <c r="A1" t="s">
        <v>3</v>
      </c>
      <c r="B1" t="str">
        <f>IF(人物卡!C3=0,"",人物卡!C3)</f>
        <v>沙力万·诺埃尔</v>
      </c>
      <c r="F1" s="2" t="str">
        <f>F14</f>
        <v xml:space="preserve">.st力量50 敏捷45 意志60 体质85 外貌60 教育90 体型75 智力55 理智60 幸运65 考古学41 信用评级45 闪避62 话术45 手枪55 历史35 追踪40 图书馆使用60 聆听70 侦查65                    </v>
      </c>
      <c r="G1" s="2"/>
    </row>
    <row r="2" spans="1:13" x14ac:dyDescent="0.25">
      <c r="A2" t="s">
        <v>7</v>
      </c>
      <c r="B2" t="str">
        <f>IF(人物卡!C4=0,"",人物卡!C4)</f>
        <v/>
      </c>
      <c r="J2" s="5" t="str">
        <f>人物卡!D15</f>
        <v>会计</v>
      </c>
      <c r="K2" s="6">
        <f>IF(SUM(人物卡!G15:I15)=0,0,1)</f>
        <v>0</v>
      </c>
      <c r="L2" s="6">
        <f>人物卡!J15</f>
        <v>5</v>
      </c>
      <c r="M2" s="6">
        <f>K2</f>
        <v>0</v>
      </c>
    </row>
    <row r="3" spans="1:13" x14ac:dyDescent="0.25">
      <c r="A3" t="str">
        <f>IF(B3="","","力量")</f>
        <v>力量</v>
      </c>
      <c r="B3">
        <f>IF(STR=0,"",STR)</f>
        <v>50</v>
      </c>
      <c r="J3" s="5" t="str">
        <f>人物卡!D16</f>
        <v>人类学</v>
      </c>
      <c r="K3" s="6">
        <f>IF(SUM(人物卡!G16:I16)=0,0,1)</f>
        <v>0</v>
      </c>
      <c r="L3" s="6">
        <f>人物卡!J16</f>
        <v>1</v>
      </c>
      <c r="M3" s="6">
        <f t="shared" ref="M3:M66" si="0">K3</f>
        <v>0</v>
      </c>
    </row>
    <row r="4" spans="1:13" x14ac:dyDescent="0.25">
      <c r="A4" t="str">
        <f>IF(B4="","","敏捷")</f>
        <v>敏捷</v>
      </c>
      <c r="B4">
        <f>IF(DEX=0,"",DEX)</f>
        <v>45</v>
      </c>
      <c r="J4" s="5" t="str">
        <f>人物卡!D17</f>
        <v>估价</v>
      </c>
      <c r="K4" s="6">
        <f>IF(SUM(人物卡!G17:I17)=0,0,1)</f>
        <v>0</v>
      </c>
      <c r="L4" s="6">
        <f>人物卡!J17</f>
        <v>5</v>
      </c>
      <c r="M4" s="6">
        <f t="shared" si="0"/>
        <v>0</v>
      </c>
    </row>
    <row r="5" spans="1:13" x14ac:dyDescent="0.25">
      <c r="A5" t="str">
        <f>IF(B5="","","意志")</f>
        <v>意志</v>
      </c>
      <c r="B5">
        <f>IF(POW=0,"",POW)</f>
        <v>60</v>
      </c>
      <c r="J5" s="5" t="str">
        <f>人物卡!D18</f>
        <v>考古学</v>
      </c>
      <c r="K5" s="6">
        <f>IF(SUM(人物卡!G18:I18)=0,0,1)</f>
        <v>1</v>
      </c>
      <c r="L5" s="6">
        <f>人物卡!J18</f>
        <v>41</v>
      </c>
      <c r="M5" s="6">
        <f t="shared" si="0"/>
        <v>1</v>
      </c>
    </row>
    <row r="6" spans="1:13" x14ac:dyDescent="0.25">
      <c r="A6" t="str">
        <f>IF(B6="","","体质")</f>
        <v>体质</v>
      </c>
      <c r="B6">
        <f>IF(CON=0,"",CON)</f>
        <v>85</v>
      </c>
      <c r="J6" s="5" t="str">
        <f>人物卡!E19</f>
        <v>杂技</v>
      </c>
      <c r="K6" s="6">
        <f>IF(SUM(人物卡!G19:I19)=0,0,1)</f>
        <v>0</v>
      </c>
      <c r="L6" s="6">
        <f>人物卡!J19</f>
        <v>5</v>
      </c>
      <c r="M6" s="6">
        <f t="shared" si="0"/>
        <v>0</v>
      </c>
    </row>
    <row r="7" spans="1:13" x14ac:dyDescent="0.25">
      <c r="A7" t="str">
        <f>IF(B7="","","外貌")</f>
        <v>外貌</v>
      </c>
      <c r="B7">
        <f>IF(APP=0,"",APP)</f>
        <v>60</v>
      </c>
      <c r="J7" s="5">
        <f>人物卡!E20</f>
        <v>0</v>
      </c>
      <c r="K7" s="6">
        <f>IF(SUM(人物卡!G20:I20)=0,0,1)</f>
        <v>0</v>
      </c>
      <c r="L7" s="6">
        <f>人物卡!J20</f>
        <v>5</v>
      </c>
      <c r="M7" s="6">
        <f t="shared" si="0"/>
        <v>0</v>
      </c>
    </row>
    <row r="8" spans="1:13" x14ac:dyDescent="0.25">
      <c r="A8" t="str">
        <f>IF(B8="","","教育")</f>
        <v>教育</v>
      </c>
      <c r="B8">
        <f>IF(EDU=0,"",EDU)</f>
        <v>90</v>
      </c>
      <c r="J8" s="5">
        <f>人物卡!E21</f>
        <v>0</v>
      </c>
      <c r="K8" s="6">
        <f>IF(SUM(人物卡!G21:I21)=0,0,1)</f>
        <v>0</v>
      </c>
      <c r="L8" s="6">
        <f>人物卡!J21</f>
        <v>5</v>
      </c>
      <c r="M8" s="6">
        <f t="shared" si="0"/>
        <v>0</v>
      </c>
    </row>
    <row r="9" spans="1:13" x14ac:dyDescent="0.25">
      <c r="A9" t="str">
        <f>IF(B9="","","体型")</f>
        <v>体型</v>
      </c>
      <c r="B9">
        <f>IF(SIZ=0,"",SIZ)</f>
        <v>75</v>
      </c>
      <c r="J9" s="5" t="str">
        <f>人物卡!D22</f>
        <v>魅惑</v>
      </c>
      <c r="K9" s="6">
        <f>IF(SUM(人物卡!G22:I22)=0,0,1)</f>
        <v>0</v>
      </c>
      <c r="L9" s="6">
        <f>人物卡!J22</f>
        <v>15</v>
      </c>
      <c r="M9" s="6">
        <f t="shared" si="0"/>
        <v>0</v>
      </c>
    </row>
    <row r="10" spans="1:13" x14ac:dyDescent="0.25">
      <c r="A10" t="str">
        <f>IF(B10="","","智力")</f>
        <v>智力</v>
      </c>
      <c r="B10">
        <f>IF(INT=0,"",INT)</f>
        <v>55</v>
      </c>
      <c r="J10" s="5" t="str">
        <f>人物卡!D23</f>
        <v>攀爬</v>
      </c>
      <c r="K10" s="6">
        <f>IF(SUM(人物卡!G23:I23)=0,0,1)</f>
        <v>0</v>
      </c>
      <c r="L10" s="6">
        <f>人物卡!J23</f>
        <v>20</v>
      </c>
      <c r="M10" s="6">
        <f t="shared" si="0"/>
        <v>0</v>
      </c>
    </row>
    <row r="11" spans="1:13" x14ac:dyDescent="0.25">
      <c r="A11" t="s">
        <v>1271</v>
      </c>
      <c r="B11">
        <f>MOV</f>
        <v>7</v>
      </c>
      <c r="J11" s="5" t="str">
        <f>人物卡!D24</f>
        <v>计算机使用 Ω</v>
      </c>
      <c r="K11" s="6">
        <f>IF(SUM(人物卡!G24:I24)=0,0,1)</f>
        <v>0</v>
      </c>
      <c r="L11" s="6">
        <f>人物卡!J24</f>
        <v>5</v>
      </c>
      <c r="M11" s="6">
        <f t="shared" si="0"/>
        <v>0</v>
      </c>
    </row>
    <row r="12" spans="1:13" x14ac:dyDescent="0.25">
      <c r="A12" t="s">
        <v>1272</v>
      </c>
      <c r="B12" s="3">
        <f>人物卡!D10</f>
        <v>16</v>
      </c>
      <c r="C12">
        <f>人物卡!E10</f>
        <v>16</v>
      </c>
      <c r="J12" s="5" t="str">
        <f>人物卡!D25</f>
        <v>信用评级</v>
      </c>
      <c r="K12" s="6">
        <f>IF(SUM(人物卡!G25:I25)=0,0,1)</f>
        <v>1</v>
      </c>
      <c r="L12" s="6">
        <f>人物卡!J25</f>
        <v>45</v>
      </c>
      <c r="M12" s="6">
        <f t="shared" si="0"/>
        <v>1</v>
      </c>
    </row>
    <row r="13" spans="1:13" x14ac:dyDescent="0.25">
      <c r="A13" t="str">
        <f>IF(B13="","","理智")</f>
        <v>理智</v>
      </c>
      <c r="B13">
        <f>IF(人物卡!H10=0,"",人物卡!H10)</f>
        <v>60</v>
      </c>
      <c r="C13">
        <f>SAN</f>
        <v>99</v>
      </c>
      <c r="J13" s="5" t="str">
        <f>人物卡!D26</f>
        <v>克苏鲁神话</v>
      </c>
      <c r="K13" s="6">
        <f>IF(SUM(人物卡!G26:I26)=0,0,1)</f>
        <v>0</v>
      </c>
      <c r="L13" s="6">
        <f>人物卡!J26</f>
        <v>0</v>
      </c>
      <c r="M13" s="6">
        <f t="shared" si="0"/>
        <v>0</v>
      </c>
    </row>
    <row r="14" spans="1:13" x14ac:dyDescent="0.25">
      <c r="A14" t="str">
        <f>IF(B14="","","幸运")</f>
        <v>幸运</v>
      </c>
      <c r="B14">
        <f>IF(Luck=0,"",Luck)</f>
        <v>65</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.st力量50 敏捷45 意志60 体质85 外貌60 教育90 体型75 智力55 理智60 幸运65 考古学41 信用评级45 闪避62 话术45 手枪55 历史35 追踪40 图书馆使用60 聆听70 侦查65                    </v>
      </c>
      <c r="J14" s="5" t="str">
        <f>人物卡!D27</f>
        <v>乔装</v>
      </c>
      <c r="K14" s="6">
        <f>IF(SUM(人物卡!G27:I27)=0,0,1)</f>
        <v>0</v>
      </c>
      <c r="L14" s="6">
        <f>人物卡!J27</f>
        <v>5</v>
      </c>
      <c r="M14" s="6">
        <f t="shared" si="0"/>
        <v>0</v>
      </c>
    </row>
    <row r="15" spans="1:13" x14ac:dyDescent="0.25">
      <c r="A15" t="s">
        <v>1273</v>
      </c>
      <c r="B15">
        <f>人物卡!Q10</f>
        <v>12</v>
      </c>
      <c r="C15">
        <f>MP</f>
        <v>12</v>
      </c>
      <c r="J15" s="5" t="str">
        <f>人物卡!D28</f>
        <v>闪避</v>
      </c>
      <c r="K15" s="6">
        <f>IF(SUM(人物卡!G28:I28)=0,0,1)</f>
        <v>1</v>
      </c>
      <c r="L15" s="6">
        <f>人物卡!J28</f>
        <v>62</v>
      </c>
      <c r="M15" s="6">
        <f t="shared" si="0"/>
        <v>1</v>
      </c>
    </row>
    <row r="16" spans="1:13" x14ac:dyDescent="0.25">
      <c r="A16" s="4" t="s">
        <v>1274</v>
      </c>
      <c r="B16" s="4"/>
      <c r="J16" s="5" t="str">
        <f>人物卡!D29</f>
        <v>汽车驾驶</v>
      </c>
      <c r="K16" s="6">
        <f>IF(SUM(人物卡!G29:I29)=0,0,1)</f>
        <v>0</v>
      </c>
      <c r="L16" s="6">
        <f>人物卡!J29</f>
        <v>20</v>
      </c>
      <c r="M16" s="6">
        <f t="shared" si="0"/>
        <v>0</v>
      </c>
    </row>
    <row r="17" spans="1:13" x14ac:dyDescent="0.25">
      <c r="A17" s="1" t="str">
        <f t="array" ref="A17">IFERROR(INDEX($J$2:$J$69,SMALL(IF($K$2:$K$69=1,ROW($J$2:$J$69),99999),ROW(J1))-1,1),"")</f>
        <v>考古学</v>
      </c>
      <c r="B17" s="1">
        <f t="array" ref="B17">IFERROR(INDEX($L$2:$L$69,SMALL(IF($K$2:$K$69=1,ROW($J$2:$J$69),99999),ROW(K1))-1,1),"")</f>
        <v>41</v>
      </c>
      <c r="J17" s="5" t="str">
        <f>人物卡!D30</f>
        <v>电气维修</v>
      </c>
      <c r="K17" s="6">
        <f>IF(SUM(人物卡!G30:I30)=0,0,1)</f>
        <v>0</v>
      </c>
      <c r="L17" s="6">
        <f>人物卡!J30</f>
        <v>10</v>
      </c>
      <c r="M17" s="6">
        <f t="shared" si="0"/>
        <v>0</v>
      </c>
    </row>
    <row r="18" spans="1:13" x14ac:dyDescent="0.25">
      <c r="A18" s="1" t="str">
        <f t="array" ref="A18">IFERROR(INDEX($J$2:$J$69,SMALL(IF($K$2:$K$69=1,ROW($J$2:$J$69),99999),ROW(J2))-1,1),"")</f>
        <v>信用评级</v>
      </c>
      <c r="B18" s="1">
        <f t="array" ref="B18">IFERROR(INDEX($L$2:$L$69,SMALL(IF($K$2:$K$69=1,ROW($J$2:$J$69),99999),ROW(K2))-1,1),"")</f>
        <v>45</v>
      </c>
      <c r="J18" s="5" t="str">
        <f>人物卡!D31</f>
        <v>电子学 Ω</v>
      </c>
      <c r="K18" s="6">
        <f>IF(SUM(人物卡!G31:I31)=0,0,1)</f>
        <v>0</v>
      </c>
      <c r="L18" s="6">
        <f>人物卡!J31</f>
        <v>1</v>
      </c>
      <c r="M18" s="6">
        <f t="shared" si="0"/>
        <v>0</v>
      </c>
    </row>
    <row r="19" spans="1:13" x14ac:dyDescent="0.25">
      <c r="A19" s="1" t="str">
        <f t="array" ref="A19">IFERROR(INDEX($J$2:$J$69,SMALL(IF($K$2:$K$69=1,ROW($J$2:$J$69),99999),ROW(J3))-1,1),"")</f>
        <v>闪避</v>
      </c>
      <c r="B19" s="1">
        <f t="array" ref="B19">IFERROR(INDEX($L$2:$L$69,SMALL(IF($K$2:$K$69=1,ROW($J$2:$J$69),99999),ROW(K3))-1,1),"")</f>
        <v>62</v>
      </c>
      <c r="J19" s="5" t="str">
        <f>人物卡!D32</f>
        <v>话术</v>
      </c>
      <c r="K19" s="6">
        <f>IF(SUM(人物卡!G32:I32)=0,0,1)</f>
        <v>1</v>
      </c>
      <c r="L19" s="6">
        <f>人物卡!J32</f>
        <v>45</v>
      </c>
      <c r="M19" s="6">
        <f t="shared" si="0"/>
        <v>1</v>
      </c>
    </row>
    <row r="20" spans="1:13" x14ac:dyDescent="0.25">
      <c r="A20" s="1" t="str">
        <f t="array" ref="A20">IFERROR(INDEX($J$2:$J$69,SMALL(IF($K$2:$K$69=1,ROW($J$2:$J$69),99999),ROW(J4))-1,1),"")</f>
        <v>话术</v>
      </c>
      <c r="B20" s="1">
        <f t="array" ref="B20">IFERROR(INDEX($L$2:$L$69,SMALL(IF($K$2:$K$69=1,ROW($J$2:$J$69),99999),ROW(K4))-1,1),"")</f>
        <v>45</v>
      </c>
      <c r="J20" s="5" t="str">
        <f>人物卡!E33</f>
        <v>斗殴</v>
      </c>
      <c r="K20" s="6">
        <f>IF(SUM(人物卡!G33:I33)=0,0,1)</f>
        <v>0</v>
      </c>
      <c r="L20" s="6">
        <f>人物卡!J33</f>
        <v>25</v>
      </c>
      <c r="M20" s="6">
        <f t="shared" si="0"/>
        <v>0</v>
      </c>
    </row>
    <row r="21" spans="1:13" x14ac:dyDescent="0.25">
      <c r="A21" s="1" t="str">
        <f t="array" ref="A21">IFERROR(INDEX($J$2:$J$69,SMALL(IF($K$2:$K$69=1,ROW($J$2:$J$69),99999),ROW(J5))-1,1),"")</f>
        <v>手枪</v>
      </c>
      <c r="B21" s="1">
        <f t="array" ref="B21">IFERROR(INDEX($L$2:$L$69,SMALL(IF($K$2:$K$69=1,ROW($J$2:$J$69),99999),ROW(K5))-1,1),"")</f>
        <v>55</v>
      </c>
      <c r="J21" s="5">
        <f>人物卡!E34</f>
        <v>0</v>
      </c>
      <c r="K21" s="6">
        <f>IF(SUM(人物卡!G34:I34)=0,0,1)</f>
        <v>0</v>
      </c>
      <c r="L21" s="6">
        <f>人物卡!J34</f>
        <v>0</v>
      </c>
      <c r="M21" s="6">
        <f t="shared" si="0"/>
        <v>0</v>
      </c>
    </row>
    <row r="22" spans="1:13" x14ac:dyDescent="0.25">
      <c r="A22" s="1" t="str">
        <f t="array" ref="A22">IFERROR(INDEX($J$2:$J$69,SMALL(IF($K$2:$K$69=1,ROW($J$2:$J$69),99999),ROW(J6))-1,1),"")</f>
        <v>历史</v>
      </c>
      <c r="B22" s="1">
        <f t="array" ref="B22">IFERROR(INDEX($L$2:$L$69,SMALL(IF($K$2:$K$69=1,ROW($J$2:$J$69),99999),ROW(K6))-1,1),"")</f>
        <v>35</v>
      </c>
      <c r="J22" s="5">
        <f>人物卡!E35</f>
        <v>0</v>
      </c>
      <c r="K22" s="6">
        <f>IF(SUM(人物卡!G35:I35)=0,0,1)</f>
        <v>0</v>
      </c>
      <c r="L22" s="6">
        <f>人物卡!J35</f>
        <v>0</v>
      </c>
      <c r="M22" s="6">
        <f t="shared" si="0"/>
        <v>0</v>
      </c>
    </row>
    <row r="23" spans="1:13" x14ac:dyDescent="0.25">
      <c r="A23" s="1" t="str">
        <f t="array" ref="A23">IFERROR(INDEX($J$2:$J$69,SMALL(IF($K$2:$K$69=1,ROW($J$2:$J$69),99999),ROW(J7))-1,1),"")</f>
        <v>追踪</v>
      </c>
      <c r="B23" s="1">
        <f t="array" ref="B23">IFERROR(INDEX($L$2:$L$69,SMALL(IF($K$2:$K$69=1,ROW($J$2:$J$69),99999),ROW(K7))-1,1),"")</f>
        <v>40</v>
      </c>
      <c r="J23" s="5" t="str">
        <f>人物卡!E36</f>
        <v>手枪</v>
      </c>
      <c r="K23" s="6">
        <f>IF(SUM(人物卡!G36:I36)=0,0,1)</f>
        <v>1</v>
      </c>
      <c r="L23" s="6">
        <f>人物卡!J36</f>
        <v>55</v>
      </c>
      <c r="M23" s="6">
        <f t="shared" si="0"/>
        <v>1</v>
      </c>
    </row>
    <row r="24" spans="1:13" x14ac:dyDescent="0.25">
      <c r="A24" s="1" t="str">
        <f t="array" ref="A24">IFERROR(INDEX($J$2:$J$69,SMALL(IF($K$2:$K$69=1,ROW($J$2:$J$69),99999),ROW(J8))-1,1),"")</f>
        <v>图书馆使用</v>
      </c>
      <c r="B24" s="1">
        <f t="array" ref="B24">IFERROR(INDEX($L$2:$L$69,SMALL(IF($K$2:$K$69=1,ROW($J$2:$J$69),99999),ROW(K8))-1,1),"")</f>
        <v>60</v>
      </c>
      <c r="J24" s="5">
        <f>人物卡!E37</f>
        <v>0</v>
      </c>
      <c r="K24" s="6">
        <f>IF(SUM(人物卡!G37:I37)=0,0,1)</f>
        <v>0</v>
      </c>
      <c r="L24" s="6">
        <f>人物卡!J37</f>
        <v>0</v>
      </c>
      <c r="M24" s="6">
        <f t="shared" si="0"/>
        <v>0</v>
      </c>
    </row>
    <row r="25" spans="1:13" x14ac:dyDescent="0.25">
      <c r="A25" s="1" t="str">
        <f t="array" ref="A25">IFERROR(INDEX($J$2:$J$69,SMALL(IF($K$2:$K$69=1,ROW($J$2:$J$69),99999),ROW(J9))-1,1),"")</f>
        <v>聆听</v>
      </c>
      <c r="B25" s="1">
        <f t="array" ref="B25">IFERROR(INDEX($L$2:$L$69,SMALL(IF($K$2:$K$69=1,ROW($J$2:$J$69),99999),ROW(K9))-1,1),"")</f>
        <v>70</v>
      </c>
      <c r="J25" s="5">
        <f>人物卡!E38</f>
        <v>0</v>
      </c>
      <c r="K25" s="6">
        <f>IF(SUM(人物卡!G38:I38)=0,0,1)</f>
        <v>0</v>
      </c>
      <c r="L25" s="6">
        <f>人物卡!J38</f>
        <v>0</v>
      </c>
      <c r="M25" s="6">
        <f t="shared" si="0"/>
        <v>0</v>
      </c>
    </row>
    <row r="26" spans="1:13" x14ac:dyDescent="0.25">
      <c r="A26" s="1" t="str">
        <f t="array" ref="A26">IFERROR(INDEX($J$2:$J$69,SMALL(IF($K$2:$K$69=1,ROW($J$2:$J$69),99999),ROW(J10))-1,1),"")</f>
        <v>侦查</v>
      </c>
      <c r="B26" s="1">
        <f t="array" ref="B26">IFERROR(INDEX($L$2:$L$69,SMALL(IF($K$2:$K$69=1,ROW($J$2:$J$69),99999),ROW(K10))-1,1),"")</f>
        <v>65</v>
      </c>
      <c r="J26" s="5" t="str">
        <f>人物卡!D39</f>
        <v>急救</v>
      </c>
      <c r="K26" s="6">
        <f>IF(SUM(人物卡!G39:I39)=0,0,1)</f>
        <v>0</v>
      </c>
      <c r="L26" s="6">
        <f>人物卡!J39</f>
        <v>30</v>
      </c>
      <c r="M26" s="6">
        <f t="shared" si="0"/>
        <v>0</v>
      </c>
    </row>
    <row r="27" spans="1:13" x14ac:dyDescent="0.25">
      <c r="A27" s="1" t="str">
        <f t="array" ref="A27">IFERROR(INDEX($J$2:$J$69,SMALL(IF($K$2:$K$69=1,ROW($J$2:$J$69),99999),ROW(J11))-1,1),"")</f>
        <v/>
      </c>
      <c r="B27" s="1" t="str">
        <f t="array" ref="B27">IFERROR(INDEX($L$2:$L$69,SMALL(IF($K$2:$K$69=1,ROW($J$2:$J$69),99999),ROW(K11))-1,1),"")</f>
        <v/>
      </c>
      <c r="J27" s="5" t="str">
        <f>人物卡!D40</f>
        <v>历史</v>
      </c>
      <c r="K27" s="6">
        <f>IF(SUM(人物卡!G40:I40)=0,0,1)</f>
        <v>1</v>
      </c>
      <c r="L27" s="6">
        <f>人物卡!J40</f>
        <v>35</v>
      </c>
      <c r="M27" s="6">
        <f t="shared" si="0"/>
        <v>1</v>
      </c>
    </row>
    <row r="28" spans="1:13" x14ac:dyDescent="0.2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2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5">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2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90</v>
      </c>
      <c r="M33" s="6">
        <f t="shared" si="0"/>
        <v>0</v>
      </c>
    </row>
    <row r="34" spans="1:13" x14ac:dyDescent="0.2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5">
      <c r="A35" s="1" t="str">
        <f t="array" ref="A35">IFERROR(INDEX($J$2:$J$69,SMALL(IF($K$2:$K$69=1,ROW($J$2:$J$69),99999),ROW(J19))-1,1),"")</f>
        <v/>
      </c>
      <c r="B35" s="1" t="str">
        <f t="array" ref="B35">IFERROR(INDEX($L$2:$L$69,SMALL(IF($K$2:$K$69=1,ROW($J$2:$J$69),99999),ROW(K19))-1,1),"")</f>
        <v/>
      </c>
      <c r="J35" s="5" t="str">
        <f>人物卡!D48</f>
        <v>追踪</v>
      </c>
      <c r="K35" s="6">
        <f>IF(SUM(人物卡!G48:I48)=0,0,1)</f>
        <v>1</v>
      </c>
      <c r="L35" s="6">
        <f>人物卡!J48</f>
        <v>40</v>
      </c>
      <c r="M35" s="6">
        <f t="shared" si="0"/>
        <v>1</v>
      </c>
    </row>
    <row r="36" spans="1:13" x14ac:dyDescent="0.2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25">
      <c r="A37" s="4" t="s">
        <v>1275</v>
      </c>
      <c r="B37" s="4"/>
      <c r="J37" s="5" t="str">
        <f>人物卡!O16</f>
        <v>图书馆使用</v>
      </c>
      <c r="K37" s="6">
        <f>IF(SUM(人物卡!R16:T16)=0,0,1)</f>
        <v>1</v>
      </c>
      <c r="L37" s="6">
        <f>人物卡!U16</f>
        <v>60</v>
      </c>
      <c r="M37" s="6">
        <f t="shared" si="0"/>
        <v>1</v>
      </c>
    </row>
    <row r="38" spans="1:13" x14ac:dyDescent="0.25">
      <c r="A38" t="str">
        <f>IF(人物卡!B68=0,"",人物卡!B68)</f>
        <v>警用手枪</v>
      </c>
      <c r="J38" s="5" t="str">
        <f>人物卡!O17</f>
        <v>聆听</v>
      </c>
      <c r="K38" s="6">
        <f>IF(SUM(人物卡!R17:T17)=0,0,1)</f>
        <v>1</v>
      </c>
      <c r="L38" s="6">
        <f>人物卡!U17</f>
        <v>70</v>
      </c>
      <c r="M38" s="6">
        <f t="shared" si="0"/>
        <v>1</v>
      </c>
    </row>
    <row r="39" spans="1:13" x14ac:dyDescent="0.25">
      <c r="A39" t="str">
        <f>IF(人物卡!B69=0,"",人物卡!B69)</f>
        <v>放大镜</v>
      </c>
      <c r="J39" s="5" t="str">
        <f>人物卡!O18</f>
        <v>锁匠</v>
      </c>
      <c r="K39" s="6">
        <f>IF(SUM(人物卡!R18:T18)=0,0,1)</f>
        <v>0</v>
      </c>
      <c r="L39" s="6">
        <f>人物卡!U18</f>
        <v>1</v>
      </c>
      <c r="M39" s="6">
        <f t="shared" si="0"/>
        <v>0</v>
      </c>
    </row>
    <row r="40" spans="1:13" x14ac:dyDescent="0.25">
      <c r="A40" t="str">
        <f>IF(人物卡!B70=0,"",人物卡!B70)</f>
        <v>警官证</v>
      </c>
      <c r="J40" s="5" t="str">
        <f>人物卡!O19</f>
        <v>机械维修</v>
      </c>
      <c r="K40" s="6">
        <f>IF(SUM(人物卡!R19:T19)=0,0,1)</f>
        <v>0</v>
      </c>
      <c r="L40" s="6">
        <f>人物卡!U19</f>
        <v>10</v>
      </c>
      <c r="M40" s="6">
        <f t="shared" si="0"/>
        <v>0</v>
      </c>
    </row>
    <row r="41" spans="1:13" x14ac:dyDescent="0.25">
      <c r="A41" t="str">
        <f>IF(人物卡!B71=0,"",人物卡!B71)</f>
        <v>钱包</v>
      </c>
      <c r="J41" s="5" t="str">
        <f>人物卡!O20</f>
        <v>医学</v>
      </c>
      <c r="K41" s="6">
        <f>IF(SUM(人物卡!R20:T20)=0,0,1)</f>
        <v>0</v>
      </c>
      <c r="L41" s="6">
        <f>人物卡!U20</f>
        <v>1</v>
      </c>
      <c r="M41" s="6">
        <f t="shared" si="0"/>
        <v>0</v>
      </c>
    </row>
    <row r="42" spans="1:13" x14ac:dyDescent="0.25">
      <c r="A42" t="str">
        <f>IF(人物卡!B72=0,"",人物卡!B72)</f>
        <v/>
      </c>
      <c r="J42" s="5" t="str">
        <f>人物卡!O21</f>
        <v>自然学</v>
      </c>
      <c r="K42" s="6">
        <f>IF(SUM(人物卡!R21:T21)=0,0,1)</f>
        <v>0</v>
      </c>
      <c r="L42" s="6">
        <f>人物卡!U21</f>
        <v>10</v>
      </c>
      <c r="M42" s="6">
        <f t="shared" si="0"/>
        <v>0</v>
      </c>
    </row>
    <row r="43" spans="1:13" x14ac:dyDescent="0.25">
      <c r="A43" t="str">
        <f>IF(人物卡!B73=0,"",人物卡!B73)</f>
        <v/>
      </c>
      <c r="J43" s="5" t="str">
        <f>人物卡!O22</f>
        <v>导航</v>
      </c>
      <c r="K43" s="6">
        <f>IF(SUM(人物卡!R22:T22)=0,0,1)</f>
        <v>0</v>
      </c>
      <c r="L43" s="6">
        <f>人物卡!U22</f>
        <v>10</v>
      </c>
      <c r="M43" s="6">
        <f t="shared" si="0"/>
        <v>0</v>
      </c>
    </row>
    <row r="44" spans="1:13" x14ac:dyDescent="0.25">
      <c r="A44" t="str">
        <f>IF(人物卡!B74=0,"",人物卡!B74)</f>
        <v/>
      </c>
      <c r="J44" s="5" t="str">
        <f>人物卡!O23</f>
        <v>神秘学</v>
      </c>
      <c r="K44" s="6">
        <f>IF(SUM(人物卡!R23:T23)=0,0,1)</f>
        <v>0</v>
      </c>
      <c r="L44" s="6">
        <f>人物卡!U23</f>
        <v>5</v>
      </c>
      <c r="M44" s="6">
        <f t="shared" si="0"/>
        <v>0</v>
      </c>
    </row>
    <row r="45" spans="1:13" x14ac:dyDescent="0.25">
      <c r="A45" t="str">
        <f>IF(人物卡!B75=0,"",人物卡!B75)</f>
        <v/>
      </c>
      <c r="J45" s="5" t="str">
        <f>人物卡!O24</f>
        <v>操作重型机械</v>
      </c>
      <c r="K45" s="6">
        <f>IF(SUM(人物卡!R24:T24)=0,0,1)</f>
        <v>0</v>
      </c>
      <c r="L45" s="6">
        <f>人物卡!U24</f>
        <v>1</v>
      </c>
      <c r="M45" s="6">
        <f t="shared" si="0"/>
        <v>0</v>
      </c>
    </row>
    <row r="46" spans="1:13" x14ac:dyDescent="0.25">
      <c r="A46" t="str">
        <f>IF(人物卡!B76=0,"",人物卡!B76)</f>
        <v/>
      </c>
      <c r="J46" s="5" t="str">
        <f>人物卡!O25</f>
        <v>说服</v>
      </c>
      <c r="K46" s="6">
        <f>IF(SUM(人物卡!R25:T25)=0,0,1)</f>
        <v>0</v>
      </c>
      <c r="L46" s="6">
        <f>人物卡!U25</f>
        <v>10</v>
      </c>
      <c r="M46" s="6">
        <f t="shared" si="0"/>
        <v>0</v>
      </c>
    </row>
    <row r="47" spans="1:13" x14ac:dyDescent="0.25">
      <c r="A47" s="4" t="s">
        <v>110</v>
      </c>
      <c r="B47" s="4" t="s">
        <v>115</v>
      </c>
      <c r="C47" s="4" t="s">
        <v>1276</v>
      </c>
      <c r="D47" s="4" t="s">
        <v>1277</v>
      </c>
      <c r="J47" s="5" t="str">
        <f>人物卡!O26&amp;人物卡!P26</f>
        <v>驾驶：</v>
      </c>
      <c r="K47" s="6">
        <f>IF(SUM(人物卡!R26:T26)=0,0,1)</f>
        <v>0</v>
      </c>
      <c r="L47" s="6">
        <f>人物卡!U26</f>
        <v>1</v>
      </c>
      <c r="M47" s="6">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5">
      <c r="A49" t="str">
        <f>IF(人物卡!B53=0,"",人物卡!B53)</f>
        <v>.45 自动手枪</v>
      </c>
      <c r="B49" t="str">
        <f>人物卡!I53</f>
        <v>1D10+2</v>
      </c>
      <c r="C49" t="str">
        <f>IF(人物卡!M53=武器列表!F8,"穿",IF(人物卡!M53="",人物卡!M53,"钝"))</f>
        <v>钝</v>
      </c>
      <c r="D49" t="str">
        <f>IF(人物卡!R53&lt;&gt;武器列表!I31,人物卡!R53,"无")</f>
        <v>100</v>
      </c>
      <c r="J49" s="5" t="str">
        <f>人物卡!O28</f>
        <v>心理学</v>
      </c>
      <c r="K49" s="6">
        <f>IF(SUM(人物卡!R28:T28)=0,0,1)</f>
        <v>0</v>
      </c>
      <c r="L49" s="6">
        <f>人物卡!U28</f>
        <v>10</v>
      </c>
      <c r="M49" s="6">
        <f t="shared" si="0"/>
        <v>0</v>
      </c>
    </row>
    <row r="50" spans="1:13" x14ac:dyDescent="0.2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5">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2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5">
      <c r="A54" s="4" t="s">
        <v>131</v>
      </c>
      <c r="B54" s="4"/>
      <c r="J54" s="5" t="str">
        <f>人物卡!O33</f>
        <v>妙手</v>
      </c>
      <c r="K54" s="6">
        <f>IF(SUM(人物卡!R33:T33)=0,0,1)</f>
        <v>0</v>
      </c>
      <c r="L54" s="6">
        <f>人物卡!U33</f>
        <v>10</v>
      </c>
      <c r="M54" s="6">
        <f t="shared" si="0"/>
        <v>0</v>
      </c>
    </row>
    <row r="55" spans="1:13" x14ac:dyDescent="0.25">
      <c r="A55" t="str">
        <f>人物卡!L76</f>
        <v>沙力万出生于法国巴黎，父亲是一位历史学家，从小培养了他对于历史和古代文物的兴趣。父亲曾非常希望他成为考古学家，他曾经也是这么想的。但在12岁那年，父亲不幸被歹徒杀害。富有正义感的他认为只有社会安定了才能够保证学术的发展，于是他决心成为一名警察。在警察工作之余，沙力万也爱好读书，尤其是历史和考古学相关的。沙力万非常崇拜拿破仑，认为拿破仑是法国的民族英雄。</v>
      </c>
      <c r="J55" s="5" t="str">
        <f>人物卡!O34</f>
        <v>侦查</v>
      </c>
      <c r="K55" s="6">
        <f>IF(SUM(人物卡!R34:T34)=0,0,1)</f>
        <v>1</v>
      </c>
      <c r="L55" s="6">
        <f>人物卡!U34</f>
        <v>65</v>
      </c>
      <c r="M55" s="6">
        <f t="shared" si="0"/>
        <v>1</v>
      </c>
    </row>
    <row r="56" spans="1:13" x14ac:dyDescent="0.25">
      <c r="J56" s="5" t="str">
        <f>人物卡!O35</f>
        <v>潜行</v>
      </c>
      <c r="K56" s="6">
        <f>IF(SUM(人物卡!R35:T35)=0,0,1)</f>
        <v>0</v>
      </c>
      <c r="L56" s="6">
        <f>人物卡!U35</f>
        <v>20</v>
      </c>
      <c r="M56" s="6">
        <f t="shared" si="0"/>
        <v>0</v>
      </c>
    </row>
    <row r="57" spans="1:13" x14ac:dyDescent="0.25">
      <c r="J57" s="7" t="str">
        <f>人物卡!O36&amp;人物卡!P36</f>
        <v>生存：</v>
      </c>
      <c r="K57" s="6">
        <f>IF(SUM(人物卡!R36:T36)=0,0,1)</f>
        <v>0</v>
      </c>
      <c r="L57" s="6">
        <f>人物卡!U36</f>
        <v>10</v>
      </c>
      <c r="M57" s="6">
        <f t="shared" si="0"/>
        <v>0</v>
      </c>
    </row>
    <row r="58" spans="1:13" x14ac:dyDescent="0.25">
      <c r="J58" s="5" t="str">
        <f>人物卡!O37</f>
        <v>游泳</v>
      </c>
      <c r="K58" s="6">
        <f>IF(SUM(人物卡!R37:T37)=0,0,1)</f>
        <v>0</v>
      </c>
      <c r="L58" s="6">
        <f>人物卡!U37</f>
        <v>20</v>
      </c>
      <c r="M58" s="6">
        <f t="shared" si="0"/>
        <v>0</v>
      </c>
    </row>
    <row r="59" spans="1:13" x14ac:dyDescent="0.25">
      <c r="J59" s="5" t="str">
        <f>人物卡!O38</f>
        <v>驯兽</v>
      </c>
      <c r="K59" s="6">
        <f>IF(SUM(人物卡!R38:T38)=0,0,1)</f>
        <v>0</v>
      </c>
      <c r="L59" s="6">
        <f>人物卡!U38</f>
        <v>5</v>
      </c>
      <c r="M59" s="6">
        <f t="shared" si="0"/>
        <v>0</v>
      </c>
    </row>
    <row r="60" spans="1:13" x14ac:dyDescent="0.25">
      <c r="J60" s="5" t="str">
        <f>人物卡!O39</f>
        <v>潜水</v>
      </c>
      <c r="K60" s="6">
        <f>IF(SUM(人物卡!R39:T39)=0,0,1)</f>
        <v>0</v>
      </c>
      <c r="L60" s="6">
        <f>人物卡!U39</f>
        <v>1</v>
      </c>
      <c r="M60" s="6">
        <f t="shared" si="0"/>
        <v>0</v>
      </c>
    </row>
    <row r="61" spans="1:13" x14ac:dyDescent="0.25">
      <c r="J61" s="5" t="str">
        <f>人物卡!O40</f>
        <v>爆破</v>
      </c>
      <c r="K61" s="6">
        <f>IF(SUM(人物卡!R40:T40)=0,0,1)</f>
        <v>0</v>
      </c>
      <c r="L61" s="6">
        <f>人物卡!U40</f>
        <v>1</v>
      </c>
      <c r="M61" s="6">
        <f t="shared" si="0"/>
        <v>0</v>
      </c>
    </row>
    <row r="62" spans="1:13" x14ac:dyDescent="0.25">
      <c r="J62" s="5" t="str">
        <f>人物卡!O41</f>
        <v>读唇</v>
      </c>
      <c r="K62" s="6">
        <f>IF(SUM(人物卡!R41:T41)=0,0,1)</f>
        <v>0</v>
      </c>
      <c r="L62" s="6">
        <f>人物卡!U41</f>
        <v>1</v>
      </c>
      <c r="M62" s="6">
        <f t="shared" si="0"/>
        <v>0</v>
      </c>
    </row>
    <row r="63" spans="1:13" x14ac:dyDescent="0.25">
      <c r="J63" s="5" t="str">
        <f>人物卡!O42</f>
        <v>催眠</v>
      </c>
      <c r="K63" s="6">
        <f>IF(SUM(人物卡!R42:T42)=0,0,1)</f>
        <v>0</v>
      </c>
      <c r="L63" s="6">
        <f>人物卡!U42</f>
        <v>1</v>
      </c>
      <c r="M63" s="6">
        <f t="shared" si="0"/>
        <v>0</v>
      </c>
    </row>
    <row r="64" spans="1:13" x14ac:dyDescent="0.25">
      <c r="J64" s="5" t="str">
        <f>人物卡!O43</f>
        <v>炮术</v>
      </c>
      <c r="K64" s="6">
        <f>IF(SUM(人物卡!R43:T43)=0,0,1)</f>
        <v>0</v>
      </c>
      <c r="L64" s="6">
        <f>人物卡!U43</f>
        <v>1</v>
      </c>
      <c r="M64" s="6">
        <f t="shared" si="0"/>
        <v>0</v>
      </c>
    </row>
    <row r="65" spans="10:13" x14ac:dyDescent="0.25">
      <c r="J65" s="5" t="str">
        <f>人物卡!O44</f>
        <v>学问：</v>
      </c>
      <c r="K65" s="6">
        <f>IF(SUM(人物卡!R44:T44)=0,0,1)</f>
        <v>0</v>
      </c>
      <c r="L65" s="6">
        <f>人物卡!U44</f>
        <v>1</v>
      </c>
      <c r="M65" s="6">
        <f t="shared" si="0"/>
        <v>0</v>
      </c>
    </row>
    <row r="66" spans="10:13" x14ac:dyDescent="0.25">
      <c r="J66" s="5" t="str">
        <f>人物卡!O45</f>
        <v>可自设</v>
      </c>
      <c r="K66" s="6">
        <f>IF(SUM(人物卡!R45:T45)=0,0,1)</f>
        <v>0</v>
      </c>
      <c r="L66" s="6" t="str">
        <f>人物卡!U45</f>
        <v/>
      </c>
      <c r="M66" s="6">
        <f t="shared" si="0"/>
        <v>0</v>
      </c>
    </row>
    <row r="67" spans="10:13" x14ac:dyDescent="0.25">
      <c r="J67" s="5" t="str">
        <f>人物卡!O46</f>
        <v/>
      </c>
      <c r="K67" s="6">
        <f>IF(SUM(人物卡!R46:T46)=0,0,1)</f>
        <v>0</v>
      </c>
      <c r="L67" s="6" t="str">
        <f>人物卡!U46</f>
        <v/>
      </c>
      <c r="M67" s="6">
        <f>K67</f>
        <v>0</v>
      </c>
    </row>
    <row r="68" spans="10:13" x14ac:dyDescent="0.25">
      <c r="J68" s="5" t="str">
        <f>人物卡!O47</f>
        <v/>
      </c>
      <c r="K68" s="6">
        <f>IF(SUM(人物卡!R47:T47)=0,0,1)</f>
        <v>0</v>
      </c>
      <c r="L68" s="6" t="str">
        <f>人物卡!U47</f>
        <v/>
      </c>
      <c r="M68" s="6">
        <f>K68</f>
        <v>0</v>
      </c>
    </row>
    <row r="69" spans="10:13" x14ac:dyDescent="0.25">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sunruicong</cp:lastModifiedBy>
  <cp:lastPrinted>2017-10-23T13:31:00Z</cp:lastPrinted>
  <dcterms:created xsi:type="dcterms:W3CDTF">2015-07-06T01:28:00Z</dcterms:created>
  <dcterms:modified xsi:type="dcterms:W3CDTF">2022-02-22T15:23:44Z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