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895" windowHeight="9930" tabRatio="601" activeTab="1"/>
  </bookViews>
  <sheets>
    <sheet name="建卡" sheetId="13" r:id="rId1"/>
    <sheet name="人物卡" sheetId="1" r:id="rId2"/>
    <sheet name="技能专攻" sheetId="2" r:id="rId3"/>
    <sheet name="职业列表" sheetId="7" r:id="rId4"/>
    <sheet name="资产对照表" sheetId="12" r:id="rId5"/>
    <sheet name="掷骰" sheetId="9" r:id="rId6"/>
    <sheet name="txt输出" sheetId="10"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44525"/>
</workbook>
</file>

<file path=xl/sharedStrings.xml><?xml version="1.0" encoding="utf-8"?>
<sst xmlns="http://schemas.openxmlformats.org/spreadsheetml/2006/main" count="728">
  <si>
    <t>在开始之前……</t>
  </si>
  <si>
    <t>首先，你需要阅读规则书和调查员手册才能了解建卡的全部流程，你可以在下面的链接中找到他们。</t>
  </si>
  <si>
    <t>守秘人规则书下载地址</t>
  </si>
  <si>
    <t>调查员手册下载地址</t>
  </si>
  <si>
    <t>面团用人物卡下载地址</t>
  </si>
  <si>
    <t>如果需要视频建卡教程，点击这里</t>
  </si>
  <si>
    <t>规则书的第三章中能找到建卡所需的一切规则。</t>
  </si>
  <si>
    <t>在开始建卡之前，请在下边的下拉选单中选择一个时代。</t>
  </si>
  <si>
    <t>时代背景：</t>
  </si>
  <si>
    <t>1920s</t>
  </si>
  <si>
    <t>像左侧这类被标记为绿色的单元格是需要留意的部分。</t>
  </si>
  <si>
    <t>第一步：决定属性</t>
  </si>
  <si>
    <r>
      <rPr>
        <sz val="10"/>
        <color theme="1"/>
        <rFont val="微软雅黑"/>
        <charset val="134"/>
      </rPr>
      <t>为</t>
    </r>
    <r>
      <rPr>
        <b/>
        <sz val="10"/>
        <color rgb="FFC00000"/>
        <rFont val="微软雅黑"/>
        <charset val="134"/>
      </rPr>
      <t>STR、CON、DEX、APP和POW</t>
    </r>
    <r>
      <rPr>
        <sz val="10"/>
        <color theme="1"/>
        <rFont val="微软雅黑"/>
        <charset val="134"/>
      </rPr>
      <t>投掷</t>
    </r>
    <r>
      <rPr>
        <b/>
        <sz val="10"/>
        <color rgb="FFC00000"/>
        <rFont val="微软雅黑"/>
        <charset val="134"/>
      </rPr>
      <t>3D6×5</t>
    </r>
    <r>
      <rPr>
        <sz val="10"/>
        <color theme="1"/>
        <rFont val="微软雅黑"/>
        <charset val="134"/>
      </rPr>
      <t xml:space="preserve"> ；为</t>
    </r>
    <r>
      <rPr>
        <b/>
        <sz val="10"/>
        <color rgb="FFC00000"/>
        <rFont val="微软雅黑"/>
        <charset val="134"/>
      </rPr>
      <t>SIZ、EDU和INT</t>
    </r>
    <r>
      <rPr>
        <sz val="10"/>
        <color theme="1"/>
        <rFont val="微软雅黑"/>
        <charset val="134"/>
      </rPr>
      <t>投掷</t>
    </r>
    <r>
      <rPr>
        <b/>
        <sz val="10"/>
        <color rgb="FFC00000"/>
        <rFont val="微软雅黑"/>
        <charset val="134"/>
      </rPr>
      <t>(2D6+6)×5</t>
    </r>
  </si>
  <si>
    <t>也可以使用这个自动属性掷骰得到的属性，截图保存并抄到左边的表格中。数据按F9刷新。</t>
  </si>
  <si>
    <t>把得到的属性填写到下面的表中。</t>
  </si>
  <si>
    <t>属性</t>
  </si>
  <si>
    <t>自动属性掷骰</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</si>
  <si>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</si>
  <si>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</si>
  <si>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智力</t>
    </r>
    <r>
      <rPr>
        <sz val="9"/>
        <color theme="1"/>
        <rFont val="微软雅黑"/>
        <charset val="134"/>
      </rPr>
      <t xml:space="preserve">
</t>
    </r>
    <r>
      <rPr>
        <sz val="8"/>
        <color theme="1"/>
        <rFont val="微软雅黑"/>
        <charset val="134"/>
      </rPr>
      <t>INT</t>
    </r>
  </si>
  <si>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</si>
  <si>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</si>
  <si>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意志
</t>
    </r>
    <r>
      <rPr>
        <sz val="8"/>
        <color theme="1"/>
        <rFont val="微软雅黑"/>
        <charset val="134"/>
      </rPr>
      <t>POW</t>
    </r>
  </si>
  <si>
    <r>
      <rPr>
        <sz val="10"/>
        <color theme="1"/>
        <rFont val="微软雅黑"/>
        <charset val="134"/>
      </rPr>
      <t xml:space="preserve">体型
</t>
    </r>
    <r>
      <rPr>
        <sz val="8"/>
        <color theme="1"/>
        <rFont val="微软雅黑"/>
        <charset val="134"/>
      </rPr>
      <t>SIZ</t>
    </r>
  </si>
  <si>
    <r>
      <rPr>
        <sz val="10"/>
        <color theme="1"/>
        <rFont val="微软雅黑"/>
        <charset val="134"/>
      </rPr>
      <t>教育</t>
    </r>
    <r>
      <rPr>
        <sz val="8"/>
        <color theme="1"/>
        <rFont val="微软雅黑"/>
        <charset val="134"/>
      </rPr>
      <t xml:space="preserve">
EDU</t>
    </r>
  </si>
  <si>
    <r>
      <rPr>
        <sz val="10"/>
        <color theme="1"/>
        <rFont val="微软雅黑"/>
        <charset val="134"/>
      </rPr>
      <t xml:space="preserve">这些数字的意义，请参考守秘人规则书 3.1 </t>
    </r>
    <r>
      <rPr>
        <b/>
        <sz val="10"/>
        <color rgb="FFC00000"/>
        <rFont val="微软雅黑"/>
        <charset val="134"/>
      </rPr>
      <t>那些数字意味着什么</t>
    </r>
  </si>
  <si>
    <r>
      <rPr>
        <sz val="10"/>
        <color theme="1"/>
        <rFont val="微软雅黑"/>
        <charset val="134"/>
      </rPr>
      <t>填写调查员的基本信息，并根据调查员的年龄</t>
    </r>
    <r>
      <rPr>
        <b/>
        <sz val="10"/>
        <color rgb="FFC00000"/>
        <rFont val="微软雅黑"/>
        <charset val="134"/>
      </rPr>
      <t>调整其属性</t>
    </r>
    <r>
      <rPr>
        <sz val="10"/>
        <color theme="1"/>
        <rFont val="微软雅黑"/>
        <charset val="134"/>
      </rPr>
      <t xml:space="preserve">。 </t>
    </r>
  </si>
  <si>
    <t xml:space="preserve"> 属性调整表可以在右侧找到↘</t>
  </si>
  <si>
    <t>年龄对MOV的减值会自动计算。</t>
  </si>
  <si>
    <t>调查员信息</t>
  </si>
  <si>
    <t>15-19岁：力量和体型合计-5，EDU-5。决定幸运值时可掷骰2次，取较好值。</t>
  </si>
  <si>
    <t>姓名</t>
  </si>
  <si>
    <t>托德</t>
  </si>
  <si>
    <t>20-39岁：进行1次EDU增强检定。</t>
  </si>
  <si>
    <t>玩家</t>
  </si>
  <si>
    <t>吃枣药丸</t>
  </si>
  <si>
    <t>40-49岁：进行2次EDU增强检定。力量体质敏捷合计-5。外貌-5。</t>
  </si>
  <si>
    <t>职业</t>
  </si>
  <si>
    <t>黑帮马仔</t>
  </si>
  <si>
    <t>50-59岁：进行3次EDU增强检定。力量体质敏捷合计-10。外貌-10。</t>
  </si>
  <si>
    <t>年龄</t>
  </si>
  <si>
    <t>性别</t>
  </si>
  <si>
    <t>男</t>
  </si>
  <si>
    <t>60-69岁：进行4次EDU增强检定。力量体质敏捷合计-20。外貌-15。</t>
  </si>
  <si>
    <t>住地</t>
  </si>
  <si>
    <t>美国马萨诸塞州</t>
  </si>
  <si>
    <t>70-79岁：进行4次EDU增强检定。力量体质敏捷合计-40。外貌-20。</t>
  </si>
  <si>
    <t>出身</t>
  </si>
  <si>
    <t>80-89岁：进行4次EDU增强检定。力量体质敏捷合计-80。外貌-25。</t>
  </si>
  <si>
    <t xml:space="preserve"> ↓投掷3D6×5来决定幸运，把得到的数字填到下面最左侧的格子里，也可以使用中间的的自动幸运掷骰。其余衍生属性都会自动计算↓</t>
  </si>
  <si>
    <r>
      <rPr>
        <sz val="10"/>
        <color theme="1"/>
        <rFont val="微软雅黑"/>
        <charset val="134"/>
      </rPr>
      <t xml:space="preserve">幸运
</t>
    </r>
    <r>
      <rPr>
        <sz val="8"/>
        <color theme="1"/>
        <rFont val="微软雅黑"/>
        <charset val="134"/>
      </rPr>
      <t>Luck</t>
    </r>
  </si>
  <si>
    <t>自动幸运
掷骰</t>
  </si>
  <si>
    <t>这些衍生属性会自动计算</t>
  </si>
  <si>
    <t>伤害加值</t>
  </si>
  <si>
    <t>体格</t>
  </si>
  <si>
    <t>移动</t>
  </si>
  <si>
    <t>生命</t>
  </si>
  <si>
    <t>理智</t>
  </si>
  <si>
    <t>魔法</t>
  </si>
  <si>
    <t>第二步：决定职业</t>
  </si>
  <si>
    <t>查看职业列表</t>
  </si>
  <si>
    <t>在其中选择一个职业模板，将序号填写到下面的空格中，以便在下一步中自动计算技能点数。</t>
  </si>
  <si>
    <t>职业序号：</t>
  </si>
  <si>
    <t>第三步：决定技能</t>
  </si>
  <si>
    <t>技能表</t>
  </si>
  <si>
    <t>技能名称</t>
  </si>
  <si>
    <t>初始</t>
  </si>
  <si>
    <t>兴趣</t>
  </si>
  <si>
    <t>成功率</t>
  </si>
  <si>
    <t>会计</t>
  </si>
  <si>
    <t>法律</t>
  </si>
  <si>
    <t>人类学</t>
  </si>
  <si>
    <t>图书馆使用</t>
  </si>
  <si>
    <t>估价</t>
  </si>
  <si>
    <t>聆听</t>
  </si>
  <si>
    <t>考古学</t>
  </si>
  <si>
    <t>锁匠</t>
  </si>
  <si>
    <t>技艺:</t>
  </si>
  <si>
    <t>机械维修</t>
  </si>
  <si>
    <t>医学</t>
  </si>
  <si>
    <t>博物学</t>
  </si>
  <si>
    <t>魅惑</t>
  </si>
  <si>
    <t>领航</t>
  </si>
  <si>
    <t>攀爬</t>
  </si>
  <si>
    <t>神秘学</t>
  </si>
  <si>
    <t>操作重型机械</t>
  </si>
  <si>
    <t>信用评级</t>
  </si>
  <si>
    <t>说服</t>
  </si>
  <si>
    <t>克苏鲁神话</t>
  </si>
  <si>
    <t>——</t>
  </si>
  <si>
    <t>驾驶:</t>
  </si>
  <si>
    <t>乔装</t>
  </si>
  <si>
    <t>精神分析</t>
  </si>
  <si>
    <t>闪避</t>
  </si>
  <si>
    <t>心理学</t>
  </si>
  <si>
    <t>汽车驾驶</t>
  </si>
  <si>
    <t>骑术</t>
  </si>
  <si>
    <t>电气维修</t>
  </si>
  <si>
    <t>科学:</t>
  </si>
  <si>
    <t>药学</t>
  </si>
  <si>
    <t>话术</t>
  </si>
  <si>
    <t>格斗:</t>
  </si>
  <si>
    <t>斗殴</t>
  </si>
  <si>
    <t>妙手</t>
  </si>
  <si>
    <t>剑</t>
  </si>
  <si>
    <t>侦察</t>
  </si>
  <si>
    <t>潜行</t>
  </si>
  <si>
    <t>射击:</t>
  </si>
  <si>
    <t>手枪</t>
  </si>
  <si>
    <t>生存:</t>
  </si>
  <si>
    <t>步枪/霰弹枪</t>
  </si>
  <si>
    <t>游泳</t>
  </si>
  <si>
    <t>投掷</t>
  </si>
  <si>
    <t>急救</t>
  </si>
  <si>
    <t>追踪</t>
  </si>
  <si>
    <t>历史</t>
  </si>
  <si>
    <t>潜水</t>
  </si>
  <si>
    <t>恐吓</t>
  </si>
  <si>
    <t>跳跃</t>
  </si>
  <si>
    <t>语言:</t>
  </si>
  <si>
    <t>母语:</t>
  </si>
  <si>
    <t>如果需要专业化技能(母技能)的专攻技能(子项)选项</t>
  </si>
  <si>
    <t>请查看“技能专攻”标签</t>
  </si>
  <si>
    <t>第四步：写出背景</t>
  </si>
  <si>
    <t>转到“人物卡”标签的“背景故事”部分</t>
  </si>
  <si>
    <r>
      <rPr>
        <sz val="10"/>
        <color theme="1"/>
        <rFont val="微软雅黑"/>
        <charset val="134"/>
      </rPr>
      <t>逐项填写背景条目。   如无特殊要求，“</t>
    </r>
    <r>
      <rPr>
        <b/>
        <sz val="10"/>
        <color theme="1"/>
        <rFont val="微软雅黑"/>
        <charset val="134"/>
      </rPr>
      <t>伤口和疤痕</t>
    </r>
    <r>
      <rPr>
        <sz val="10"/>
        <color theme="1"/>
        <rFont val="微软雅黑"/>
        <charset val="134"/>
      </rPr>
      <t>”、“</t>
    </r>
    <r>
      <rPr>
        <b/>
        <sz val="10"/>
        <color theme="1"/>
        <rFont val="微软雅黑"/>
        <charset val="134"/>
      </rPr>
      <t>恐惧症与狂躁症</t>
    </r>
    <r>
      <rPr>
        <sz val="10"/>
        <color theme="1"/>
        <rFont val="微软雅黑"/>
        <charset val="134"/>
      </rPr>
      <t>”</t>
    </r>
    <r>
      <rPr>
        <b/>
        <sz val="10"/>
        <color rgb="FFC00000"/>
        <rFont val="微软雅黑"/>
        <charset val="134"/>
      </rPr>
      <t>空出不填</t>
    </r>
    <r>
      <rPr>
        <sz val="10"/>
        <color theme="1"/>
        <rFont val="微软雅黑"/>
        <charset val="134"/>
      </rPr>
      <t>。</t>
    </r>
  </si>
  <si>
    <r>
      <rPr>
        <sz val="10"/>
        <color theme="1"/>
        <rFont val="微软雅黑"/>
        <charset val="134"/>
      </rPr>
      <t>填写背景条目时，可以参考规则书 3.4的“</t>
    </r>
    <r>
      <rPr>
        <b/>
        <sz val="10"/>
        <color rgb="FFC00000"/>
        <rFont val="微软雅黑"/>
        <charset val="134"/>
      </rPr>
      <t>使用随机列表来获得灵感</t>
    </r>
    <r>
      <rPr>
        <sz val="10"/>
        <color theme="1"/>
        <rFont val="微软雅黑"/>
        <charset val="134"/>
      </rPr>
      <t>”部分。</t>
    </r>
  </si>
  <si>
    <t>如果你愿意，可以在“背景故事”最下面的大空格中填写额外背景故事。</t>
  </si>
  <si>
    <t>第五步：决定装备</t>
  </si>
  <si>
    <r>
      <rPr>
        <sz val="10"/>
        <color theme="1"/>
        <rFont val="微软雅黑"/>
        <charset val="134"/>
      </rPr>
      <t>调查员的现金和资产与技能“</t>
    </r>
    <r>
      <rPr>
        <b/>
        <sz val="10"/>
        <color theme="1"/>
        <rFont val="微软雅黑"/>
        <charset val="134"/>
      </rPr>
      <t>信用评级</t>
    </r>
    <r>
      <rPr>
        <sz val="10"/>
        <color theme="1"/>
        <rFont val="微软雅黑"/>
        <charset val="134"/>
      </rPr>
      <t>”的点数有关</t>
    </r>
  </si>
  <si>
    <t>对照“现金和资产表”来确定它们的数量</t>
  </si>
  <si>
    <t>转到“人物卡”标签的“资产”部分</t>
  </si>
  <si>
    <t>填写填写现金、消费水平和资产。</t>
  </si>
  <si>
    <t>转到“人物卡”标签的“装备和道具”部分</t>
  </si>
  <si>
    <t>填写调查员所携带的道具和物品等，并在现金或资产中扣除相应的费用。</t>
  </si>
  <si>
    <r>
      <rPr>
        <sz val="10"/>
        <color theme="1"/>
        <rFont val="微软雅黑"/>
        <charset val="134"/>
      </rPr>
      <t>如需价格参考，可以在</t>
    </r>
    <r>
      <rPr>
        <b/>
        <sz val="10"/>
        <color theme="1"/>
        <rFont val="微软雅黑"/>
        <charset val="134"/>
      </rPr>
      <t>规则书</t>
    </r>
    <r>
      <rPr>
        <sz val="10"/>
        <color theme="1"/>
        <rFont val="微软雅黑"/>
        <charset val="134"/>
      </rPr>
      <t>或</t>
    </r>
    <r>
      <rPr>
        <b/>
        <sz val="10"/>
        <color theme="1"/>
        <rFont val="微软雅黑"/>
        <charset val="134"/>
      </rPr>
      <t>调查员手册</t>
    </r>
    <r>
      <rPr>
        <sz val="10"/>
        <color theme="1"/>
        <rFont val="微软雅黑"/>
        <charset val="134"/>
      </rPr>
      <t>的</t>
    </r>
    <r>
      <rPr>
        <b/>
        <sz val="10"/>
        <color rgb="FFC00000"/>
        <rFont val="微软雅黑"/>
        <charset val="134"/>
      </rPr>
      <t>附录</t>
    </r>
    <r>
      <rPr>
        <sz val="10"/>
        <color theme="1"/>
        <rFont val="微软雅黑"/>
        <charset val="134"/>
      </rPr>
      <t>中找到1920s和现代美国物价表。</t>
    </r>
  </si>
  <si>
    <r>
      <rPr>
        <sz val="10"/>
        <color theme="1"/>
        <rFont val="微软雅黑"/>
        <charset val="134"/>
      </rPr>
      <t>如果调查员需要携带武器， 请查看规则书或调查员手册</t>
    </r>
    <r>
      <rPr>
        <b/>
        <sz val="10"/>
        <color rgb="FFC00000"/>
        <rFont val="微软雅黑"/>
        <charset val="134"/>
      </rPr>
      <t>附录</t>
    </r>
    <r>
      <rPr>
        <sz val="10"/>
        <color theme="1"/>
        <rFont val="微软雅黑"/>
        <charset val="134"/>
      </rPr>
      <t>中的</t>
    </r>
    <r>
      <rPr>
        <b/>
        <sz val="10"/>
        <color rgb="FFC00000"/>
        <rFont val="微软雅黑"/>
        <charset val="134"/>
      </rPr>
      <t>武器表</t>
    </r>
    <r>
      <rPr>
        <sz val="10"/>
        <color theme="1"/>
        <rFont val="微软雅黑"/>
        <charset val="134"/>
      </rPr>
      <t>，确认武器的各项属性，</t>
    </r>
  </si>
  <si>
    <t>把它们抄转至人物卡的“武器”部分。</t>
  </si>
  <si>
    <t>最后……</t>
  </si>
  <si>
    <t>你可以填写在“调查员同伴”中填写有关你的队友的一些信息。</t>
  </si>
  <si>
    <t>如果使用“可选规则：有故事的调查员”，请在“人物卡”主卡中填写技能奖励值，扣减相应资源，并在调查员笔记中注明。</t>
  </si>
  <si>
    <t>转到“人物卡”标签，做最终检查，并交由你的守秘人审核。</t>
  </si>
  <si>
    <r>
      <rPr>
        <sz val="10"/>
        <color theme="1"/>
        <rFont val="微软雅黑"/>
        <charset val="134"/>
      </rPr>
      <t>在游戏过程中，你不会再用到“建卡”标签中的任何内容，人物卡主体部分的所有可选择部分均可</t>
    </r>
    <r>
      <rPr>
        <b/>
        <sz val="10"/>
        <color theme="1"/>
        <rFont val="微软雅黑"/>
        <charset val="134"/>
      </rPr>
      <t>无视公式自行修改</t>
    </r>
    <r>
      <rPr>
        <sz val="10"/>
        <color theme="1"/>
        <rFont val="微软雅黑"/>
        <charset val="134"/>
      </rPr>
      <t>。</t>
    </r>
  </si>
  <si>
    <r>
      <rPr>
        <sz val="10"/>
        <color theme="1"/>
        <rFont val="微软雅黑"/>
        <charset val="134"/>
      </rPr>
      <t>右击下方的“建卡”标签，选择</t>
    </r>
    <r>
      <rPr>
        <b/>
        <sz val="10"/>
        <color theme="1"/>
        <rFont val="微软雅黑"/>
        <charset val="134"/>
      </rPr>
      <t>隐藏</t>
    </r>
    <r>
      <rPr>
        <sz val="10"/>
        <color theme="1"/>
        <rFont val="微软雅黑"/>
        <charset val="134"/>
      </rPr>
      <t>即可让它消失。</t>
    </r>
  </si>
  <si>
    <t>克苏鲁的呼唤第七版角色扮演游戏 半自动人物卡  Version2.0.2(通用)</t>
  </si>
  <si>
    <t>根据Chaosium在官网发布的Call of Cthulhu Character Sheet - Modern - Full Autocalc制作，部分内容有改动。            秋叶EXODUS  2018/10/11</t>
  </si>
  <si>
    <t>此处应有头像</t>
  </si>
  <si>
    <r>
      <rPr>
        <sz val="9"/>
        <color theme="1"/>
        <rFont val="微软雅黑"/>
        <charset val="134"/>
      </rPr>
      <t>智力</t>
    </r>
    <r>
      <rPr>
        <sz val="8"/>
        <color theme="1"/>
        <rFont val="微软雅黑"/>
        <charset val="134"/>
      </rPr>
      <t>INT</t>
    </r>
    <r>
      <rPr>
        <sz val="9"/>
        <color theme="1"/>
        <rFont val="微软雅黑"/>
        <charset val="134"/>
      </rPr>
      <t xml:space="preserve">
灵感</t>
    </r>
    <r>
      <rPr>
        <sz val="6"/>
        <color theme="1"/>
        <rFont val="微软雅黑"/>
        <charset val="134"/>
      </rPr>
      <t>idea</t>
    </r>
  </si>
  <si>
    <r>
      <rPr>
        <sz val="10"/>
        <color theme="1"/>
        <rFont val="微软雅黑"/>
        <charset val="134"/>
      </rPr>
      <t xml:space="preserve">移动
</t>
    </r>
    <r>
      <rPr>
        <sz val="8"/>
        <color theme="1"/>
        <rFont val="微软雅黑"/>
        <charset val="134"/>
      </rPr>
      <t>MOV</t>
    </r>
  </si>
  <si>
    <t>调整值</t>
  </si>
  <si>
    <r>
      <rPr>
        <sz val="10"/>
        <color theme="1"/>
        <rFont val="微软雅黑"/>
        <charset val="134"/>
      </rPr>
      <t xml:space="preserve">生命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</si>
  <si>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</si>
  <si>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魔法
</t>
    </r>
    <r>
      <rPr>
        <sz val="8"/>
        <color theme="1"/>
        <rFont val="微软雅黑"/>
        <charset val="134"/>
      </rPr>
      <t>Magic Points</t>
    </r>
  </si>
  <si>
    <t>☐</t>
  </si>
  <si>
    <t>重伤</t>
  </si>
  <si>
    <t>濒死</t>
  </si>
  <si>
    <t>临时性</t>
  </si>
  <si>
    <t>不定性</t>
  </si>
  <si>
    <t>建卡</t>
  </si>
  <si>
    <t>成长</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</si>
  <si>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</si>
  <si>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</si>
  <si>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</si>
  <si>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</si>
  <si>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</si>
  <si>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</si>
  <si>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</si>
  <si>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</si>
  <si>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</si>
  <si>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</si>
  <si>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</si>
  <si>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</si>
  <si>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t>短棍</t>
  </si>
  <si>
    <t>1D6+DB</t>
  </si>
  <si>
    <r>
      <rPr>
        <sz val="10"/>
        <color theme="1"/>
        <rFont val="微软雅黑"/>
        <charset val="134"/>
      </rPr>
      <t xml:space="preserve">体格
</t>
    </r>
    <r>
      <rPr>
        <sz val="8"/>
        <color theme="1"/>
        <rFont val="微软雅黑"/>
        <charset val="134"/>
      </rPr>
      <t>Build</t>
    </r>
  </si>
  <si>
    <t>弹簧折叠刀</t>
  </si>
  <si>
    <t>1D4+DB</t>
  </si>
  <si>
    <r>
      <rPr>
        <sz val="10"/>
        <color theme="1"/>
        <rFont val="微软雅黑"/>
        <charset val="134"/>
      </rPr>
      <t xml:space="preserve">闪避
</t>
    </r>
    <r>
      <rPr>
        <sz val="8"/>
        <color theme="1"/>
        <rFont val="微软雅黑"/>
        <charset val="134"/>
      </rPr>
      <t>Dodge</t>
    </r>
  </si>
  <si>
    <t>Produced by Lost_Akiba   果园ID：秋叶EXODUS    群号：228689392</t>
  </si>
  <si>
    <t>资产</t>
  </si>
  <si>
    <t>背景故事</t>
  </si>
  <si>
    <t>形象描述</t>
  </si>
  <si>
    <t>一个看上去比较大众脸的壮汉</t>
  </si>
  <si>
    <t xml:space="preserve">   现金：</t>
  </si>
  <si>
    <t xml:space="preserve">    消费水平：</t>
  </si>
  <si>
    <t>思想与信念</t>
  </si>
  <si>
    <t>命最重要，其次是钱</t>
  </si>
  <si>
    <t>重要之人</t>
  </si>
  <si>
    <t>意义非凡之地</t>
  </si>
  <si>
    <t>装备和道具</t>
  </si>
  <si>
    <t>袖子里藏着一把弹簧折叠刀</t>
  </si>
  <si>
    <t>宝贵之物</t>
  </si>
  <si>
    <t>特质</t>
  </si>
  <si>
    <t>低调</t>
  </si>
  <si>
    <t>伤口和疤痕</t>
  </si>
  <si>
    <t>恐惧症和狂躁症</t>
  </si>
  <si>
    <t>凭借着自己的低调和高于常人的智商，托德游刃有余地混迹于灰色地带。由于在帮派中地位不高，托德并没有太多的机会接触到枪械，但这同时也使得他几乎没有什么仇家。在混战中，闷棍最大的好处就在于既不会暴露自己也不会弄出太大的动静，而托德正精于此道。因为帮派的一些生意，托德和私酒贩子德克兰·麦克布莱德有一定的来往——某种程度上来说算是“拿人钱财，替人消灾”。</t>
  </si>
  <si>
    <t>调查员笔记</t>
  </si>
  <si>
    <t>调查员同伴</t>
  </si>
  <si>
    <t>角色名称[玩家]：关系描述</t>
  </si>
  <si>
    <t>古籍、咒文和魔法物品</t>
  </si>
  <si>
    <t>第三类接触</t>
  </si>
  <si>
    <t>快速参考规则</t>
  </si>
  <si>
    <t>技能和属性检定
成功等级</t>
  </si>
  <si>
    <t>大失败</t>
  </si>
  <si>
    <t>失败</t>
  </si>
  <si>
    <t>成功</t>
  </si>
  <si>
    <t>困难</t>
  </si>
  <si>
    <t>极难</t>
  </si>
  <si>
    <t>大成功</t>
  </si>
  <si>
    <t>0/96+</t>
  </si>
  <si>
    <t>&gt;技能</t>
  </si>
  <si>
    <t>≤技能</t>
  </si>
  <si>
    <t>1/2值</t>
  </si>
  <si>
    <t>1/5值</t>
  </si>
  <si>
    <t>01</t>
  </si>
  <si>
    <t>孤注一掷：使用孤注一掷来重掷上一次检定结果，需要合理地解释重掷原因，战斗和理智检定不能执行孤注一掷。</t>
  </si>
  <si>
    <t>[急救]回复1点体力</t>
  </si>
  <si>
    <t>[医学]回复1D3点体力</t>
  </si>
  <si>
    <t>一次受到最大生命值一半的伤害</t>
  </si>
  <si>
    <t>昏迷</t>
  </si>
  <si>
    <t>HP=0但并未[重伤]</t>
  </si>
  <si>
    <t>HP=0且受到[重伤]。需要用[急救]摆脱濒死效果，并用[医学]进行后续治疗。</t>
  </si>
  <si>
    <t>无重伤下每天自然回复1点体力</t>
  </si>
  <si>
    <t>重伤时每周做1次恢复检定</t>
  </si>
  <si>
    <t>艺术与手艺</t>
  </si>
  <si>
    <t>科学</t>
  </si>
  <si>
    <t>射击</t>
  </si>
  <si>
    <t>非常规技能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</si>
  <si>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</si>
  <si>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</si>
  <si>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</si>
  <si>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</si>
  <si>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</si>
  <si>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</si>
  <si>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</si>
  <si>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</si>
  <si>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</si>
  <si>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</si>
  <si>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</si>
  <si>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</si>
  <si>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</si>
  <si>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</si>
  <si>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</si>
  <si>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</si>
  <si>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</si>
  <si>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</si>
  <si>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</si>
  <si>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</si>
  <si>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</si>
  <si>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</si>
  <si>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</si>
  <si>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</si>
  <si>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</si>
  <si>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</si>
  <si>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</si>
  <si>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</si>
  <si>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</si>
  <si>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</si>
  <si>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</si>
  <si>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</si>
  <si>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</si>
  <si>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</si>
  <si>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</si>
  <si>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</si>
  <si>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</si>
  <si>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</si>
  <si>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</si>
  <si>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</si>
  <si>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</si>
  <si>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</si>
  <si>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点击这里返回“建卡”标签。</t>
  </si>
  <si>
    <t>歌剧演唱</t>
  </si>
  <si>
    <t>粉刷/油漆工</t>
  </si>
  <si>
    <t>制陶</t>
  </si>
  <si>
    <t>雕塑</t>
  </si>
  <si>
    <t>序号</t>
  </si>
  <si>
    <t>信誉</t>
  </si>
  <si>
    <t>职业属性</t>
  </si>
  <si>
    <t>技能点</t>
  </si>
  <si>
    <t>本职技能</t>
  </si>
  <si>
    <t>自定义职业</t>
  </si>
  <si>
    <t>0-99</t>
  </si>
  <si>
    <t>教育×4</t>
  </si>
  <si>
    <t>不多于8个本职技能。使用自定义职业前，请先咨询你的守秘人。请在左侧的职业属性中选择你想要的本职技能点计算方式，默认为教育×4。</t>
  </si>
  <si>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</si>
  <si>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</si>
  <si>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</si>
  <si>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</si>
  <si>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</si>
  <si>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</si>
  <si>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</si>
  <si>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</si>
  <si>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</si>
  <si>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</si>
  <si>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</si>
  <si>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</si>
  <si>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</si>
  <si>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</si>
  <si>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</si>
  <si>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</si>
  <si>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</si>
  <si>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</si>
  <si>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</si>
  <si>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</si>
  <si>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</si>
  <si>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</si>
  <si>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</si>
  <si>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</si>
  <si>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</si>
  <si>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</si>
  <si>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</si>
  <si>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</si>
  <si>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</si>
  <si>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</si>
  <si>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</si>
  <si>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</si>
  <si>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</si>
  <si>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</si>
  <si>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</si>
  <si>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</si>
  <si>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</si>
  <si>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</si>
  <si>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</si>
  <si>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</si>
  <si>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</si>
  <si>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t>闪避，格斗（斗殴），急救，两项社交技能（魅惑、话术、恐吓、说服），聆听，心理学，潜行。</t>
  </si>
  <si>
    <t>运动员</t>
  </si>
  <si>
    <t>9-70</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</si>
  <si>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</si>
  <si>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</si>
  <si>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</si>
  <si>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</si>
  <si>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</si>
  <si>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</si>
  <si>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</si>
  <si>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</si>
  <si>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</si>
  <si>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</si>
  <si>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</si>
  <si>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</si>
  <si>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</si>
  <si>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</si>
  <si>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</si>
  <si>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</si>
  <si>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</si>
  <si>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</si>
  <si>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</si>
  <si>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</si>
  <si>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</si>
  <si>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</si>
  <si>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</si>
  <si>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</si>
  <si>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</si>
  <si>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</si>
  <si>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</si>
  <si>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</si>
  <si>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</si>
  <si>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t>闪避，格斗或射击，急救或博物学，跳跃，骑乘，生存（任一），投掷，追踪。</t>
  </si>
  <si>
    <t>工匠</t>
  </si>
  <si>
    <t>教育×2＋敏捷×2</t>
  </si>
  <si>
    <t>会计，技艺（任二），机械维修，博物学，侦查，任意两项其他个人或时代特长。</t>
  </si>
  <si>
    <t>罪犯-刺客</t>
  </si>
  <si>
    <t>30-60</t>
  </si>
  <si>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</si>
  <si>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</si>
  <si>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</si>
  <si>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</si>
  <si>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</si>
  <si>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</si>
  <si>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</si>
  <si>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</si>
  <si>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</si>
  <si>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</si>
  <si>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</si>
  <si>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</si>
  <si>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</si>
  <si>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</si>
  <si>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</si>
  <si>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</si>
  <si>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</si>
  <si>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t>教育×2＋敏捷或外貌×2</t>
  </si>
  <si>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</si>
  <si>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</si>
  <si>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</si>
  <si>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</si>
  <si>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</si>
  <si>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</si>
  <si>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</si>
  <si>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</si>
  <si>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</si>
  <si>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</si>
  <si>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</si>
  <si>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</si>
  <si>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</si>
  <si>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</si>
  <si>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</si>
  <si>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</si>
  <si>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</si>
  <si>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</si>
  <si>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</si>
  <si>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</si>
  <si>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</si>
  <si>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</si>
  <si>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</si>
  <si>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</si>
  <si>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</si>
  <si>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</si>
  <si>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</si>
  <si>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</si>
  <si>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</si>
  <si>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</si>
  <si>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</si>
  <si>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</si>
  <si>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</si>
  <si>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</si>
  <si>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</si>
  <si>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</si>
  <si>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</si>
  <si>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</si>
  <si>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</si>
  <si>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</si>
  <si>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</si>
  <si>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</si>
  <si>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</si>
  <si>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</si>
  <si>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</si>
  <si>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</si>
  <si>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</si>
  <si>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</si>
  <si>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</si>
  <si>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</si>
  <si>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</si>
  <si>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</si>
  <si>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</si>
  <si>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</si>
  <si>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</si>
  <si>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</si>
  <si>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</si>
  <si>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</si>
  <si>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</si>
  <si>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</si>
  <si>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</si>
  <si>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</si>
  <si>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</si>
  <si>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</si>
  <si>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</si>
  <si>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</si>
  <si>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</si>
  <si>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</si>
  <si>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</si>
  <si>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</si>
  <si>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</si>
  <si>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</si>
  <si>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</si>
  <si>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</si>
  <si>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</si>
  <si>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</si>
  <si>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</si>
  <si>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</si>
  <si>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</si>
  <si>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</si>
  <si>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</si>
  <si>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</si>
  <si>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</si>
  <si>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</si>
  <si>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</si>
  <si>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</si>
  <si>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</si>
  <si>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</si>
  <si>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</si>
  <si>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</si>
  <si>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</si>
  <si>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</si>
  <si>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</si>
  <si>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</si>
  <si>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</si>
  <si>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</si>
  <si>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</si>
  <si>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</si>
  <si>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</si>
  <si>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</si>
  <si>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</si>
  <si>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</si>
  <si>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</si>
  <si>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</si>
  <si>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</si>
  <si>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</si>
  <si>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</si>
  <si>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</si>
  <si>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</si>
  <si>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</si>
  <si>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</si>
  <si>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</si>
  <si>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</si>
  <si>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</si>
  <si>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</si>
  <si>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</si>
  <si>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</si>
  <si>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</si>
  <si>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</si>
  <si>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</si>
  <si>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</si>
  <si>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</si>
  <si>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</si>
  <si>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</si>
  <si>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</si>
  <si>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</si>
  <si>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</si>
  <si>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</si>
  <si>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</si>
  <si>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</si>
  <si>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</si>
  <si>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</si>
  <si>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</si>
  <si>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</si>
  <si>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</si>
  <si>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</si>
  <si>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</si>
  <si>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</si>
  <si>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</si>
  <si>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</si>
  <si>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</si>
  <si>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</si>
  <si>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</si>
  <si>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</si>
  <si>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</si>
  <si>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</si>
  <si>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</si>
  <si>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</si>
  <si>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</si>
  <si>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</si>
  <si>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</si>
  <si>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</si>
  <si>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</si>
  <si>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</si>
  <si>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</si>
  <si>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</si>
  <si>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</si>
  <si>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</si>
  <si>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</si>
  <si>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</si>
  <si>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</si>
  <si>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</si>
  <si>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</si>
  <si>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</si>
  <si>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</si>
  <si>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</si>
  <si>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</si>
  <si>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</si>
  <si>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</si>
  <si>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</si>
  <si>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</si>
  <si>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</si>
  <si>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</si>
  <si>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</si>
  <si>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</si>
  <si>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</si>
  <si>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</si>
  <si>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</si>
  <si>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</si>
  <si>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</si>
  <si>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</si>
  <si>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</si>
  <si>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</si>
  <si>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</si>
  <si>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</si>
  <si>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</si>
  <si>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</si>
  <si>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</si>
  <si>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</si>
  <si>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</si>
  <si>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</si>
  <si>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</si>
  <si>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</si>
  <si>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 xml:space="preserve">   1920s 美国($)</t>
  </si>
  <si>
    <t xml:space="preserve">   现代(1990+) 美国($)</t>
  </si>
  <si>
    <t>生活水平</t>
  </si>
  <si>
    <t>现金</t>
  </si>
  <si>
    <t>其它资产</t>
  </si>
  <si>
    <t>消费水平</t>
  </si>
  <si>
    <t>身无分文</t>
  </si>
  <si>
    <t>0</t>
  </si>
  <si>
    <t>0.5</t>
  </si>
  <si>
    <t>10</t>
  </si>
  <si>
    <t>贫穷</t>
  </si>
  <si>
    <t>1-9</t>
  </si>
  <si>
    <t>CR × 1</t>
  </si>
  <si>
    <t>CR × 10</t>
  </si>
  <si>
    <t>2</t>
  </si>
  <si>
    <t>CR × 20</t>
  </si>
  <si>
    <t>CR × 200</t>
  </si>
  <si>
    <t>40</t>
  </si>
  <si>
    <t>标准</t>
  </si>
  <si>
    <t>10-49</t>
  </si>
  <si>
    <t>CR × 2</t>
  </si>
  <si>
    <t>CR × 50</t>
  </si>
  <si>
    <t>CR × 40</t>
  </si>
  <si>
    <t>CR × 1000</t>
  </si>
  <si>
    <t>200</t>
  </si>
  <si>
    <t>小康</t>
  </si>
  <si>
    <t>50-89</t>
  </si>
  <si>
    <t>CR × 5</t>
  </si>
  <si>
    <t>CR × 500</t>
  </si>
  <si>
    <t>50</t>
  </si>
  <si>
    <t>CR × 100</t>
  </si>
  <si>
    <t>CR × 10000</t>
  </si>
  <si>
    <t>1000</t>
  </si>
  <si>
    <t>富裕</t>
  </si>
  <si>
    <t>90-98</t>
  </si>
  <si>
    <t>CR × 2000</t>
  </si>
  <si>
    <t>250</t>
  </si>
  <si>
    <t>CR × 40000</t>
  </si>
  <si>
    <t>5000</t>
  </si>
  <si>
    <t>富豪</t>
  </si>
  <si>
    <t>99</t>
  </si>
  <si>
    <t>50000</t>
  </si>
  <si>
    <t>5M+</t>
  </si>
  <si>
    <t>1M</t>
  </si>
  <si>
    <t>100M+</t>
  </si>
  <si>
    <t>100000</t>
  </si>
  <si>
    <t>来自核心规则。</t>
  </si>
  <si>
    <t xml:space="preserve">   维多利亚时代 英国(￡)</t>
  </si>
  <si>
    <t>5先令</t>
  </si>
  <si>
    <t>5便士</t>
  </si>
  <si>
    <t>20先令</t>
  </si>
  <si>
    <t>2磅10先令</t>
  </si>
  <si>
    <t>CR × 12</t>
  </si>
  <si>
    <t>15</t>
  </si>
  <si>
    <t>150000</t>
  </si>
  <si>
    <t>300000+</t>
  </si>
  <si>
    <t>来自扩展书克苏鲁煤气灯。
12便士=1先令；20先令=1英镑(￡)</t>
  </si>
  <si>
    <t xml:space="preserve">   2010s 中国(￥)</t>
  </si>
  <si>
    <t xml:space="preserve">   2010s 日本(￥)</t>
  </si>
  <si>
    <t>100</t>
  </si>
  <si>
    <t>500</t>
  </si>
  <si>
    <t>CR × 2K</t>
  </si>
  <si>
    <t>CR × 20K</t>
  </si>
  <si>
    <t>2K</t>
  </si>
  <si>
    <t>CR × 5000</t>
  </si>
  <si>
    <t>CR × 4K</t>
  </si>
  <si>
    <t>CR × 150K</t>
  </si>
  <si>
    <t>25K</t>
  </si>
  <si>
    <t>CR × 4万</t>
  </si>
  <si>
    <t>CR × 12K</t>
  </si>
  <si>
    <t>CR × 1M</t>
  </si>
  <si>
    <t>100K</t>
  </si>
  <si>
    <t>CR × 3000</t>
  </si>
  <si>
    <t>CR × 25万</t>
  </si>
  <si>
    <t>2万</t>
  </si>
  <si>
    <t>CR × 75K</t>
  </si>
  <si>
    <t>CR × 6M</t>
  </si>
  <si>
    <t>500K</t>
  </si>
  <si>
    <t>100万</t>
  </si>
  <si>
    <t>10亿+</t>
  </si>
  <si>
    <t>10万</t>
  </si>
  <si>
    <t>30M</t>
  </si>
  <si>
    <t>30B+</t>
  </si>
  <si>
    <t>2M</t>
  </si>
  <si>
    <r>
      <rPr>
        <sz val="11"/>
        <rFont val="微软雅黑"/>
        <charset val="134"/>
      </rPr>
      <t>来自泡泡百科的</t>
    </r>
    <r>
      <rPr>
        <b/>
        <sz val="11"/>
        <color rgb="FFFF0000"/>
        <rFont val="微软雅黑"/>
        <charset val="134"/>
      </rPr>
      <t>房规</t>
    </r>
    <r>
      <rPr>
        <sz val="11"/>
        <rFont val="微软雅黑"/>
        <charset val="134"/>
      </rPr>
      <t>。</t>
    </r>
  </si>
  <si>
    <t>多面骰</t>
  </si>
  <si>
    <t>D2</t>
  </si>
  <si>
    <t>D4</t>
  </si>
  <si>
    <t>D6</t>
  </si>
  <si>
    <t>D8</t>
  </si>
  <si>
    <t>D10</t>
  </si>
  <si>
    <t>D20</t>
  </si>
  <si>
    <t>D100</t>
  </si>
  <si>
    <t>按[F9]刷新。移动设备选择[菜单]-[公式]-[开始计算]。</t>
  </si>
  <si>
    <r>
      <rPr>
        <b/>
        <sz val="12"/>
        <color theme="1"/>
        <rFont val="微软雅黑"/>
        <charset val="134"/>
      </rPr>
      <t>←点这个箭头</t>
    </r>
    <r>
      <rPr>
        <sz val="12"/>
        <color theme="1"/>
        <rFont val="微软雅黑"/>
        <charset val="134"/>
      </rPr>
      <t>，将滚动条拉到最底部，</t>
    </r>
    <r>
      <rPr>
        <b/>
        <sz val="12"/>
        <color rgb="FFC00000"/>
        <rFont val="微软雅黑"/>
        <charset val="134"/>
      </rPr>
      <t>去掉</t>
    </r>
    <r>
      <rPr>
        <sz val="12"/>
        <color theme="1"/>
        <rFont val="微软雅黑"/>
        <charset val="134"/>
      </rPr>
      <t>(空白)前的</t>
    </r>
    <r>
      <rPr>
        <b/>
        <sz val="12"/>
        <color rgb="FFC00000"/>
        <rFont val="微软雅黑"/>
        <charset val="134"/>
      </rPr>
      <t>复选框</t>
    </r>
    <r>
      <rPr>
        <sz val="12"/>
        <color theme="1"/>
        <rFont val="微软雅黑"/>
        <charset val="134"/>
      </rPr>
      <t>，点确定。</t>
    </r>
  </si>
  <si>
    <t>选中整个B列，复制，粘贴至txt文档中即可。</t>
  </si>
  <si>
    <t>*护甲、职业模板、调查员笔记、调查员同伴、古籍咒文魔法物品和神话遭遇不会被输出。</t>
  </si>
  <si>
    <t>选项：把闪避技能输出到哪里？</t>
  </si>
  <si>
    <t>输出到战斗一栏</t>
  </si>
  <si>
    <t>—————————战斗—————————</t>
  </si>
  <si>
    <t>—————————技能—————————</t>
  </si>
  <si>
    <t>————————背景故事————————</t>
  </si>
  <si>
    <t>————————装备和道具———————</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</si>
  <si>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</si>
  <si>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</si>
  <si>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</si>
  <si>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</si>
  <si>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</si>
  <si>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</si>
  <si>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</si>
  <si>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</si>
  <si>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</si>
  <si>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</si>
  <si>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</si>
  <si>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</si>
  <si>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</si>
  <si>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</si>
  <si>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</si>
  <si>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</si>
  <si>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</si>
  <si>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</si>
  <si>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</si>
  <si>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</si>
  <si>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</si>
  <si>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</si>
  <si>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</si>
  <si>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</si>
  <si>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</si>
  <si>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</si>
  <si>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</si>
  <si>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</si>
  <si>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</si>
  <si>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</si>
  <si>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</si>
  <si>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</si>
  <si>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</si>
  <si>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</si>
  <si>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</si>
  <si>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</si>
  <si>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</si>
  <si>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</si>
  <si>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</si>
  <si>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</si>
  <si>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</si>
  <si>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</si>
  <si>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</si>
  <si>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</si>
  <si>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</si>
  <si>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</si>
  <si>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教育×2＋意志×2</t>
  </si>
  <si>
    <t>+24D6</t>
  </si>
  <si>
    <t>+25D6</t>
  </si>
  <si>
    <t>+26D6</t>
  </si>
</sst>
</file>

<file path=xl/styles.xml><?xml version="1.0" encoding="utf-8"?>
<styleSheet xmlns="http://schemas.openxmlformats.org/spreadsheetml/2006/main">
  <numFmts count="10">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_ "/>
    <numFmt numFmtId="177" formatCode="0_ "/>
    <numFmt numFmtId="24" formatCode="\$#,##0_);[Red]\(\$#,##0\)"/>
    <numFmt numFmtId="178" formatCode="0_ ;[Red]\-0\ "/>
    <numFmt numFmtId="179" formatCode="\+0;\-0;&quot;±&quot;0"/>
    <numFmt numFmtId="180" formatCode="0_);[Red]\(0\)"/>
  </numFmts>
  <fonts count="52">
    <font>
      <sz val="11"/>
      <color theme="1"/>
      <name val="等线"/>
      <charset val="134"/>
      <scheme val="minor"/>
    </font>
    <font>
      <sz val="12"/>
      <color theme="1"/>
      <name val="微软雅黑 Light"/>
      <charset val="134"/>
    </font>
    <font>
      <sz val="12"/>
      <color theme="0"/>
      <name val="微软雅黑 Light"/>
      <charset val="134"/>
    </font>
    <font>
      <sz val="8"/>
      <color theme="1"/>
      <name val="微软雅黑 Light"/>
      <charset val="134"/>
    </font>
    <font>
      <sz val="12"/>
      <color theme="1"/>
      <name val="微软雅黑"/>
      <charset val="134"/>
    </font>
    <font>
      <sz val="12"/>
      <color theme="0"/>
      <name val="微软雅黑"/>
      <charset val="134"/>
    </font>
    <font>
      <sz val="10"/>
      <color theme="1"/>
      <name val="微软雅黑"/>
      <charset val="134"/>
    </font>
    <font>
      <sz val="11"/>
      <color theme="1"/>
      <name val="微软雅黑"/>
      <charset val="134"/>
    </font>
    <font>
      <sz val="11"/>
      <color theme="0"/>
      <name val="微软雅黑"/>
      <charset val="134"/>
    </font>
    <font>
      <sz val="11"/>
      <name val="微软雅黑"/>
      <charset val="134"/>
    </font>
    <font>
      <u/>
      <sz val="11"/>
      <color theme="10"/>
      <name val="微软雅黑"/>
      <charset val="134"/>
    </font>
    <font>
      <sz val="11"/>
      <color theme="1"/>
      <name val="微软雅黑 Light"/>
      <charset val="134"/>
    </font>
    <font>
      <sz val="11"/>
      <color theme="0"/>
      <name val="微软雅黑 Light"/>
      <charset val="134"/>
    </font>
    <font>
      <sz val="10"/>
      <color theme="0"/>
      <name val="微软雅黑"/>
      <charset val="134"/>
    </font>
    <font>
      <sz val="16"/>
      <color theme="1"/>
      <name val="微软雅黑"/>
      <charset val="134"/>
    </font>
    <font>
      <sz val="10"/>
      <color theme="0" tint="-0.499984740745262"/>
      <name val="微软雅黑"/>
      <charset val="134"/>
    </font>
    <font>
      <sz val="10"/>
      <name val="微软雅黑"/>
      <charset val="134"/>
    </font>
    <font>
      <sz val="8"/>
      <color theme="1"/>
      <name val="微软雅黑"/>
      <charset val="134"/>
    </font>
    <font>
      <sz val="9"/>
      <color theme="1"/>
      <name val="微软雅黑"/>
      <charset val="134"/>
    </font>
    <font>
      <sz val="10"/>
      <color theme="0" tint="-0.249977111117893"/>
      <name val="微软雅黑"/>
      <charset val="134"/>
    </font>
    <font>
      <sz val="10"/>
      <color theme="2" tint="-0.249977111117893"/>
      <name val="微软雅黑"/>
      <charset val="134"/>
    </font>
    <font>
      <sz val="14"/>
      <color theme="1"/>
      <name val="微软雅黑"/>
      <charset val="134"/>
    </font>
    <font>
      <sz val="20"/>
      <color theme="1"/>
      <name val="微软雅黑"/>
      <charset val="134"/>
    </font>
    <font>
      <u/>
      <sz val="10"/>
      <color theme="10"/>
      <name val="微软雅黑"/>
      <charset val="134"/>
    </font>
    <font>
      <sz val="10"/>
      <color theme="7" tint="0.799981688894314"/>
      <name val="微软雅黑"/>
      <charset val="134"/>
    </font>
    <font>
      <u/>
      <sz val="10"/>
      <color rgb="FF800080"/>
      <name val="微软雅黑"/>
      <charset val="134"/>
    </font>
    <font>
      <sz val="11"/>
      <color theme="0"/>
      <name val="等线"/>
      <charset val="0"/>
      <scheme val="minor"/>
    </font>
    <font>
      <sz val="11"/>
      <color theme="1"/>
      <name val="等线"/>
      <charset val="0"/>
      <scheme val="minor"/>
    </font>
    <font>
      <b/>
      <sz val="15"/>
      <color theme="3"/>
      <name val="等线"/>
      <charset val="134"/>
      <scheme val="minor"/>
    </font>
    <font>
      <sz val="11"/>
      <color rgb="FF9C0006"/>
      <name val="等线"/>
      <charset val="0"/>
      <scheme val="minor"/>
    </font>
    <font>
      <sz val="11"/>
      <color rgb="FF9C6500"/>
      <name val="等线"/>
      <charset val="0"/>
      <scheme val="minor"/>
    </font>
    <font>
      <i/>
      <sz val="11"/>
      <color rgb="FF7F7F7F"/>
      <name val="等线"/>
      <charset val="0"/>
      <scheme val="minor"/>
    </font>
    <font>
      <b/>
      <sz val="11"/>
      <color theme="3"/>
      <name val="等线"/>
      <charset val="134"/>
      <scheme val="minor"/>
    </font>
    <font>
      <b/>
      <sz val="11"/>
      <color theme="1"/>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u/>
      <sz val="11"/>
      <color rgb="FF800080"/>
      <name val="等线"/>
      <charset val="0"/>
      <scheme val="minor"/>
    </font>
    <font>
      <sz val="11"/>
      <color rgb="FF3F3F76"/>
      <name val="等线"/>
      <charset val="0"/>
      <scheme val="minor"/>
    </font>
    <font>
      <b/>
      <sz val="11"/>
      <color rgb="FFFFFFFF"/>
      <name val="等线"/>
      <charset val="0"/>
      <scheme val="minor"/>
    </font>
    <font>
      <b/>
      <sz val="11"/>
      <color rgb="FFFA7D00"/>
      <name val="等线"/>
      <charset val="0"/>
      <scheme val="minor"/>
    </font>
    <font>
      <u/>
      <sz val="11"/>
      <color theme="10"/>
      <name val="等线"/>
      <charset val="134"/>
      <scheme val="minor"/>
    </font>
    <font>
      <sz val="11"/>
      <color rgb="FF006100"/>
      <name val="等线"/>
      <charset val="0"/>
      <scheme val="minor"/>
    </font>
    <font>
      <sz val="11"/>
      <color rgb="FFFA7D00"/>
      <name val="等线"/>
      <charset val="0"/>
      <scheme val="minor"/>
    </font>
    <font>
      <b/>
      <sz val="18"/>
      <color theme="3"/>
      <name val="等线"/>
      <charset val="134"/>
      <scheme val="minor"/>
    </font>
    <font>
      <b/>
      <sz val="12"/>
      <color theme="1"/>
      <name val="微软雅黑"/>
      <charset val="134"/>
    </font>
    <font>
      <b/>
      <sz val="12"/>
      <color rgb="FFC00000"/>
      <name val="微软雅黑"/>
      <charset val="134"/>
    </font>
    <font>
      <b/>
      <sz val="11"/>
      <color rgb="FFFF0000"/>
      <name val="微软雅黑"/>
      <charset val="134"/>
    </font>
    <font>
      <sz val="10.5"/>
      <color theme="1"/>
      <name val="微软雅黑 Light"/>
      <charset val="134"/>
    </font>
    <font>
      <sz val="6"/>
      <color theme="1"/>
      <name val="微软雅黑"/>
      <charset val="134"/>
    </font>
    <font>
      <b/>
      <sz val="10"/>
      <color rgb="FFC00000"/>
      <name val="微软雅黑"/>
      <charset val="134"/>
    </font>
    <font>
      <b/>
      <sz val="10"/>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0"/>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theme="6" tint="0.599993896298105"/>
        <bgColor indexed="64"/>
      </patternFill>
    </fill>
    <fill>
      <patternFill patternType="solid">
        <fgColor theme="6"/>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399975585192419"/>
        <bgColor indexed="64"/>
      </patternFill>
    </fill>
  </fills>
  <borders count="6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thin">
        <color theme="0" tint="-0.249977111117893"/>
      </left>
      <right style="medium">
        <color auto="1"/>
      </right>
      <top style="thin">
        <color theme="0" tint="-0.249977111117893"/>
      </top>
      <bottom style="medium">
        <color auto="1"/>
      </bottom>
      <diagonal/>
    </border>
    <border>
      <left style="thin">
        <color theme="0" tint="-0.249977111117893"/>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medium">
        <color auto="1"/>
      </left>
      <right/>
      <top style="thin">
        <color theme="0" tint="-0.249977111117893"/>
      </top>
      <bottom style="medium">
        <color auto="1"/>
      </bottom>
      <diagonal/>
    </border>
    <border>
      <left/>
      <right style="thin">
        <color theme="0" tint="-0.249977111117893"/>
      </right>
      <top style="thin">
        <color theme="0" tint="-0.249977111117893"/>
      </top>
      <bottom style="medium">
        <color auto="1"/>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right style="thin">
        <color theme="0" tint="-0.249977111117893"/>
      </right>
      <top style="medium">
        <color auto="1"/>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medium">
        <color auto="1"/>
      </bottom>
      <diagonal/>
    </border>
    <border>
      <left style="medium">
        <color auto="1"/>
      </left>
      <right/>
      <top style="thin">
        <color theme="0" tint="-0.249977111117893"/>
      </top>
      <bottom/>
      <diagonal/>
    </border>
    <border>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right style="double">
        <color auto="1"/>
      </right>
      <top style="medium">
        <color auto="1"/>
      </top>
      <bottom/>
      <diagonal/>
    </border>
    <border>
      <left/>
      <right style="double">
        <color auto="1"/>
      </right>
      <top/>
      <bottom style="thin">
        <color theme="0" tint="-0.249977111117893"/>
      </bottom>
      <diagonal/>
    </border>
    <border>
      <left/>
      <right style="double">
        <color auto="1"/>
      </right>
      <top/>
      <bottom style="medium">
        <color auto="1"/>
      </bottom>
      <diagonal/>
    </border>
    <border>
      <left style="thin">
        <color theme="0" tint="-0.249977111117893"/>
      </left>
      <right style="double">
        <color auto="1"/>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thin">
        <color theme="0" tint="-0.249977111117893"/>
      </left>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top/>
      <bottom style="medium">
        <color auto="1"/>
      </bottom>
      <diagonal/>
    </border>
    <border>
      <left/>
      <right style="medium">
        <color auto="1"/>
      </right>
      <top style="thin">
        <color theme="0" tint="-0.249977111117893"/>
      </top>
      <bottom/>
      <diagonal/>
    </border>
    <border>
      <left/>
      <right style="double">
        <color auto="1"/>
      </right>
      <top/>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double">
        <color theme="0" tint="-0.499984740745262"/>
      </left>
      <right/>
      <top style="thin">
        <color theme="0" tint="-0.249977111117893"/>
      </top>
      <bottom style="medium">
        <color auto="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7" fillId="27" borderId="0" applyNumberFormat="0" applyBorder="0" applyAlignment="0" applyProtection="0">
      <alignment vertical="center"/>
    </xf>
    <xf numFmtId="0" fontId="38" fillId="22" borderId="6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7" fillId="17" borderId="0" applyNumberFormat="0" applyBorder="0" applyAlignment="0" applyProtection="0">
      <alignment vertical="center"/>
    </xf>
    <xf numFmtId="0" fontId="29" fillId="13" borderId="0" applyNumberFormat="0" applyBorder="0" applyAlignment="0" applyProtection="0">
      <alignment vertical="center"/>
    </xf>
    <xf numFmtId="43" fontId="0" fillId="0" borderId="0" applyFont="0" applyFill="0" applyBorder="0" applyAlignment="0" applyProtection="0">
      <alignment vertical="center"/>
    </xf>
    <xf numFmtId="0" fontId="26" fillId="20" borderId="0" applyNumberFormat="0" applyBorder="0" applyAlignment="0" applyProtection="0">
      <alignment vertical="center"/>
    </xf>
    <xf numFmtId="0" fontId="41" fillId="0" borderId="0" applyNumberFormat="0" applyFill="0" applyBorder="0" applyAlignment="0" applyProtection="0">
      <alignment vertical="center"/>
    </xf>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0" fillId="26" borderId="66" applyNumberFormat="0" applyFont="0" applyAlignment="0" applyProtection="0">
      <alignment vertical="center"/>
    </xf>
    <xf numFmtId="0" fontId="26" fillId="30" borderId="0" applyNumberFormat="0" applyBorder="0" applyAlignment="0" applyProtection="0">
      <alignment vertical="center"/>
    </xf>
    <xf numFmtId="0" fontId="32"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61" applyNumberFormat="0" applyFill="0" applyAlignment="0" applyProtection="0">
      <alignment vertical="center"/>
    </xf>
    <xf numFmtId="0" fontId="35" fillId="0" borderId="61" applyNumberFormat="0" applyFill="0" applyAlignment="0" applyProtection="0">
      <alignment vertical="center"/>
    </xf>
    <xf numFmtId="0" fontId="26" fillId="6" borderId="0" applyNumberFormat="0" applyBorder="0" applyAlignment="0" applyProtection="0">
      <alignment vertical="center"/>
    </xf>
    <xf numFmtId="0" fontId="32" fillId="0" borderId="68" applyNumberFormat="0" applyFill="0" applyAlignment="0" applyProtection="0">
      <alignment vertical="center"/>
    </xf>
    <xf numFmtId="0" fontId="26" fillId="33" borderId="0" applyNumberFormat="0" applyBorder="0" applyAlignment="0" applyProtection="0">
      <alignment vertical="center"/>
    </xf>
    <xf numFmtId="0" fontId="34" fillId="19" borderId="63" applyNumberFormat="0" applyAlignment="0" applyProtection="0">
      <alignment vertical="center"/>
    </xf>
    <xf numFmtId="0" fontId="40" fillId="19" borderId="64" applyNumberFormat="0" applyAlignment="0" applyProtection="0">
      <alignment vertical="center"/>
    </xf>
    <xf numFmtId="0" fontId="39" fillId="25" borderId="65" applyNumberFormat="0" applyAlignment="0" applyProtection="0">
      <alignment vertical="center"/>
    </xf>
    <xf numFmtId="0" fontId="27" fillId="9" borderId="0" applyNumberFormat="0" applyBorder="0" applyAlignment="0" applyProtection="0">
      <alignment vertical="center"/>
    </xf>
    <xf numFmtId="0" fontId="26" fillId="29" borderId="0" applyNumberFormat="0" applyBorder="0" applyAlignment="0" applyProtection="0">
      <alignment vertical="center"/>
    </xf>
    <xf numFmtId="0" fontId="43" fillId="0" borderId="67" applyNumberFormat="0" applyFill="0" applyAlignment="0" applyProtection="0">
      <alignment vertical="center"/>
    </xf>
    <xf numFmtId="0" fontId="33" fillId="0" borderId="62" applyNumberFormat="0" applyFill="0" applyAlignment="0" applyProtection="0">
      <alignment vertical="center"/>
    </xf>
    <xf numFmtId="0" fontId="42" fillId="32" borderId="0" applyNumberFormat="0" applyBorder="0" applyAlignment="0" applyProtection="0">
      <alignment vertical="center"/>
    </xf>
    <xf numFmtId="0" fontId="30" fillId="16" borderId="0" applyNumberFormat="0" applyBorder="0" applyAlignment="0" applyProtection="0">
      <alignment vertical="center"/>
    </xf>
    <xf numFmtId="0" fontId="27" fillId="11" borderId="0" applyNumberFormat="0" applyBorder="0" applyAlignment="0" applyProtection="0">
      <alignment vertical="center"/>
    </xf>
    <xf numFmtId="0" fontId="26" fillId="2" borderId="0" applyNumberFormat="0" applyBorder="0" applyAlignment="0" applyProtection="0">
      <alignment vertical="center"/>
    </xf>
    <xf numFmtId="0" fontId="27" fillId="3" borderId="0" applyNumberFormat="0" applyBorder="0" applyAlignment="0" applyProtection="0">
      <alignment vertical="center"/>
    </xf>
    <xf numFmtId="0" fontId="27" fillId="5" borderId="0" applyNumberFormat="0" applyBorder="0" applyAlignment="0" applyProtection="0">
      <alignment vertical="center"/>
    </xf>
    <xf numFmtId="0" fontId="27" fillId="28" borderId="0" applyNumberFormat="0" applyBorder="0" applyAlignment="0" applyProtection="0">
      <alignment vertical="center"/>
    </xf>
    <xf numFmtId="0" fontId="27"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7" fillId="8" borderId="0" applyNumberFormat="0" applyBorder="0" applyAlignment="0" applyProtection="0">
      <alignment vertical="center"/>
    </xf>
    <xf numFmtId="0" fontId="27" fillId="14" borderId="0" applyNumberFormat="0" applyBorder="0" applyAlignment="0" applyProtection="0">
      <alignment vertical="center"/>
    </xf>
    <xf numFmtId="0" fontId="26" fillId="24" borderId="0" applyNumberFormat="0" applyBorder="0" applyAlignment="0" applyProtection="0">
      <alignment vertical="center"/>
    </xf>
    <xf numFmtId="0" fontId="27" fillId="21"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7" fillId="4" borderId="0" applyNumberFormat="0" applyBorder="0" applyAlignment="0" applyProtection="0">
      <alignment vertical="center"/>
    </xf>
    <xf numFmtId="0" fontId="26" fillId="31" borderId="0" applyNumberFormat="0" applyBorder="0" applyAlignment="0" applyProtection="0">
      <alignment vertical="center"/>
    </xf>
  </cellStyleXfs>
  <cellXfs count="619">
    <xf numFmtId="0" fontId="0" fillId="0" borderId="0" xfId="0">
      <alignment vertical="center"/>
    </xf>
    <xf numFmtId="0" fontId="1" fillId="0" borderId="0" xfId="0" applyFont="1" applyAlignment="1" applyProtection="1">
      <alignment horizontal="center" vertical="center"/>
      <protection hidden="1"/>
    </xf>
    <xf numFmtId="49" fontId="1" fillId="0" borderId="0" xfId="0" applyNumberFormat="1" applyFont="1" applyAlignment="1" applyProtection="1">
      <alignment horizontal="center" vertical="center"/>
      <protection hidden="1"/>
    </xf>
    <xf numFmtId="0" fontId="2" fillId="2" borderId="1" xfId="0" applyFont="1" applyFill="1" applyBorder="1" applyAlignment="1" applyProtection="1">
      <alignment horizontal="center" vertical="center"/>
      <protection hidden="1"/>
    </xf>
    <xf numFmtId="0" fontId="1" fillId="3" borderId="1" xfId="0" applyFont="1" applyFill="1" applyBorder="1" applyAlignment="1" applyProtection="1">
      <alignment horizontal="center" vertical="center"/>
      <protection hidden="1"/>
    </xf>
    <xf numFmtId="49" fontId="1" fillId="3" borderId="1" xfId="0" applyNumberFormat="1" applyFont="1" applyFill="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2" fillId="2" borderId="2"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3" fillId="0" borderId="1" xfId="0" applyFont="1" applyBorder="1" applyAlignment="1" applyProtection="1">
      <alignment horizontal="center" vertical="center"/>
      <protection hidden="1"/>
    </xf>
    <xf numFmtId="49" fontId="3" fillId="3" borderId="1" xfId="0" applyNumberFormat="1" applyFont="1" applyFill="1" applyBorder="1" applyAlignment="1" applyProtection="1">
      <alignment horizontal="center" vertical="center"/>
      <protection hidden="1"/>
    </xf>
    <xf numFmtId="0" fontId="1" fillId="0" borderId="0" xfId="0" applyFont="1" applyAlignment="1" applyProtection="1">
      <alignment vertical="center"/>
      <protection hidden="1"/>
    </xf>
    <xf numFmtId="0" fontId="4" fillId="0" borderId="0" xfId="0" applyFont="1">
      <alignment vertical="center"/>
    </xf>
    <xf numFmtId="0" fontId="4" fillId="0" borderId="0" xfId="0" applyNumberFormat="1" applyFont="1" applyAlignment="1" applyProtection="1">
      <alignment horizontal="left" vertical="center"/>
      <protection locked="0"/>
    </xf>
    <xf numFmtId="0" fontId="5" fillId="2" borderId="4" xfId="0" applyNumberFormat="1" applyFont="1" applyFill="1" applyBorder="1" applyAlignment="1" applyProtection="1">
      <alignment horizontal="left" vertical="center"/>
      <protection locked="0"/>
    </xf>
    <xf numFmtId="0" fontId="4" fillId="3" borderId="5" xfId="0" applyNumberFormat="1" applyFont="1" applyFill="1" applyBorder="1" applyAlignment="1" applyProtection="1">
      <alignment horizontal="left" vertical="center"/>
      <protection locked="0"/>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4" fillId="4" borderId="8"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locked="0"/>
    </xf>
    <xf numFmtId="0" fontId="4" fillId="3" borderId="10" xfId="0" applyNumberFormat="1" applyFont="1" applyFill="1" applyBorder="1" applyAlignment="1" applyProtection="1">
      <alignment horizontal="left" vertical="center"/>
      <protection locked="0"/>
    </xf>
    <xf numFmtId="0" fontId="2" fillId="0" borderId="0" xfId="0" applyFont="1" applyAlignment="1">
      <alignment horizontal="center" vertical="center"/>
    </xf>
    <xf numFmtId="0" fontId="1" fillId="0" borderId="0" xfId="0" applyFont="1" applyAlignment="1">
      <alignment horizontal="center" vertical="center"/>
    </xf>
    <xf numFmtId="0" fontId="2" fillId="2" borderId="11" xfId="0" applyFont="1" applyFill="1" applyBorder="1" applyAlignment="1" applyProtection="1">
      <alignment horizontal="center" vertical="center"/>
    </xf>
    <xf numFmtId="0" fontId="2" fillId="2" borderId="12" xfId="0" applyFont="1" applyFill="1" applyBorder="1" applyAlignment="1" applyProtection="1">
      <alignment horizontal="center" vertical="center"/>
    </xf>
    <xf numFmtId="0" fontId="6" fillId="5" borderId="13" xfId="0" applyFont="1" applyFill="1" applyBorder="1" applyAlignment="1" applyProtection="1">
      <alignment horizontal="center" vertical="center"/>
    </xf>
    <xf numFmtId="0" fontId="6" fillId="5" borderId="1" xfId="0" applyFont="1" applyFill="1" applyBorder="1" applyAlignment="1" applyProtection="1">
      <alignment horizontal="center" vertical="center"/>
    </xf>
    <xf numFmtId="0" fontId="1" fillId="0" borderId="13" xfId="0"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2" fillId="2" borderId="18" xfId="0" applyFont="1" applyFill="1" applyBorder="1" applyAlignment="1" applyProtection="1">
      <alignment horizontal="center" vertical="center"/>
    </xf>
    <xf numFmtId="0" fontId="6" fillId="5" borderId="19" xfId="0" applyFont="1" applyFill="1" applyBorder="1" applyAlignment="1" applyProtection="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3" borderId="21" xfId="0" applyFont="1" applyFill="1" applyBorder="1" applyAlignment="1">
      <alignment horizontal="center" vertical="center"/>
    </xf>
    <xf numFmtId="49" fontId="7" fillId="0" borderId="0" xfId="0" applyNumberFormat="1" applyFont="1" applyAlignment="1">
      <alignment horizontal="center" vertical="center"/>
    </xf>
    <xf numFmtId="49" fontId="8" fillId="2" borderId="6" xfId="0" applyNumberFormat="1" applyFont="1" applyFill="1" applyBorder="1" applyAlignment="1" applyProtection="1">
      <alignment horizontal="left" vertical="center"/>
      <protection locked="0"/>
    </xf>
    <xf numFmtId="49" fontId="8" fillId="2" borderId="22" xfId="0" applyNumberFormat="1" applyFont="1" applyFill="1" applyBorder="1" applyAlignment="1" applyProtection="1">
      <alignment horizontal="left" vertical="center"/>
      <protection locked="0"/>
    </xf>
    <xf numFmtId="49" fontId="8" fillId="2" borderId="7" xfId="0" applyNumberFormat="1" applyFont="1" applyFill="1" applyBorder="1" applyAlignment="1" applyProtection="1">
      <alignment horizontal="left" vertical="center"/>
      <protection locked="0"/>
    </xf>
    <xf numFmtId="49" fontId="9" fillId="6" borderId="23" xfId="0" applyNumberFormat="1" applyFont="1" applyFill="1" applyBorder="1" applyAlignment="1">
      <alignment horizontal="center" vertical="center"/>
    </xf>
    <xf numFmtId="49" fontId="9" fillId="6" borderId="0" xfId="0" applyNumberFormat="1" applyFont="1" applyFill="1" applyBorder="1" applyAlignment="1">
      <alignment horizontal="center" vertical="center"/>
    </xf>
    <xf numFmtId="49" fontId="9" fillId="6" borderId="24" xfId="0" applyNumberFormat="1" applyFont="1" applyFill="1" applyBorder="1" applyAlignment="1">
      <alignment horizontal="center" vertical="center"/>
    </xf>
    <xf numFmtId="49" fontId="9" fillId="0" borderId="23"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24" xfId="0" applyNumberFormat="1" applyFont="1" applyBorder="1" applyAlignment="1" applyProtection="1">
      <alignment horizontal="center" vertical="center"/>
      <protection locked="0"/>
    </xf>
    <xf numFmtId="49" fontId="9" fillId="3" borderId="23"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wrapText="1"/>
      <protection locked="0"/>
    </xf>
    <xf numFmtId="49" fontId="9" fillId="3" borderId="24" xfId="0" applyNumberFormat="1" applyFont="1" applyFill="1" applyBorder="1" applyAlignment="1" applyProtection="1">
      <alignment horizontal="center" vertical="center"/>
    </xf>
    <xf numFmtId="49" fontId="9" fillId="0" borderId="0" xfId="0" applyNumberFormat="1" applyFont="1" applyBorder="1" applyAlignment="1" applyProtection="1">
      <alignment horizontal="center" vertical="center" wrapText="1"/>
      <protection locked="0"/>
    </xf>
    <xf numFmtId="49" fontId="9" fillId="0" borderId="24" xfId="0" applyNumberFormat="1" applyFont="1" applyBorder="1" applyAlignment="1" applyProtection="1">
      <alignment horizontal="center" vertical="center"/>
    </xf>
    <xf numFmtId="49" fontId="9" fillId="0" borderId="8" xfId="0" applyNumberFormat="1" applyFont="1" applyBorder="1" applyAlignment="1" applyProtection="1">
      <alignment horizontal="center" vertical="center"/>
      <protection locked="0"/>
    </xf>
    <xf numFmtId="49" fontId="9" fillId="0" borderId="25" xfId="0" applyNumberFormat="1" applyFont="1" applyBorder="1" applyAlignment="1" applyProtection="1">
      <alignment horizontal="center" vertical="center"/>
      <protection locked="0"/>
    </xf>
    <xf numFmtId="49" fontId="9" fillId="0" borderId="9" xfId="0" applyNumberFormat="1" applyFont="1" applyBorder="1" applyAlignment="1" applyProtection="1">
      <alignment horizontal="center" vertical="center"/>
      <protection locked="0"/>
    </xf>
    <xf numFmtId="0" fontId="10" fillId="0" borderId="0" xfId="10" applyFont="1" applyAlignment="1">
      <alignment horizontal="center" vertical="center"/>
    </xf>
    <xf numFmtId="49" fontId="9" fillId="0" borderId="23" xfId="0" applyNumberFormat="1" applyFont="1" applyBorder="1" applyAlignment="1" applyProtection="1">
      <alignment horizontal="center" vertical="center" wrapText="1"/>
      <protection locked="0"/>
    </xf>
    <xf numFmtId="49" fontId="9" fillId="0" borderId="24" xfId="0" applyNumberFormat="1" applyFont="1" applyBorder="1" applyAlignment="1" applyProtection="1">
      <alignment horizontal="center" vertical="center" wrapText="1"/>
      <protection locked="0"/>
    </xf>
    <xf numFmtId="49" fontId="9" fillId="0" borderId="8" xfId="0" applyNumberFormat="1" applyFont="1" applyBorder="1" applyAlignment="1" applyProtection="1">
      <alignment horizontal="center" vertical="center" wrapText="1"/>
      <protection locked="0"/>
    </xf>
    <xf numFmtId="49" fontId="9" fillId="0" borderId="25" xfId="0" applyNumberFormat="1" applyFont="1" applyBorder="1" applyAlignment="1" applyProtection="1">
      <alignment horizontal="center" vertical="center" wrapText="1"/>
      <protection locked="0"/>
    </xf>
    <xf numFmtId="49" fontId="9" fillId="0" borderId="9" xfId="0" applyNumberFormat="1" applyFont="1" applyBorder="1" applyAlignment="1" applyProtection="1">
      <alignment horizontal="center" vertical="center" wrapText="1"/>
      <protection locked="0"/>
    </xf>
    <xf numFmtId="0" fontId="11" fillId="0" borderId="0" xfId="0" applyFont="1" applyAlignment="1" applyProtection="1">
      <alignment horizontal="center" vertical="center"/>
      <protection hidden="1"/>
    </xf>
    <xf numFmtId="0" fontId="11" fillId="0" borderId="0" xfId="0" applyFont="1" applyAlignment="1" applyProtection="1">
      <alignment horizontal="left" vertical="center"/>
      <protection hidden="1"/>
    </xf>
    <xf numFmtId="49" fontId="11" fillId="0" borderId="0" xfId="0" applyNumberFormat="1" applyFont="1" applyAlignment="1" applyProtection="1">
      <alignment horizontal="center" vertical="center"/>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12" fillId="2" borderId="6" xfId="0"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protection hidden="1"/>
    </xf>
    <xf numFmtId="49" fontId="12" fillId="2" borderId="22" xfId="0" applyNumberFormat="1"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wrapText="1"/>
      <protection hidden="1"/>
    </xf>
    <xf numFmtId="0" fontId="12" fillId="2" borderId="7" xfId="0" applyFont="1" applyFill="1" applyBorder="1" applyAlignment="1" applyProtection="1">
      <alignment horizontal="center" vertical="center" wrapText="1"/>
      <protection hidden="1"/>
    </xf>
    <xf numFmtId="0" fontId="11" fillId="3" borderId="23" xfId="0" applyFont="1" applyFill="1" applyBorder="1" applyAlignment="1" applyProtection="1">
      <alignment horizontal="center" vertical="center"/>
      <protection hidden="1"/>
    </xf>
    <xf numFmtId="0" fontId="11" fillId="4" borderId="0" xfId="0" applyNumberFormat="1" applyFont="1" applyFill="1" applyBorder="1" applyAlignment="1" applyProtection="1">
      <alignment horizontal="left" vertical="center"/>
      <protection locked="0"/>
    </xf>
    <xf numFmtId="49" fontId="11" fillId="3" borderId="0" xfId="0" applyNumberFormat="1" applyFont="1" applyFill="1" applyBorder="1" applyAlignment="1" applyProtection="1">
      <alignment horizontal="center" vertical="center"/>
      <protection hidden="1"/>
    </xf>
    <xf numFmtId="0" fontId="11" fillId="4" borderId="0" xfId="0" applyFont="1" applyFill="1" applyBorder="1" applyAlignment="1" applyProtection="1">
      <alignment horizontal="center" vertical="center" wrapText="1"/>
      <protection locked="0" hidden="1"/>
    </xf>
    <xf numFmtId="0" fontId="11" fillId="3" borderId="0" xfId="0" applyFont="1" applyFill="1" applyBorder="1" applyAlignment="1" applyProtection="1">
      <alignment horizontal="center" vertical="center"/>
      <protection hidden="1"/>
    </xf>
    <xf numFmtId="0" fontId="11" fillId="3" borderId="24" xfId="0" applyFont="1" applyFill="1" applyBorder="1" applyAlignment="1" applyProtection="1">
      <alignment horizontal="left" vertical="center" wrapText="1"/>
      <protection hidden="1"/>
    </xf>
    <xf numFmtId="0" fontId="11" fillId="0" borderId="23" xfId="0" applyFont="1" applyBorder="1" applyAlignment="1" applyProtection="1">
      <alignment horizontal="center" vertical="center"/>
      <protection hidden="1"/>
    </xf>
    <xf numFmtId="0" fontId="11" fillId="0" borderId="0" xfId="0" applyNumberFormat="1" applyFont="1" applyBorder="1" applyAlignment="1" applyProtection="1">
      <alignment horizontal="left" vertical="center"/>
      <protection locked="0"/>
    </xf>
    <xf numFmtId="0" fontId="11" fillId="0" borderId="0" xfId="0" applyFont="1" applyBorder="1" applyAlignment="1" applyProtection="1">
      <alignment horizontal="center" vertical="center"/>
      <protection hidden="1"/>
    </xf>
    <xf numFmtId="0" fontId="11" fillId="0" borderId="0" xfId="0" applyFont="1" applyBorder="1" applyAlignment="1" applyProtection="1">
      <alignment horizontal="center" vertical="center" wrapText="1"/>
      <protection hidden="1"/>
    </xf>
    <xf numFmtId="0" fontId="11" fillId="0" borderId="24" xfId="0" applyFont="1" applyBorder="1" applyAlignment="1" applyProtection="1">
      <alignment horizontal="left" vertical="center"/>
      <protection hidden="1"/>
    </xf>
    <xf numFmtId="0" fontId="11" fillId="3" borderId="0" xfId="0" applyNumberFormat="1" applyFont="1" applyFill="1" applyBorder="1" applyAlignment="1" applyProtection="1">
      <alignment horizontal="left" vertical="center"/>
      <protection locked="0"/>
    </xf>
    <xf numFmtId="0" fontId="11" fillId="3" borderId="0" xfId="0" applyFont="1" applyFill="1" applyBorder="1" applyAlignment="1" applyProtection="1">
      <alignment horizontal="center" vertical="center" wrapText="1"/>
      <protection hidden="1"/>
    </xf>
    <xf numFmtId="0" fontId="11" fillId="3" borderId="8" xfId="0" applyFont="1" applyFill="1" applyBorder="1" applyAlignment="1" applyProtection="1">
      <alignment horizontal="center" vertical="center"/>
      <protection hidden="1"/>
    </xf>
    <xf numFmtId="0" fontId="11" fillId="3" borderId="25" xfId="0" applyNumberFormat="1" applyFont="1" applyFill="1" applyBorder="1" applyAlignment="1" applyProtection="1">
      <alignment horizontal="left" vertical="center"/>
      <protection locked="0"/>
    </xf>
    <xf numFmtId="49" fontId="11" fillId="3" borderId="25" xfId="0" applyNumberFormat="1" applyFont="1" applyFill="1" applyBorder="1" applyAlignment="1" applyProtection="1">
      <alignment horizontal="center" vertical="center"/>
      <protection hidden="1"/>
    </xf>
    <xf numFmtId="0" fontId="11" fillId="3" borderId="25" xfId="0" applyFont="1" applyFill="1" applyBorder="1" applyAlignment="1" applyProtection="1">
      <alignment horizontal="center" vertical="center" wrapText="1"/>
      <protection hidden="1"/>
    </xf>
    <xf numFmtId="0" fontId="11" fillId="3" borderId="25" xfId="0" applyFont="1" applyFill="1" applyBorder="1" applyAlignment="1" applyProtection="1">
      <alignment horizontal="center" vertical="center"/>
      <protection hidden="1"/>
    </xf>
    <xf numFmtId="0" fontId="11" fillId="3" borderId="9" xfId="0" applyFont="1" applyFill="1" applyBorder="1" applyAlignment="1" applyProtection="1">
      <alignment horizontal="left" vertical="center" wrapText="1"/>
      <protection hidden="1"/>
    </xf>
    <xf numFmtId="0" fontId="8" fillId="0" borderId="0" xfId="0" applyFont="1" applyAlignment="1">
      <alignment horizontal="center" vertical="center"/>
    </xf>
    <xf numFmtId="0" fontId="7" fillId="0" borderId="0" xfId="0" applyFont="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4" xfId="0" applyFont="1" applyFill="1" applyBorder="1" applyAlignment="1">
      <alignment horizontal="center" vertical="center"/>
    </xf>
    <xf numFmtId="0" fontId="7" fillId="0" borderId="23"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3" borderId="23" xfId="0" applyFont="1" applyFill="1" applyBorder="1" applyAlignment="1" applyProtection="1">
      <alignment horizontal="center" vertical="center"/>
      <protection locked="0"/>
    </xf>
    <xf numFmtId="0" fontId="7" fillId="3" borderId="24" xfId="0" applyFont="1" applyFill="1" applyBorder="1" applyAlignment="1" applyProtection="1">
      <alignment horizontal="center" vertical="center"/>
      <protection locked="0"/>
    </xf>
    <xf numFmtId="0" fontId="7" fillId="3" borderId="8" xfId="0" applyFont="1" applyFill="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3" borderId="23" xfId="0" applyFont="1" applyFill="1" applyBorder="1" applyAlignment="1">
      <alignment horizontal="center" vertical="center"/>
    </xf>
    <xf numFmtId="0" fontId="7" fillId="3" borderId="24"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9" xfId="0" applyFont="1" applyFill="1" applyBorder="1" applyAlignment="1" applyProtection="1">
      <alignment horizontal="center" vertical="center"/>
      <protection locked="0"/>
    </xf>
    <xf numFmtId="0" fontId="6" fillId="0" borderId="0" xfId="0" applyFont="1" applyAlignment="1" applyProtection="1">
      <alignment horizontal="center" vertical="center"/>
      <protection hidden="1"/>
    </xf>
    <xf numFmtId="0" fontId="13" fillId="2" borderId="26" xfId="0" applyFont="1" applyFill="1" applyBorder="1" applyAlignment="1" applyProtection="1">
      <alignment horizontal="center" vertical="center"/>
      <protection hidden="1"/>
    </xf>
    <xf numFmtId="0" fontId="13" fillId="2" borderId="27" xfId="0" applyFont="1" applyFill="1" applyBorder="1" applyAlignment="1" applyProtection="1">
      <alignment horizontal="center" vertical="center"/>
      <protection hidden="1"/>
    </xf>
    <xf numFmtId="0" fontId="6" fillId="0" borderId="28" xfId="0" applyFont="1" applyBorder="1" applyAlignment="1" applyProtection="1">
      <alignment horizontal="center" vertical="center"/>
      <protection hidden="1"/>
    </xf>
    <xf numFmtId="0" fontId="6" fillId="0" borderId="3" xfId="0" applyFont="1" applyBorder="1" applyAlignment="1" applyProtection="1">
      <alignment horizontal="center" vertical="center"/>
      <protection hidden="1"/>
    </xf>
    <xf numFmtId="0" fontId="6" fillId="0" borderId="2" xfId="0" applyNumberFormat="1" applyFont="1" applyBorder="1" applyAlignment="1" applyProtection="1">
      <alignment horizontal="left" vertical="center" indent="1"/>
      <protection locked="0"/>
    </xf>
    <xf numFmtId="0" fontId="6" fillId="0" borderId="29" xfId="0" applyNumberFormat="1" applyFont="1" applyBorder="1" applyAlignment="1" applyProtection="1">
      <alignment horizontal="left" vertical="center" indent="1"/>
      <protection locked="0"/>
    </xf>
    <xf numFmtId="0" fontId="6" fillId="3" borderId="28" xfId="0" applyFont="1" applyFill="1" applyBorder="1" applyAlignment="1" applyProtection="1">
      <alignment horizontal="center" vertical="center"/>
      <protection hidden="1"/>
    </xf>
    <xf numFmtId="0" fontId="6" fillId="3" borderId="3" xfId="0" applyFont="1" applyFill="1" applyBorder="1" applyAlignment="1" applyProtection="1">
      <alignment horizontal="center" vertical="center"/>
      <protection hidden="1"/>
    </xf>
    <xf numFmtId="49" fontId="6" fillId="3" borderId="2" xfId="0" applyNumberFormat="1" applyFont="1" applyFill="1" applyBorder="1" applyAlignment="1" applyProtection="1">
      <alignment horizontal="left" vertical="center" indent="1"/>
      <protection locked="0"/>
    </xf>
    <xf numFmtId="49" fontId="6" fillId="3" borderId="29" xfId="0" applyNumberFormat="1" applyFont="1" applyFill="1" applyBorder="1" applyAlignment="1" applyProtection="1">
      <alignment horizontal="left" vertical="center" indent="1"/>
      <protection locked="0"/>
    </xf>
    <xf numFmtId="177" fontId="6" fillId="3" borderId="2" xfId="0" applyNumberFormat="1" applyFont="1" applyFill="1" applyBorder="1" applyAlignment="1" applyProtection="1">
      <alignment horizontal="left" vertical="center" indent="1"/>
      <protection locked="0"/>
    </xf>
    <xf numFmtId="177" fontId="6" fillId="3" borderId="29" xfId="0" applyNumberFormat="1" applyFont="1" applyFill="1" applyBorder="1" applyAlignment="1" applyProtection="1">
      <alignment horizontal="left" vertical="center" indent="1"/>
      <protection locked="0"/>
    </xf>
    <xf numFmtId="177" fontId="6" fillId="3" borderId="3" xfId="0" applyNumberFormat="1" applyFont="1" applyFill="1" applyBorder="1" applyAlignment="1" applyProtection="1">
      <alignment horizontal="left" vertical="center" indent="1"/>
      <protection locked="0"/>
    </xf>
    <xf numFmtId="0" fontId="6" fillId="0" borderId="2" xfId="0" applyFont="1" applyBorder="1" applyAlignment="1" applyProtection="1">
      <alignment horizontal="left" vertical="center" indent="1"/>
      <protection locked="0"/>
    </xf>
    <xf numFmtId="0" fontId="6" fillId="0" borderId="29" xfId="0" applyFont="1" applyBorder="1" applyAlignment="1" applyProtection="1">
      <alignment horizontal="left" vertical="center" indent="1"/>
      <protection locked="0"/>
    </xf>
    <xf numFmtId="0" fontId="6" fillId="3" borderId="30" xfId="0" applyFont="1" applyFill="1" applyBorder="1" applyAlignment="1" applyProtection="1">
      <alignment horizontal="center" vertical="center"/>
      <protection hidden="1"/>
    </xf>
    <xf numFmtId="0" fontId="6" fillId="3" borderId="31" xfId="0" applyFont="1" applyFill="1" applyBorder="1" applyAlignment="1" applyProtection="1">
      <alignment horizontal="center" vertical="center"/>
      <protection hidden="1"/>
    </xf>
    <xf numFmtId="0" fontId="6" fillId="3" borderId="32" xfId="0" applyFont="1" applyFill="1" applyBorder="1" applyAlignment="1" applyProtection="1">
      <alignment horizontal="left" vertical="center" indent="1"/>
      <protection locked="0"/>
    </xf>
    <xf numFmtId="0" fontId="6" fillId="3" borderId="33" xfId="0" applyFont="1" applyFill="1" applyBorder="1" applyAlignment="1" applyProtection="1">
      <alignment horizontal="left" vertical="center" indent="1"/>
      <protection locked="0"/>
    </xf>
    <xf numFmtId="0" fontId="6" fillId="0" borderId="0" xfId="0" applyFont="1" applyAlignment="1" applyProtection="1">
      <alignment vertical="center"/>
      <protection hidden="1"/>
    </xf>
    <xf numFmtId="0" fontId="6" fillId="3" borderId="6" xfId="0" applyFont="1" applyFill="1" applyBorder="1" applyAlignment="1" applyProtection="1">
      <alignment horizontal="center" vertical="center" wrapText="1"/>
      <protection hidden="1"/>
    </xf>
    <xf numFmtId="0" fontId="6" fillId="3" borderId="22" xfId="0" applyFont="1" applyFill="1" applyBorder="1" applyAlignment="1" applyProtection="1">
      <alignment horizontal="center" vertical="center"/>
      <protection hidden="1"/>
    </xf>
    <xf numFmtId="0" fontId="6" fillId="3" borderId="34" xfId="0" applyFont="1" applyFill="1" applyBorder="1" applyAlignment="1" applyProtection="1">
      <alignment horizontal="center" vertical="center"/>
      <protection hidden="1"/>
    </xf>
    <xf numFmtId="0" fontId="14" fillId="3" borderId="22" xfId="0" applyFont="1" applyFill="1" applyBorder="1" applyAlignment="1" applyProtection="1">
      <alignment horizontal="right" vertical="center"/>
      <protection locked="0"/>
    </xf>
    <xf numFmtId="176" fontId="14" fillId="3" borderId="22" xfId="0" applyNumberFormat="1" applyFont="1" applyFill="1" applyBorder="1" applyAlignment="1" applyProtection="1">
      <alignment horizontal="left" vertical="center"/>
      <protection hidden="1"/>
    </xf>
    <xf numFmtId="0" fontId="6" fillId="3" borderId="23" xfId="0"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35" xfId="0" applyFont="1" applyFill="1" applyBorder="1" applyAlignment="1" applyProtection="1">
      <alignment horizontal="center" vertical="center"/>
      <protection hidden="1"/>
    </xf>
    <xf numFmtId="0" fontId="14" fillId="3" borderId="36" xfId="0" applyFont="1" applyFill="1" applyBorder="1" applyAlignment="1" applyProtection="1">
      <alignment horizontal="right" vertical="center"/>
      <protection locked="0"/>
    </xf>
    <xf numFmtId="176" fontId="14" fillId="3" borderId="36" xfId="0" applyNumberFormat="1" applyFont="1" applyFill="1" applyBorder="1" applyAlignment="1" applyProtection="1">
      <alignment horizontal="left" vertical="center"/>
      <protection hidden="1"/>
    </xf>
    <xf numFmtId="0" fontId="6" fillId="3" borderId="8" xfId="0" applyFont="1" applyFill="1" applyBorder="1" applyAlignment="1" applyProtection="1">
      <alignment horizontal="center" vertical="center"/>
      <protection hidden="1"/>
    </xf>
    <xf numFmtId="0" fontId="6" fillId="3" borderId="25" xfId="0" applyFont="1" applyFill="1" applyBorder="1" applyAlignment="1" applyProtection="1">
      <alignment horizontal="center" vertical="center"/>
      <protection hidden="1"/>
    </xf>
    <xf numFmtId="0" fontId="6" fillId="3" borderId="37" xfId="0" applyFont="1" applyFill="1" applyBorder="1" applyAlignment="1" applyProtection="1">
      <alignment horizontal="center" vertical="center"/>
      <protection hidden="1"/>
    </xf>
    <xf numFmtId="0" fontId="6" fillId="3" borderId="25" xfId="0" applyFont="1" applyFill="1" applyBorder="1" applyAlignment="1" applyProtection="1">
      <alignment horizontal="center" vertical="center"/>
      <protection locked="0"/>
    </xf>
    <xf numFmtId="0" fontId="6" fillId="3" borderId="25" xfId="0" applyFont="1" applyFill="1" applyBorder="1" applyAlignment="1" applyProtection="1">
      <alignment horizontal="left" vertical="center"/>
      <protection hidden="1"/>
    </xf>
    <xf numFmtId="0" fontId="15" fillId="0" borderId="0" xfId="0" applyFont="1" applyBorder="1" applyAlignment="1" applyProtection="1">
      <protection hidden="1"/>
    </xf>
    <xf numFmtId="0" fontId="15" fillId="0" borderId="0" xfId="0" applyFont="1" applyBorder="1" applyAlignment="1" applyProtection="1">
      <alignment horizontal="left"/>
      <protection hidden="1"/>
    </xf>
    <xf numFmtId="0" fontId="15" fillId="0" borderId="0" xfId="0" applyFont="1" applyBorder="1" applyAlignment="1" applyProtection="1">
      <alignment vertical="center"/>
      <protection hidden="1"/>
    </xf>
    <xf numFmtId="0" fontId="13" fillId="2" borderId="11" xfId="0" applyNumberFormat="1" applyFont="1" applyFill="1" applyBorder="1" applyAlignment="1" applyProtection="1">
      <alignment horizontal="center" vertical="center"/>
      <protection hidden="1"/>
    </xf>
    <xf numFmtId="0" fontId="13" fillId="2" borderId="12" xfId="0" applyNumberFormat="1" applyFont="1" applyFill="1" applyBorder="1" applyAlignment="1" applyProtection="1">
      <alignment horizontal="center" vertical="center"/>
      <protection hidden="1"/>
    </xf>
    <xf numFmtId="0" fontId="6" fillId="5" borderId="13" xfId="0" applyNumberFormat="1" applyFont="1" applyFill="1" applyBorder="1" applyAlignment="1" applyProtection="1">
      <alignment horizontal="center" vertical="center"/>
      <protection hidden="1"/>
    </xf>
    <xf numFmtId="0" fontId="6" fillId="5" borderId="1" xfId="0" applyNumberFormat="1"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locked="0"/>
    </xf>
    <xf numFmtId="0" fontId="6" fillId="0" borderId="1" xfId="0" applyNumberFormat="1" applyFont="1" applyBorder="1" applyAlignment="1" applyProtection="1">
      <alignment horizontal="center" vertical="center"/>
      <protection locked="0"/>
    </xf>
    <xf numFmtId="177" fontId="6" fillId="0" borderId="1" xfId="0" applyNumberFormat="1" applyFont="1" applyBorder="1" applyAlignment="1" applyProtection="1">
      <alignment horizontal="center" vertical="center"/>
      <protection locked="0"/>
    </xf>
    <xf numFmtId="0" fontId="6" fillId="3" borderId="13" xfId="0" applyNumberFormat="1" applyFont="1" applyFill="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locked="0"/>
    </xf>
    <xf numFmtId="177" fontId="6" fillId="3" borderId="1" xfId="0" applyNumberFormat="1" applyFont="1" applyFill="1" applyBorder="1" applyAlignment="1" applyProtection="1">
      <alignment horizontal="center" vertical="center"/>
      <protection locked="0"/>
    </xf>
    <xf numFmtId="0" fontId="6" fillId="0" borderId="13" xfId="0" applyNumberFormat="1" applyFont="1" applyBorder="1" applyAlignment="1" applyProtection="1">
      <alignment horizontal="center" vertical="center"/>
    </xf>
    <xf numFmtId="0" fontId="6" fillId="3" borderId="13" xfId="0" applyNumberFormat="1" applyFont="1" applyFill="1" applyBorder="1" applyAlignment="1" applyProtection="1">
      <alignment horizontal="center" vertical="center"/>
    </xf>
    <xf numFmtId="0" fontId="6" fillId="0" borderId="14" xfId="0" applyNumberFormat="1" applyFont="1" applyBorder="1" applyAlignment="1" applyProtection="1">
      <alignment horizontal="center" vertical="center"/>
      <protection locked="0"/>
    </xf>
    <xf numFmtId="0" fontId="6" fillId="0" borderId="15" xfId="0" applyNumberFormat="1" applyFont="1" applyBorder="1" applyAlignment="1" applyProtection="1">
      <alignment horizontal="center" vertical="center"/>
      <protection locked="0"/>
    </xf>
    <xf numFmtId="177" fontId="6" fillId="0" borderId="15" xfId="0" applyNumberFormat="1" applyFont="1" applyBorder="1" applyAlignment="1" applyProtection="1">
      <alignment horizontal="center" vertical="center"/>
      <protection locked="0"/>
    </xf>
    <xf numFmtId="0" fontId="15" fillId="0" borderId="25" xfId="0" applyFont="1" applyBorder="1" applyAlignment="1" applyProtection="1">
      <alignment vertical="top"/>
      <protection hidden="1"/>
    </xf>
    <xf numFmtId="0" fontId="6" fillId="6" borderId="28" xfId="0" applyFont="1" applyFill="1" applyBorder="1" applyAlignment="1" applyProtection="1">
      <alignment horizontal="center" vertical="center"/>
      <protection hidden="1"/>
    </xf>
    <xf numFmtId="0" fontId="6" fillId="6" borderId="29" xfId="0" applyFont="1" applyFill="1" applyBorder="1" applyAlignment="1" applyProtection="1">
      <alignment horizontal="center" vertical="center"/>
      <protection hidden="1"/>
    </xf>
    <xf numFmtId="49" fontId="6" fillId="0" borderId="28" xfId="0" applyNumberFormat="1" applyFont="1" applyFill="1" applyBorder="1" applyAlignment="1" applyProtection="1">
      <alignment horizontal="center" vertical="center"/>
      <protection locked="0"/>
    </xf>
    <xf numFmtId="49" fontId="6" fillId="0" borderId="29" xfId="0" applyNumberFormat="1" applyFont="1" applyFill="1" applyBorder="1" applyAlignment="1" applyProtection="1">
      <alignment horizontal="center" vertical="center"/>
      <protection locked="0"/>
    </xf>
    <xf numFmtId="49" fontId="6" fillId="3" borderId="28" xfId="0" applyNumberFormat="1" applyFont="1" applyFill="1" applyBorder="1" applyAlignment="1" applyProtection="1">
      <alignment horizontal="center" vertical="center"/>
      <protection locked="0"/>
    </xf>
    <xf numFmtId="49" fontId="6" fillId="3" borderId="29" xfId="0" applyNumberFormat="1" applyFont="1" applyFill="1" applyBorder="1" applyAlignment="1" applyProtection="1">
      <alignment horizontal="center" vertical="center"/>
      <protection locked="0"/>
    </xf>
    <xf numFmtId="49" fontId="6" fillId="0" borderId="30" xfId="0" applyNumberFormat="1" applyFont="1" applyFill="1" applyBorder="1" applyAlignment="1" applyProtection="1">
      <alignment horizontal="center" vertical="center"/>
      <protection locked="0"/>
    </xf>
    <xf numFmtId="49" fontId="6" fillId="0" borderId="33" xfId="0" applyNumberFormat="1" applyFont="1" applyFill="1" applyBorder="1" applyAlignment="1" applyProtection="1">
      <alignment horizontal="center" vertical="center"/>
      <protection locked="0"/>
    </xf>
    <xf numFmtId="0" fontId="13" fillId="0" borderId="0" xfId="0" applyFont="1" applyBorder="1" applyAlignment="1" applyProtection="1">
      <alignment vertical="center"/>
      <protection hidden="1"/>
    </xf>
    <xf numFmtId="0" fontId="13" fillId="2" borderId="11" xfId="0" applyFont="1" applyFill="1" applyBorder="1" applyAlignment="1" applyProtection="1">
      <alignment horizontal="center" vertical="center"/>
      <protection hidden="1"/>
    </xf>
    <xf numFmtId="0" fontId="13" fillId="2" borderId="12" xfId="0" applyFont="1" applyFill="1" applyBorder="1" applyAlignment="1" applyProtection="1">
      <alignment horizontal="center" vertical="center"/>
      <protection hidden="1"/>
    </xf>
    <xf numFmtId="0" fontId="6" fillId="7" borderId="28" xfId="0" applyFont="1" applyFill="1" applyBorder="1" applyAlignment="1" applyProtection="1">
      <alignment horizontal="left" vertical="center"/>
      <protection hidden="1"/>
    </xf>
    <xf numFmtId="0" fontId="6" fillId="7" borderId="29" xfId="0" applyFont="1" applyFill="1" applyBorder="1" applyAlignment="1" applyProtection="1">
      <alignment horizontal="left" vertical="center"/>
      <protection hidden="1"/>
    </xf>
    <xf numFmtId="0" fontId="6" fillId="3" borderId="13" xfId="0" applyFont="1" applyFill="1" applyBorder="1" applyAlignment="1" applyProtection="1">
      <alignment horizontal="left" vertical="center"/>
      <protection hidden="1"/>
    </xf>
    <xf numFmtId="0" fontId="6" fillId="3" borderId="2" xfId="0" applyFont="1" applyFill="1" applyBorder="1" applyAlignment="1" applyProtection="1">
      <alignment horizontal="left" vertical="center"/>
      <protection hidden="1"/>
    </xf>
    <xf numFmtId="24" fontId="6" fillId="3" borderId="29" xfId="0" applyNumberFormat="1" applyFont="1" applyFill="1" applyBorder="1" applyAlignment="1" applyProtection="1">
      <alignment horizontal="left" vertical="center"/>
      <protection locked="0"/>
    </xf>
    <xf numFmtId="0" fontId="6" fillId="3" borderId="29" xfId="0" applyFont="1" applyFill="1" applyBorder="1" applyAlignment="1" applyProtection="1">
      <alignment horizontal="left" vertical="center"/>
      <protection locked="0"/>
    </xf>
    <xf numFmtId="0" fontId="6" fillId="7" borderId="38" xfId="0" applyFont="1" applyFill="1" applyBorder="1" applyAlignment="1" applyProtection="1">
      <alignment horizontal="left" vertical="top"/>
      <protection locked="0"/>
    </xf>
    <xf numFmtId="0" fontId="6" fillId="7" borderId="39" xfId="0" applyFont="1" applyFill="1" applyBorder="1" applyAlignment="1" applyProtection="1">
      <alignment horizontal="left" vertical="top"/>
      <protection locked="0"/>
    </xf>
    <xf numFmtId="0" fontId="6" fillId="7" borderId="23" xfId="0" applyFont="1" applyFill="1" applyBorder="1" applyAlignment="1" applyProtection="1">
      <alignment horizontal="left" vertical="top"/>
      <protection locked="0"/>
    </xf>
    <xf numFmtId="0" fontId="6" fillId="7" borderId="0" xfId="0" applyFont="1" applyFill="1" applyBorder="1" applyAlignment="1" applyProtection="1">
      <alignment horizontal="left" vertical="top"/>
      <protection locked="0"/>
    </xf>
    <xf numFmtId="0" fontId="6" fillId="7" borderId="8" xfId="0" applyFont="1" applyFill="1" applyBorder="1" applyAlignment="1" applyProtection="1">
      <alignment horizontal="left" vertical="top"/>
      <protection locked="0"/>
    </xf>
    <xf numFmtId="0" fontId="6" fillId="7" borderId="25" xfId="0" applyFont="1" applyFill="1" applyBorder="1" applyAlignment="1" applyProtection="1">
      <alignment horizontal="left" vertical="top"/>
      <protection locked="0"/>
    </xf>
    <xf numFmtId="0" fontId="13" fillId="2" borderId="6" xfId="0" applyFont="1" applyFill="1" applyBorder="1" applyAlignment="1" applyProtection="1">
      <alignment horizontal="center" vertical="center"/>
      <protection hidden="1"/>
    </xf>
    <xf numFmtId="0" fontId="13" fillId="2" borderId="22" xfId="0" applyFont="1" applyFill="1" applyBorder="1" applyAlignment="1" applyProtection="1">
      <alignment horizontal="center" vertical="center"/>
      <protection hidden="1"/>
    </xf>
    <xf numFmtId="0" fontId="6" fillId="3" borderId="23" xfId="0" applyNumberFormat="1" applyFont="1" applyFill="1" applyBorder="1" applyAlignment="1" applyProtection="1">
      <alignment horizontal="left" vertical="top" wrapText="1"/>
      <protection locked="0"/>
    </xf>
    <xf numFmtId="0" fontId="6" fillId="3" borderId="0" xfId="0" applyNumberFormat="1" applyFont="1" applyFill="1" applyBorder="1" applyAlignment="1" applyProtection="1">
      <alignment horizontal="left" vertical="top" wrapText="1"/>
      <protection locked="0"/>
    </xf>
    <xf numFmtId="0" fontId="6" fillId="7" borderId="23" xfId="0" applyNumberFormat="1" applyFont="1" applyFill="1" applyBorder="1" applyAlignment="1" applyProtection="1">
      <alignment horizontal="left" vertical="top" wrapText="1"/>
      <protection locked="0"/>
    </xf>
    <xf numFmtId="0" fontId="6" fillId="7" borderId="0" xfId="0" applyNumberFormat="1" applyFont="1" applyFill="1" applyBorder="1" applyAlignment="1" applyProtection="1">
      <alignment horizontal="left" vertical="top" wrapText="1"/>
      <protection locked="0"/>
    </xf>
    <xf numFmtId="0" fontId="6" fillId="3" borderId="8" xfId="0" applyNumberFormat="1" applyFont="1" applyFill="1" applyBorder="1" applyAlignment="1" applyProtection="1">
      <alignment horizontal="left" vertical="top" wrapText="1"/>
      <protection locked="0"/>
    </xf>
    <xf numFmtId="0" fontId="6" fillId="3" borderId="25" xfId="0" applyNumberFormat="1" applyFont="1" applyFill="1" applyBorder="1" applyAlignment="1" applyProtection="1">
      <alignment horizontal="left" vertical="top" wrapText="1"/>
      <protection locked="0"/>
    </xf>
    <xf numFmtId="0" fontId="16" fillId="0" borderId="0" xfId="0" applyFont="1" applyAlignment="1" applyProtection="1">
      <alignment horizontal="center" vertical="center"/>
      <protection hidden="1"/>
    </xf>
    <xf numFmtId="177" fontId="16" fillId="0" borderId="0" xfId="0" applyNumberFormat="1" applyFont="1" applyAlignment="1" applyProtection="1">
      <alignment horizontal="center" vertical="center"/>
      <protection hidden="1"/>
    </xf>
    <xf numFmtId="0" fontId="13" fillId="2" borderId="40" xfId="0" applyFont="1" applyFill="1" applyBorder="1" applyAlignment="1" applyProtection="1">
      <alignment horizontal="center" vertical="center"/>
      <protection hidden="1"/>
    </xf>
    <xf numFmtId="0" fontId="6" fillId="0" borderId="41" xfId="0" applyNumberFormat="1" applyFont="1" applyBorder="1" applyAlignment="1" applyProtection="1">
      <alignment horizontal="left" vertical="center" indent="1"/>
      <protection locked="0"/>
    </xf>
    <xf numFmtId="0" fontId="6" fillId="3" borderId="13" xfId="0" applyFont="1" applyFill="1" applyBorder="1" applyAlignment="1" applyProtection="1">
      <alignment horizontal="center" vertical="center" wrapText="1"/>
      <protection hidden="1"/>
    </xf>
    <xf numFmtId="49" fontId="6" fillId="3" borderId="41" xfId="0" applyNumberFormat="1" applyFont="1" applyFill="1" applyBorder="1" applyAlignment="1" applyProtection="1">
      <alignment horizontal="left" vertical="center" indent="1"/>
      <protection locked="0"/>
    </xf>
    <xf numFmtId="0" fontId="6" fillId="0" borderId="13" xfId="0" applyFont="1" applyBorder="1" applyAlignment="1" applyProtection="1">
      <alignment horizontal="center" vertical="center" wrapText="1"/>
      <protection hidden="1"/>
    </xf>
    <xf numFmtId="0" fontId="6" fillId="3" borderId="2" xfId="0" applyFont="1" applyFill="1" applyBorder="1" applyAlignment="1" applyProtection="1">
      <alignment horizontal="center" vertical="center"/>
      <protection hidden="1"/>
    </xf>
    <xf numFmtId="0" fontId="6" fillId="3" borderId="29" xfId="0" applyFont="1" applyFill="1" applyBorder="1" applyAlignment="1" applyProtection="1">
      <alignment horizontal="left" vertical="center" indent="1"/>
      <protection locked="0"/>
    </xf>
    <xf numFmtId="0" fontId="6" fillId="3" borderId="41" xfId="0" applyFont="1" applyFill="1" applyBorder="1" applyAlignment="1" applyProtection="1">
      <alignment horizontal="left" vertical="center" indent="1"/>
      <protection locked="0"/>
    </xf>
    <xf numFmtId="0" fontId="6" fillId="0" borderId="41" xfId="0" applyFont="1" applyBorder="1" applyAlignment="1" applyProtection="1">
      <alignment horizontal="left" vertical="center" indent="1"/>
      <protection locked="0"/>
    </xf>
    <xf numFmtId="0" fontId="6" fillId="3" borderId="42" xfId="0" applyFont="1" applyFill="1" applyBorder="1" applyAlignment="1" applyProtection="1">
      <alignment horizontal="left" vertical="center" indent="1"/>
      <protection locked="0"/>
    </xf>
    <xf numFmtId="0" fontId="6" fillId="3" borderId="14" xfId="0" applyFont="1" applyFill="1" applyBorder="1" applyAlignment="1" applyProtection="1">
      <alignment horizontal="center" vertical="center" wrapText="1"/>
      <protection hidden="1"/>
    </xf>
    <xf numFmtId="176" fontId="14" fillId="3" borderId="43" xfId="0" applyNumberFormat="1" applyFont="1" applyFill="1" applyBorder="1" applyAlignment="1" applyProtection="1">
      <alignment horizontal="left" vertical="center"/>
      <protection hidden="1"/>
    </xf>
    <xf numFmtId="0" fontId="6" fillId="0" borderId="22" xfId="0" applyFont="1" applyBorder="1" applyAlignment="1" applyProtection="1">
      <alignment horizontal="center" vertical="center" wrapText="1"/>
      <protection hidden="1"/>
    </xf>
    <xf numFmtId="0" fontId="6" fillId="0" borderId="22" xfId="0" applyFont="1" applyBorder="1" applyAlignment="1" applyProtection="1">
      <alignment horizontal="center" vertical="center"/>
      <protection hidden="1"/>
    </xf>
    <xf numFmtId="0" fontId="6" fillId="0" borderId="34" xfId="0" applyFont="1" applyBorder="1" applyAlignment="1" applyProtection="1">
      <alignment horizontal="center" vertical="center"/>
      <protection hidden="1"/>
    </xf>
    <xf numFmtId="1" fontId="14" fillId="0" borderId="22" xfId="0" applyNumberFormat="1" applyFont="1" applyBorder="1" applyAlignment="1" applyProtection="1">
      <alignment horizontal="right" vertical="center"/>
      <protection locked="0"/>
    </xf>
    <xf numFmtId="0" fontId="14" fillId="0" borderId="22" xfId="0" applyFont="1" applyBorder="1" applyAlignment="1" applyProtection="1">
      <alignment horizontal="right" vertical="center"/>
      <protection locked="0"/>
    </xf>
    <xf numFmtId="176" fontId="14" fillId="3" borderId="44" xfId="0" applyNumberFormat="1" applyFont="1" applyFill="1" applyBorder="1" applyAlignment="1" applyProtection="1">
      <alignment horizontal="left" vertical="center"/>
      <protection hidden="1"/>
    </xf>
    <xf numFmtId="0" fontId="6" fillId="0" borderId="0" xfId="0" applyFont="1" applyBorder="1" applyAlignment="1" applyProtection="1">
      <alignment horizontal="center" vertical="center"/>
      <protection hidden="1"/>
    </xf>
    <xf numFmtId="0" fontId="6" fillId="0" borderId="35" xfId="0" applyFont="1" applyBorder="1" applyAlignment="1" applyProtection="1">
      <alignment horizontal="center" vertical="center"/>
      <protection hidden="1"/>
    </xf>
    <xf numFmtId="0" fontId="14" fillId="0" borderId="36" xfId="0" applyFont="1" applyBorder="1" applyAlignment="1" applyProtection="1">
      <alignment horizontal="right" vertical="center"/>
      <protection locked="0"/>
    </xf>
    <xf numFmtId="0" fontId="6" fillId="3" borderId="45" xfId="0" applyFont="1" applyFill="1" applyBorder="1" applyAlignment="1" applyProtection="1">
      <alignment horizontal="left" vertical="center"/>
      <protection hidden="1"/>
    </xf>
    <xf numFmtId="0" fontId="6" fillId="0" borderId="25" xfId="0" applyFont="1" applyBorder="1" applyAlignment="1" applyProtection="1">
      <alignment horizontal="center" vertical="center"/>
      <protection hidden="1"/>
    </xf>
    <xf numFmtId="0" fontId="6" fillId="0" borderId="37" xfId="0" applyFont="1" applyBorder="1" applyAlignment="1" applyProtection="1">
      <alignment horizontal="center" vertical="center"/>
      <protection hidden="1"/>
    </xf>
    <xf numFmtId="0" fontId="6" fillId="0" borderId="25" xfId="0" applyFont="1" applyBorder="1" applyAlignment="1" applyProtection="1">
      <alignment horizontal="center" vertical="center"/>
      <protection locked="0"/>
    </xf>
    <xf numFmtId="0" fontId="6" fillId="0" borderId="25" xfId="0" applyFont="1" applyBorder="1" applyAlignment="1" applyProtection="1">
      <alignment horizontal="left" vertical="center"/>
      <protection hidden="1"/>
    </xf>
    <xf numFmtId="0" fontId="15" fillId="0" borderId="0" xfId="0" applyFont="1" applyBorder="1" applyAlignment="1" applyProtection="1">
      <alignment vertical="center" wrapText="1"/>
      <protection hidden="1"/>
    </xf>
    <xf numFmtId="0" fontId="6" fillId="5" borderId="46" xfId="0" applyNumberFormat="1" applyFont="1" applyFill="1" applyBorder="1" applyAlignment="1" applyProtection="1">
      <alignment horizontal="center" vertical="center"/>
      <protection hidden="1"/>
    </xf>
    <xf numFmtId="0" fontId="6" fillId="5" borderId="3" xfId="0" applyNumberFormat="1" applyFont="1" applyFill="1" applyBorder="1" applyAlignment="1" applyProtection="1">
      <alignment horizontal="center" vertical="center"/>
      <protection hidden="1"/>
    </xf>
    <xf numFmtId="0" fontId="6" fillId="0" borderId="1" xfId="0" applyNumberFormat="1" applyFont="1" applyBorder="1" applyAlignment="1" applyProtection="1">
      <alignment horizontal="center" vertical="center"/>
      <protection hidden="1"/>
    </xf>
    <xf numFmtId="0" fontId="6" fillId="0" borderId="46" xfId="0" applyNumberFormat="1" applyFont="1" applyBorder="1" applyAlignment="1" applyProtection="1">
      <alignment horizontal="center" vertical="center"/>
      <protection hidden="1"/>
    </xf>
    <xf numFmtId="0" fontId="6" fillId="0" borderId="3" xfId="0" applyNumberFormat="1" applyFont="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hidden="1"/>
    </xf>
    <xf numFmtId="0" fontId="6" fillId="3" borderId="46" xfId="0" applyNumberFormat="1" applyFont="1" applyFill="1" applyBorder="1" applyAlignment="1" applyProtection="1">
      <alignment horizontal="center" vertical="center"/>
      <protection hidden="1"/>
    </xf>
    <xf numFmtId="0" fontId="6" fillId="3" borderId="3" xfId="0" applyNumberFormat="1" applyFont="1" applyFill="1" applyBorder="1" applyAlignment="1" applyProtection="1">
      <alignment horizontal="center" vertical="center"/>
      <protection locked="0"/>
    </xf>
    <xf numFmtId="0" fontId="6" fillId="0" borderId="15" xfId="0" applyNumberFormat="1" applyFont="1" applyBorder="1" applyAlignment="1" applyProtection="1">
      <alignment horizontal="center" vertical="center"/>
      <protection hidden="1"/>
    </xf>
    <xf numFmtId="0" fontId="6" fillId="0" borderId="47" xfId="0" applyNumberFormat="1" applyFont="1" applyBorder="1" applyAlignment="1" applyProtection="1">
      <alignment horizontal="center" vertical="center"/>
      <protection hidden="1"/>
    </xf>
    <xf numFmtId="0" fontId="6" fillId="0" borderId="31" xfId="0" applyNumberFormat="1" applyFont="1" applyBorder="1" applyAlignment="1" applyProtection="1">
      <alignment horizontal="center" vertical="center"/>
      <protection locked="0"/>
    </xf>
    <xf numFmtId="0" fontId="15" fillId="0" borderId="0" xfId="0" applyFont="1" applyBorder="1" applyAlignment="1" applyProtection="1">
      <alignment vertical="top"/>
      <protection hidden="1"/>
    </xf>
    <xf numFmtId="0" fontId="6" fillId="6" borderId="3" xfId="0" applyFont="1" applyFill="1" applyBorder="1" applyAlignment="1" applyProtection="1">
      <alignment horizontal="center" vertical="center"/>
      <protection hidden="1"/>
    </xf>
    <xf numFmtId="0" fontId="6" fillId="6" borderId="2" xfId="0"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locked="0"/>
    </xf>
    <xf numFmtId="178" fontId="6" fillId="0" borderId="2" xfId="0" applyNumberFormat="1" applyFont="1" applyFill="1" applyBorder="1" applyAlignment="1" applyProtection="1">
      <alignment horizontal="center" vertical="center"/>
      <protection hidden="1"/>
    </xf>
    <xf numFmtId="178" fontId="6" fillId="0" borderId="3"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protection locked="0"/>
    </xf>
    <xf numFmtId="178" fontId="6" fillId="3" borderId="2" xfId="0" applyNumberFormat="1" applyFont="1" applyFill="1" applyBorder="1" applyAlignment="1" applyProtection="1">
      <alignment horizontal="center" vertical="center"/>
      <protection locked="0"/>
    </xf>
    <xf numFmtId="178" fontId="6" fillId="3" borderId="3" xfId="0" applyNumberFormat="1" applyFont="1" applyFill="1" applyBorder="1" applyAlignment="1" applyProtection="1">
      <alignment horizontal="center" vertical="center"/>
      <protection locked="0"/>
    </xf>
    <xf numFmtId="178" fontId="6" fillId="3" borderId="2" xfId="0" applyNumberFormat="1" applyFont="1" applyFill="1" applyBorder="1" applyAlignment="1" applyProtection="1">
      <alignment horizontal="center" vertical="center"/>
      <protection hidden="1"/>
    </xf>
    <xf numFmtId="178" fontId="6" fillId="3" borderId="3" xfId="0" applyNumberFormat="1" applyFont="1" applyFill="1" applyBorder="1" applyAlignment="1" applyProtection="1">
      <alignment horizontal="center" vertical="center"/>
      <protection hidden="1"/>
    </xf>
    <xf numFmtId="178" fontId="6" fillId="0" borderId="2" xfId="0" applyNumberFormat="1" applyFont="1" applyFill="1" applyBorder="1" applyAlignment="1" applyProtection="1">
      <alignment horizontal="center" vertical="center"/>
      <protection locked="0"/>
    </xf>
    <xf numFmtId="178" fontId="6" fillId="0" borderId="3" xfId="0" applyNumberFormat="1" applyFont="1" applyFill="1" applyBorder="1" applyAlignment="1" applyProtection="1">
      <alignment horizontal="center" vertical="center"/>
      <protection locked="0"/>
    </xf>
    <xf numFmtId="49" fontId="6" fillId="0" borderId="31" xfId="0" applyNumberFormat="1" applyFont="1" applyFill="1" applyBorder="1" applyAlignment="1" applyProtection="1">
      <alignment horizontal="center" vertical="center"/>
      <protection locked="0"/>
    </xf>
    <xf numFmtId="178" fontId="6" fillId="0" borderId="32" xfId="0" applyNumberFormat="1" applyFont="1" applyFill="1" applyBorder="1" applyAlignment="1" applyProtection="1">
      <alignment horizontal="center" vertical="center"/>
      <protection locked="0"/>
    </xf>
    <xf numFmtId="178" fontId="6" fillId="0" borderId="31" xfId="0" applyNumberFormat="1" applyFont="1" applyFill="1" applyBorder="1" applyAlignment="1" applyProtection="1">
      <alignment horizontal="center" vertical="center"/>
      <protection locked="0"/>
    </xf>
    <xf numFmtId="178" fontId="6" fillId="0" borderId="32" xfId="0" applyNumberFormat="1" applyFont="1" applyFill="1" applyBorder="1" applyAlignment="1" applyProtection="1">
      <alignment horizontal="center" vertical="center"/>
      <protection hidden="1"/>
    </xf>
    <xf numFmtId="178" fontId="6" fillId="0" borderId="31" xfId="0" applyNumberFormat="1" applyFont="1" applyFill="1" applyBorder="1" applyAlignment="1" applyProtection="1">
      <alignment horizontal="center" vertical="center"/>
      <protection hidden="1"/>
    </xf>
    <xf numFmtId="0" fontId="6" fillId="7" borderId="3" xfId="0" applyFont="1" applyFill="1" applyBorder="1" applyAlignment="1" applyProtection="1">
      <alignment horizontal="left" vertical="center"/>
      <protection hidden="1"/>
    </xf>
    <xf numFmtId="0" fontId="6" fillId="3" borderId="3" xfId="0" applyFont="1" applyFill="1" applyBorder="1" applyAlignment="1" applyProtection="1">
      <alignment horizontal="left" vertical="center"/>
      <protection locked="0"/>
    </xf>
    <xf numFmtId="0" fontId="6" fillId="3" borderId="29" xfId="0" applyFont="1" applyFill="1" applyBorder="1" applyAlignment="1" applyProtection="1">
      <alignment horizontal="left" vertical="center"/>
      <protection hidden="1"/>
    </xf>
    <xf numFmtId="0" fontId="6" fillId="3" borderId="1" xfId="0"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protection locked="0"/>
    </xf>
    <xf numFmtId="1" fontId="6" fillId="3" borderId="1" xfId="0" applyNumberFormat="1" applyFont="1" applyFill="1" applyBorder="1" applyAlignment="1" applyProtection="1">
      <alignment horizontal="center" vertical="center"/>
      <protection hidden="1"/>
    </xf>
    <xf numFmtId="0" fontId="6" fillId="0" borderId="1"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locked="0"/>
    </xf>
    <xf numFmtId="0" fontId="6" fillId="3" borderId="1" xfId="0" applyFont="1" applyFill="1" applyBorder="1" applyAlignment="1" applyProtection="1">
      <alignment horizontal="center" vertical="center"/>
      <protection hidden="1"/>
    </xf>
    <xf numFmtId="0" fontId="6" fillId="0" borderId="49" xfId="0" applyFont="1" applyBorder="1" applyAlignment="1" applyProtection="1">
      <alignment horizontal="center" vertical="center"/>
      <protection locked="0"/>
    </xf>
    <xf numFmtId="0" fontId="6" fillId="0" borderId="50" xfId="0" applyFont="1" applyBorder="1" applyAlignment="1" applyProtection="1">
      <alignment horizontal="center" vertical="center"/>
      <protection locked="0"/>
    </xf>
    <xf numFmtId="1" fontId="6" fillId="0" borderId="1" xfId="0" applyNumberFormat="1" applyFont="1" applyBorder="1" applyAlignment="1" applyProtection="1">
      <alignment horizontal="center" vertical="center"/>
      <protection hidden="1"/>
    </xf>
    <xf numFmtId="0" fontId="6" fillId="3" borderId="48" xfId="0" applyFont="1" applyFill="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hidden="1"/>
    </xf>
    <xf numFmtId="0" fontId="6" fillId="3" borderId="49" xfId="0" applyFont="1" applyFill="1" applyBorder="1" applyAlignment="1" applyProtection="1">
      <alignment horizontal="center" vertical="center"/>
      <protection locked="0"/>
    </xf>
    <xf numFmtId="0" fontId="6" fillId="3" borderId="50" xfId="0" applyFont="1" applyFill="1" applyBorder="1" applyAlignment="1" applyProtection="1">
      <alignment horizontal="center" vertical="center"/>
      <protection locked="0"/>
    </xf>
    <xf numFmtId="0" fontId="17" fillId="0" borderId="1" xfId="0" applyFont="1" applyBorder="1" applyAlignment="1" applyProtection="1">
      <alignment horizontal="center" vertical="center" wrapText="1"/>
      <protection hidden="1"/>
    </xf>
    <xf numFmtId="0" fontId="6" fillId="3" borderId="15"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locked="0"/>
    </xf>
    <xf numFmtId="0" fontId="6" fillId="3" borderId="37" xfId="0" applyFont="1" applyFill="1" applyBorder="1" applyAlignment="1" applyProtection="1">
      <alignment horizontal="center" vertical="center"/>
      <protection locked="0"/>
    </xf>
    <xf numFmtId="0" fontId="6" fillId="3" borderId="15" xfId="0" applyFont="1" applyFill="1" applyBorder="1" applyAlignment="1" applyProtection="1">
      <alignment horizontal="center" vertical="center"/>
      <protection hidden="1"/>
    </xf>
    <xf numFmtId="0" fontId="17" fillId="0" borderId="15"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locked="0"/>
    </xf>
    <xf numFmtId="176" fontId="14" fillId="0" borderId="22" xfId="0" applyNumberFormat="1" applyFont="1" applyBorder="1" applyAlignment="1" applyProtection="1">
      <alignment horizontal="left" vertical="center"/>
      <protection hidden="1"/>
    </xf>
    <xf numFmtId="176" fontId="14" fillId="0" borderId="43" xfId="0" applyNumberFormat="1" applyFont="1" applyBorder="1" applyAlignment="1" applyProtection="1">
      <alignment horizontal="left" vertical="center"/>
      <protection hidden="1"/>
    </xf>
    <xf numFmtId="0" fontId="6" fillId="3" borderId="22" xfId="0" applyFont="1" applyFill="1" applyBorder="1" applyAlignment="1" applyProtection="1">
      <alignment horizontal="center" vertical="center" wrapText="1"/>
      <protection hidden="1"/>
    </xf>
    <xf numFmtId="176" fontId="14" fillId="0" borderId="36" xfId="0" applyNumberFormat="1" applyFont="1" applyBorder="1" applyAlignment="1" applyProtection="1">
      <alignment horizontal="left" vertical="center"/>
      <protection hidden="1"/>
    </xf>
    <xf numFmtId="176" fontId="14" fillId="0" borderId="44" xfId="0" applyNumberFormat="1" applyFont="1" applyBorder="1" applyAlignment="1" applyProtection="1">
      <alignment horizontal="left" vertical="center"/>
      <protection hidden="1"/>
    </xf>
    <xf numFmtId="0" fontId="14" fillId="3" borderId="0" xfId="0" applyFont="1" applyFill="1" applyBorder="1" applyAlignment="1" applyProtection="1">
      <alignment horizontal="right" vertical="center"/>
      <protection locked="0"/>
    </xf>
    <xf numFmtId="0" fontId="6" fillId="0" borderId="45" xfId="0" applyFont="1" applyBorder="1" applyAlignment="1" applyProtection="1">
      <alignment horizontal="left" vertical="center"/>
      <protection hidden="1"/>
    </xf>
    <xf numFmtId="0" fontId="14" fillId="3" borderId="25" xfId="0" applyFont="1" applyFill="1" applyBorder="1" applyAlignment="1" applyProtection="1">
      <alignment horizontal="right" vertical="center"/>
      <protection locked="0"/>
    </xf>
    <xf numFmtId="0" fontId="6" fillId="6" borderId="48" xfId="0" applyFont="1" applyFill="1" applyBorder="1" applyAlignment="1" applyProtection="1">
      <alignment horizontal="center" vertical="center"/>
      <protection hidden="1"/>
    </xf>
    <xf numFmtId="49" fontId="6" fillId="0" borderId="1" xfId="0" applyNumberFormat="1" applyFont="1" applyFill="1" applyBorder="1" applyAlignment="1" applyProtection="1">
      <alignment horizontal="center" vertical="center"/>
      <protection hidden="1"/>
    </xf>
    <xf numFmtId="49" fontId="6" fillId="0" borderId="29" xfId="0" applyNumberFormat="1"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hidden="1"/>
    </xf>
    <xf numFmtId="49" fontId="6" fillId="0" borderId="49" xfId="0" applyNumberFormat="1" applyFont="1" applyFill="1" applyBorder="1" applyAlignment="1" applyProtection="1">
      <alignment horizontal="center" vertical="center"/>
      <protection hidden="1"/>
    </xf>
    <xf numFmtId="49" fontId="6" fillId="3" borderId="1" xfId="0" applyNumberFormat="1" applyFont="1" applyFill="1" applyBorder="1" applyAlignment="1" applyProtection="1">
      <alignment horizontal="center" vertical="center"/>
      <protection locked="0"/>
    </xf>
    <xf numFmtId="49" fontId="6" fillId="3" borderId="2" xfId="0" applyNumberFormat="1" applyFont="1" applyFill="1" applyBorder="1" applyAlignment="1" applyProtection="1">
      <alignment horizontal="center" vertical="center"/>
      <protection locked="0"/>
    </xf>
    <xf numFmtId="49" fontId="6" fillId="0" borderId="1" xfId="0" applyNumberFormat="1" applyFont="1" applyFill="1" applyBorder="1" applyAlignment="1" applyProtection="1">
      <alignment horizontal="center" vertical="center"/>
      <protection locked="0" hidden="1"/>
    </xf>
    <xf numFmtId="49" fontId="6" fillId="0" borderId="49" xfId="0" applyNumberFormat="1" applyFont="1" applyFill="1" applyBorder="1" applyAlignment="1" applyProtection="1">
      <alignment horizontal="center" vertical="center"/>
      <protection locked="0"/>
    </xf>
    <xf numFmtId="49" fontId="6" fillId="3" borderId="1" xfId="0" applyNumberFormat="1" applyFont="1" applyFill="1" applyBorder="1" applyAlignment="1" applyProtection="1">
      <alignment horizontal="center" vertical="center"/>
      <protection locked="0" hidden="1"/>
    </xf>
    <xf numFmtId="49" fontId="6" fillId="0" borderId="15" xfId="0" applyNumberFormat="1" applyFont="1" applyFill="1" applyBorder="1" applyAlignment="1" applyProtection="1">
      <alignment horizontal="center" vertical="center"/>
      <protection locked="0" hidden="1"/>
    </xf>
    <xf numFmtId="49" fontId="6" fillId="0" borderId="52" xfId="0" applyNumberFormat="1" applyFont="1" applyFill="1" applyBorder="1" applyAlignment="1" applyProtection="1">
      <alignment horizontal="center" vertical="center"/>
      <protection locked="0"/>
    </xf>
    <xf numFmtId="0" fontId="13" fillId="2" borderId="18" xfId="0" applyFont="1" applyFill="1" applyBorder="1" applyAlignment="1" applyProtection="1">
      <alignment horizontal="center" vertical="center"/>
      <protection hidden="1"/>
    </xf>
    <xf numFmtId="0" fontId="6" fillId="7" borderId="41" xfId="0" applyFont="1" applyFill="1" applyBorder="1" applyAlignment="1" applyProtection="1">
      <alignment horizontal="left" vertical="center"/>
      <protection hidden="1"/>
    </xf>
    <xf numFmtId="0" fontId="6" fillId="0" borderId="13" xfId="0" applyFont="1" applyBorder="1" applyAlignment="1" applyProtection="1">
      <alignment horizontal="center" vertical="center"/>
      <protection hidden="1"/>
    </xf>
    <xf numFmtId="0" fontId="6" fillId="0" borderId="48" xfId="0" applyFont="1" applyBorder="1" applyAlignment="1" applyProtection="1">
      <alignment horizontal="left" vertical="top" wrapText="1"/>
      <protection locked="0"/>
    </xf>
    <xf numFmtId="0" fontId="6" fillId="0" borderId="39" xfId="0" applyFont="1" applyBorder="1" applyAlignment="1" applyProtection="1">
      <alignment horizontal="left" vertical="top" wrapText="1"/>
      <protection locked="0"/>
    </xf>
    <xf numFmtId="0" fontId="6" fillId="3" borderId="41" xfId="0" applyFont="1" applyFill="1" applyBorder="1" applyAlignment="1" applyProtection="1">
      <alignment horizontal="left" vertical="center"/>
      <protection locked="0"/>
    </xf>
    <xf numFmtId="0" fontId="6" fillId="0" borderId="49" xfId="0" applyFont="1" applyBorder="1" applyAlignment="1" applyProtection="1">
      <alignment horizontal="left" vertical="top" wrapText="1"/>
      <protection locked="0"/>
    </xf>
    <xf numFmtId="0" fontId="6" fillId="0" borderId="36" xfId="0" applyFont="1" applyBorder="1" applyAlignment="1" applyProtection="1">
      <alignment horizontal="left" vertical="top" wrapText="1"/>
      <protection locked="0"/>
    </xf>
    <xf numFmtId="0" fontId="6" fillId="7" borderId="53" xfId="0" applyFont="1" applyFill="1" applyBorder="1" applyAlignment="1" applyProtection="1">
      <alignment horizontal="left" vertical="top"/>
      <protection locked="0"/>
    </xf>
    <xf numFmtId="0" fontId="6" fillId="3" borderId="13" xfId="0" applyFont="1" applyFill="1" applyBorder="1" applyAlignment="1" applyProtection="1">
      <alignment horizontal="center" vertical="center"/>
      <protection hidden="1"/>
    </xf>
    <xf numFmtId="0" fontId="6" fillId="3" borderId="48" xfId="0" applyFont="1" applyFill="1" applyBorder="1" applyAlignment="1" applyProtection="1">
      <alignment horizontal="left" vertical="top" wrapText="1"/>
      <protection locked="0"/>
    </xf>
    <xf numFmtId="0" fontId="6" fillId="3" borderId="39" xfId="0" applyFont="1" applyFill="1" applyBorder="1" applyAlignment="1" applyProtection="1">
      <alignment horizontal="left" vertical="top" wrapText="1"/>
      <protection locked="0"/>
    </xf>
    <xf numFmtId="0" fontId="6" fillId="7" borderId="24" xfId="0" applyFont="1" applyFill="1" applyBorder="1" applyAlignment="1" applyProtection="1">
      <alignment horizontal="left" vertical="top"/>
      <protection locked="0"/>
    </xf>
    <xf numFmtId="0" fontId="6" fillId="3" borderId="49" xfId="0" applyFont="1" applyFill="1" applyBorder="1" applyAlignment="1" applyProtection="1">
      <alignment horizontal="left" vertical="top" wrapText="1"/>
      <protection locked="0"/>
    </xf>
    <xf numFmtId="0" fontId="6" fillId="3" borderId="36" xfId="0" applyFont="1" applyFill="1" applyBorder="1" applyAlignment="1" applyProtection="1">
      <alignment horizontal="left" vertical="top" wrapText="1"/>
      <protection locked="0"/>
    </xf>
    <xf numFmtId="0" fontId="6" fillId="7" borderId="9" xfId="0" applyFont="1" applyFill="1" applyBorder="1" applyAlignment="1" applyProtection="1">
      <alignment horizontal="left" vertical="top"/>
      <protection locked="0"/>
    </xf>
    <xf numFmtId="0" fontId="13" fillId="2" borderId="7" xfId="0" applyFont="1" applyFill="1" applyBorder="1" applyAlignment="1" applyProtection="1">
      <alignment horizontal="center" vertical="center"/>
      <protection hidden="1"/>
    </xf>
    <xf numFmtId="0" fontId="6" fillId="3" borderId="24" xfId="0" applyNumberFormat="1" applyFont="1" applyFill="1" applyBorder="1" applyAlignment="1" applyProtection="1">
      <alignment horizontal="left" vertical="top" wrapText="1"/>
      <protection locked="0"/>
    </xf>
    <xf numFmtId="0" fontId="6" fillId="7" borderId="24" xfId="0" applyNumberFormat="1" applyFont="1" applyFill="1" applyBorder="1" applyAlignment="1" applyProtection="1">
      <alignment horizontal="left" vertical="top" wrapText="1"/>
      <protection locked="0"/>
    </xf>
    <xf numFmtId="0" fontId="6" fillId="3" borderId="9" xfId="0" applyNumberFormat="1" applyFont="1" applyFill="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18" fillId="3" borderId="1" xfId="0" applyFont="1" applyFill="1" applyBorder="1" applyAlignment="1" applyProtection="1">
      <alignment horizontal="center" vertical="center" wrapText="1"/>
      <protection hidden="1"/>
    </xf>
    <xf numFmtId="0" fontId="6" fillId="3" borderId="51" xfId="0" applyFont="1" applyFill="1" applyBorder="1" applyAlignment="1" applyProtection="1">
      <alignment horizontal="center" vertical="center"/>
      <protection locked="0"/>
    </xf>
    <xf numFmtId="177" fontId="6" fillId="3" borderId="1" xfId="0" applyNumberFormat="1" applyFont="1" applyFill="1" applyBorder="1" applyAlignment="1" applyProtection="1">
      <alignment horizontal="center" vertical="center"/>
      <protection hidden="1"/>
    </xf>
    <xf numFmtId="179" fontId="19" fillId="3" borderId="48" xfId="0" applyNumberFormat="1" applyFont="1" applyFill="1" applyBorder="1" applyAlignment="1" applyProtection="1">
      <alignment horizontal="center" vertical="center"/>
      <protection hidden="1"/>
    </xf>
    <xf numFmtId="0" fontId="6" fillId="0" borderId="37" xfId="0" applyFont="1" applyBorder="1" applyAlignment="1" applyProtection="1">
      <alignment horizontal="center" vertical="center"/>
      <protection locked="0"/>
    </xf>
    <xf numFmtId="1" fontId="6" fillId="0" borderId="15" xfId="0" applyNumberFormat="1" applyFont="1" applyBorder="1" applyAlignment="1" applyProtection="1">
      <alignment horizontal="center" vertical="center"/>
      <protection hidden="1"/>
    </xf>
    <xf numFmtId="177" fontId="6" fillId="3" borderId="15" xfId="0" applyNumberFormat="1" applyFont="1" applyFill="1" applyBorder="1" applyAlignment="1" applyProtection="1">
      <alignment horizontal="center" vertical="center"/>
      <protection hidden="1"/>
    </xf>
    <xf numFmtId="179" fontId="6" fillId="3" borderId="52" xfId="0" applyNumberFormat="1" applyFont="1" applyFill="1" applyBorder="1" applyAlignment="1" applyProtection="1">
      <alignment horizontal="center" vertical="center"/>
      <protection locked="0" hidden="1"/>
    </xf>
    <xf numFmtId="176" fontId="14" fillId="3" borderId="0" xfId="0" applyNumberFormat="1" applyFont="1" applyFill="1" applyBorder="1" applyAlignment="1" applyProtection="1">
      <alignment horizontal="left" vertical="center"/>
      <protection hidden="1"/>
    </xf>
    <xf numFmtId="176" fontId="14" fillId="3" borderId="54" xfId="0" applyNumberFormat="1" applyFont="1" applyFill="1" applyBorder="1" applyAlignment="1" applyProtection="1">
      <alignment horizontal="left" vertical="center"/>
      <protection hidden="1"/>
    </xf>
    <xf numFmtId="0" fontId="14" fillId="0" borderId="0" xfId="0" applyFont="1" applyBorder="1" applyAlignment="1" applyProtection="1">
      <alignment horizontal="right" vertical="center"/>
      <protection locked="0"/>
    </xf>
    <xf numFmtId="176" fontId="14" fillId="0" borderId="0" xfId="0" applyNumberFormat="1" applyFont="1" applyBorder="1" applyAlignment="1" applyProtection="1">
      <alignment horizontal="left" vertical="center"/>
      <protection hidden="1"/>
    </xf>
    <xf numFmtId="176" fontId="14" fillId="3" borderId="25" xfId="0" applyNumberFormat="1" applyFont="1" applyFill="1" applyBorder="1" applyAlignment="1" applyProtection="1">
      <alignment horizontal="left" vertical="center"/>
      <protection hidden="1"/>
    </xf>
    <xf numFmtId="176" fontId="14" fillId="3" borderId="45" xfId="0" applyNumberFormat="1" applyFont="1" applyFill="1" applyBorder="1" applyAlignment="1" applyProtection="1">
      <alignment horizontal="left" vertical="center"/>
      <protection hidden="1"/>
    </xf>
    <xf numFmtId="0" fontId="14" fillId="0" borderId="25" xfId="0" applyFont="1" applyBorder="1" applyAlignment="1" applyProtection="1">
      <alignment horizontal="right" vertical="center"/>
      <protection locked="0"/>
    </xf>
    <xf numFmtId="176" fontId="14" fillId="0" borderId="25" xfId="0" applyNumberFormat="1" applyFont="1" applyBorder="1" applyAlignment="1" applyProtection="1">
      <alignment horizontal="left" vertical="center"/>
      <protection hidden="1"/>
    </xf>
    <xf numFmtId="0" fontId="20" fillId="0" borderId="0" xfId="0" applyFont="1" applyBorder="1" applyAlignment="1" applyProtection="1">
      <alignment vertical="center"/>
      <protection hidden="1"/>
    </xf>
    <xf numFmtId="0" fontId="6" fillId="6" borderId="39" xfId="0" applyFont="1" applyFill="1" applyBorder="1" applyAlignment="1" applyProtection="1">
      <alignment horizontal="center" vertical="center"/>
      <protection hidden="1"/>
    </xf>
    <xf numFmtId="0" fontId="6" fillId="6" borderId="50" xfId="0" applyFont="1" applyFill="1" applyBorder="1" applyAlignment="1" applyProtection="1">
      <alignment horizontal="center" vertical="center"/>
      <protection hidden="1"/>
    </xf>
    <xf numFmtId="49" fontId="6" fillId="0" borderId="36" xfId="0" applyNumberFormat="1" applyFont="1" applyFill="1" applyBorder="1" applyAlignment="1" applyProtection="1">
      <alignment horizontal="center" vertical="center"/>
      <protection hidden="1"/>
    </xf>
    <xf numFmtId="49" fontId="6" fillId="0" borderId="51" xfId="0" applyNumberFormat="1" applyFont="1" applyFill="1" applyBorder="1" applyAlignment="1" applyProtection="1">
      <alignment horizontal="center" vertical="center"/>
      <protection hidden="1"/>
    </xf>
    <xf numFmtId="49" fontId="6" fillId="0" borderId="36" xfId="0" applyNumberFormat="1" applyFont="1" applyFill="1" applyBorder="1" applyAlignment="1" applyProtection="1">
      <alignment horizontal="center" vertical="center"/>
      <protection locked="0"/>
    </xf>
    <xf numFmtId="49" fontId="6" fillId="0" borderId="51" xfId="0" applyNumberFormat="1" applyFont="1" applyFill="1" applyBorder="1" applyAlignment="1" applyProtection="1">
      <alignment horizontal="center" vertical="center"/>
      <protection locked="0"/>
    </xf>
    <xf numFmtId="49" fontId="6" fillId="0" borderId="25" xfId="0" applyNumberFormat="1" applyFont="1" applyFill="1" applyBorder="1" applyAlignment="1" applyProtection="1">
      <alignment horizontal="center" vertical="center"/>
      <protection locked="0"/>
    </xf>
    <xf numFmtId="49" fontId="6" fillId="0" borderId="37" xfId="0" applyNumberFormat="1" applyFont="1" applyFill="1" applyBorder="1" applyAlignment="1" applyProtection="1">
      <alignment horizontal="center" vertical="center"/>
      <protection locked="0"/>
    </xf>
    <xf numFmtId="0" fontId="21" fillId="3" borderId="6" xfId="0" applyFont="1" applyFill="1" applyBorder="1" applyAlignment="1" applyProtection="1">
      <alignment horizontal="center" vertical="center" wrapText="1"/>
      <protection locked="0" hidden="1"/>
    </xf>
    <xf numFmtId="0" fontId="21" fillId="3" borderId="22" xfId="0" applyFont="1" applyFill="1" applyBorder="1" applyAlignment="1" applyProtection="1">
      <alignment horizontal="center" vertical="center"/>
      <protection locked="0" hidden="1"/>
    </xf>
    <xf numFmtId="1" fontId="6" fillId="3" borderId="19" xfId="0" applyNumberFormat="1" applyFont="1" applyFill="1" applyBorder="1" applyAlignment="1" applyProtection="1">
      <alignment horizontal="center" vertical="center"/>
      <protection hidden="1"/>
    </xf>
    <xf numFmtId="0" fontId="21" fillId="3" borderId="23" xfId="0" applyFont="1" applyFill="1" applyBorder="1" applyAlignment="1" applyProtection="1">
      <alignment horizontal="center" vertical="center"/>
      <protection locked="0" hidden="1"/>
    </xf>
    <xf numFmtId="0" fontId="21" fillId="3" borderId="0" xfId="0" applyFont="1" applyFill="1" applyBorder="1" applyAlignment="1" applyProtection="1">
      <alignment horizontal="center" vertical="center"/>
      <protection locked="0" hidden="1"/>
    </xf>
    <xf numFmtId="1" fontId="6" fillId="0" borderId="19" xfId="0" applyNumberFormat="1" applyFont="1" applyBorder="1" applyAlignment="1" applyProtection="1">
      <alignment horizontal="center" vertical="center"/>
      <protection hidden="1"/>
    </xf>
    <xf numFmtId="179" fontId="19" fillId="3" borderId="53" xfId="0" applyNumberFormat="1" applyFont="1" applyFill="1" applyBorder="1" applyAlignment="1" applyProtection="1">
      <alignment horizontal="center" vertical="center"/>
      <protection hidden="1"/>
    </xf>
    <xf numFmtId="179" fontId="6" fillId="3" borderId="9" xfId="0" applyNumberFormat="1" applyFont="1" applyFill="1" applyBorder="1" applyAlignment="1" applyProtection="1">
      <alignment horizontal="center" vertical="center"/>
      <protection locked="0" hidden="1"/>
    </xf>
    <xf numFmtId="176" fontId="14" fillId="0" borderId="7" xfId="0" applyNumberFormat="1" applyFont="1" applyBorder="1" applyAlignment="1" applyProtection="1">
      <alignment horizontal="left" vertical="center"/>
      <protection hidden="1"/>
    </xf>
    <xf numFmtId="176" fontId="14" fillId="0" borderId="24" xfId="0" applyNumberFormat="1" applyFont="1" applyBorder="1" applyAlignment="1" applyProtection="1">
      <alignment horizontal="left" vertical="center"/>
      <protection hidden="1"/>
    </xf>
    <xf numFmtId="176" fontId="14" fillId="0" borderId="9" xfId="0" applyNumberFormat="1" applyFont="1" applyBorder="1" applyAlignment="1" applyProtection="1">
      <alignment horizontal="left" vertical="center"/>
      <protection hidden="1"/>
    </xf>
    <xf numFmtId="0" fontId="21" fillId="3" borderId="8" xfId="0" applyFont="1" applyFill="1" applyBorder="1" applyAlignment="1" applyProtection="1">
      <alignment horizontal="center" vertical="center"/>
      <protection locked="0" hidden="1"/>
    </xf>
    <xf numFmtId="0" fontId="21" fillId="3" borderId="25" xfId="0" applyFont="1" applyFill="1" applyBorder="1" applyAlignment="1" applyProtection="1">
      <alignment horizontal="center" vertical="center"/>
      <protection locked="0" hidden="1"/>
    </xf>
    <xf numFmtId="0" fontId="20" fillId="0" borderId="0" xfId="0" applyFont="1" applyBorder="1" applyAlignment="1" applyProtection="1">
      <alignment horizontal="center" vertical="center"/>
      <protection hidden="1"/>
    </xf>
    <xf numFmtId="0" fontId="6" fillId="6" borderId="41" xfId="0" applyFont="1" applyFill="1" applyBorder="1" applyAlignment="1" applyProtection="1">
      <alignment horizontal="center" vertical="center"/>
      <protection hidden="1"/>
    </xf>
    <xf numFmtId="0" fontId="6" fillId="0" borderId="13" xfId="0"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protection hidden="1"/>
    </xf>
    <xf numFmtId="49" fontId="6" fillId="0" borderId="2" xfId="0" applyNumberFormat="1" applyFont="1" applyFill="1" applyBorder="1" applyAlignment="1" applyProtection="1">
      <alignment horizontal="center" vertical="center"/>
      <protection hidden="1"/>
    </xf>
    <xf numFmtId="49" fontId="6" fillId="0" borderId="41" xfId="0" applyNumberFormat="1" applyFont="1" applyFill="1" applyBorder="1" applyAlignment="1" applyProtection="1">
      <alignment horizontal="center" vertical="center"/>
      <protection hidden="1"/>
    </xf>
    <xf numFmtId="49" fontId="6" fillId="3" borderId="41" xfId="0" applyNumberFormat="1" applyFont="1" applyFill="1" applyBorder="1" applyAlignment="1" applyProtection="1">
      <alignment horizontal="center" vertical="center"/>
      <protection locked="0"/>
    </xf>
    <xf numFmtId="49" fontId="6" fillId="0" borderId="2" xfId="0" applyNumberFormat="1" applyFont="1" applyFill="1" applyBorder="1" applyAlignment="1" applyProtection="1">
      <alignment horizontal="center" vertical="center"/>
      <protection locked="0"/>
    </xf>
    <xf numFmtId="49" fontId="6" fillId="0" borderId="41" xfId="0" applyNumberFormat="1" applyFont="1" applyFill="1" applyBorder="1" applyAlignment="1" applyProtection="1">
      <alignment horizontal="center" vertical="center"/>
      <protection locked="0"/>
    </xf>
    <xf numFmtId="180" fontId="6" fillId="0" borderId="1" xfId="0" applyNumberFormat="1" applyFont="1" applyFill="1" applyBorder="1" applyAlignment="1" applyProtection="1">
      <alignment horizontal="center" vertical="center"/>
      <protection hidden="1"/>
    </xf>
    <xf numFmtId="49" fontId="6" fillId="0" borderId="32" xfId="0" applyNumberFormat="1" applyFont="1" applyFill="1" applyBorder="1" applyAlignment="1" applyProtection="1">
      <alignment horizontal="center" vertical="center"/>
      <protection locked="0"/>
    </xf>
    <xf numFmtId="49" fontId="6" fillId="0" borderId="42" xfId="0" applyNumberFormat="1" applyFont="1" applyFill="1" applyBorder="1" applyAlignment="1" applyProtection="1">
      <alignment horizontal="center" vertical="center"/>
      <protection locked="0"/>
    </xf>
    <xf numFmtId="0" fontId="6" fillId="0" borderId="14" xfId="0" applyFont="1" applyFill="1" applyBorder="1" applyAlignment="1" applyProtection="1">
      <alignment horizontal="center" vertical="center" wrapText="1"/>
      <protection hidden="1"/>
    </xf>
    <xf numFmtId="0" fontId="6" fillId="0" borderId="15" xfId="0" applyFont="1" applyFill="1" applyBorder="1" applyAlignment="1" applyProtection="1">
      <alignment horizontal="center" vertical="center" wrapText="1"/>
      <protection hidden="1"/>
    </xf>
    <xf numFmtId="0" fontId="6" fillId="0" borderId="15" xfId="0" applyFont="1" applyFill="1" applyBorder="1" applyAlignment="1" applyProtection="1">
      <alignment horizontal="center" vertical="center"/>
      <protection hidden="1"/>
    </xf>
    <xf numFmtId="0" fontId="21" fillId="3" borderId="7" xfId="0" applyFont="1" applyFill="1" applyBorder="1" applyAlignment="1" applyProtection="1">
      <alignment horizontal="center" vertical="center"/>
      <protection locked="0" hidden="1"/>
    </xf>
    <xf numFmtId="0" fontId="21" fillId="3" borderId="24" xfId="0" applyFont="1" applyFill="1" applyBorder="1" applyAlignment="1" applyProtection="1">
      <alignment horizontal="center" vertical="center"/>
      <protection locked="0" hidden="1"/>
    </xf>
    <xf numFmtId="0" fontId="21" fillId="3" borderId="9" xfId="0" applyFont="1" applyFill="1" applyBorder="1" applyAlignment="1" applyProtection="1">
      <alignment horizontal="center" vertical="center"/>
      <protection locked="0" hidden="1"/>
    </xf>
    <xf numFmtId="0" fontId="13" fillId="2" borderId="18" xfId="0" applyNumberFormat="1" applyFont="1" applyFill="1" applyBorder="1" applyAlignment="1" applyProtection="1">
      <alignment horizontal="center" vertical="center"/>
      <protection hidden="1"/>
    </xf>
    <xf numFmtId="0" fontId="6" fillId="5" borderId="19" xfId="0" applyNumberFormat="1" applyFont="1" applyFill="1" applyBorder="1" applyAlignment="1" applyProtection="1">
      <alignment horizontal="center" vertical="center"/>
      <protection hidden="1"/>
    </xf>
    <xf numFmtId="0" fontId="6" fillId="0" borderId="19" xfId="0" applyNumberFormat="1" applyFont="1" applyBorder="1" applyAlignment="1" applyProtection="1">
      <alignment horizontal="center" vertical="center"/>
      <protection hidden="1"/>
    </xf>
    <xf numFmtId="0" fontId="6" fillId="3" borderId="19" xfId="0" applyNumberFormat="1" applyFont="1" applyFill="1" applyBorder="1" applyAlignment="1" applyProtection="1">
      <alignment horizontal="center" vertical="center"/>
      <protection hidden="1"/>
    </xf>
    <xf numFmtId="0" fontId="6" fillId="0" borderId="20" xfId="0" applyNumberFormat="1" applyFont="1" applyBorder="1" applyAlignment="1" applyProtection="1">
      <alignment horizontal="center" vertical="center"/>
      <protection hidden="1"/>
    </xf>
    <xf numFmtId="0" fontId="6" fillId="0" borderId="19" xfId="0" applyFont="1" applyFill="1" applyBorder="1" applyAlignment="1" applyProtection="1">
      <alignment horizontal="center" vertical="center"/>
      <protection hidden="1"/>
    </xf>
    <xf numFmtId="0" fontId="6" fillId="3" borderId="19" xfId="0" applyFont="1" applyFill="1" applyBorder="1" applyAlignment="1" applyProtection="1">
      <alignment horizontal="center" vertical="center"/>
      <protection hidden="1"/>
    </xf>
    <xf numFmtId="180" fontId="6" fillId="0" borderId="15" xfId="0" applyNumberFormat="1" applyFont="1" applyFill="1" applyBorder="1" applyAlignment="1" applyProtection="1">
      <alignment horizontal="center" vertical="center"/>
      <protection hidden="1"/>
    </xf>
    <xf numFmtId="0" fontId="6" fillId="0" borderId="20" xfId="0" applyFont="1" applyFill="1" applyBorder="1" applyAlignment="1" applyProtection="1">
      <alignment horizontal="center" vertical="center"/>
      <protection hidden="1"/>
    </xf>
    <xf numFmtId="0" fontId="6" fillId="0" borderId="53" xfId="0" applyFont="1" applyBorder="1" applyAlignment="1" applyProtection="1">
      <alignment horizontal="left" vertical="top" wrapText="1"/>
      <protection locked="0"/>
    </xf>
    <xf numFmtId="0" fontId="6" fillId="0" borderId="55" xfId="0" applyFont="1" applyBorder="1" applyAlignment="1" applyProtection="1">
      <alignment horizontal="left" vertical="top" wrapText="1"/>
      <protection locked="0"/>
    </xf>
    <xf numFmtId="0" fontId="6" fillId="3" borderId="53" xfId="0" applyFont="1" applyFill="1" applyBorder="1" applyAlignment="1" applyProtection="1">
      <alignment horizontal="left" vertical="top" wrapText="1"/>
      <protection locked="0"/>
    </xf>
    <xf numFmtId="0" fontId="6" fillId="3" borderId="55" xfId="0" applyFont="1" applyFill="1" applyBorder="1" applyAlignment="1" applyProtection="1">
      <alignment horizontal="left" vertical="top" wrapText="1"/>
      <protection locked="0"/>
    </xf>
    <xf numFmtId="49" fontId="6" fillId="3" borderId="23" xfId="0" applyNumberFormat="1" applyFont="1" applyFill="1" applyBorder="1" applyAlignment="1" applyProtection="1">
      <alignment horizontal="left" vertical="top" wrapText="1"/>
      <protection locked="0"/>
    </xf>
    <xf numFmtId="49" fontId="6" fillId="3" borderId="0" xfId="0" applyNumberFormat="1" applyFont="1" applyFill="1" applyBorder="1" applyAlignment="1" applyProtection="1">
      <alignment horizontal="left" vertical="top" wrapText="1"/>
      <protection locked="0"/>
    </xf>
    <xf numFmtId="49" fontId="6" fillId="3" borderId="8" xfId="0" applyNumberFormat="1" applyFont="1" applyFill="1" applyBorder="1" applyAlignment="1" applyProtection="1">
      <alignment horizontal="left" vertical="top" wrapText="1"/>
      <protection locked="0"/>
    </xf>
    <xf numFmtId="49" fontId="6" fillId="3" borderId="25" xfId="0" applyNumberFormat="1" applyFont="1" applyFill="1" applyBorder="1" applyAlignment="1" applyProtection="1">
      <alignment horizontal="left" vertical="top" wrapText="1"/>
      <protection locked="0"/>
    </xf>
    <xf numFmtId="0" fontId="6" fillId="0" borderId="14" xfId="0" applyFont="1" applyBorder="1" applyAlignment="1" applyProtection="1">
      <alignment horizontal="center" vertical="center"/>
      <protection hidden="1"/>
    </xf>
    <xf numFmtId="0" fontId="6" fillId="0" borderId="15" xfId="0" applyFont="1" applyBorder="1" applyAlignment="1" applyProtection="1">
      <alignment horizontal="center" vertical="center"/>
      <protection hidden="1"/>
    </xf>
    <xf numFmtId="0" fontId="6" fillId="0" borderId="23"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49" fontId="6" fillId="3" borderId="24" xfId="0" applyNumberFormat="1" applyFont="1" applyFill="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6" fillId="0" borderId="25" xfId="0" applyFont="1" applyBorder="1" applyAlignment="1" applyProtection="1">
      <alignment horizontal="left" vertical="top" wrapText="1"/>
      <protection locked="0"/>
    </xf>
    <xf numFmtId="49" fontId="6" fillId="3" borderId="38" xfId="0" applyNumberFormat="1" applyFont="1" applyFill="1" applyBorder="1" applyAlignment="1" applyProtection="1">
      <alignment horizontal="left" vertical="top" wrapText="1"/>
      <protection locked="0"/>
    </xf>
    <xf numFmtId="49" fontId="6" fillId="3" borderId="39" xfId="0" applyNumberFormat="1" applyFont="1" applyFill="1" applyBorder="1" applyAlignment="1" applyProtection="1">
      <alignment horizontal="left" vertical="top" wrapText="1"/>
      <protection locked="0"/>
    </xf>
    <xf numFmtId="49" fontId="6" fillId="3" borderId="9" xfId="0" applyNumberFormat="1" applyFont="1" applyFill="1" applyBorder="1" applyAlignment="1" applyProtection="1">
      <alignment horizontal="left" vertical="top" wrapText="1"/>
      <protection locked="0"/>
    </xf>
    <xf numFmtId="49" fontId="6" fillId="3" borderId="56" xfId="0" applyNumberFormat="1" applyFont="1" applyFill="1" applyBorder="1" applyAlignment="1" applyProtection="1">
      <alignment horizontal="left" vertical="top" wrapText="1"/>
      <protection locked="0"/>
    </xf>
    <xf numFmtId="49" fontId="6" fillId="3" borderId="36" xfId="0" applyNumberFormat="1" applyFont="1" applyFill="1" applyBorder="1" applyAlignment="1" applyProtection="1">
      <alignment horizontal="left" vertical="top" wrapText="1"/>
      <protection locked="0"/>
    </xf>
    <xf numFmtId="49" fontId="6" fillId="0" borderId="38" xfId="0" applyNumberFormat="1" applyFont="1" applyFill="1" applyBorder="1" applyAlignment="1" applyProtection="1">
      <alignment horizontal="left" vertical="top" wrapText="1"/>
      <protection locked="0"/>
    </xf>
    <xf numFmtId="49" fontId="6" fillId="0" borderId="39" xfId="0" applyNumberFormat="1" applyFont="1" applyFill="1" applyBorder="1" applyAlignment="1" applyProtection="1">
      <alignment horizontal="left" vertical="top" wrapText="1"/>
      <protection locked="0"/>
    </xf>
    <xf numFmtId="49" fontId="6" fillId="0" borderId="56" xfId="0" applyNumberFormat="1" applyFont="1" applyFill="1" applyBorder="1" applyAlignment="1" applyProtection="1">
      <alignment horizontal="left" vertical="top" wrapText="1"/>
      <protection locked="0"/>
    </xf>
    <xf numFmtId="49" fontId="6" fillId="0" borderId="36" xfId="0" applyNumberFormat="1" applyFont="1" applyFill="1" applyBorder="1" applyAlignment="1" applyProtection="1">
      <alignment horizontal="left" vertical="top" wrapText="1"/>
      <protection locked="0"/>
    </xf>
    <xf numFmtId="0" fontId="6" fillId="0" borderId="19" xfId="0" applyFont="1" applyBorder="1" applyAlignment="1" applyProtection="1">
      <alignment horizontal="center" vertical="center"/>
      <protection hidden="1"/>
    </xf>
    <xf numFmtId="0" fontId="6" fillId="0" borderId="19"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protection hidden="1"/>
    </xf>
    <xf numFmtId="49" fontId="6" fillId="3" borderId="53" xfId="0" applyNumberFormat="1" applyFont="1" applyFill="1" applyBorder="1" applyAlignment="1" applyProtection="1">
      <alignment horizontal="left" vertical="top" wrapText="1"/>
      <protection locked="0"/>
    </xf>
    <xf numFmtId="49" fontId="6" fillId="3" borderId="55" xfId="0" applyNumberFormat="1" applyFont="1" applyFill="1" applyBorder="1" applyAlignment="1" applyProtection="1">
      <alignment horizontal="left" vertical="top" wrapText="1"/>
      <protection locked="0"/>
    </xf>
    <xf numFmtId="49" fontId="6" fillId="0" borderId="28" xfId="0" applyNumberFormat="1" applyFont="1" applyBorder="1" applyAlignment="1" applyProtection="1">
      <alignment horizontal="center" vertical="center"/>
      <protection locked="0"/>
    </xf>
    <xf numFmtId="49" fontId="6" fillId="0" borderId="29" xfId="0" applyNumberFormat="1" applyFont="1" applyBorder="1" applyAlignment="1" applyProtection="1">
      <alignment horizontal="center" vertical="center"/>
      <protection locked="0"/>
    </xf>
    <xf numFmtId="49" fontId="6" fillId="0" borderId="53" xfId="0" applyNumberFormat="1" applyFont="1" applyFill="1" applyBorder="1" applyAlignment="1" applyProtection="1">
      <alignment horizontal="left" vertical="top" wrapText="1"/>
      <protection locked="0"/>
    </xf>
    <xf numFmtId="49" fontId="6" fillId="3" borderId="28" xfId="0" applyNumberFormat="1" applyFont="1" applyFill="1" applyBorder="1" applyAlignment="1" applyProtection="1">
      <alignment horizontal="center" vertical="top"/>
      <protection locked="0"/>
    </xf>
    <xf numFmtId="49" fontId="6" fillId="3" borderId="29" xfId="0" applyNumberFormat="1" applyFont="1" applyFill="1" applyBorder="1" applyAlignment="1" applyProtection="1">
      <alignment horizontal="center" vertical="top"/>
      <protection locked="0"/>
    </xf>
    <xf numFmtId="49" fontId="6" fillId="0" borderId="55" xfId="0" applyNumberFormat="1" applyFont="1" applyFill="1" applyBorder="1" applyAlignment="1" applyProtection="1">
      <alignment horizontal="left" vertical="top" wrapText="1"/>
      <protection locked="0"/>
    </xf>
    <xf numFmtId="49" fontId="6" fillId="0" borderId="30" xfId="0" applyNumberFormat="1" applyFont="1" applyBorder="1" applyAlignment="1" applyProtection="1">
      <alignment horizontal="center" vertical="center"/>
      <protection locked="0"/>
    </xf>
    <xf numFmtId="49" fontId="6" fillId="0" borderId="33" xfId="0" applyNumberFormat="1" applyFont="1" applyBorder="1" applyAlignment="1" applyProtection="1">
      <alignment horizontal="center" vertical="center"/>
      <protection locked="0"/>
    </xf>
    <xf numFmtId="49" fontId="6" fillId="0" borderId="3" xfId="0" applyNumberFormat="1" applyFont="1" applyBorder="1" applyAlignment="1" applyProtection="1">
      <alignment horizontal="center" vertical="center"/>
      <protection locked="0"/>
    </xf>
    <xf numFmtId="49" fontId="6" fillId="0" borderId="2" xfId="0" applyNumberFormat="1" applyFont="1" applyBorder="1" applyAlignment="1" applyProtection="1">
      <alignment horizontal="center" vertical="center"/>
      <protection locked="0"/>
    </xf>
    <xf numFmtId="49" fontId="6" fillId="3" borderId="3" xfId="0" applyNumberFormat="1" applyFont="1" applyFill="1" applyBorder="1" applyAlignment="1" applyProtection="1">
      <alignment horizontal="center" vertical="top"/>
      <protection locked="0"/>
    </xf>
    <xf numFmtId="49" fontId="6" fillId="0" borderId="31" xfId="0" applyNumberFormat="1" applyFont="1" applyBorder="1" applyAlignment="1" applyProtection="1">
      <alignment horizontal="center" vertical="center"/>
      <protection locked="0"/>
    </xf>
    <xf numFmtId="49" fontId="6" fillId="0" borderId="32" xfId="0" applyNumberFormat="1" applyFont="1" applyBorder="1" applyAlignment="1" applyProtection="1">
      <alignment horizontal="center" vertical="center"/>
      <protection locked="0"/>
    </xf>
    <xf numFmtId="0" fontId="6" fillId="0" borderId="24"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49" fontId="6" fillId="0" borderId="41" xfId="0" applyNumberFormat="1" applyFont="1" applyBorder="1" applyAlignment="1" applyProtection="1">
      <alignment horizontal="center" vertical="center"/>
      <protection locked="0"/>
    </xf>
    <xf numFmtId="49" fontId="6" fillId="3" borderId="41" xfId="0" applyNumberFormat="1" applyFont="1" applyFill="1" applyBorder="1" applyAlignment="1" applyProtection="1">
      <alignment horizontal="center" vertical="top"/>
      <protection locked="0"/>
    </xf>
    <xf numFmtId="49" fontId="6" fillId="0" borderId="42" xfId="0" applyNumberFormat="1" applyFont="1" applyBorder="1" applyAlignment="1" applyProtection="1">
      <alignment horizontal="center" vertical="center"/>
      <protection locked="0"/>
    </xf>
    <xf numFmtId="0" fontId="6" fillId="0" borderId="0" xfId="0" applyFont="1" applyAlignment="1" applyProtection="1">
      <alignment horizontal="left" vertical="center"/>
      <protection hidden="1"/>
    </xf>
    <xf numFmtId="0" fontId="6" fillId="0" borderId="0" xfId="0" applyFont="1" applyFill="1" applyAlignment="1" applyProtection="1">
      <alignment horizontal="center" vertical="center"/>
      <protection hidden="1"/>
    </xf>
    <xf numFmtId="0" fontId="13" fillId="0" borderId="0" xfId="0" applyFont="1" applyFill="1" applyAlignment="1" applyProtection="1">
      <alignment horizontal="left" vertical="center"/>
      <protection hidden="1"/>
    </xf>
    <xf numFmtId="0" fontId="13" fillId="8" borderId="0" xfId="0" applyFont="1" applyFill="1" applyAlignment="1" applyProtection="1">
      <alignment horizontal="left" vertical="center"/>
      <protection hidden="1"/>
    </xf>
    <xf numFmtId="0" fontId="6" fillId="8" borderId="0" xfId="0" applyFont="1" applyFill="1" applyAlignment="1" applyProtection="1">
      <alignment horizontal="left" vertical="center"/>
      <protection hidden="1"/>
    </xf>
    <xf numFmtId="0" fontId="22" fillId="8" borderId="0" xfId="0" applyFont="1" applyFill="1" applyAlignment="1" applyProtection="1">
      <alignment horizontal="left" vertical="center"/>
      <protection hidden="1"/>
    </xf>
    <xf numFmtId="0" fontId="23" fillId="8" borderId="0" xfId="10" applyFont="1" applyFill="1" applyAlignment="1" applyProtection="1">
      <alignment horizontal="left" vertical="center"/>
      <protection hidden="1"/>
    </xf>
    <xf numFmtId="0" fontId="6" fillId="3" borderId="6" xfId="0" applyFont="1" applyFill="1" applyBorder="1" applyAlignment="1" applyProtection="1">
      <alignment horizontal="center" vertical="center"/>
      <protection hidden="1"/>
    </xf>
    <xf numFmtId="0" fontId="6" fillId="4" borderId="22" xfId="0" applyFont="1" applyFill="1" applyBorder="1" applyAlignment="1" applyProtection="1">
      <alignment horizontal="center" vertical="center"/>
      <protection locked="0"/>
    </xf>
    <xf numFmtId="0" fontId="6" fillId="4" borderId="7" xfId="0" applyFont="1" applyFill="1" applyBorder="1" applyAlignment="1" applyProtection="1">
      <alignment horizontal="center" vertical="center"/>
      <protection locked="0"/>
    </xf>
    <xf numFmtId="0" fontId="6" fillId="4" borderId="25"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6" fillId="8" borderId="0" xfId="0" applyFont="1" applyFill="1" applyBorder="1" applyAlignment="1" applyProtection="1">
      <alignment horizontal="left" vertical="center"/>
      <protection hidden="1"/>
    </xf>
    <xf numFmtId="0" fontId="6" fillId="0" borderId="1" xfId="0" applyFont="1" applyBorder="1" applyAlignment="1" applyProtection="1">
      <alignment horizontal="center" vertical="center"/>
      <protection locked="0"/>
    </xf>
    <xf numFmtId="0" fontId="6" fillId="3" borderId="15" xfId="0" applyFont="1" applyFill="1" applyBorder="1" applyAlignment="1" applyProtection="1">
      <alignment horizontal="center" vertical="center"/>
      <protection locked="0"/>
    </xf>
    <xf numFmtId="49" fontId="6" fillId="0" borderId="2" xfId="0" applyNumberFormat="1" applyFont="1" applyBorder="1" applyAlignment="1" applyProtection="1">
      <alignment horizontal="left" vertical="center" indent="1"/>
      <protection locked="0"/>
    </xf>
    <xf numFmtId="49" fontId="6" fillId="0" borderId="29" xfId="0" applyNumberFormat="1" applyFont="1" applyBorder="1" applyAlignment="1" applyProtection="1">
      <alignment horizontal="left" vertical="center" indent="1"/>
      <protection locked="0"/>
    </xf>
    <xf numFmtId="49" fontId="6" fillId="3" borderId="32" xfId="0" applyNumberFormat="1" applyFont="1" applyFill="1" applyBorder="1" applyAlignment="1" applyProtection="1">
      <alignment horizontal="left" vertical="center" indent="1"/>
      <protection locked="0"/>
    </xf>
    <xf numFmtId="49" fontId="6" fillId="3" borderId="33" xfId="0" applyNumberFormat="1" applyFont="1" applyFill="1" applyBorder="1" applyAlignment="1" applyProtection="1">
      <alignment horizontal="left" vertical="center" indent="1"/>
      <protection locked="0"/>
    </xf>
    <xf numFmtId="0" fontId="6" fillId="3" borderId="11" xfId="0" applyFont="1" applyFill="1" applyBorder="1" applyAlignment="1" applyProtection="1">
      <alignment horizontal="center" vertical="center" wrapText="1"/>
      <protection hidden="1"/>
    </xf>
    <xf numFmtId="0" fontId="6" fillId="3" borderId="12" xfId="0" applyFont="1" applyFill="1" applyBorder="1" applyAlignment="1" applyProtection="1">
      <alignment horizontal="center" vertical="center" wrapText="1"/>
      <protection hidden="1"/>
    </xf>
    <xf numFmtId="0" fontId="6" fillId="9" borderId="12" xfId="0" applyFont="1" applyFill="1" applyBorder="1" applyAlignment="1" applyProtection="1">
      <alignment horizontal="center" vertical="center"/>
      <protection locked="0"/>
    </xf>
    <xf numFmtId="0" fontId="6" fillId="9" borderId="18" xfId="0" applyFont="1" applyFill="1" applyBorder="1" applyAlignment="1" applyProtection="1">
      <alignment horizontal="center" vertical="center"/>
      <protection locked="0"/>
    </xf>
    <xf numFmtId="0" fontId="6" fillId="8" borderId="5" xfId="0" applyFont="1" applyFill="1" applyBorder="1" applyAlignment="1" applyProtection="1">
      <alignment horizontal="left" vertical="center"/>
      <protection hidden="1"/>
    </xf>
    <xf numFmtId="0" fontId="6" fillId="9" borderId="15" xfId="0" applyFont="1" applyFill="1" applyBorder="1" applyAlignment="1" applyProtection="1">
      <alignment horizontal="center" vertical="center"/>
      <protection locked="0"/>
    </xf>
    <xf numFmtId="0" fontId="6" fillId="9" borderId="20" xfId="0" applyFont="1" applyFill="1" applyBorder="1" applyAlignment="1" applyProtection="1">
      <alignment horizontal="center" vertical="center"/>
      <protection locked="0"/>
    </xf>
    <xf numFmtId="0" fontId="6" fillId="3" borderId="8" xfId="0" applyFont="1" applyFill="1" applyBorder="1" applyAlignment="1" applyProtection="1">
      <alignment horizontal="center" vertical="center" wrapText="1"/>
      <protection hidden="1"/>
    </xf>
    <xf numFmtId="0" fontId="6" fillId="3" borderId="25" xfId="0" applyFont="1" applyFill="1" applyBorder="1" applyAlignment="1" applyProtection="1">
      <alignment horizontal="center" vertical="center" wrapText="1"/>
      <protection hidden="1"/>
    </xf>
    <xf numFmtId="0" fontId="24" fillId="8" borderId="0" xfId="0" applyFont="1" applyFill="1" applyAlignment="1" applyProtection="1">
      <alignment horizontal="left" vertical="center"/>
      <protection hidden="1"/>
    </xf>
    <xf numFmtId="0" fontId="25" fillId="8" borderId="0" xfId="10" applyFont="1" applyFill="1" applyAlignment="1" applyProtection="1">
      <alignment horizontal="left" vertical="center"/>
      <protection hidden="1"/>
    </xf>
    <xf numFmtId="0" fontId="6" fillId="8" borderId="0" xfId="0" applyFont="1" applyFill="1" applyProtection="1">
      <alignment vertical="center"/>
      <protection hidden="1"/>
    </xf>
    <xf numFmtId="0" fontId="6" fillId="8" borderId="23" xfId="0" applyFont="1" applyFill="1" applyBorder="1" applyAlignment="1" applyProtection="1">
      <alignment horizontal="left" vertical="center"/>
      <protection hidden="1"/>
    </xf>
    <xf numFmtId="0" fontId="6" fillId="8" borderId="0" xfId="0" applyFont="1" applyFill="1" applyAlignment="1" applyProtection="1">
      <alignment horizontal="center" vertical="center"/>
      <protection hidden="1"/>
    </xf>
    <xf numFmtId="0" fontId="6" fillId="8" borderId="0" xfId="0" applyFont="1" applyFill="1" applyAlignment="1" applyProtection="1">
      <alignment horizontal="left" vertical="center" wrapText="1"/>
      <protection hidden="1"/>
    </xf>
    <xf numFmtId="0" fontId="6" fillId="8" borderId="25" xfId="0" applyFont="1" applyFill="1" applyBorder="1" applyAlignment="1" applyProtection="1">
      <alignment horizontal="left" vertical="center"/>
      <protection hidden="1"/>
    </xf>
    <xf numFmtId="0" fontId="6" fillId="5" borderId="28" xfId="0" applyFont="1" applyFill="1" applyBorder="1" applyAlignment="1" applyProtection="1">
      <alignment horizontal="center" vertical="center"/>
      <protection hidden="1"/>
    </xf>
    <xf numFmtId="0" fontId="6" fillId="5" borderId="29" xfId="0" applyFont="1" applyFill="1" applyBorder="1" applyAlignment="1" applyProtection="1">
      <alignment horizontal="center" vertical="center"/>
      <protection hidden="1"/>
    </xf>
    <xf numFmtId="0" fontId="6" fillId="5" borderId="3" xfId="0" applyFont="1" applyFill="1" applyBorder="1" applyAlignment="1" applyProtection="1">
      <alignment horizontal="center" vertical="center"/>
      <protection hidden="1"/>
    </xf>
    <xf numFmtId="0" fontId="6" fillId="5" borderId="1" xfId="0"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hidden="1"/>
    </xf>
    <xf numFmtId="180" fontId="6" fillId="0" borderId="1" xfId="0" applyNumberFormat="1" applyFont="1" applyBorder="1" applyAlignment="1" applyProtection="1">
      <alignment horizontal="center" vertical="center"/>
    </xf>
    <xf numFmtId="0" fontId="6" fillId="3" borderId="13" xfId="0" applyNumberFormat="1" applyFont="1" applyFill="1" applyBorder="1" applyAlignment="1" applyProtection="1">
      <alignment horizontal="center" vertical="center"/>
      <protection hidden="1"/>
    </xf>
    <xf numFmtId="180" fontId="6" fillId="3" borderId="1" xfId="0" applyNumberFormat="1" applyFont="1" applyFill="1" applyBorder="1" applyAlignment="1" applyProtection="1">
      <alignment horizontal="center" vertical="center"/>
    </xf>
    <xf numFmtId="0" fontId="6" fillId="0" borderId="28" xfId="0" applyNumberFormat="1" applyFont="1" applyBorder="1" applyAlignment="1" applyProtection="1">
      <alignment horizontal="right" vertical="center" wrapText="1"/>
      <protection hidden="1"/>
    </xf>
    <xf numFmtId="0" fontId="6" fillId="0" borderId="29" xfId="0" applyNumberFormat="1" applyFont="1" applyBorder="1" applyAlignment="1" applyProtection="1">
      <alignment horizontal="right" vertical="center" wrapText="1"/>
      <protection hidden="1"/>
    </xf>
    <xf numFmtId="0" fontId="6" fillId="0" borderId="29" xfId="0" applyNumberFormat="1" applyFont="1" applyBorder="1" applyAlignment="1" applyProtection="1">
      <alignment horizontal="left" vertical="center"/>
      <protection locked="0"/>
    </xf>
    <xf numFmtId="0" fontId="6" fillId="0" borderId="3" xfId="0" applyNumberFormat="1" applyFont="1" applyBorder="1" applyAlignment="1" applyProtection="1">
      <alignment horizontal="left" vertical="center"/>
      <protection locked="0"/>
    </xf>
    <xf numFmtId="0" fontId="6" fillId="3" borderId="28" xfId="0" applyNumberFormat="1" applyFont="1" applyFill="1" applyBorder="1" applyAlignment="1" applyProtection="1">
      <alignment horizontal="right" vertical="center"/>
      <protection hidden="1"/>
    </xf>
    <xf numFmtId="0" fontId="6" fillId="3" borderId="29" xfId="0" applyNumberFormat="1" applyFont="1" applyFill="1" applyBorder="1" applyAlignment="1" applyProtection="1">
      <alignment horizontal="right" vertical="center"/>
      <protection hidden="1"/>
    </xf>
    <xf numFmtId="0" fontId="6" fillId="3" borderId="29" xfId="0" applyNumberFormat="1" applyFont="1" applyFill="1" applyBorder="1" applyAlignment="1" applyProtection="1">
      <alignment horizontal="left" vertical="center"/>
      <protection locked="0"/>
    </xf>
    <xf numFmtId="0" fontId="6" fillId="3" borderId="3" xfId="0" applyNumberFormat="1" applyFont="1" applyFill="1" applyBorder="1" applyAlignment="1" applyProtection="1">
      <alignment horizontal="left" vertical="center"/>
      <protection locked="0"/>
    </xf>
    <xf numFmtId="0" fontId="6" fillId="3" borderId="48" xfId="0" applyFont="1" applyFill="1" applyBorder="1" applyAlignment="1" applyProtection="1">
      <alignment horizontal="center" vertical="center" wrapText="1"/>
      <protection hidden="1"/>
    </xf>
    <xf numFmtId="0" fontId="6" fillId="3" borderId="39" xfId="0" applyFont="1" applyFill="1" applyBorder="1" applyAlignment="1" applyProtection="1">
      <alignment horizontal="center" vertical="center" wrapText="1"/>
      <protection hidden="1"/>
    </xf>
    <xf numFmtId="0" fontId="6" fillId="0" borderId="15" xfId="0" applyFont="1" applyBorder="1" applyAlignment="1" applyProtection="1">
      <alignment horizontal="center" vertical="center"/>
      <protection locked="0"/>
    </xf>
    <xf numFmtId="0" fontId="6" fillId="3" borderId="52" xfId="0" applyFont="1" applyFill="1" applyBorder="1" applyAlignment="1" applyProtection="1">
      <alignment horizontal="center" vertical="center" wrapText="1"/>
      <protection hidden="1"/>
    </xf>
    <xf numFmtId="0" fontId="6" fillId="8" borderId="23" xfId="0" applyFont="1" applyFill="1" applyBorder="1" applyAlignment="1" applyProtection="1">
      <alignment horizontal="center" vertical="center"/>
      <protection hidden="1"/>
    </xf>
    <xf numFmtId="49" fontId="6" fillId="0" borderId="41" xfId="0" applyNumberFormat="1" applyFont="1" applyBorder="1" applyAlignment="1" applyProtection="1">
      <alignment horizontal="left" vertical="center" indent="1"/>
      <protection locked="0"/>
    </xf>
    <xf numFmtId="49" fontId="6" fillId="3" borderId="42" xfId="0" applyNumberFormat="1" applyFont="1" applyFill="1" applyBorder="1" applyAlignment="1" applyProtection="1">
      <alignment horizontal="left" vertical="center" indent="1"/>
      <protection locked="0"/>
    </xf>
    <xf numFmtId="0" fontId="6" fillId="3" borderId="7" xfId="0" applyFont="1" applyFill="1" applyBorder="1" applyAlignment="1" applyProtection="1">
      <alignment horizontal="center" vertical="center"/>
      <protection hidden="1"/>
    </xf>
    <xf numFmtId="0" fontId="6" fillId="8" borderId="24" xfId="0" applyFont="1" applyFill="1" applyBorder="1" applyAlignment="1" applyProtection="1">
      <alignment horizontal="center" vertical="center"/>
      <protection hidden="1"/>
    </xf>
    <xf numFmtId="0" fontId="6" fillId="3" borderId="9" xfId="0" applyFont="1" applyFill="1" applyBorder="1" applyAlignment="1" applyProtection="1">
      <alignment horizontal="center" vertical="center"/>
      <protection hidden="1"/>
    </xf>
    <xf numFmtId="0" fontId="6" fillId="8" borderId="24" xfId="0" applyFont="1" applyFill="1" applyBorder="1" applyAlignment="1" applyProtection="1">
      <alignment horizontal="left" vertical="center"/>
      <protection hidden="1"/>
    </xf>
    <xf numFmtId="180" fontId="6" fillId="0" borderId="1" xfId="0" applyNumberFormat="1" applyFont="1" applyBorder="1" applyAlignment="1" applyProtection="1">
      <alignment horizontal="center" vertical="center"/>
      <protection locked="0"/>
    </xf>
    <xf numFmtId="180" fontId="6" fillId="0" borderId="1" xfId="0" applyNumberFormat="1" applyFont="1" applyBorder="1" applyAlignment="1" applyProtection="1">
      <alignment horizontal="center" vertical="center"/>
      <protection hidden="1"/>
    </xf>
    <xf numFmtId="180" fontId="6" fillId="3" borderId="1" xfId="0" applyNumberFormat="1" applyFont="1" applyFill="1" applyBorder="1" applyAlignment="1" applyProtection="1">
      <alignment horizontal="center" vertical="center"/>
      <protection locked="0"/>
    </xf>
    <xf numFmtId="180" fontId="6" fillId="3" borderId="1" xfId="0" applyNumberFormat="1" applyFont="1" applyFill="1" applyBorder="1" applyAlignment="1" applyProtection="1">
      <alignment horizontal="center" vertical="center"/>
      <protection hidden="1"/>
    </xf>
    <xf numFmtId="180" fontId="6" fillId="9" borderId="1" xfId="0" applyNumberFormat="1" applyFont="1" applyFill="1" applyBorder="1" applyAlignment="1" applyProtection="1">
      <alignment horizontal="center" vertical="center"/>
      <protection locked="0"/>
    </xf>
    <xf numFmtId="180" fontId="6" fillId="3" borderId="2" xfId="0" applyNumberFormat="1" applyFont="1" applyFill="1" applyBorder="1" applyAlignment="1" applyProtection="1">
      <alignment horizontal="center" vertical="center" wrapText="1"/>
      <protection locked="0"/>
    </xf>
    <xf numFmtId="180" fontId="6" fillId="3" borderId="3" xfId="0" applyNumberFormat="1" applyFont="1" applyFill="1" applyBorder="1" applyAlignment="1" applyProtection="1">
      <alignment horizontal="center" vertical="center" wrapText="1"/>
      <protection locked="0"/>
    </xf>
    <xf numFmtId="0" fontId="6" fillId="8" borderId="0" xfId="0" applyFont="1" applyFill="1" applyAlignment="1" applyProtection="1">
      <alignment vertical="center"/>
      <protection hidden="1"/>
    </xf>
    <xf numFmtId="0" fontId="6" fillId="8" borderId="0" xfId="0" applyFont="1" applyFill="1" applyAlignment="1" applyProtection="1">
      <alignment horizontal="left" vertical="top" wrapText="1"/>
      <protection hidden="1"/>
    </xf>
    <xf numFmtId="0" fontId="6" fillId="8" borderId="25" xfId="0" applyFont="1" applyFill="1" applyBorder="1" applyAlignment="1" applyProtection="1">
      <alignment horizontal="left" vertical="top" wrapText="1"/>
      <protection hidden="1"/>
    </xf>
    <xf numFmtId="0" fontId="6" fillId="3" borderId="38" xfId="0" applyFont="1" applyFill="1" applyBorder="1" applyAlignment="1" applyProtection="1">
      <alignment horizontal="center" vertical="center" wrapText="1"/>
      <protection hidden="1"/>
    </xf>
    <xf numFmtId="0" fontId="6" fillId="3" borderId="56" xfId="0" applyFont="1" applyFill="1" applyBorder="1" applyAlignment="1" applyProtection="1">
      <alignment horizontal="center" vertical="center" wrapText="1"/>
      <protection hidden="1"/>
    </xf>
    <xf numFmtId="0" fontId="6" fillId="0" borderId="38" xfId="0" applyFont="1" applyBorder="1" applyAlignment="1" applyProtection="1">
      <alignment horizontal="center" vertical="center" wrapText="1"/>
      <protection hidden="1"/>
    </xf>
    <xf numFmtId="0" fontId="6" fillId="0" borderId="56" xfId="0" applyFont="1" applyBorder="1" applyAlignment="1" applyProtection="1">
      <alignment horizontal="center" vertical="center" wrapText="1"/>
      <protection hidden="1"/>
    </xf>
    <xf numFmtId="0" fontId="6" fillId="3" borderId="53" xfId="0" applyFont="1" applyFill="1" applyBorder="1" applyAlignment="1" applyProtection="1">
      <alignment horizontal="center" vertical="center" wrapText="1"/>
      <protection hidden="1"/>
    </xf>
    <xf numFmtId="0" fontId="6" fillId="3" borderId="9" xfId="0" applyFont="1" applyFill="1" applyBorder="1" applyAlignment="1" applyProtection="1">
      <alignment horizontal="center" vertical="center" wrapText="1"/>
      <protection hidden="1"/>
    </xf>
    <xf numFmtId="0" fontId="6" fillId="3" borderId="6" xfId="0" applyFont="1" applyFill="1" applyBorder="1" applyAlignment="1" applyProtection="1">
      <alignment horizontal="left" vertical="center"/>
      <protection hidden="1"/>
    </xf>
    <xf numFmtId="0" fontId="6" fillId="3" borderId="22" xfId="0" applyFont="1" applyFill="1" applyBorder="1" applyAlignment="1" applyProtection="1">
      <alignment horizontal="left" vertical="center"/>
      <protection hidden="1"/>
    </xf>
    <xf numFmtId="0" fontId="6" fillId="0" borderId="23" xfId="0" applyFont="1" applyBorder="1" applyAlignment="1" applyProtection="1">
      <alignment horizontal="left" vertical="center"/>
      <protection hidden="1"/>
    </xf>
    <xf numFmtId="0" fontId="6" fillId="0" borderId="0" xfId="0" applyFont="1" applyBorder="1" applyAlignment="1" applyProtection="1">
      <alignment horizontal="left" vertical="center"/>
      <protection hidden="1"/>
    </xf>
    <xf numFmtId="0" fontId="6" fillId="3" borderId="23" xfId="0" applyFont="1" applyFill="1" applyBorder="1" applyAlignment="1" applyProtection="1">
      <alignment horizontal="left" vertical="center"/>
      <protection hidden="1"/>
    </xf>
    <xf numFmtId="0" fontId="6" fillId="3" borderId="0" xfId="0" applyFont="1" applyFill="1" applyBorder="1" applyAlignment="1" applyProtection="1">
      <alignment horizontal="left" vertical="center"/>
      <protection hidden="1"/>
    </xf>
    <xf numFmtId="0" fontId="6" fillId="3" borderId="8" xfId="0" applyFont="1" applyFill="1" applyBorder="1" applyAlignment="1" applyProtection="1">
      <alignment horizontal="left" vertical="center"/>
      <protection hidden="1"/>
    </xf>
    <xf numFmtId="0" fontId="6" fillId="0" borderId="27" xfId="0" applyFont="1" applyBorder="1" applyAlignment="1" applyProtection="1">
      <alignment horizontal="center" vertical="center"/>
      <protection hidden="1"/>
    </xf>
    <xf numFmtId="0" fontId="6" fillId="3" borderId="27" xfId="0" applyFont="1" applyFill="1" applyBorder="1" applyAlignment="1" applyProtection="1">
      <alignment horizontal="center" vertical="center"/>
      <protection hidden="1"/>
    </xf>
    <xf numFmtId="0" fontId="6" fillId="5" borderId="57" xfId="0" applyFont="1" applyFill="1" applyBorder="1" applyAlignment="1" applyProtection="1">
      <alignment horizontal="center" vertical="center"/>
      <protection hidden="1"/>
    </xf>
    <xf numFmtId="180" fontId="6" fillId="0" borderId="57" xfId="0" applyNumberFormat="1" applyFont="1" applyBorder="1" applyAlignment="1" applyProtection="1">
      <alignment horizontal="center" vertical="center"/>
      <protection hidden="1"/>
    </xf>
    <xf numFmtId="0" fontId="6" fillId="7" borderId="1" xfId="0" applyNumberFormat="1" applyFont="1" applyFill="1" applyBorder="1" applyAlignment="1" applyProtection="1">
      <alignment horizontal="center" vertical="center"/>
      <protection hidden="1"/>
    </xf>
    <xf numFmtId="180" fontId="6" fillId="3" borderId="57" xfId="0" applyNumberFormat="1" applyFont="1" applyFill="1" applyBorder="1" applyAlignment="1" applyProtection="1">
      <alignment horizontal="center" vertical="center"/>
      <protection hidden="1"/>
    </xf>
    <xf numFmtId="0" fontId="6" fillId="3" borderId="2" xfId="0" applyNumberFormat="1" applyFont="1" applyFill="1" applyBorder="1" applyAlignment="1" applyProtection="1">
      <alignment horizontal="right" vertical="center"/>
      <protection hidden="1"/>
    </xf>
    <xf numFmtId="0" fontId="18" fillId="3" borderId="29" xfId="0" applyNumberFormat="1" applyFont="1" applyFill="1" applyBorder="1" applyAlignment="1" applyProtection="1">
      <alignment horizontal="left" vertical="center"/>
      <protection locked="0" hidden="1"/>
    </xf>
    <xf numFmtId="0" fontId="18" fillId="3" borderId="3" xfId="0" applyNumberFormat="1" applyFont="1" applyFill="1" applyBorder="1" applyAlignment="1" applyProtection="1">
      <alignment horizontal="left" vertical="center"/>
      <protection locked="0" hidden="1"/>
    </xf>
    <xf numFmtId="0" fontId="6" fillId="3" borderId="48" xfId="0" applyNumberFormat="1" applyFont="1" applyFill="1" applyBorder="1" applyAlignment="1" applyProtection="1">
      <alignment horizontal="right" vertical="center"/>
      <protection hidden="1"/>
    </xf>
    <xf numFmtId="0" fontId="6" fillId="3" borderId="39" xfId="0" applyNumberFormat="1" applyFont="1" applyFill="1" applyBorder="1" applyAlignment="1" applyProtection="1">
      <alignment horizontal="right" vertical="center"/>
      <protection hidden="1"/>
    </xf>
    <xf numFmtId="0" fontId="6" fillId="0" borderId="48" xfId="0" applyNumberFormat="1" applyFont="1" applyFill="1" applyBorder="1" applyAlignment="1" applyProtection="1">
      <alignment horizontal="right" vertical="center"/>
      <protection hidden="1"/>
    </xf>
    <xf numFmtId="0" fontId="6" fillId="0" borderId="39" xfId="0" applyNumberFormat="1" applyFont="1" applyFill="1" applyBorder="1" applyAlignment="1" applyProtection="1">
      <alignment horizontal="right" vertical="center"/>
      <protection hidden="1"/>
    </xf>
    <xf numFmtId="0" fontId="6" fillId="7" borderId="29" xfId="0" applyNumberFormat="1" applyFont="1" applyFill="1" applyBorder="1" applyAlignment="1" applyProtection="1">
      <alignment horizontal="left" vertical="center"/>
      <protection locked="0"/>
    </xf>
    <xf numFmtId="0" fontId="6" fillId="7" borderId="3" xfId="0" applyNumberFormat="1" applyFont="1" applyFill="1" applyBorder="1" applyAlignment="1" applyProtection="1">
      <alignment horizontal="left" vertical="center"/>
      <protection locked="0"/>
    </xf>
    <xf numFmtId="0" fontId="23" fillId="8" borderId="0" xfId="10" applyFont="1" applyFill="1" applyAlignment="1" applyProtection="1">
      <alignment horizontal="center" vertical="center"/>
      <protection hidden="1"/>
    </xf>
    <xf numFmtId="0" fontId="6" fillId="3" borderId="50" xfId="0" applyFont="1" applyFill="1" applyBorder="1" applyAlignment="1" applyProtection="1">
      <alignment horizontal="center" vertical="center" wrapText="1"/>
      <protection hidden="1"/>
    </xf>
    <xf numFmtId="0" fontId="6" fillId="3" borderId="48" xfId="0" applyFont="1" applyFill="1" applyBorder="1" applyAlignment="1" applyProtection="1">
      <alignment horizontal="center" vertical="center"/>
      <protection hidden="1"/>
    </xf>
    <xf numFmtId="0" fontId="6" fillId="3" borderId="50" xfId="0" applyFont="1" applyFill="1" applyBorder="1" applyAlignment="1" applyProtection="1">
      <alignment horizontal="center" vertical="center"/>
      <protection hidden="1"/>
    </xf>
    <xf numFmtId="0" fontId="6" fillId="0" borderId="48" xfId="0" applyFont="1" applyBorder="1" applyAlignment="1" applyProtection="1">
      <alignment horizontal="center" vertical="center" wrapText="1"/>
      <protection hidden="1"/>
    </xf>
    <xf numFmtId="0" fontId="6" fillId="0" borderId="50"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hidden="1"/>
    </xf>
    <xf numFmtId="0" fontId="6" fillId="0" borderId="50" xfId="0" applyFont="1" applyBorder="1" applyAlignment="1" applyProtection="1">
      <alignment horizontal="center" vertical="center"/>
      <protection hidden="1"/>
    </xf>
    <xf numFmtId="0" fontId="6" fillId="3" borderId="51" xfId="0" applyFont="1" applyFill="1" applyBorder="1" applyAlignment="1" applyProtection="1">
      <alignment horizontal="center" vertical="center" wrapText="1"/>
      <protection hidden="1"/>
    </xf>
    <xf numFmtId="0" fontId="6" fillId="3" borderId="49" xfId="0" applyFont="1" applyFill="1" applyBorder="1" applyAlignment="1" applyProtection="1">
      <alignment horizontal="center" vertical="center"/>
      <protection hidden="1"/>
    </xf>
    <xf numFmtId="0" fontId="6" fillId="3" borderId="51" xfId="0" applyFont="1" applyFill="1" applyBorder="1" applyAlignment="1" applyProtection="1">
      <alignment horizontal="center" vertical="center"/>
      <protection hidden="1"/>
    </xf>
    <xf numFmtId="0" fontId="6" fillId="0" borderId="49" xfId="0" applyFont="1" applyBorder="1" applyAlignment="1" applyProtection="1">
      <alignment horizontal="center" vertical="center" wrapText="1"/>
      <protection hidden="1"/>
    </xf>
    <xf numFmtId="0" fontId="6" fillId="0" borderId="51" xfId="0" applyFont="1" applyBorder="1" applyAlignment="1" applyProtection="1">
      <alignment horizontal="center" vertical="center" wrapText="1"/>
      <protection hidden="1"/>
    </xf>
    <xf numFmtId="0" fontId="6" fillId="0" borderId="49" xfId="0" applyFont="1" applyBorder="1" applyAlignment="1" applyProtection="1">
      <alignment horizontal="center" vertical="center"/>
      <protection hidden="1"/>
    </xf>
    <xf numFmtId="0" fontId="6" fillId="0" borderId="51" xfId="0" applyFont="1" applyBorder="1" applyAlignment="1" applyProtection="1">
      <alignment horizontal="center" vertical="center"/>
      <protection hidden="1"/>
    </xf>
    <xf numFmtId="0" fontId="6" fillId="3" borderId="49" xfId="0" applyFont="1" applyFill="1" applyBorder="1" applyAlignment="1" applyProtection="1">
      <alignment horizontal="center" vertical="center" wrapText="1"/>
      <protection hidden="1"/>
    </xf>
    <xf numFmtId="0" fontId="17" fillId="0" borderId="48" xfId="0" applyFont="1" applyBorder="1" applyAlignment="1" applyProtection="1">
      <alignment horizontal="center" vertical="center" wrapText="1"/>
      <protection hidden="1"/>
    </xf>
    <xf numFmtId="0" fontId="17" fillId="0" borderId="50" xfId="0" applyFont="1" applyBorder="1" applyAlignment="1" applyProtection="1">
      <alignment horizontal="center" vertical="center" wrapText="1"/>
      <protection hidden="1"/>
    </xf>
    <xf numFmtId="0" fontId="6" fillId="3" borderId="37"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hidden="1"/>
    </xf>
    <xf numFmtId="0" fontId="17" fillId="0" borderId="52" xfId="0" applyFont="1" applyBorder="1" applyAlignment="1" applyProtection="1">
      <alignment horizontal="center" vertical="center" wrapText="1"/>
      <protection hidden="1"/>
    </xf>
    <xf numFmtId="0" fontId="17" fillId="0" borderId="37"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hidden="1"/>
    </xf>
    <xf numFmtId="1" fontId="6" fillId="0" borderId="25" xfId="0" applyNumberFormat="1" applyFont="1" applyBorder="1" applyAlignment="1" applyProtection="1">
      <alignment horizontal="center" vertical="center"/>
      <protection hidden="1"/>
    </xf>
    <xf numFmtId="0" fontId="13" fillId="0" borderId="0" xfId="0" applyFont="1" applyAlignment="1" applyProtection="1">
      <alignment horizontal="left" vertical="center"/>
      <protection hidden="1"/>
    </xf>
    <xf numFmtId="0" fontId="6" fillId="3" borderId="53" xfId="0" applyFont="1" applyFill="1" applyBorder="1" applyAlignment="1" applyProtection="1">
      <alignment horizontal="center" vertical="center"/>
      <protection hidden="1"/>
    </xf>
    <xf numFmtId="0" fontId="6" fillId="3" borderId="55" xfId="0" applyFont="1" applyFill="1" applyBorder="1" applyAlignment="1" applyProtection="1">
      <alignment horizontal="center" vertical="center"/>
      <protection hidden="1"/>
    </xf>
    <xf numFmtId="0" fontId="6" fillId="0" borderId="53" xfId="0" applyFont="1" applyBorder="1" applyAlignment="1" applyProtection="1">
      <alignment horizontal="center" vertical="center"/>
      <protection hidden="1"/>
    </xf>
    <xf numFmtId="0" fontId="6" fillId="0" borderId="55" xfId="0" applyFont="1" applyBorder="1" applyAlignment="1" applyProtection="1">
      <alignment horizontal="center" vertical="center"/>
      <protection hidden="1"/>
    </xf>
    <xf numFmtId="0" fontId="6" fillId="3" borderId="7" xfId="0" applyFont="1" applyFill="1" applyBorder="1" applyAlignment="1" applyProtection="1">
      <alignment horizontal="left" vertical="center"/>
      <protection hidden="1"/>
    </xf>
    <xf numFmtId="0" fontId="6" fillId="0" borderId="24" xfId="0" applyFont="1" applyBorder="1" applyAlignment="1" applyProtection="1">
      <alignment horizontal="left" vertical="center"/>
      <protection hidden="1"/>
    </xf>
    <xf numFmtId="0" fontId="6" fillId="3" borderId="24" xfId="0" applyFont="1" applyFill="1" applyBorder="1" applyAlignment="1" applyProtection="1">
      <alignment horizontal="left" vertical="center"/>
      <protection hidden="1"/>
    </xf>
    <xf numFmtId="0" fontId="6" fillId="3" borderId="9" xfId="0" applyFont="1" applyFill="1" applyBorder="1" applyAlignment="1" applyProtection="1">
      <alignment horizontal="left" vertical="center"/>
      <protection hidden="1"/>
    </xf>
    <xf numFmtId="0" fontId="6" fillId="3" borderId="40" xfId="0" applyFont="1" applyFill="1" applyBorder="1" applyAlignment="1" applyProtection="1">
      <alignment horizontal="center" vertical="center"/>
      <protection hidden="1"/>
    </xf>
    <xf numFmtId="0" fontId="6" fillId="5" borderId="19" xfId="0" applyFont="1" applyFill="1" applyBorder="1" applyAlignment="1" applyProtection="1">
      <alignment horizontal="center" vertical="center"/>
      <protection hidden="1"/>
    </xf>
    <xf numFmtId="180" fontId="6" fillId="0" borderId="19" xfId="0" applyNumberFormat="1" applyFont="1" applyBorder="1" applyAlignment="1" applyProtection="1">
      <alignment horizontal="center" vertical="center"/>
      <protection hidden="1"/>
    </xf>
    <xf numFmtId="180" fontId="6" fillId="3" borderId="19" xfId="0" applyNumberFormat="1" applyFont="1" applyFill="1" applyBorder="1" applyAlignment="1" applyProtection="1">
      <alignment horizontal="center" vertical="center"/>
      <protection hidden="1"/>
    </xf>
    <xf numFmtId="0" fontId="18" fillId="7" borderId="38" xfId="0" applyNumberFormat="1" applyFont="1" applyFill="1" applyBorder="1" applyAlignment="1" applyProtection="1">
      <alignment horizontal="right" vertical="center"/>
      <protection hidden="1"/>
    </xf>
    <xf numFmtId="0" fontId="18" fillId="7" borderId="39" xfId="0" applyNumberFormat="1" applyFont="1" applyFill="1" applyBorder="1" applyAlignment="1" applyProtection="1">
      <alignment horizontal="right" vertical="center"/>
      <protection hidden="1"/>
    </xf>
    <xf numFmtId="0" fontId="18" fillId="7" borderId="29" xfId="0" applyNumberFormat="1" applyFont="1" applyFill="1" applyBorder="1" applyAlignment="1" applyProtection="1">
      <alignment horizontal="left" vertical="center"/>
      <protection hidden="1"/>
    </xf>
    <xf numFmtId="0" fontId="18" fillId="7" borderId="3" xfId="0" applyNumberFormat="1" applyFont="1" applyFill="1" applyBorder="1" applyAlignment="1" applyProtection="1">
      <alignment horizontal="left" vertical="center"/>
      <protection hidden="1"/>
    </xf>
    <xf numFmtId="0" fontId="18" fillId="3" borderId="13" xfId="0" applyNumberFormat="1" applyFont="1" applyFill="1" applyBorder="1" applyAlignment="1" applyProtection="1">
      <alignment horizontal="right" vertical="center"/>
      <protection hidden="1"/>
    </xf>
    <xf numFmtId="0" fontId="18" fillId="3" borderId="2" xfId="0" applyNumberFormat="1" applyFont="1" applyFill="1" applyBorder="1" applyAlignment="1" applyProtection="1">
      <alignment horizontal="right" vertical="center"/>
      <protection hidden="1"/>
    </xf>
    <xf numFmtId="0" fontId="18" fillId="3" borderId="29" xfId="0" applyNumberFormat="1" applyFont="1" applyFill="1" applyBorder="1" applyAlignment="1" applyProtection="1">
      <alignment horizontal="left" vertical="center"/>
      <protection locked="0"/>
    </xf>
    <xf numFmtId="0" fontId="18" fillId="3" borderId="3" xfId="0" applyNumberFormat="1" applyFont="1" applyFill="1" applyBorder="1" applyAlignment="1" applyProtection="1">
      <alignment horizontal="left" vertical="center"/>
      <protection locked="0"/>
    </xf>
    <xf numFmtId="0" fontId="18" fillId="7" borderId="28" xfId="0" applyNumberFormat="1" applyFont="1" applyFill="1" applyBorder="1" applyAlignment="1" applyProtection="1">
      <alignment horizontal="right" vertical="center"/>
      <protection hidden="1"/>
    </xf>
    <xf numFmtId="0" fontId="18" fillId="7" borderId="29" xfId="0" applyNumberFormat="1" applyFont="1" applyFill="1" applyBorder="1" applyAlignment="1" applyProtection="1">
      <alignment horizontal="right" vertical="center"/>
      <protection hidden="1"/>
    </xf>
    <xf numFmtId="0" fontId="18" fillId="7" borderId="29" xfId="0" applyNumberFormat="1" applyFont="1" applyFill="1" applyBorder="1" applyAlignment="1" applyProtection="1">
      <alignment horizontal="left" vertical="center"/>
      <protection locked="0"/>
    </xf>
    <xf numFmtId="0" fontId="18" fillId="7" borderId="3" xfId="0" applyNumberFormat="1" applyFont="1" applyFill="1" applyBorder="1" applyAlignment="1" applyProtection="1">
      <alignment horizontal="left" vertical="center"/>
      <protection locked="0"/>
    </xf>
    <xf numFmtId="0" fontId="18" fillId="3" borderId="28" xfId="0" applyNumberFormat="1" applyFont="1" applyFill="1" applyBorder="1" applyAlignment="1" applyProtection="1">
      <alignment horizontal="right" vertical="center" wrapText="1"/>
      <protection hidden="1"/>
    </xf>
    <xf numFmtId="0" fontId="18" fillId="3" borderId="29" xfId="0" applyNumberFormat="1" applyFont="1" applyFill="1" applyBorder="1" applyAlignment="1" applyProtection="1">
      <alignment horizontal="right" vertical="center" wrapText="1"/>
      <protection hidden="1"/>
    </xf>
    <xf numFmtId="0" fontId="18" fillId="3" borderId="1" xfId="0" applyNumberFormat="1" applyFont="1" applyFill="1" applyBorder="1" applyAlignment="1" applyProtection="1">
      <alignment horizontal="left" vertical="center"/>
      <protection locked="0" hidden="1"/>
    </xf>
    <xf numFmtId="180" fontId="6" fillId="3" borderId="2" xfId="0" applyNumberFormat="1" applyFont="1" applyFill="1" applyBorder="1" applyAlignment="1" applyProtection="1">
      <alignment horizontal="center" vertical="center"/>
    </xf>
    <xf numFmtId="180" fontId="6" fillId="3" borderId="3" xfId="0" applyNumberFormat="1" applyFont="1" applyFill="1" applyBorder="1" applyAlignment="1" applyProtection="1">
      <alignment horizontal="center" vertical="center"/>
    </xf>
    <xf numFmtId="0" fontId="18" fillId="0" borderId="13" xfId="0" applyNumberFormat="1" applyFont="1" applyBorder="1" applyAlignment="1" applyProtection="1">
      <alignment horizontal="right" vertical="center"/>
      <protection hidden="1"/>
    </xf>
    <xf numFmtId="0" fontId="18" fillId="0" borderId="2" xfId="0" applyNumberFormat="1" applyFont="1" applyBorder="1" applyAlignment="1" applyProtection="1">
      <alignment horizontal="right" vertical="center"/>
      <protection hidden="1"/>
    </xf>
    <xf numFmtId="0" fontId="18" fillId="7" borderId="29" xfId="0" applyNumberFormat="1" applyFont="1" applyFill="1" applyBorder="1" applyAlignment="1" applyProtection="1">
      <alignment horizontal="left" vertical="center"/>
      <protection locked="0" hidden="1"/>
    </xf>
    <xf numFmtId="0" fontId="18" fillId="7" borderId="3" xfId="0" applyNumberFormat="1" applyFont="1" applyFill="1" applyBorder="1" applyAlignment="1" applyProtection="1">
      <alignment horizontal="left" vertical="center"/>
      <protection locked="0" hidden="1"/>
    </xf>
    <xf numFmtId="180" fontId="6" fillId="0" borderId="2" xfId="0" applyNumberFormat="1" applyFont="1" applyBorder="1" applyAlignment="1" applyProtection="1">
      <alignment horizontal="center" vertical="center"/>
    </xf>
    <xf numFmtId="180" fontId="6" fillId="0" borderId="3" xfId="0" applyNumberFormat="1" applyFont="1" applyBorder="1" applyAlignment="1" applyProtection="1">
      <alignment horizontal="center" vertical="center"/>
    </xf>
    <xf numFmtId="0" fontId="6" fillId="7" borderId="38" xfId="0" applyNumberFormat="1" applyFont="1" applyFill="1" applyBorder="1" applyAlignment="1" applyProtection="1">
      <alignment horizontal="right" vertical="center" wrapText="1"/>
      <protection hidden="1"/>
    </xf>
    <xf numFmtId="0" fontId="6" fillId="7" borderId="39" xfId="0" applyNumberFormat="1" applyFont="1" applyFill="1" applyBorder="1" applyAlignment="1" applyProtection="1">
      <alignment horizontal="right" vertical="center" wrapText="1"/>
      <protection hidden="1"/>
    </xf>
    <xf numFmtId="0" fontId="6" fillId="3" borderId="13" xfId="0" applyNumberFormat="1" applyFont="1" applyFill="1" applyBorder="1" applyAlignment="1" applyProtection="1">
      <alignment horizontal="right" vertical="center"/>
      <protection hidden="1"/>
    </xf>
    <xf numFmtId="0" fontId="6" fillId="3" borderId="30" xfId="0" applyNumberFormat="1" applyFont="1" applyFill="1" applyBorder="1" applyAlignment="1" applyProtection="1">
      <alignment horizontal="right" vertical="center"/>
      <protection hidden="1"/>
    </xf>
    <xf numFmtId="0" fontId="6" fillId="3" borderId="33" xfId="0" applyNumberFormat="1" applyFont="1" applyFill="1" applyBorder="1" applyAlignment="1" applyProtection="1">
      <alignment horizontal="right" vertical="center"/>
      <protection hidden="1"/>
    </xf>
    <xf numFmtId="0" fontId="6" fillId="4" borderId="33" xfId="0" applyNumberFormat="1" applyFont="1" applyFill="1" applyBorder="1" applyAlignment="1" applyProtection="1">
      <alignment horizontal="left" vertical="center"/>
      <protection locked="0"/>
    </xf>
    <xf numFmtId="0" fontId="6" fillId="4" borderId="31" xfId="0" applyNumberFormat="1" applyFont="1" applyFill="1" applyBorder="1" applyAlignment="1" applyProtection="1">
      <alignment horizontal="left" vertical="center"/>
      <protection locked="0"/>
    </xf>
    <xf numFmtId="180" fontId="6" fillId="3" borderId="15" xfId="0" applyNumberFormat="1" applyFont="1" applyFill="1" applyBorder="1" applyAlignment="1" applyProtection="1">
      <alignment horizontal="center" vertical="center"/>
    </xf>
    <xf numFmtId="0" fontId="6" fillId="8" borderId="22" xfId="0" applyFont="1" applyFill="1" applyBorder="1" applyAlignment="1" applyProtection="1">
      <alignment horizontal="left" vertical="center"/>
      <protection hidden="1"/>
    </xf>
    <xf numFmtId="180" fontId="6" fillId="3" borderId="15" xfId="0" applyNumberFormat="1" applyFont="1" applyFill="1" applyBorder="1" applyAlignment="1" applyProtection="1">
      <alignment horizontal="center" vertical="center"/>
      <protection locked="0"/>
    </xf>
    <xf numFmtId="180" fontId="6" fillId="3" borderId="15" xfId="0" applyNumberFormat="1" applyFont="1" applyFill="1" applyBorder="1" applyAlignment="1" applyProtection="1">
      <alignment horizontal="center" vertical="center"/>
      <protection hidden="1"/>
    </xf>
    <xf numFmtId="0" fontId="23" fillId="8" borderId="22" xfId="10" applyFont="1" applyFill="1" applyBorder="1" applyAlignment="1" applyProtection="1">
      <alignment horizontal="left" vertical="center"/>
      <protection hidden="1"/>
    </xf>
    <xf numFmtId="0" fontId="23" fillId="8" borderId="0" xfId="10" applyFont="1" applyFill="1" applyAlignment="1" applyProtection="1">
      <alignment vertical="center"/>
      <protection hidden="1"/>
    </xf>
    <xf numFmtId="0" fontId="6" fillId="3" borderId="29" xfId="0" applyNumberFormat="1" applyFont="1" applyFill="1" applyBorder="1" applyAlignment="1" applyProtection="1">
      <alignment horizontal="left" vertical="center"/>
      <protection locked="0" hidden="1"/>
    </xf>
    <xf numFmtId="0" fontId="6" fillId="3" borderId="3" xfId="0" applyNumberFormat="1" applyFont="1" applyFill="1" applyBorder="1" applyAlignment="1" applyProtection="1">
      <alignment horizontal="left" vertical="center"/>
      <protection locked="0" hidden="1"/>
    </xf>
    <xf numFmtId="0" fontId="6" fillId="3" borderId="58" xfId="0" applyNumberFormat="1" applyFont="1" applyFill="1" applyBorder="1" applyAlignment="1" applyProtection="1">
      <alignment horizontal="center" vertical="center"/>
      <protection locked="0"/>
    </xf>
    <xf numFmtId="0" fontId="6" fillId="3" borderId="29" xfId="0" applyNumberFormat="1" applyFont="1" applyFill="1" applyBorder="1" applyAlignment="1" applyProtection="1">
      <alignment horizontal="center" vertical="center"/>
      <protection locked="0"/>
    </xf>
    <xf numFmtId="0" fontId="6" fillId="7" borderId="2" xfId="0" applyNumberFormat="1" applyFont="1" applyFill="1" applyBorder="1" applyAlignment="1" applyProtection="1">
      <alignment horizontal="center" vertical="center"/>
      <protection locked="0"/>
    </xf>
    <xf numFmtId="0" fontId="6" fillId="7" borderId="29" xfId="0" applyNumberFormat="1" applyFont="1" applyFill="1" applyBorder="1" applyAlignment="1" applyProtection="1">
      <alignment horizontal="center" vertical="center"/>
      <protection locked="0"/>
    </xf>
    <xf numFmtId="0" fontId="6" fillId="7" borderId="3" xfId="0" applyNumberFormat="1" applyFont="1" applyFill="1" applyBorder="1" applyAlignment="1" applyProtection="1">
      <alignment horizontal="center" vertical="center"/>
      <protection locked="0"/>
    </xf>
    <xf numFmtId="0" fontId="6" fillId="7" borderId="1" xfId="0" applyNumberFormat="1" applyFont="1" applyFill="1" applyBorder="1" applyAlignment="1" applyProtection="1">
      <alignment horizontal="center" vertical="center"/>
      <protection locked="0"/>
    </xf>
    <xf numFmtId="180" fontId="6" fillId="3" borderId="59" xfId="0" applyNumberFormat="1" applyFont="1" applyFill="1" applyBorder="1" applyAlignment="1" applyProtection="1">
      <alignment horizontal="center" vertical="center"/>
      <protection hidden="1"/>
    </xf>
    <xf numFmtId="0" fontId="6" fillId="3" borderId="60" xfId="0" applyNumberFormat="1" applyFont="1" applyFill="1" applyBorder="1" applyAlignment="1" applyProtection="1">
      <alignment horizontal="center" vertical="center"/>
      <protection hidden="1"/>
    </xf>
    <xf numFmtId="0" fontId="6" fillId="3" borderId="33" xfId="0" applyNumberFormat="1" applyFont="1" applyFill="1" applyBorder="1" applyAlignment="1" applyProtection="1">
      <alignment horizontal="center" vertical="center"/>
      <protection hidden="1"/>
    </xf>
    <xf numFmtId="0" fontId="6" fillId="3" borderId="42" xfId="0" applyNumberFormat="1" applyFont="1" applyFill="1" applyBorder="1" applyAlignment="1" applyProtection="1">
      <alignment horizontal="center" vertical="center"/>
      <protection hidden="1"/>
    </xf>
    <xf numFmtId="0" fontId="6" fillId="0" borderId="1" xfId="0" applyFont="1" applyBorder="1" applyAlignment="1" applyProtection="1" quotePrefix="1">
      <alignment horizontal="center" vertical="center"/>
      <protection hidden="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theme="0"/>
      </font>
    </dxf>
    <dxf>
      <font>
        <color rgb="FF9C0006"/>
      </font>
      <fill>
        <patternFill patternType="solid">
          <bgColor rgb="FFFFC7CE"/>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4" Type="http://schemas.openxmlformats.org/officeDocument/2006/relationships/hyperlink" Target="http://www.goddessfantasy.net/bbs/index.php?topic=88913.0" TargetMode="External"/><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N138"/>
  <sheetViews>
    <sheetView showGridLines="0" showRowColHeaders="0" zoomScale="115" zoomScaleNormal="115" topLeftCell="A35" workbookViewId="0">
      <selection activeCell="D25" sqref="D25:N25"/>
    </sheetView>
  </sheetViews>
  <sheetFormatPr defaultColWidth="3.25" defaultRowHeight="16.5"/>
  <cols>
    <col min="1" max="1" width="3.25" style="436"/>
    <col min="2" max="16384" width="3.25" style="112"/>
  </cols>
  <sheetData>
    <row r="1" s="434" customFormat="1" spans="1:36">
      <c r="A1" s="437"/>
      <c r="B1" s="438"/>
      <c r="C1" s="438"/>
      <c r="D1" s="438"/>
      <c r="E1" s="438"/>
      <c r="F1" s="438"/>
      <c r="G1" s="438"/>
      <c r="H1" s="438"/>
      <c r="I1" s="438"/>
      <c r="J1" s="438"/>
      <c r="K1" s="438"/>
      <c r="L1" s="438"/>
      <c r="M1" s="438"/>
      <c r="N1" s="438"/>
      <c r="O1" s="438"/>
      <c r="P1" s="438"/>
      <c r="Q1" s="438"/>
      <c r="R1" s="438"/>
      <c r="S1" s="438"/>
      <c r="T1" s="438"/>
      <c r="U1" s="438"/>
      <c r="V1" s="438"/>
      <c r="W1" s="438"/>
      <c r="X1" s="438"/>
      <c r="Y1" s="438"/>
      <c r="Z1" s="438"/>
      <c r="AA1" s="438"/>
      <c r="AB1" s="438"/>
      <c r="AC1" s="438"/>
      <c r="AD1" s="438"/>
      <c r="AE1" s="438"/>
      <c r="AF1" s="438"/>
      <c r="AG1" s="438"/>
      <c r="AH1" s="438"/>
      <c r="AI1" s="438"/>
      <c r="AJ1" s="438"/>
    </row>
    <row r="2" s="434" customFormat="1" ht="27.75" spans="1:36">
      <c r="A2" s="437"/>
      <c r="B2" s="439" t="s">
        <v>0</v>
      </c>
      <c r="C2" s="439"/>
      <c r="D2" s="439"/>
      <c r="E2" s="439"/>
      <c r="F2" s="439"/>
      <c r="G2" s="439"/>
      <c r="H2" s="439"/>
      <c r="I2" s="439"/>
      <c r="J2" s="439"/>
      <c r="K2" s="439"/>
      <c r="L2" s="438"/>
      <c r="M2" s="438"/>
      <c r="N2" s="438"/>
      <c r="O2" s="438"/>
      <c r="P2" s="438"/>
      <c r="Q2" s="438"/>
      <c r="R2" s="438"/>
      <c r="S2" s="438"/>
      <c r="T2" s="438"/>
      <c r="U2" s="438"/>
      <c r="V2" s="438"/>
      <c r="W2" s="438"/>
      <c r="X2" s="438"/>
      <c r="Y2" s="438"/>
      <c r="Z2" s="438"/>
      <c r="AA2" s="438"/>
      <c r="AB2" s="438"/>
      <c r="AC2" s="438"/>
      <c r="AD2" s="438"/>
      <c r="AE2" s="438"/>
      <c r="AF2" s="438"/>
      <c r="AG2" s="438"/>
      <c r="AH2" s="438"/>
      <c r="AI2" s="438"/>
      <c r="AJ2" s="438"/>
    </row>
    <row r="3" s="434" customFormat="1" spans="1:36">
      <c r="A3" s="437"/>
      <c r="B3" s="438" t="s">
        <v>1</v>
      </c>
      <c r="C3" s="438"/>
      <c r="D3" s="438"/>
      <c r="E3" s="438"/>
      <c r="F3" s="438"/>
      <c r="G3" s="438"/>
      <c r="H3" s="438"/>
      <c r="I3" s="438"/>
      <c r="J3" s="438"/>
      <c r="K3" s="438"/>
      <c r="L3" s="438"/>
      <c r="M3" s="438"/>
      <c r="N3" s="438"/>
      <c r="O3" s="438"/>
      <c r="P3" s="438"/>
      <c r="Q3" s="438"/>
      <c r="R3" s="438"/>
      <c r="S3" s="438"/>
      <c r="T3" s="438"/>
      <c r="U3" s="438"/>
      <c r="V3" s="438"/>
      <c r="W3" s="438"/>
      <c r="X3" s="438"/>
      <c r="Y3" s="438"/>
      <c r="Z3" s="438"/>
      <c r="AA3" s="438"/>
      <c r="AB3" s="438"/>
      <c r="AC3" s="438"/>
      <c r="AD3" s="438"/>
      <c r="AE3" s="438"/>
      <c r="AF3" s="438"/>
      <c r="AG3" s="438"/>
      <c r="AH3" s="438"/>
      <c r="AI3" s="438"/>
      <c r="AJ3" s="438"/>
    </row>
    <row r="4" s="434" customFormat="1" spans="1:36">
      <c r="A4" s="437"/>
      <c r="B4" s="440" t="s">
        <v>2</v>
      </c>
      <c r="C4" s="440"/>
      <c r="D4" s="440"/>
      <c r="E4" s="440"/>
      <c r="F4" s="440"/>
      <c r="G4" s="440"/>
      <c r="H4" s="440"/>
      <c r="I4" s="440" t="s">
        <v>3</v>
      </c>
      <c r="J4" s="440"/>
      <c r="K4" s="440"/>
      <c r="L4" s="440"/>
      <c r="M4" s="440"/>
      <c r="N4" s="440"/>
      <c r="O4" s="440"/>
      <c r="P4" s="440" t="s">
        <v>4</v>
      </c>
      <c r="Q4" s="440"/>
      <c r="R4" s="440"/>
      <c r="S4" s="440"/>
      <c r="T4" s="440"/>
      <c r="U4" s="440"/>
      <c r="V4" s="503"/>
      <c r="W4" s="503"/>
      <c r="X4" s="503"/>
      <c r="Y4" s="503"/>
      <c r="Z4" s="503"/>
      <c r="AA4" s="534" t="s">
        <v>5</v>
      </c>
      <c r="AB4" s="534"/>
      <c r="AC4" s="534"/>
      <c r="AD4" s="534"/>
      <c r="AE4" s="534"/>
      <c r="AF4" s="534"/>
      <c r="AG4" s="534"/>
      <c r="AH4" s="534"/>
      <c r="AI4" s="534"/>
      <c r="AJ4" s="438"/>
    </row>
    <row r="5" s="434" customFormat="1" spans="1:36">
      <c r="A5" s="437"/>
      <c r="B5" s="438" t="s">
        <v>6</v>
      </c>
      <c r="C5" s="438"/>
      <c r="D5" s="438"/>
      <c r="E5" s="438"/>
      <c r="F5" s="438"/>
      <c r="G5" s="438"/>
      <c r="H5" s="438"/>
      <c r="I5" s="438"/>
      <c r="J5" s="438"/>
      <c r="K5" s="438"/>
      <c r="L5" s="438"/>
      <c r="M5" s="438"/>
      <c r="N5" s="438"/>
      <c r="O5" s="438"/>
      <c r="P5" s="438"/>
      <c r="Q5" s="438"/>
      <c r="R5" s="438"/>
      <c r="S5" s="438"/>
      <c r="T5" s="438"/>
      <c r="U5" s="438"/>
      <c r="V5" s="438"/>
      <c r="W5" s="438"/>
      <c r="X5" s="438"/>
      <c r="Y5" s="438"/>
      <c r="Z5" s="438"/>
      <c r="AA5" s="438"/>
      <c r="AB5" s="438"/>
      <c r="AC5" s="438"/>
      <c r="AD5" s="438"/>
      <c r="AE5" s="438"/>
      <c r="AF5" s="438"/>
      <c r="AG5" s="438"/>
      <c r="AH5" s="438"/>
      <c r="AI5" s="438"/>
      <c r="AJ5" s="438"/>
    </row>
    <row r="6" s="434" customFormat="1" spans="1:36">
      <c r="A6" s="437"/>
      <c r="B6" s="438"/>
      <c r="C6" s="438"/>
      <c r="D6" s="438"/>
      <c r="E6" s="438"/>
      <c r="F6" s="438"/>
      <c r="G6" s="438"/>
      <c r="H6" s="438"/>
      <c r="I6" s="438"/>
      <c r="J6" s="438"/>
      <c r="K6" s="438"/>
      <c r="L6" s="438"/>
      <c r="M6" s="438"/>
      <c r="N6" s="438"/>
      <c r="O6" s="438"/>
      <c r="P6" s="438"/>
      <c r="Q6" s="438"/>
      <c r="R6" s="438"/>
      <c r="S6" s="438"/>
      <c r="T6" s="438"/>
      <c r="U6" s="438"/>
      <c r="V6" s="438"/>
      <c r="W6" s="438"/>
      <c r="X6" s="438"/>
      <c r="Y6" s="438"/>
      <c r="Z6" s="438"/>
      <c r="AA6" s="438"/>
      <c r="AB6" s="438"/>
      <c r="AC6" s="438"/>
      <c r="AD6" s="438"/>
      <c r="AE6" s="438"/>
      <c r="AF6" s="438"/>
      <c r="AG6" s="438"/>
      <c r="AH6" s="438"/>
      <c r="AI6" s="438"/>
      <c r="AJ6" s="438"/>
    </row>
    <row r="7" s="434" customFormat="1" ht="17.25" spans="1:36">
      <c r="A7" s="437"/>
      <c r="B7" s="438" t="s">
        <v>7</v>
      </c>
      <c r="C7" s="438"/>
      <c r="D7" s="438"/>
      <c r="E7" s="438"/>
      <c r="F7" s="438"/>
      <c r="G7" s="438"/>
      <c r="H7" s="438"/>
      <c r="I7" s="438"/>
      <c r="J7" s="438"/>
      <c r="K7" s="438"/>
      <c r="L7" s="438"/>
      <c r="M7" s="438"/>
      <c r="N7" s="438"/>
      <c r="O7" s="438"/>
      <c r="P7" s="438"/>
      <c r="Q7" s="438"/>
      <c r="R7" s="438"/>
      <c r="S7" s="438"/>
      <c r="T7" s="438"/>
      <c r="U7" s="438"/>
      <c r="V7" s="438"/>
      <c r="W7" s="438"/>
      <c r="X7" s="438"/>
      <c r="Y7" s="438"/>
      <c r="Z7" s="438"/>
      <c r="AA7" s="438"/>
      <c r="AB7" s="438"/>
      <c r="AC7" s="438"/>
      <c r="AD7" s="438"/>
      <c r="AE7" s="438"/>
      <c r="AF7" s="438"/>
      <c r="AG7" s="438"/>
      <c r="AH7" s="438"/>
      <c r="AI7" s="438"/>
      <c r="AJ7" s="438"/>
    </row>
    <row r="8" s="434" customFormat="1" spans="1:36">
      <c r="A8" s="437"/>
      <c r="B8" s="441" t="s">
        <v>8</v>
      </c>
      <c r="C8" s="134"/>
      <c r="D8" s="134"/>
      <c r="E8" s="442" t="s">
        <v>9</v>
      </c>
      <c r="F8" s="442"/>
      <c r="G8" s="443"/>
      <c r="H8" s="438"/>
      <c r="I8" s="438"/>
      <c r="J8" s="438"/>
      <c r="K8" s="438"/>
      <c r="L8" s="438"/>
      <c r="M8" s="438"/>
      <c r="N8" s="438"/>
      <c r="O8" s="438"/>
      <c r="P8" s="438"/>
      <c r="Q8" s="438"/>
      <c r="R8" s="438"/>
      <c r="S8" s="438"/>
      <c r="T8" s="438"/>
      <c r="U8" s="438"/>
      <c r="V8" s="438"/>
      <c r="W8" s="438"/>
      <c r="X8" s="438"/>
      <c r="Y8" s="438"/>
      <c r="Z8" s="438"/>
      <c r="AA8" s="438"/>
      <c r="AB8" s="438"/>
      <c r="AC8" s="438"/>
      <c r="AD8" s="438"/>
      <c r="AE8" s="438"/>
      <c r="AF8" s="438"/>
      <c r="AG8" s="438"/>
      <c r="AH8" s="438"/>
      <c r="AI8" s="438"/>
      <c r="AJ8" s="438"/>
    </row>
    <row r="9" s="434" customFormat="1" ht="17.25" spans="1:36">
      <c r="A9" s="437"/>
      <c r="B9" s="143"/>
      <c r="C9" s="144"/>
      <c r="D9" s="144"/>
      <c r="E9" s="444"/>
      <c r="F9" s="444"/>
      <c r="G9" s="445"/>
      <c r="H9" s="438"/>
      <c r="I9" s="438" t="s">
        <v>10</v>
      </c>
      <c r="J9" s="438"/>
      <c r="K9" s="438"/>
      <c r="L9" s="438"/>
      <c r="M9" s="438"/>
      <c r="N9" s="438"/>
      <c r="O9" s="438"/>
      <c r="P9" s="438"/>
      <c r="Q9" s="438"/>
      <c r="R9" s="438"/>
      <c r="S9" s="438"/>
      <c r="T9" s="438"/>
      <c r="U9" s="438"/>
      <c r="V9" s="438"/>
      <c r="W9" s="438"/>
      <c r="X9" s="438"/>
      <c r="Y9" s="438"/>
      <c r="Z9" s="438"/>
      <c r="AA9" s="438"/>
      <c r="AB9" s="438"/>
      <c r="AC9" s="438"/>
      <c r="AD9" s="438"/>
      <c r="AE9" s="438"/>
      <c r="AF9" s="438"/>
      <c r="AG9" s="438"/>
      <c r="AH9" s="438"/>
      <c r="AI9" s="438"/>
      <c r="AJ9" s="438"/>
    </row>
    <row r="10" s="434" customFormat="1" spans="1:36">
      <c r="A10" s="437"/>
      <c r="B10" s="438"/>
      <c r="C10" s="438"/>
      <c r="D10" s="438"/>
      <c r="E10" s="438"/>
      <c r="F10" s="438"/>
      <c r="G10" s="438"/>
      <c r="H10" s="438"/>
      <c r="I10" s="438"/>
      <c r="J10" s="438"/>
      <c r="K10" s="438"/>
      <c r="L10" s="438"/>
      <c r="M10" s="438"/>
      <c r="N10" s="438"/>
      <c r="O10" s="438"/>
      <c r="P10" s="438"/>
      <c r="Q10" s="438"/>
      <c r="R10" s="438"/>
      <c r="S10" s="438"/>
      <c r="T10" s="438"/>
      <c r="U10" s="438"/>
      <c r="V10" s="438"/>
      <c r="W10" s="438"/>
      <c r="X10" s="438"/>
      <c r="Y10" s="438"/>
      <c r="Z10" s="438"/>
      <c r="AA10" s="438"/>
      <c r="AB10" s="438"/>
      <c r="AC10" s="438"/>
      <c r="AD10" s="438"/>
      <c r="AE10" s="438"/>
      <c r="AF10" s="438"/>
      <c r="AG10" s="438"/>
      <c r="AH10" s="438"/>
      <c r="AI10" s="438"/>
      <c r="AJ10" s="438"/>
    </row>
    <row r="11" ht="27.75" spans="1:37">
      <c r="A11" s="437"/>
      <c r="B11" s="439" t="s">
        <v>11</v>
      </c>
      <c r="C11" s="439"/>
      <c r="D11" s="439"/>
      <c r="E11" s="439"/>
      <c r="F11" s="439"/>
      <c r="G11" s="439"/>
      <c r="H11" s="439"/>
      <c r="I11" s="439"/>
      <c r="J11" s="439"/>
      <c r="K11" s="439"/>
      <c r="L11" s="438"/>
      <c r="M11" s="438"/>
      <c r="N11" s="438"/>
      <c r="O11" s="438"/>
      <c r="P11" s="438"/>
      <c r="Q11" s="438"/>
      <c r="R11" s="438"/>
      <c r="S11" s="438"/>
      <c r="T11" s="438"/>
      <c r="U11" s="438"/>
      <c r="V11" s="438"/>
      <c r="W11" s="438"/>
      <c r="X11" s="438"/>
      <c r="Y11" s="438"/>
      <c r="Z11" s="438"/>
      <c r="AA11" s="438"/>
      <c r="AB11" s="438"/>
      <c r="AC11" s="438"/>
      <c r="AD11" s="438"/>
      <c r="AE11" s="438"/>
      <c r="AF11" s="438"/>
      <c r="AG11" s="438"/>
      <c r="AH11" s="438"/>
      <c r="AI11" s="438"/>
      <c r="AJ11" s="438"/>
      <c r="AK11" s="558"/>
    </row>
    <row r="12" customHeight="1" spans="1:37">
      <c r="A12" s="437"/>
      <c r="B12" s="438" t="s">
        <v>12</v>
      </c>
      <c r="C12" s="438"/>
      <c r="D12" s="438"/>
      <c r="E12" s="438"/>
      <c r="F12" s="438"/>
      <c r="G12" s="438"/>
      <c r="H12" s="438"/>
      <c r="I12" s="438"/>
      <c r="J12" s="438"/>
      <c r="K12" s="438"/>
      <c r="L12" s="438"/>
      <c r="M12" s="438"/>
      <c r="N12" s="438"/>
      <c r="O12" s="438"/>
      <c r="P12" s="438"/>
      <c r="Q12" s="438"/>
      <c r="R12" s="438"/>
      <c r="S12" s="438"/>
      <c r="T12" s="438"/>
      <c r="U12" s="438"/>
      <c r="V12" s="438"/>
      <c r="W12" s="438"/>
      <c r="X12" s="504" t="s">
        <v>13</v>
      </c>
      <c r="Y12" s="504"/>
      <c r="Z12" s="504"/>
      <c r="AA12" s="504"/>
      <c r="AB12" s="504"/>
      <c r="AC12" s="504"/>
      <c r="AD12" s="504"/>
      <c r="AE12" s="504"/>
      <c r="AF12" s="504"/>
      <c r="AG12" s="504"/>
      <c r="AH12" s="504"/>
      <c r="AI12" s="504"/>
      <c r="AJ12" s="438"/>
      <c r="AK12" s="558">
        <f ca="1">RANDBETWEEN(1,6)</f>
        <v>2</v>
      </c>
    </row>
    <row r="13" ht="17.25" spans="1:37">
      <c r="A13" s="437"/>
      <c r="B13" s="446" t="s">
        <v>14</v>
      </c>
      <c r="C13" s="446"/>
      <c r="D13" s="446"/>
      <c r="E13" s="446"/>
      <c r="F13" s="446"/>
      <c r="G13" s="446"/>
      <c r="H13" s="446"/>
      <c r="I13" s="446"/>
      <c r="J13" s="446"/>
      <c r="K13" s="446"/>
      <c r="L13" s="446"/>
      <c r="M13" s="446"/>
      <c r="N13" s="446"/>
      <c r="O13" s="446"/>
      <c r="P13" s="446"/>
      <c r="Q13" s="446"/>
      <c r="R13" s="446"/>
      <c r="S13" s="446"/>
      <c r="T13" s="446"/>
      <c r="U13" s="446"/>
      <c r="V13" s="446"/>
      <c r="W13" s="446"/>
      <c r="X13" s="505"/>
      <c r="Y13" s="505"/>
      <c r="Z13" s="505"/>
      <c r="AA13" s="505"/>
      <c r="AB13" s="505"/>
      <c r="AC13" s="505"/>
      <c r="AD13" s="505"/>
      <c r="AE13" s="505"/>
      <c r="AF13" s="505"/>
      <c r="AG13" s="505"/>
      <c r="AH13" s="505"/>
      <c r="AI13" s="505"/>
      <c r="AJ13" s="438"/>
      <c r="AK13" s="558">
        <f ca="1" t="shared" ref="AK13:AK32" si="0">RANDBETWEEN(1,6)</f>
        <v>6</v>
      </c>
    </row>
    <row r="14" spans="1:37">
      <c r="A14" s="437"/>
      <c r="B14" s="176" t="s">
        <v>15</v>
      </c>
      <c r="C14" s="177"/>
      <c r="D14" s="177"/>
      <c r="E14" s="177"/>
      <c r="F14" s="177"/>
      <c r="G14" s="177"/>
      <c r="H14" s="177"/>
      <c r="I14" s="177"/>
      <c r="J14" s="177"/>
      <c r="K14" s="177"/>
      <c r="L14" s="177"/>
      <c r="M14" s="177"/>
      <c r="N14" s="177"/>
      <c r="O14" s="177"/>
      <c r="P14" s="177"/>
      <c r="Q14" s="177"/>
      <c r="R14" s="177"/>
      <c r="S14" s="300"/>
      <c r="T14" s="489"/>
      <c r="U14" s="466"/>
      <c r="V14" s="466"/>
      <c r="W14" s="493"/>
      <c r="X14" s="113" t="s">
        <v>16</v>
      </c>
      <c r="Y14" s="114"/>
      <c r="Z14" s="114"/>
      <c r="AA14" s="114"/>
      <c r="AB14" s="114"/>
      <c r="AC14" s="114"/>
      <c r="AD14" s="114"/>
      <c r="AE14" s="114"/>
      <c r="AF14" s="114"/>
      <c r="AG14" s="114"/>
      <c r="AH14" s="114"/>
      <c r="AI14" s="200"/>
      <c r="AJ14" s="466"/>
      <c r="AK14" s="558">
        <f ca="1" t="shared" si="0"/>
        <v>3</v>
      </c>
    </row>
    <row r="15" spans="1:37">
      <c r="A15" s="437"/>
      <c r="B15" s="202" t="s">
        <v>17</v>
      </c>
      <c r="C15" s="259"/>
      <c r="D15" s="260">
        <v>65</v>
      </c>
      <c r="E15" s="260"/>
      <c r="F15" s="261">
        <f>INT(D15/2)</f>
        <v>32</v>
      </c>
      <c r="G15" s="261"/>
      <c r="H15" s="262" t="s">
        <v>18</v>
      </c>
      <c r="I15" s="262"/>
      <c r="J15" s="447">
        <v>65</v>
      </c>
      <c r="K15" s="447"/>
      <c r="L15" s="267">
        <f>INT(J15/2)</f>
        <v>32</v>
      </c>
      <c r="M15" s="267"/>
      <c r="N15" s="321" t="s">
        <v>19</v>
      </c>
      <c r="O15" s="259"/>
      <c r="P15" s="260">
        <v>85</v>
      </c>
      <c r="Q15" s="260"/>
      <c r="R15" s="261">
        <f>INT(P15/2)</f>
        <v>42</v>
      </c>
      <c r="S15" s="348"/>
      <c r="T15" s="489"/>
      <c r="U15" s="466"/>
      <c r="V15" s="466"/>
      <c r="W15" s="493"/>
      <c r="X15" s="506" t="s">
        <v>17</v>
      </c>
      <c r="Y15" s="535"/>
      <c r="Z15" s="536">
        <f ca="1">SUM(AK12:AK14)*5</f>
        <v>55</v>
      </c>
      <c r="AA15" s="537"/>
      <c r="AB15" s="538" t="s">
        <v>18</v>
      </c>
      <c r="AC15" s="539"/>
      <c r="AD15" s="540">
        <f ca="1">SUM(AK18:AK20)*5</f>
        <v>55</v>
      </c>
      <c r="AE15" s="541"/>
      <c r="AF15" s="321" t="s">
        <v>19</v>
      </c>
      <c r="AG15" s="259"/>
      <c r="AH15" s="536">
        <f ca="1">SUM(AK31:AK32,6)*5</f>
        <v>80</v>
      </c>
      <c r="AI15" s="559"/>
      <c r="AJ15" s="466"/>
      <c r="AK15" s="558">
        <f ca="1" t="shared" si="0"/>
        <v>5</v>
      </c>
    </row>
    <row r="16" spans="1:37">
      <c r="A16" s="437"/>
      <c r="B16" s="202"/>
      <c r="C16" s="259"/>
      <c r="D16" s="260"/>
      <c r="E16" s="260"/>
      <c r="F16" s="264">
        <f>INT(D15/5)</f>
        <v>13</v>
      </c>
      <c r="G16" s="264"/>
      <c r="H16" s="262"/>
      <c r="I16" s="262"/>
      <c r="J16" s="447"/>
      <c r="K16" s="447"/>
      <c r="L16" s="267">
        <f>INT(J15/5)</f>
        <v>13</v>
      </c>
      <c r="M16" s="267"/>
      <c r="N16" s="259"/>
      <c r="O16" s="259"/>
      <c r="P16" s="260"/>
      <c r="Q16" s="260"/>
      <c r="R16" s="261">
        <f>INT(P15/5)</f>
        <v>17</v>
      </c>
      <c r="S16" s="348"/>
      <c r="T16" s="489"/>
      <c r="U16" s="466"/>
      <c r="V16" s="466"/>
      <c r="W16" s="493"/>
      <c r="X16" s="507"/>
      <c r="Y16" s="542"/>
      <c r="Z16" s="543"/>
      <c r="AA16" s="544"/>
      <c r="AB16" s="545"/>
      <c r="AC16" s="546"/>
      <c r="AD16" s="547"/>
      <c r="AE16" s="548"/>
      <c r="AF16" s="259"/>
      <c r="AG16" s="259"/>
      <c r="AH16" s="543"/>
      <c r="AI16" s="560"/>
      <c r="AJ16" s="466"/>
      <c r="AK16" s="558">
        <f ca="1" t="shared" si="0"/>
        <v>6</v>
      </c>
    </row>
    <row r="17" spans="1:37">
      <c r="A17" s="437"/>
      <c r="B17" s="204" t="s">
        <v>20</v>
      </c>
      <c r="C17" s="262"/>
      <c r="D17" s="447">
        <v>45</v>
      </c>
      <c r="E17" s="447"/>
      <c r="F17" s="267">
        <f t="shared" ref="F17" si="1">INT(D17/2)</f>
        <v>22</v>
      </c>
      <c r="G17" s="267"/>
      <c r="H17" s="259" t="s">
        <v>21</v>
      </c>
      <c r="I17" s="259"/>
      <c r="J17" s="260">
        <v>60</v>
      </c>
      <c r="K17" s="260"/>
      <c r="L17" s="261">
        <f t="shared" ref="L17" si="2">INT(J17/2)</f>
        <v>30</v>
      </c>
      <c r="M17" s="261"/>
      <c r="N17" s="262" t="s">
        <v>22</v>
      </c>
      <c r="O17" s="262"/>
      <c r="P17" s="447">
        <v>65</v>
      </c>
      <c r="Q17" s="447"/>
      <c r="R17" s="267">
        <f>INT(P17/2)</f>
        <v>32</v>
      </c>
      <c r="S17" s="351"/>
      <c r="T17" s="489"/>
      <c r="U17" s="466"/>
      <c r="V17" s="466"/>
      <c r="W17" s="493"/>
      <c r="X17" s="508" t="s">
        <v>20</v>
      </c>
      <c r="Y17" s="539"/>
      <c r="Z17" s="540">
        <f ca="1">SUM(AK15:AK17)*5</f>
        <v>65</v>
      </c>
      <c r="AA17" s="541"/>
      <c r="AB17" s="485" t="s">
        <v>21</v>
      </c>
      <c r="AC17" s="535"/>
      <c r="AD17" s="536">
        <f ca="1">SUM(AK21:AK23)*5</f>
        <v>70</v>
      </c>
      <c r="AE17" s="537"/>
      <c r="AF17" s="538" t="s">
        <v>22</v>
      </c>
      <c r="AG17" s="539"/>
      <c r="AH17" s="540">
        <f ca="1">SUM(AK24:AK26)*5</f>
        <v>75</v>
      </c>
      <c r="AI17" s="561"/>
      <c r="AJ17" s="466"/>
      <c r="AK17" s="558">
        <f ca="1" t="shared" si="0"/>
        <v>2</v>
      </c>
    </row>
    <row r="18" spans="1:37">
      <c r="A18" s="437"/>
      <c r="B18" s="204"/>
      <c r="C18" s="262"/>
      <c r="D18" s="447"/>
      <c r="E18" s="447"/>
      <c r="F18" s="270">
        <f t="shared" ref="F18" si="3">INT(D17/5)</f>
        <v>9</v>
      </c>
      <c r="G18" s="270"/>
      <c r="H18" s="259"/>
      <c r="I18" s="259"/>
      <c r="J18" s="260"/>
      <c r="K18" s="260"/>
      <c r="L18" s="261">
        <f t="shared" ref="L18" si="4">INT(J17/5)</f>
        <v>12</v>
      </c>
      <c r="M18" s="261"/>
      <c r="N18" s="262"/>
      <c r="O18" s="262"/>
      <c r="P18" s="447"/>
      <c r="Q18" s="447"/>
      <c r="R18" s="267">
        <f>INT(P17/5)</f>
        <v>13</v>
      </c>
      <c r="S18" s="351"/>
      <c r="T18" s="489"/>
      <c r="U18" s="466"/>
      <c r="V18" s="466"/>
      <c r="W18" s="493"/>
      <c r="X18" s="509"/>
      <c r="Y18" s="546"/>
      <c r="Z18" s="547"/>
      <c r="AA18" s="548"/>
      <c r="AB18" s="549"/>
      <c r="AC18" s="542"/>
      <c r="AD18" s="543"/>
      <c r="AE18" s="544"/>
      <c r="AF18" s="545"/>
      <c r="AG18" s="546"/>
      <c r="AH18" s="547"/>
      <c r="AI18" s="562"/>
      <c r="AJ18" s="466"/>
      <c r="AK18" s="558">
        <f ca="1" t="shared" si="0"/>
        <v>2</v>
      </c>
    </row>
    <row r="19" spans="1:37">
      <c r="A19" s="437"/>
      <c r="B19" s="202" t="s">
        <v>23</v>
      </c>
      <c r="C19" s="259"/>
      <c r="D19" s="260">
        <v>80</v>
      </c>
      <c r="E19" s="260"/>
      <c r="F19" s="261">
        <f t="shared" ref="F19" si="5">INT(D19/2)</f>
        <v>40</v>
      </c>
      <c r="G19" s="261"/>
      <c r="H19" s="273" t="s">
        <v>24</v>
      </c>
      <c r="I19" s="273"/>
      <c r="J19" s="447">
        <v>75</v>
      </c>
      <c r="K19" s="447"/>
      <c r="L19" s="267">
        <f t="shared" ref="L19" si="6">INT(J19/2)</f>
        <v>37</v>
      </c>
      <c r="M19" s="267"/>
      <c r="N19" s="485" t="str">
        <f>"八大属性合="&amp;SUM(D15:E20,J15:K20,P15:Q18)</f>
        <v>八大属性合=540</v>
      </c>
      <c r="O19" s="486"/>
      <c r="P19" s="486"/>
      <c r="Q19" s="486"/>
      <c r="R19" s="486"/>
      <c r="S19" s="510"/>
      <c r="T19" s="489"/>
      <c r="U19" s="466"/>
      <c r="V19" s="466"/>
      <c r="W19" s="493"/>
      <c r="X19" s="506" t="s">
        <v>23</v>
      </c>
      <c r="Y19" s="535"/>
      <c r="Z19" s="536">
        <f ca="1">SUM(AK27:AK28,6)*5</f>
        <v>85</v>
      </c>
      <c r="AA19" s="537"/>
      <c r="AB19" s="550" t="s">
        <v>24</v>
      </c>
      <c r="AC19" s="551"/>
      <c r="AD19" s="540">
        <f ca="1">SUM(AK29:AK30,6)*5</f>
        <v>70</v>
      </c>
      <c r="AE19" s="541"/>
      <c r="AF19" s="485" t="str">
        <f ca="1">"属性合="&amp;SUM(Z15:AA20,AD15:AE20,AH15:AI18)</f>
        <v>属性合=555</v>
      </c>
      <c r="AG19" s="486"/>
      <c r="AH19" s="486"/>
      <c r="AI19" s="510"/>
      <c r="AJ19" s="466"/>
      <c r="AK19" s="558">
        <f ca="1" t="shared" si="0"/>
        <v>4</v>
      </c>
    </row>
    <row r="20" ht="17.25" spans="1:37">
      <c r="A20" s="437"/>
      <c r="B20" s="210"/>
      <c r="C20" s="274"/>
      <c r="D20" s="448"/>
      <c r="E20" s="448"/>
      <c r="F20" s="277">
        <f t="shared" ref="F20" si="7">INT(D19/5)</f>
        <v>16</v>
      </c>
      <c r="G20" s="277"/>
      <c r="H20" s="278"/>
      <c r="I20" s="278"/>
      <c r="J20" s="487"/>
      <c r="K20" s="487"/>
      <c r="L20" s="326">
        <f t="shared" ref="L20" si="8">INT(J19/5)</f>
        <v>15</v>
      </c>
      <c r="M20" s="326"/>
      <c r="N20" s="488"/>
      <c r="O20" s="461"/>
      <c r="P20" s="461"/>
      <c r="Q20" s="461"/>
      <c r="R20" s="461"/>
      <c r="S20" s="511"/>
      <c r="T20" s="489"/>
      <c r="U20" s="466"/>
      <c r="V20" s="466"/>
      <c r="W20" s="493"/>
      <c r="X20" s="460"/>
      <c r="Y20" s="552"/>
      <c r="Z20" s="553"/>
      <c r="AA20" s="145"/>
      <c r="AB20" s="554"/>
      <c r="AC20" s="555"/>
      <c r="AD20" s="556"/>
      <c r="AE20" s="223"/>
      <c r="AF20" s="488"/>
      <c r="AG20" s="461"/>
      <c r="AH20" s="461"/>
      <c r="AI20" s="511"/>
      <c r="AJ20" s="466"/>
      <c r="AK20" s="558">
        <f ca="1" t="shared" si="0"/>
        <v>5</v>
      </c>
    </row>
    <row r="21" s="435" customFormat="1" spans="1:37">
      <c r="A21" s="437"/>
      <c r="B21" s="446" t="s">
        <v>25</v>
      </c>
      <c r="C21" s="446"/>
      <c r="D21" s="446"/>
      <c r="E21" s="446"/>
      <c r="F21" s="446"/>
      <c r="G21" s="446"/>
      <c r="H21" s="446"/>
      <c r="I21" s="446"/>
      <c r="J21" s="446"/>
      <c r="K21" s="446"/>
      <c r="L21" s="446"/>
      <c r="M21" s="446"/>
      <c r="N21" s="446"/>
      <c r="O21" s="446"/>
      <c r="P21" s="446"/>
      <c r="Q21" s="446"/>
      <c r="R21" s="446"/>
      <c r="S21" s="446"/>
      <c r="T21" s="446"/>
      <c r="U21" s="446"/>
      <c r="V21" s="446"/>
      <c r="W21" s="446"/>
      <c r="X21" s="446"/>
      <c r="Y21" s="446"/>
      <c r="Z21" s="446"/>
      <c r="AA21" s="446"/>
      <c r="AB21" s="446"/>
      <c r="AC21" s="446"/>
      <c r="AD21" s="446"/>
      <c r="AE21" s="446"/>
      <c r="AF21" s="446"/>
      <c r="AG21" s="446"/>
      <c r="AH21" s="446"/>
      <c r="AI21" s="446"/>
      <c r="AJ21" s="466"/>
      <c r="AK21" s="558">
        <f ca="1" t="shared" si="0"/>
        <v>4</v>
      </c>
    </row>
    <row r="22" spans="1:40">
      <c r="A22" s="437"/>
      <c r="B22" s="438"/>
      <c r="C22" s="438"/>
      <c r="D22" s="438"/>
      <c r="E22" s="438"/>
      <c r="F22" s="438"/>
      <c r="G22" s="438"/>
      <c r="H22" s="438"/>
      <c r="I22" s="438"/>
      <c r="J22" s="438"/>
      <c r="K22" s="438"/>
      <c r="L22" s="438"/>
      <c r="M22" s="438"/>
      <c r="N22" s="438"/>
      <c r="O22" s="438"/>
      <c r="P22" s="438"/>
      <c r="Q22" s="438"/>
      <c r="R22" s="438"/>
      <c r="S22" s="438"/>
      <c r="T22" s="438"/>
      <c r="U22" s="438"/>
      <c r="V22" s="438"/>
      <c r="W22" s="438"/>
      <c r="X22" s="438"/>
      <c r="Y22" s="438"/>
      <c r="Z22" s="438"/>
      <c r="AA22" s="438"/>
      <c r="AB22" s="438"/>
      <c r="AC22" s="438"/>
      <c r="AD22" s="438"/>
      <c r="AE22" s="438"/>
      <c r="AF22" s="438"/>
      <c r="AG22" s="438"/>
      <c r="AH22" s="438"/>
      <c r="AI22" s="438"/>
      <c r="AJ22" s="438"/>
      <c r="AK22" s="558">
        <f ca="1" t="shared" si="0"/>
        <v>5</v>
      </c>
      <c r="AL22" s="434"/>
      <c r="AM22" s="434"/>
      <c r="AN22" s="434"/>
    </row>
    <row r="23" ht="17.25" spans="1:37">
      <c r="A23" s="437"/>
      <c r="B23" s="438" t="s">
        <v>26</v>
      </c>
      <c r="C23" s="438"/>
      <c r="D23" s="438"/>
      <c r="E23" s="438"/>
      <c r="F23" s="438"/>
      <c r="G23" s="438"/>
      <c r="H23" s="438"/>
      <c r="I23" s="438"/>
      <c r="J23" s="438"/>
      <c r="K23" s="438"/>
      <c r="L23" s="438"/>
      <c r="M23" s="438"/>
      <c r="N23" s="438"/>
      <c r="O23" s="438"/>
      <c r="P23" s="438"/>
      <c r="Q23" s="438"/>
      <c r="R23" s="468" t="s">
        <v>27</v>
      </c>
      <c r="S23" s="468"/>
      <c r="T23" s="468"/>
      <c r="U23" s="468"/>
      <c r="V23" s="468"/>
      <c r="W23" s="468"/>
      <c r="X23" s="468"/>
      <c r="Y23" s="468"/>
      <c r="Z23" s="468"/>
      <c r="AA23" s="468" t="s">
        <v>28</v>
      </c>
      <c r="AB23" s="468"/>
      <c r="AC23" s="468"/>
      <c r="AD23" s="468"/>
      <c r="AE23" s="468"/>
      <c r="AF23" s="468"/>
      <c r="AG23" s="468"/>
      <c r="AH23" s="468"/>
      <c r="AI23" s="468"/>
      <c r="AJ23" s="466"/>
      <c r="AK23" s="558">
        <f ca="1" t="shared" si="0"/>
        <v>5</v>
      </c>
    </row>
    <row r="24" spans="1:40">
      <c r="A24" s="437"/>
      <c r="B24" s="113" t="s">
        <v>29</v>
      </c>
      <c r="C24" s="114"/>
      <c r="D24" s="114"/>
      <c r="E24" s="114"/>
      <c r="F24" s="114"/>
      <c r="G24" s="114"/>
      <c r="H24" s="114"/>
      <c r="I24" s="114"/>
      <c r="J24" s="114"/>
      <c r="K24" s="114"/>
      <c r="L24" s="114"/>
      <c r="M24" s="114"/>
      <c r="N24" s="200"/>
      <c r="O24" s="489"/>
      <c r="P24" s="466"/>
      <c r="Q24" s="493"/>
      <c r="R24" s="512" t="s">
        <v>30</v>
      </c>
      <c r="S24" s="513"/>
      <c r="T24" s="513"/>
      <c r="U24" s="513"/>
      <c r="V24" s="513"/>
      <c r="W24" s="513"/>
      <c r="X24" s="513"/>
      <c r="Y24" s="513"/>
      <c r="Z24" s="513"/>
      <c r="AA24" s="513"/>
      <c r="AB24" s="513"/>
      <c r="AC24" s="513"/>
      <c r="AD24" s="513"/>
      <c r="AE24" s="513"/>
      <c r="AF24" s="513"/>
      <c r="AG24" s="513"/>
      <c r="AH24" s="513"/>
      <c r="AI24" s="563"/>
      <c r="AJ24" s="438"/>
      <c r="AK24" s="558">
        <f ca="1" t="shared" si="0"/>
        <v>4</v>
      </c>
      <c r="AL24" s="434"/>
      <c r="AM24" s="434"/>
      <c r="AN24" s="434"/>
    </row>
    <row r="25" spans="1:40">
      <c r="A25" s="437"/>
      <c r="B25" s="115" t="s">
        <v>31</v>
      </c>
      <c r="C25" s="116"/>
      <c r="D25" s="449" t="s">
        <v>32</v>
      </c>
      <c r="E25" s="450"/>
      <c r="F25" s="450"/>
      <c r="G25" s="450"/>
      <c r="H25" s="450"/>
      <c r="I25" s="450"/>
      <c r="J25" s="450"/>
      <c r="K25" s="450"/>
      <c r="L25" s="450"/>
      <c r="M25" s="450"/>
      <c r="N25" s="490"/>
      <c r="O25" s="489"/>
      <c r="P25" s="466"/>
      <c r="Q25" s="493"/>
      <c r="R25" s="514" t="s">
        <v>33</v>
      </c>
      <c r="S25" s="515"/>
      <c r="T25" s="515"/>
      <c r="U25" s="515"/>
      <c r="V25" s="515"/>
      <c r="W25" s="515"/>
      <c r="X25" s="515"/>
      <c r="Y25" s="515"/>
      <c r="Z25" s="515"/>
      <c r="AA25" s="515"/>
      <c r="AB25" s="515"/>
      <c r="AC25" s="515"/>
      <c r="AD25" s="515"/>
      <c r="AE25" s="515"/>
      <c r="AF25" s="515"/>
      <c r="AG25" s="515"/>
      <c r="AH25" s="515"/>
      <c r="AI25" s="564"/>
      <c r="AJ25" s="438"/>
      <c r="AK25" s="558">
        <f ca="1" t="shared" si="0"/>
        <v>6</v>
      </c>
      <c r="AL25" s="434"/>
      <c r="AM25" s="434"/>
      <c r="AN25" s="434"/>
    </row>
    <row r="26" spans="1:40">
      <c r="A26" s="437"/>
      <c r="B26" s="119" t="s">
        <v>34</v>
      </c>
      <c r="C26" s="120"/>
      <c r="D26" s="121" t="s">
        <v>35</v>
      </c>
      <c r="E26" s="122"/>
      <c r="F26" s="122"/>
      <c r="G26" s="122"/>
      <c r="H26" s="122"/>
      <c r="I26" s="122"/>
      <c r="J26" s="122"/>
      <c r="K26" s="122"/>
      <c r="L26" s="122"/>
      <c r="M26" s="122"/>
      <c r="N26" s="203"/>
      <c r="O26" s="489"/>
      <c r="P26" s="466"/>
      <c r="Q26" s="493"/>
      <c r="R26" s="516" t="s">
        <v>36</v>
      </c>
      <c r="S26" s="517"/>
      <c r="T26" s="517"/>
      <c r="U26" s="517"/>
      <c r="V26" s="517"/>
      <c r="W26" s="517"/>
      <c r="X26" s="517"/>
      <c r="Y26" s="517"/>
      <c r="Z26" s="517"/>
      <c r="AA26" s="517"/>
      <c r="AB26" s="517"/>
      <c r="AC26" s="517"/>
      <c r="AD26" s="517"/>
      <c r="AE26" s="517"/>
      <c r="AF26" s="517"/>
      <c r="AG26" s="517"/>
      <c r="AH26" s="517"/>
      <c r="AI26" s="565"/>
      <c r="AJ26" s="438"/>
      <c r="AK26" s="558">
        <f ca="1" t="shared" si="0"/>
        <v>5</v>
      </c>
      <c r="AL26" s="434"/>
      <c r="AM26" s="434"/>
      <c r="AN26" s="434"/>
    </row>
    <row r="27" spans="1:40">
      <c r="A27" s="437"/>
      <c r="B27" s="115" t="s">
        <v>37</v>
      </c>
      <c r="C27" s="116"/>
      <c r="D27" s="449" t="s">
        <v>38</v>
      </c>
      <c r="E27" s="450"/>
      <c r="F27" s="450"/>
      <c r="G27" s="450"/>
      <c r="H27" s="450"/>
      <c r="I27" s="450"/>
      <c r="J27" s="450"/>
      <c r="K27" s="450"/>
      <c r="L27" s="450"/>
      <c r="M27" s="450"/>
      <c r="N27" s="490"/>
      <c r="O27" s="489"/>
      <c r="P27" s="466"/>
      <c r="Q27" s="493"/>
      <c r="R27" s="514" t="s">
        <v>39</v>
      </c>
      <c r="S27" s="515"/>
      <c r="T27" s="515"/>
      <c r="U27" s="515"/>
      <c r="V27" s="515"/>
      <c r="W27" s="515"/>
      <c r="X27" s="515"/>
      <c r="Y27" s="515"/>
      <c r="Z27" s="515"/>
      <c r="AA27" s="515"/>
      <c r="AB27" s="515"/>
      <c r="AC27" s="515"/>
      <c r="AD27" s="515"/>
      <c r="AE27" s="515"/>
      <c r="AF27" s="515"/>
      <c r="AG27" s="515"/>
      <c r="AH27" s="515"/>
      <c r="AI27" s="564"/>
      <c r="AJ27" s="438"/>
      <c r="AK27" s="558">
        <f ca="1" t="shared" si="0"/>
        <v>6</v>
      </c>
      <c r="AL27" s="434"/>
      <c r="AM27" s="434"/>
      <c r="AN27" s="434"/>
    </row>
    <row r="28" spans="1:40">
      <c r="A28" s="437"/>
      <c r="B28" s="119" t="s">
        <v>40</v>
      </c>
      <c r="C28" s="120"/>
      <c r="D28" s="123">
        <v>27</v>
      </c>
      <c r="E28" s="124"/>
      <c r="F28" s="124"/>
      <c r="G28" s="124"/>
      <c r="H28" s="125"/>
      <c r="I28" s="205" t="s">
        <v>41</v>
      </c>
      <c r="J28" s="120"/>
      <c r="K28" s="122" t="s">
        <v>42</v>
      </c>
      <c r="L28" s="122"/>
      <c r="M28" s="122"/>
      <c r="N28" s="203"/>
      <c r="O28" s="489"/>
      <c r="P28" s="466"/>
      <c r="Q28" s="493"/>
      <c r="R28" s="516" t="s">
        <v>43</v>
      </c>
      <c r="S28" s="517"/>
      <c r="T28" s="517"/>
      <c r="U28" s="517"/>
      <c r="V28" s="517"/>
      <c r="W28" s="517"/>
      <c r="X28" s="517"/>
      <c r="Y28" s="517"/>
      <c r="Z28" s="517"/>
      <c r="AA28" s="517"/>
      <c r="AB28" s="517"/>
      <c r="AC28" s="517"/>
      <c r="AD28" s="517"/>
      <c r="AE28" s="517"/>
      <c r="AF28" s="517"/>
      <c r="AG28" s="517"/>
      <c r="AH28" s="517"/>
      <c r="AI28" s="565"/>
      <c r="AJ28" s="438"/>
      <c r="AK28" s="558">
        <f ca="1" t="shared" si="0"/>
        <v>5</v>
      </c>
      <c r="AL28" s="434"/>
      <c r="AM28" s="434"/>
      <c r="AN28" s="434"/>
    </row>
    <row r="29" spans="1:40">
      <c r="A29" s="437"/>
      <c r="B29" s="115" t="s">
        <v>44</v>
      </c>
      <c r="C29" s="116"/>
      <c r="D29" s="449" t="s">
        <v>45</v>
      </c>
      <c r="E29" s="450"/>
      <c r="F29" s="450"/>
      <c r="G29" s="450"/>
      <c r="H29" s="450"/>
      <c r="I29" s="450"/>
      <c r="J29" s="450"/>
      <c r="K29" s="450"/>
      <c r="L29" s="450"/>
      <c r="M29" s="450"/>
      <c r="N29" s="490"/>
      <c r="O29" s="489"/>
      <c r="P29" s="466"/>
      <c r="Q29" s="493"/>
      <c r="R29" s="514" t="s">
        <v>46</v>
      </c>
      <c r="S29" s="515"/>
      <c r="T29" s="515"/>
      <c r="U29" s="515"/>
      <c r="V29" s="515"/>
      <c r="W29" s="515"/>
      <c r="X29" s="515"/>
      <c r="Y29" s="515"/>
      <c r="Z29" s="515"/>
      <c r="AA29" s="515"/>
      <c r="AB29" s="515"/>
      <c r="AC29" s="515"/>
      <c r="AD29" s="515"/>
      <c r="AE29" s="515"/>
      <c r="AF29" s="515"/>
      <c r="AG29" s="515"/>
      <c r="AH29" s="515"/>
      <c r="AI29" s="564"/>
      <c r="AJ29" s="438"/>
      <c r="AK29" s="558">
        <f ca="1" t="shared" si="0"/>
        <v>2</v>
      </c>
      <c r="AL29" s="434"/>
      <c r="AM29" s="434"/>
      <c r="AN29" s="434"/>
    </row>
    <row r="30" ht="17.25" spans="1:40">
      <c r="A30" s="437"/>
      <c r="B30" s="128" t="s">
        <v>47</v>
      </c>
      <c r="C30" s="129"/>
      <c r="D30" s="451"/>
      <c r="E30" s="452"/>
      <c r="F30" s="452"/>
      <c r="G30" s="452"/>
      <c r="H30" s="452"/>
      <c r="I30" s="452"/>
      <c r="J30" s="452"/>
      <c r="K30" s="452"/>
      <c r="L30" s="452"/>
      <c r="M30" s="452"/>
      <c r="N30" s="491"/>
      <c r="O30" s="489"/>
      <c r="P30" s="466"/>
      <c r="Q30" s="493"/>
      <c r="R30" s="518" t="s">
        <v>48</v>
      </c>
      <c r="S30" s="147"/>
      <c r="T30" s="147"/>
      <c r="U30" s="147"/>
      <c r="V30" s="147"/>
      <c r="W30" s="147"/>
      <c r="X30" s="147"/>
      <c r="Y30" s="147"/>
      <c r="Z30" s="147"/>
      <c r="AA30" s="147"/>
      <c r="AB30" s="147"/>
      <c r="AC30" s="147"/>
      <c r="AD30" s="147"/>
      <c r="AE30" s="147"/>
      <c r="AF30" s="147"/>
      <c r="AG30" s="147"/>
      <c r="AH30" s="147"/>
      <c r="AI30" s="566"/>
      <c r="AJ30" s="438"/>
      <c r="AK30" s="558">
        <f ca="1" t="shared" si="0"/>
        <v>6</v>
      </c>
      <c r="AL30" s="434"/>
      <c r="AM30" s="434"/>
      <c r="AN30" s="434"/>
    </row>
    <row r="31" spans="1:40">
      <c r="A31" s="437"/>
      <c r="B31" s="438"/>
      <c r="C31" s="438"/>
      <c r="D31" s="438"/>
      <c r="E31" s="438"/>
      <c r="F31" s="438"/>
      <c r="G31" s="438"/>
      <c r="H31" s="438"/>
      <c r="I31" s="438"/>
      <c r="J31" s="438"/>
      <c r="K31" s="438"/>
      <c r="L31" s="438"/>
      <c r="M31" s="438"/>
      <c r="N31" s="438"/>
      <c r="O31" s="438"/>
      <c r="P31" s="438"/>
      <c r="Q31" s="438"/>
      <c r="R31" s="438"/>
      <c r="S31" s="438"/>
      <c r="T31" s="438"/>
      <c r="U31" s="438"/>
      <c r="V31" s="438"/>
      <c r="W31" s="438"/>
      <c r="X31" s="438"/>
      <c r="Y31" s="438"/>
      <c r="Z31" s="438"/>
      <c r="AA31" s="438"/>
      <c r="AB31" s="438"/>
      <c r="AC31" s="438"/>
      <c r="AD31" s="438"/>
      <c r="AE31" s="438"/>
      <c r="AF31" s="438"/>
      <c r="AG31" s="438"/>
      <c r="AH31" s="438"/>
      <c r="AI31" s="438"/>
      <c r="AJ31" s="438"/>
      <c r="AK31" s="558">
        <f ca="1" t="shared" si="0"/>
        <v>5</v>
      </c>
      <c r="AL31" s="434"/>
      <c r="AM31" s="434"/>
      <c r="AN31" s="434"/>
    </row>
    <row r="32" ht="17.25" spans="1:40">
      <c r="A32" s="437"/>
      <c r="B32" s="438" t="s">
        <v>49</v>
      </c>
      <c r="C32" s="438"/>
      <c r="D32" s="438"/>
      <c r="E32" s="438"/>
      <c r="F32" s="438"/>
      <c r="G32" s="438"/>
      <c r="H32" s="438"/>
      <c r="I32" s="438"/>
      <c r="J32" s="438"/>
      <c r="K32" s="438"/>
      <c r="L32" s="438"/>
      <c r="M32" s="438"/>
      <c r="N32" s="438"/>
      <c r="O32" s="438"/>
      <c r="P32" s="438"/>
      <c r="Q32" s="438"/>
      <c r="R32" s="438"/>
      <c r="S32" s="438"/>
      <c r="T32" s="438"/>
      <c r="U32" s="438"/>
      <c r="V32" s="438"/>
      <c r="W32" s="438"/>
      <c r="X32" s="438"/>
      <c r="Y32" s="438"/>
      <c r="Z32" s="438"/>
      <c r="AA32" s="438"/>
      <c r="AB32" s="438"/>
      <c r="AC32" s="438"/>
      <c r="AD32" s="438"/>
      <c r="AE32" s="438"/>
      <c r="AF32" s="438"/>
      <c r="AG32" s="438"/>
      <c r="AH32" s="438"/>
      <c r="AI32" s="438"/>
      <c r="AJ32" s="438"/>
      <c r="AK32" s="558">
        <f ca="1" t="shared" si="0"/>
        <v>5</v>
      </c>
      <c r="AL32" s="434"/>
      <c r="AM32" s="434"/>
      <c r="AN32" s="434"/>
    </row>
    <row r="33" spans="1:37">
      <c r="A33" s="437"/>
      <c r="B33" s="453" t="s">
        <v>50</v>
      </c>
      <c r="C33" s="454"/>
      <c r="D33" s="455">
        <v>45</v>
      </c>
      <c r="E33" s="456"/>
      <c r="F33" s="457"/>
      <c r="G33" s="133" t="s">
        <v>51</v>
      </c>
      <c r="H33" s="282"/>
      <c r="I33" s="282"/>
      <c r="J33" s="134">
        <f ca="1">SUM(G35:I35)*5</f>
        <v>45</v>
      </c>
      <c r="K33" s="492"/>
      <c r="L33" s="489"/>
      <c r="M33" s="493"/>
      <c r="N33" s="133" t="s">
        <v>52</v>
      </c>
      <c r="O33" s="282"/>
      <c r="P33" s="282"/>
      <c r="Q33" s="282"/>
      <c r="R33" s="519" t="s">
        <v>53</v>
      </c>
      <c r="S33" s="519"/>
      <c r="T33" s="519"/>
      <c r="U33" s="520" t="s">
        <v>54</v>
      </c>
      <c r="V33" s="520"/>
      <c r="W33" s="520"/>
      <c r="X33" s="519" t="s">
        <v>55</v>
      </c>
      <c r="Y33" s="519"/>
      <c r="Z33" s="519"/>
      <c r="AA33" s="520" t="s">
        <v>56</v>
      </c>
      <c r="AB33" s="520"/>
      <c r="AC33" s="520"/>
      <c r="AD33" s="519" t="s">
        <v>57</v>
      </c>
      <c r="AE33" s="519"/>
      <c r="AF33" s="519"/>
      <c r="AG33" s="520" t="s">
        <v>58</v>
      </c>
      <c r="AH33" s="520"/>
      <c r="AI33" s="567"/>
      <c r="AJ33" s="438"/>
      <c r="AK33" s="434"/>
    </row>
    <row r="34" ht="17.25" spans="1:40">
      <c r="A34" s="437"/>
      <c r="B34" s="210"/>
      <c r="C34" s="274"/>
      <c r="D34" s="458"/>
      <c r="E34" s="459"/>
      <c r="F34" s="457"/>
      <c r="G34" s="460"/>
      <c r="H34" s="461"/>
      <c r="I34" s="461"/>
      <c r="J34" s="144"/>
      <c r="K34" s="494"/>
      <c r="L34" s="489"/>
      <c r="M34" s="493"/>
      <c r="N34" s="460"/>
      <c r="O34" s="461"/>
      <c r="P34" s="461"/>
      <c r="Q34" s="461"/>
      <c r="R34" s="222" t="str">
        <f>LOOKUP(STR+SIZ,附表!A2:A32,附表!B2:B32)</f>
        <v>+1D4</v>
      </c>
      <c r="S34" s="222"/>
      <c r="T34" s="222"/>
      <c r="U34" s="144">
        <f>LOOKUP(STR+SIZ,附表!A2:A32,附表!C2:C32)</f>
        <v>1</v>
      </c>
      <c r="V34" s="144"/>
      <c r="W34" s="144"/>
      <c r="X34" s="222">
        <f>IF(ISBLANK(D28),"错误",MOV_main-LOOKUP(Age,附表!E2:E7,附表!F2:F7))</f>
        <v>7</v>
      </c>
      <c r="Y34" s="222"/>
      <c r="Z34" s="222"/>
      <c r="AA34" s="144">
        <f>INT((CON+SIZ)/10)</f>
        <v>12</v>
      </c>
      <c r="AB34" s="144"/>
      <c r="AC34" s="144"/>
      <c r="AD34" s="557">
        <f>P17</f>
        <v>65</v>
      </c>
      <c r="AE34" s="222"/>
      <c r="AF34" s="222"/>
      <c r="AG34" s="144">
        <f>INT(POW/5)</f>
        <v>13</v>
      </c>
      <c r="AH34" s="144"/>
      <c r="AI34" s="494"/>
      <c r="AJ34" s="438"/>
      <c r="AK34" s="434"/>
      <c r="AL34" s="434"/>
      <c r="AM34" s="434"/>
      <c r="AN34" s="434"/>
    </row>
    <row r="35" spans="1:40">
      <c r="A35" s="437"/>
      <c r="B35" s="438"/>
      <c r="C35" s="438"/>
      <c r="D35" s="438"/>
      <c r="E35" s="438"/>
      <c r="F35" s="438"/>
      <c r="G35" s="462">
        <f ca="1" t="shared" ref="G35:I35" si="9">RANDBETWEEN(1,6)</f>
        <v>2</v>
      </c>
      <c r="H35" s="462">
        <f ca="1" t="shared" si="9"/>
        <v>5</v>
      </c>
      <c r="I35" s="462">
        <f ca="1" t="shared" si="9"/>
        <v>2</v>
      </c>
      <c r="J35" s="462"/>
      <c r="K35" s="462"/>
      <c r="L35" s="462"/>
      <c r="M35" s="462"/>
      <c r="N35" s="462"/>
      <c r="O35" s="462"/>
      <c r="P35" s="462"/>
      <c r="Q35" s="462"/>
      <c r="R35" s="462"/>
      <c r="S35" s="462"/>
      <c r="T35" s="462"/>
      <c r="U35" s="462"/>
      <c r="V35" s="462"/>
      <c r="W35" s="462"/>
      <c r="X35" s="462"/>
      <c r="Y35" s="462"/>
      <c r="Z35" s="462"/>
      <c r="AA35" s="462"/>
      <c r="AB35" s="462"/>
      <c r="AC35" s="462"/>
      <c r="AD35" s="462"/>
      <c r="AE35" s="462"/>
      <c r="AF35" s="462"/>
      <c r="AG35" s="462"/>
      <c r="AH35" s="462"/>
      <c r="AI35" s="462"/>
      <c r="AJ35" s="438"/>
      <c r="AK35" s="434"/>
      <c r="AL35" s="434"/>
      <c r="AM35" s="434"/>
      <c r="AN35" s="434"/>
    </row>
    <row r="36" ht="27.75" spans="1:40">
      <c r="A36" s="437"/>
      <c r="B36" s="439" t="s">
        <v>59</v>
      </c>
      <c r="C36" s="439"/>
      <c r="D36" s="439"/>
      <c r="E36" s="439"/>
      <c r="F36" s="439"/>
      <c r="G36" s="439"/>
      <c r="H36" s="439"/>
      <c r="I36" s="439"/>
      <c r="J36" s="439"/>
      <c r="K36" s="439"/>
      <c r="L36" s="438"/>
      <c r="M36" s="438"/>
      <c r="N36" s="438"/>
      <c r="O36" s="438"/>
      <c r="P36" s="438"/>
      <c r="Q36" s="438"/>
      <c r="R36" s="438"/>
      <c r="S36" s="438"/>
      <c r="T36" s="438"/>
      <c r="U36" s="438"/>
      <c r="V36" s="438"/>
      <c r="W36" s="438"/>
      <c r="X36" s="438"/>
      <c r="Y36" s="438"/>
      <c r="Z36" s="438"/>
      <c r="AA36" s="438"/>
      <c r="AB36" s="438"/>
      <c r="AC36" s="438"/>
      <c r="AD36" s="438"/>
      <c r="AE36" s="438"/>
      <c r="AF36" s="438"/>
      <c r="AG36" s="438"/>
      <c r="AH36" s="438"/>
      <c r="AI36" s="438"/>
      <c r="AJ36" s="438"/>
      <c r="AK36" s="434"/>
      <c r="AL36" s="434"/>
      <c r="AM36" s="434"/>
      <c r="AN36" s="434"/>
    </row>
    <row r="37" ht="17.25" spans="1:40">
      <c r="A37" s="437"/>
      <c r="B37" s="463" t="s">
        <v>60</v>
      </c>
      <c r="C37" s="463"/>
      <c r="D37" s="463"/>
      <c r="E37" s="463"/>
      <c r="F37" s="464" t="s">
        <v>61</v>
      </c>
      <c r="G37" s="464"/>
      <c r="H37" s="464"/>
      <c r="I37" s="464"/>
      <c r="J37" s="464"/>
      <c r="K37" s="464"/>
      <c r="L37" s="464"/>
      <c r="M37" s="464"/>
      <c r="N37" s="464"/>
      <c r="O37" s="464"/>
      <c r="P37" s="464"/>
      <c r="Q37" s="464"/>
      <c r="R37" s="464"/>
      <c r="S37" s="464"/>
      <c r="T37" s="464"/>
      <c r="U37" s="464"/>
      <c r="V37" s="464"/>
      <c r="W37" s="464"/>
      <c r="X37" s="464"/>
      <c r="Y37" s="464"/>
      <c r="Z37" s="464"/>
      <c r="AA37" s="464"/>
      <c r="AB37" s="464"/>
      <c r="AC37" s="464"/>
      <c r="AD37" s="464"/>
      <c r="AE37" s="464"/>
      <c r="AF37" s="464"/>
      <c r="AG37" s="464"/>
      <c r="AH37" s="464"/>
      <c r="AI37" s="464"/>
      <c r="AJ37" s="438"/>
      <c r="AK37" s="434"/>
      <c r="AL37" s="434"/>
      <c r="AM37" s="434"/>
      <c r="AN37" s="434"/>
    </row>
    <row r="38" spans="1:36">
      <c r="A38" s="437"/>
      <c r="B38" s="441" t="s">
        <v>62</v>
      </c>
      <c r="C38" s="134"/>
      <c r="D38" s="134"/>
      <c r="E38" s="442">
        <v>60</v>
      </c>
      <c r="F38" s="443"/>
      <c r="G38" s="465"/>
      <c r="H38" s="438"/>
      <c r="I38" s="495"/>
      <c r="J38" s="441" t="str">
        <f>"选择的职业模板："&amp;LOOKUP(OccNo,职业列表!A2:A116,职业列表!B2:B116)</f>
        <v>选择的职业模板：黑帮-马仔</v>
      </c>
      <c r="K38" s="134"/>
      <c r="L38" s="134"/>
      <c r="M38" s="134"/>
      <c r="N38" s="134"/>
      <c r="O38" s="134"/>
      <c r="P38" s="134"/>
      <c r="Q38" s="134"/>
      <c r="R38" s="492"/>
      <c r="S38" s="465"/>
      <c r="T38" s="438"/>
      <c r="U38" s="438"/>
      <c r="V38" s="438"/>
      <c r="W38" s="438"/>
      <c r="X38" s="438"/>
      <c r="Y38" s="438"/>
      <c r="Z38" s="438"/>
      <c r="AA38" s="438"/>
      <c r="AB38" s="438"/>
      <c r="AC38" s="438"/>
      <c r="AD38" s="438"/>
      <c r="AE38" s="438"/>
      <c r="AF38" s="438"/>
      <c r="AG38" s="438"/>
      <c r="AH38" s="438"/>
      <c r="AI38" s="438"/>
      <c r="AJ38" s="466"/>
    </row>
    <row r="39" ht="17.25" spans="1:36">
      <c r="A39" s="437"/>
      <c r="B39" s="143"/>
      <c r="C39" s="144"/>
      <c r="D39" s="144"/>
      <c r="E39" s="444"/>
      <c r="F39" s="445"/>
      <c r="G39" s="465"/>
      <c r="H39" s="438"/>
      <c r="I39" s="495"/>
      <c r="J39" s="143"/>
      <c r="K39" s="144"/>
      <c r="L39" s="144"/>
      <c r="M39" s="144"/>
      <c r="N39" s="144"/>
      <c r="O39" s="144"/>
      <c r="P39" s="144"/>
      <c r="Q39" s="144"/>
      <c r="R39" s="494"/>
      <c r="S39" s="465"/>
      <c r="T39" s="438"/>
      <c r="U39" s="438"/>
      <c r="V39" s="438"/>
      <c r="W39" s="438"/>
      <c r="X39" s="438"/>
      <c r="Y39" s="438"/>
      <c r="Z39" s="438"/>
      <c r="AA39" s="438"/>
      <c r="AB39" s="438"/>
      <c r="AC39" s="438"/>
      <c r="AD39" s="438"/>
      <c r="AE39" s="438"/>
      <c r="AF39" s="438"/>
      <c r="AG39" s="438"/>
      <c r="AH39" s="438"/>
      <c r="AI39" s="438"/>
      <c r="AJ39" s="466"/>
    </row>
    <row r="40" spans="1:36">
      <c r="A40" s="437"/>
      <c r="B40" s="466"/>
      <c r="C40" s="466"/>
      <c r="D40" s="466"/>
      <c r="E40" s="466"/>
      <c r="F40" s="466"/>
      <c r="G40" s="466"/>
      <c r="H40" s="466"/>
      <c r="I40" s="466"/>
      <c r="J40" s="466"/>
      <c r="K40" s="466"/>
      <c r="L40" s="466"/>
      <c r="M40" s="466"/>
      <c r="N40" s="466"/>
      <c r="O40" s="466"/>
      <c r="P40" s="466"/>
      <c r="Q40" s="466"/>
      <c r="R40" s="466"/>
      <c r="S40" s="466"/>
      <c r="T40" s="466"/>
      <c r="U40" s="466"/>
      <c r="V40" s="466"/>
      <c r="W40" s="466"/>
      <c r="X40" s="466"/>
      <c r="Y40" s="466"/>
      <c r="Z40" s="466"/>
      <c r="AA40" s="466"/>
      <c r="AB40" s="466"/>
      <c r="AC40" s="466"/>
      <c r="AD40" s="466"/>
      <c r="AE40" s="466"/>
      <c r="AF40" s="466"/>
      <c r="AG40" s="466"/>
      <c r="AH40" s="466"/>
      <c r="AI40" s="466"/>
      <c r="AJ40" s="466"/>
    </row>
    <row r="41" ht="27.75" spans="1:40">
      <c r="A41" s="437"/>
      <c r="B41" s="439" t="s">
        <v>63</v>
      </c>
      <c r="C41" s="439"/>
      <c r="D41" s="439"/>
      <c r="E41" s="439"/>
      <c r="F41" s="439"/>
      <c r="G41" s="439"/>
      <c r="H41" s="439"/>
      <c r="I41" s="439"/>
      <c r="J41" s="439"/>
      <c r="K41" s="439"/>
      <c r="L41" s="438"/>
      <c r="M41" s="438"/>
      <c r="N41" s="438"/>
      <c r="O41" s="438"/>
      <c r="P41" s="438"/>
      <c r="Q41" s="438"/>
      <c r="R41" s="438"/>
      <c r="S41" s="438"/>
      <c r="T41" s="438"/>
      <c r="U41" s="438"/>
      <c r="V41" s="438"/>
      <c r="W41" s="438"/>
      <c r="X41" s="438"/>
      <c r="Y41" s="438"/>
      <c r="Z41" s="438"/>
      <c r="AA41" s="438"/>
      <c r="AB41" s="438"/>
      <c r="AC41" s="438"/>
      <c r="AD41" s="438"/>
      <c r="AE41" s="438"/>
      <c r="AF41" s="438"/>
      <c r="AG41" s="438"/>
      <c r="AH41" s="438"/>
      <c r="AI41" s="438"/>
      <c r="AJ41" s="438"/>
      <c r="AK41" s="434"/>
      <c r="AL41" s="434"/>
      <c r="AM41" s="434"/>
      <c r="AN41" s="434"/>
    </row>
    <row r="42" spans="1:40">
      <c r="A42" s="437"/>
      <c r="B42" s="467" t="str">
        <f>"["&amp;LOOKUP(E38,职业列表!A2:A116,职业列表!B2:B116)&amp;"]的本职技能包括："&amp;LOOKUP(E38,职业列表!A2:A116,职业列表!F2:F116)</f>
        <v>[黑帮-马仔]的本职技能包括：汽车驾驶，格斗，射击，两项社交技能（魅惑、话术、恐吓、说服），心理学，任意两项其他个人或时代特长。</v>
      </c>
      <c r="C42" s="467"/>
      <c r="D42" s="467"/>
      <c r="E42" s="467"/>
      <c r="F42" s="467"/>
      <c r="G42" s="467"/>
      <c r="H42" s="467"/>
      <c r="I42" s="467"/>
      <c r="J42" s="467"/>
      <c r="K42" s="467"/>
      <c r="L42" s="467"/>
      <c r="M42" s="467"/>
      <c r="N42" s="467"/>
      <c r="O42" s="467"/>
      <c r="P42" s="467"/>
      <c r="Q42" s="467"/>
      <c r="R42" s="467"/>
      <c r="S42" s="467"/>
      <c r="T42" s="467"/>
      <c r="U42" s="467"/>
      <c r="V42" s="467"/>
      <c r="W42" s="467"/>
      <c r="X42" s="467"/>
      <c r="Y42" s="467"/>
      <c r="Z42" s="467"/>
      <c r="AA42" s="467"/>
      <c r="AB42" s="467"/>
      <c r="AC42" s="467"/>
      <c r="AD42" s="467"/>
      <c r="AE42" s="467"/>
      <c r="AF42" s="467"/>
      <c r="AG42" s="467"/>
      <c r="AH42" s="467"/>
      <c r="AI42" s="467"/>
      <c r="AJ42" s="438"/>
      <c r="AK42" s="434"/>
      <c r="AL42" s="434"/>
      <c r="AM42" s="434"/>
      <c r="AN42" s="434"/>
    </row>
    <row r="43" spans="1:40">
      <c r="A43" s="437"/>
      <c r="B43" s="467"/>
      <c r="C43" s="467"/>
      <c r="D43" s="467"/>
      <c r="E43" s="467"/>
      <c r="F43" s="467"/>
      <c r="G43" s="467"/>
      <c r="H43" s="467"/>
      <c r="I43" s="467"/>
      <c r="J43" s="467"/>
      <c r="K43" s="467"/>
      <c r="L43" s="467"/>
      <c r="M43" s="467"/>
      <c r="N43" s="467"/>
      <c r="O43" s="467"/>
      <c r="P43" s="467"/>
      <c r="Q43" s="467"/>
      <c r="R43" s="467"/>
      <c r="S43" s="467"/>
      <c r="T43" s="467"/>
      <c r="U43" s="467"/>
      <c r="V43" s="467"/>
      <c r="W43" s="467"/>
      <c r="X43" s="467"/>
      <c r="Y43" s="467"/>
      <c r="Z43" s="467"/>
      <c r="AA43" s="467"/>
      <c r="AB43" s="467"/>
      <c r="AC43" s="467"/>
      <c r="AD43" s="467"/>
      <c r="AE43" s="467"/>
      <c r="AF43" s="467"/>
      <c r="AG43" s="467"/>
      <c r="AH43" s="467"/>
      <c r="AI43" s="467"/>
      <c r="AJ43" s="438"/>
      <c r="AK43" s="434"/>
      <c r="AL43" s="434"/>
      <c r="AM43" s="434"/>
      <c r="AN43" s="434"/>
    </row>
    <row r="44" spans="1:40">
      <c r="A44" s="437"/>
      <c r="B44" s="438" t="str">
        <f>"将"&amp;LOOKUP(OccNo,职业列表!A2:A116,职业列表!E2:E116)&amp;"点本职技能点数分配给本职技能和信用评级，再将"&amp;INT*2&amp;"点兴趣技能点数分配给任意技能。点数计算器在下表的右下角。"</f>
        <v>将280点本职技能点数分配给本职技能和信用评级，再将170点兴趣技能点数分配给任意技能。点数计算器在下表的右下角。</v>
      </c>
      <c r="C44" s="438"/>
      <c r="D44" s="438"/>
      <c r="E44" s="438"/>
      <c r="F44" s="438"/>
      <c r="G44" s="438"/>
      <c r="H44" s="438"/>
      <c r="I44" s="438"/>
      <c r="J44" s="438"/>
      <c r="K44" s="438"/>
      <c r="L44" s="438"/>
      <c r="M44" s="438"/>
      <c r="N44" s="438"/>
      <c r="O44" s="438"/>
      <c r="P44" s="438"/>
      <c r="Q44" s="438"/>
      <c r="R44" s="438"/>
      <c r="S44" s="438"/>
      <c r="T44" s="438"/>
      <c r="U44" s="438"/>
      <c r="V44" s="438"/>
      <c r="W44" s="438"/>
      <c r="X44" s="438"/>
      <c r="Y44" s="438"/>
      <c r="Z44" s="438"/>
      <c r="AA44" s="438"/>
      <c r="AB44" s="438"/>
      <c r="AC44" s="438"/>
      <c r="AD44" s="438"/>
      <c r="AE44" s="438"/>
      <c r="AF44" s="438"/>
      <c r="AG44" s="438"/>
      <c r="AH44" s="438"/>
      <c r="AI44" s="438"/>
      <c r="AJ44" s="438"/>
      <c r="AK44" s="434"/>
      <c r="AL44" s="434"/>
      <c r="AM44" s="434"/>
      <c r="AN44" s="434"/>
    </row>
    <row r="45" ht="17.25" spans="1:36">
      <c r="A45" s="437"/>
      <c r="B45" s="468" t="str">
        <f>"["&amp;LOOKUP(E38,职业列表!A2:A116,职业列表!B2:B116)&amp;"]的职业信用范围："&amp;LOOKUP(E38,职业列表!A2:A116,职业列表!C2:C116)&amp;"，请使用本职技能点将信用评级加至这个区间。"</f>
        <v>[黑帮-马仔]的职业信用范围：9-20，请使用本职技能点将信用评级加至这个区间。</v>
      </c>
      <c r="C45" s="468"/>
      <c r="D45" s="468"/>
      <c r="E45" s="468"/>
      <c r="F45" s="468"/>
      <c r="G45" s="468"/>
      <c r="H45" s="468"/>
      <c r="I45" s="468"/>
      <c r="J45" s="468"/>
      <c r="K45" s="468"/>
      <c r="L45" s="468"/>
      <c r="M45" s="468"/>
      <c r="N45" s="468"/>
      <c r="O45" s="468"/>
      <c r="P45" s="468"/>
      <c r="Q45" s="468"/>
      <c r="R45" s="468"/>
      <c r="S45" s="468"/>
      <c r="T45" s="468"/>
      <c r="U45" s="468"/>
      <c r="V45" s="468"/>
      <c r="W45" s="468"/>
      <c r="X45" s="468"/>
      <c r="Y45" s="468"/>
      <c r="Z45" s="468"/>
      <c r="AA45" s="468"/>
      <c r="AB45" s="468"/>
      <c r="AC45" s="468"/>
      <c r="AD45" s="468"/>
      <c r="AE45" s="468"/>
      <c r="AF45" s="468"/>
      <c r="AG45" s="468"/>
      <c r="AH45" s="468"/>
      <c r="AI45" s="468"/>
      <c r="AJ45" s="466"/>
    </row>
    <row r="46" spans="1:36">
      <c r="A46" s="437"/>
      <c r="B46" s="176" t="s">
        <v>64</v>
      </c>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300"/>
      <c r="AJ46" s="466"/>
    </row>
    <row r="47" spans="1:36">
      <c r="A47" s="437"/>
      <c r="B47" s="469" t="s">
        <v>65</v>
      </c>
      <c r="C47" s="470"/>
      <c r="D47" s="470"/>
      <c r="E47" s="470"/>
      <c r="F47" s="471"/>
      <c r="G47" s="472" t="s">
        <v>66</v>
      </c>
      <c r="H47" s="472"/>
      <c r="I47" s="472" t="s">
        <v>37</v>
      </c>
      <c r="J47" s="472"/>
      <c r="K47" s="472" t="s">
        <v>67</v>
      </c>
      <c r="L47" s="472"/>
      <c r="M47" s="472" t="s">
        <v>68</v>
      </c>
      <c r="N47" s="472"/>
      <c r="O47" s="472"/>
      <c r="P47" s="472"/>
      <c r="Q47" s="472"/>
      <c r="R47" s="521"/>
      <c r="S47" s="470" t="s">
        <v>65</v>
      </c>
      <c r="T47" s="470"/>
      <c r="U47" s="470"/>
      <c r="V47" s="470"/>
      <c r="W47" s="471"/>
      <c r="X47" s="472" t="s">
        <v>66</v>
      </c>
      <c r="Y47" s="472"/>
      <c r="Z47" s="472" t="s">
        <v>37</v>
      </c>
      <c r="AA47" s="472"/>
      <c r="AB47" s="472" t="s">
        <v>67</v>
      </c>
      <c r="AC47" s="472"/>
      <c r="AD47" s="472" t="s">
        <v>68</v>
      </c>
      <c r="AE47" s="472"/>
      <c r="AF47" s="472"/>
      <c r="AG47" s="472"/>
      <c r="AH47" s="472"/>
      <c r="AI47" s="568"/>
      <c r="AJ47" s="466"/>
    </row>
    <row r="48" spans="1:36">
      <c r="A48" s="437"/>
      <c r="B48" s="473" t="s">
        <v>69</v>
      </c>
      <c r="C48" s="229"/>
      <c r="D48" s="229"/>
      <c r="E48" s="229"/>
      <c r="F48" s="229"/>
      <c r="G48" s="474">
        <v>5</v>
      </c>
      <c r="H48" s="474"/>
      <c r="I48" s="496"/>
      <c r="J48" s="496"/>
      <c r="K48" s="496"/>
      <c r="L48" s="496"/>
      <c r="M48" s="497">
        <f>SUM(G48:L48)</f>
        <v>5</v>
      </c>
      <c r="N48" s="497"/>
      <c r="O48" s="497">
        <f>INT(M48/2)</f>
        <v>2</v>
      </c>
      <c r="P48" s="497"/>
      <c r="Q48" s="497">
        <f>INT(M48/5)</f>
        <v>1</v>
      </c>
      <c r="R48" s="522"/>
      <c r="S48" s="523" t="s">
        <v>70</v>
      </c>
      <c r="T48" s="523"/>
      <c r="U48" s="523"/>
      <c r="V48" s="523"/>
      <c r="W48" s="523"/>
      <c r="X48" s="474">
        <v>5</v>
      </c>
      <c r="Y48" s="474"/>
      <c r="Z48" s="496"/>
      <c r="AA48" s="496"/>
      <c r="AB48" s="496">
        <v>15</v>
      </c>
      <c r="AC48" s="496"/>
      <c r="AD48" s="497">
        <f t="shared" ref="AD48:AD78" si="10">SUM(X48:AC48)</f>
        <v>20</v>
      </c>
      <c r="AE48" s="497"/>
      <c r="AF48" s="497">
        <f>INT(AD48/2)</f>
        <v>10</v>
      </c>
      <c r="AG48" s="497"/>
      <c r="AH48" s="497">
        <f>INT(AD48/5)</f>
        <v>4</v>
      </c>
      <c r="AI48" s="569"/>
      <c r="AJ48" s="466"/>
    </row>
    <row r="49" spans="1:36">
      <c r="A49" s="437"/>
      <c r="B49" s="475" t="s">
        <v>71</v>
      </c>
      <c r="C49" s="232"/>
      <c r="D49" s="232"/>
      <c r="E49" s="232"/>
      <c r="F49" s="232"/>
      <c r="G49" s="476">
        <v>1</v>
      </c>
      <c r="H49" s="476"/>
      <c r="I49" s="498"/>
      <c r="J49" s="498"/>
      <c r="K49" s="498"/>
      <c r="L49" s="498"/>
      <c r="M49" s="499">
        <f>SUM(G49:L49)</f>
        <v>1</v>
      </c>
      <c r="N49" s="499"/>
      <c r="O49" s="499">
        <f>INT(M49/2)</f>
        <v>0</v>
      </c>
      <c r="P49" s="499"/>
      <c r="Q49" s="499">
        <f>INT(M49/5)</f>
        <v>0</v>
      </c>
      <c r="R49" s="524"/>
      <c r="S49" s="232" t="s">
        <v>72</v>
      </c>
      <c r="T49" s="232"/>
      <c r="U49" s="232"/>
      <c r="V49" s="232"/>
      <c r="W49" s="232"/>
      <c r="X49" s="476">
        <v>20</v>
      </c>
      <c r="Y49" s="476"/>
      <c r="Z49" s="498"/>
      <c r="AA49" s="498"/>
      <c r="AB49" s="498"/>
      <c r="AC49" s="498"/>
      <c r="AD49" s="499">
        <f t="shared" si="10"/>
        <v>20</v>
      </c>
      <c r="AE49" s="499"/>
      <c r="AF49" s="499">
        <f>INT(AD49/2)</f>
        <v>10</v>
      </c>
      <c r="AG49" s="499"/>
      <c r="AH49" s="499">
        <f>INT(AD49/5)</f>
        <v>4</v>
      </c>
      <c r="AI49" s="570"/>
      <c r="AJ49" s="466"/>
    </row>
    <row r="50" spans="1:36">
      <c r="A50" s="437"/>
      <c r="B50" s="473" t="s">
        <v>73</v>
      </c>
      <c r="C50" s="229"/>
      <c r="D50" s="229"/>
      <c r="E50" s="229"/>
      <c r="F50" s="229"/>
      <c r="G50" s="474">
        <v>5</v>
      </c>
      <c r="H50" s="474"/>
      <c r="I50" s="496"/>
      <c r="J50" s="496"/>
      <c r="K50" s="496">
        <v>45</v>
      </c>
      <c r="L50" s="496"/>
      <c r="M50" s="497">
        <f t="shared" ref="M50:M79" si="11">SUM(G50:L50)</f>
        <v>50</v>
      </c>
      <c r="N50" s="497"/>
      <c r="O50" s="497">
        <f t="shared" ref="O50:O79" si="12">INT(M50/2)</f>
        <v>25</v>
      </c>
      <c r="P50" s="497"/>
      <c r="Q50" s="497">
        <f t="shared" ref="Q50:Q79" si="13">INT(M50/5)</f>
        <v>10</v>
      </c>
      <c r="R50" s="522"/>
      <c r="S50" s="523" t="s">
        <v>74</v>
      </c>
      <c r="T50" s="523"/>
      <c r="U50" s="523"/>
      <c r="V50" s="523"/>
      <c r="W50" s="523"/>
      <c r="X50" s="474">
        <v>20</v>
      </c>
      <c r="Y50" s="474"/>
      <c r="Z50" s="496"/>
      <c r="AA50" s="496"/>
      <c r="AB50" s="496"/>
      <c r="AC50" s="496"/>
      <c r="AD50" s="497">
        <f t="shared" si="10"/>
        <v>20</v>
      </c>
      <c r="AE50" s="497"/>
      <c r="AF50" s="497">
        <f t="shared" ref="AF50:AF78" si="14">INT(AD50/2)</f>
        <v>10</v>
      </c>
      <c r="AG50" s="497"/>
      <c r="AH50" s="497">
        <f t="shared" ref="AH50:AH78" si="15">INT(AD50/5)</f>
        <v>4</v>
      </c>
      <c r="AI50" s="569"/>
      <c r="AJ50" s="466"/>
    </row>
    <row r="51" spans="1:36">
      <c r="A51" s="437"/>
      <c r="B51" s="475" t="s">
        <v>75</v>
      </c>
      <c r="C51" s="232"/>
      <c r="D51" s="232"/>
      <c r="E51" s="232"/>
      <c r="F51" s="232"/>
      <c r="G51" s="476">
        <v>1</v>
      </c>
      <c r="H51" s="476"/>
      <c r="I51" s="498"/>
      <c r="J51" s="498"/>
      <c r="K51" s="498"/>
      <c r="L51" s="498"/>
      <c r="M51" s="499">
        <f t="shared" si="11"/>
        <v>1</v>
      </c>
      <c r="N51" s="499"/>
      <c r="O51" s="499">
        <f t="shared" si="12"/>
        <v>0</v>
      </c>
      <c r="P51" s="499"/>
      <c r="Q51" s="499">
        <f t="shared" si="13"/>
        <v>0</v>
      </c>
      <c r="R51" s="524"/>
      <c r="S51" s="232" t="s">
        <v>76</v>
      </c>
      <c r="T51" s="232"/>
      <c r="U51" s="232"/>
      <c r="V51" s="232"/>
      <c r="W51" s="232"/>
      <c r="X51" s="476">
        <v>1</v>
      </c>
      <c r="Y51" s="476"/>
      <c r="Z51" s="498">
        <v>45</v>
      </c>
      <c r="AA51" s="498"/>
      <c r="AB51" s="498"/>
      <c r="AC51" s="498"/>
      <c r="AD51" s="499">
        <f t="shared" si="10"/>
        <v>46</v>
      </c>
      <c r="AE51" s="499"/>
      <c r="AF51" s="499">
        <f t="shared" si="14"/>
        <v>23</v>
      </c>
      <c r="AG51" s="499"/>
      <c r="AH51" s="499">
        <f t="shared" si="15"/>
        <v>9</v>
      </c>
      <c r="AI51" s="570"/>
      <c r="AJ51" s="466"/>
    </row>
    <row r="52" spans="1:36">
      <c r="A52" s="437"/>
      <c r="B52" s="477" t="s">
        <v>77</v>
      </c>
      <c r="C52" s="478"/>
      <c r="D52" s="479"/>
      <c r="E52" s="479"/>
      <c r="F52" s="480"/>
      <c r="G52" s="474">
        <v>5</v>
      </c>
      <c r="H52" s="474"/>
      <c r="I52" s="496"/>
      <c r="J52" s="496"/>
      <c r="K52" s="496"/>
      <c r="L52" s="496"/>
      <c r="M52" s="497">
        <f t="shared" si="11"/>
        <v>5</v>
      </c>
      <c r="N52" s="497"/>
      <c r="O52" s="497">
        <f t="shared" si="12"/>
        <v>2</v>
      </c>
      <c r="P52" s="497"/>
      <c r="Q52" s="497">
        <f t="shared" si="13"/>
        <v>1</v>
      </c>
      <c r="R52" s="522"/>
      <c r="S52" s="523" t="s">
        <v>78</v>
      </c>
      <c r="T52" s="523"/>
      <c r="U52" s="523"/>
      <c r="V52" s="523"/>
      <c r="W52" s="523"/>
      <c r="X52" s="474">
        <v>10</v>
      </c>
      <c r="Y52" s="474"/>
      <c r="Z52" s="496"/>
      <c r="AA52" s="496"/>
      <c r="AB52" s="496"/>
      <c r="AC52" s="496"/>
      <c r="AD52" s="497">
        <f t="shared" si="10"/>
        <v>10</v>
      </c>
      <c r="AE52" s="497"/>
      <c r="AF52" s="497">
        <f t="shared" si="14"/>
        <v>5</v>
      </c>
      <c r="AG52" s="497"/>
      <c r="AH52" s="497">
        <f t="shared" si="15"/>
        <v>2</v>
      </c>
      <c r="AI52" s="569"/>
      <c r="AJ52" s="466"/>
    </row>
    <row r="53" spans="1:36">
      <c r="A53" s="437"/>
      <c r="B53" s="481" t="s">
        <v>77</v>
      </c>
      <c r="C53" s="482"/>
      <c r="D53" s="483"/>
      <c r="E53" s="483"/>
      <c r="F53" s="484"/>
      <c r="G53" s="476">
        <v>5</v>
      </c>
      <c r="H53" s="476"/>
      <c r="I53" s="498"/>
      <c r="J53" s="498"/>
      <c r="K53" s="498"/>
      <c r="L53" s="498"/>
      <c r="M53" s="499">
        <f t="shared" si="11"/>
        <v>5</v>
      </c>
      <c r="N53" s="499"/>
      <c r="O53" s="499">
        <f t="shared" si="12"/>
        <v>2</v>
      </c>
      <c r="P53" s="499"/>
      <c r="Q53" s="499">
        <f t="shared" si="13"/>
        <v>1</v>
      </c>
      <c r="R53" s="524"/>
      <c r="S53" s="232" t="s">
        <v>79</v>
      </c>
      <c r="T53" s="232"/>
      <c r="U53" s="232"/>
      <c r="V53" s="232"/>
      <c r="W53" s="232"/>
      <c r="X53" s="476">
        <v>1</v>
      </c>
      <c r="Y53" s="476"/>
      <c r="Z53" s="498"/>
      <c r="AA53" s="498"/>
      <c r="AB53" s="498"/>
      <c r="AC53" s="498"/>
      <c r="AD53" s="499">
        <f t="shared" si="10"/>
        <v>1</v>
      </c>
      <c r="AE53" s="499"/>
      <c r="AF53" s="499">
        <f t="shared" si="14"/>
        <v>0</v>
      </c>
      <c r="AG53" s="499"/>
      <c r="AH53" s="499">
        <f t="shared" si="15"/>
        <v>0</v>
      </c>
      <c r="AI53" s="570"/>
      <c r="AJ53" s="466"/>
    </row>
    <row r="54" spans="1:36">
      <c r="A54" s="437"/>
      <c r="B54" s="477" t="s">
        <v>77</v>
      </c>
      <c r="C54" s="478"/>
      <c r="D54" s="479"/>
      <c r="E54" s="479"/>
      <c r="F54" s="480"/>
      <c r="G54" s="474">
        <v>5</v>
      </c>
      <c r="H54" s="474"/>
      <c r="I54" s="496"/>
      <c r="J54" s="496"/>
      <c r="K54" s="496"/>
      <c r="L54" s="496"/>
      <c r="M54" s="497">
        <f t="shared" si="11"/>
        <v>5</v>
      </c>
      <c r="N54" s="497"/>
      <c r="O54" s="497">
        <f t="shared" si="12"/>
        <v>2</v>
      </c>
      <c r="P54" s="497"/>
      <c r="Q54" s="497">
        <f t="shared" si="13"/>
        <v>1</v>
      </c>
      <c r="R54" s="522"/>
      <c r="S54" s="523" t="s">
        <v>80</v>
      </c>
      <c r="T54" s="523"/>
      <c r="U54" s="523"/>
      <c r="V54" s="523"/>
      <c r="W54" s="523"/>
      <c r="X54" s="474">
        <v>10</v>
      </c>
      <c r="Y54" s="474"/>
      <c r="Z54" s="496"/>
      <c r="AA54" s="496"/>
      <c r="AB54" s="496"/>
      <c r="AC54" s="496"/>
      <c r="AD54" s="497">
        <f t="shared" si="10"/>
        <v>10</v>
      </c>
      <c r="AE54" s="497"/>
      <c r="AF54" s="497">
        <f t="shared" si="14"/>
        <v>5</v>
      </c>
      <c r="AG54" s="497"/>
      <c r="AH54" s="497">
        <f t="shared" si="15"/>
        <v>2</v>
      </c>
      <c r="AI54" s="569"/>
      <c r="AJ54" s="466"/>
    </row>
    <row r="55" spans="1:36">
      <c r="A55" s="437"/>
      <c r="B55" s="475" t="s">
        <v>81</v>
      </c>
      <c r="C55" s="232"/>
      <c r="D55" s="232"/>
      <c r="E55" s="232"/>
      <c r="F55" s="232"/>
      <c r="G55" s="476">
        <v>15</v>
      </c>
      <c r="H55" s="476"/>
      <c r="I55" s="498"/>
      <c r="J55" s="498"/>
      <c r="K55" s="498"/>
      <c r="L55" s="498"/>
      <c r="M55" s="499">
        <f t="shared" si="11"/>
        <v>15</v>
      </c>
      <c r="N55" s="499"/>
      <c r="O55" s="499">
        <f t="shared" si="12"/>
        <v>7</v>
      </c>
      <c r="P55" s="499"/>
      <c r="Q55" s="499">
        <f t="shared" si="13"/>
        <v>3</v>
      </c>
      <c r="R55" s="524"/>
      <c r="S55" s="232" t="s">
        <v>82</v>
      </c>
      <c r="T55" s="232"/>
      <c r="U55" s="232"/>
      <c r="V55" s="232"/>
      <c r="W55" s="232"/>
      <c r="X55" s="476">
        <v>10</v>
      </c>
      <c r="Y55" s="476"/>
      <c r="Z55" s="498"/>
      <c r="AA55" s="498"/>
      <c r="AB55" s="498"/>
      <c r="AC55" s="498"/>
      <c r="AD55" s="499">
        <f t="shared" si="10"/>
        <v>10</v>
      </c>
      <c r="AE55" s="499"/>
      <c r="AF55" s="499">
        <f t="shared" si="14"/>
        <v>5</v>
      </c>
      <c r="AG55" s="499"/>
      <c r="AH55" s="499">
        <f t="shared" si="15"/>
        <v>2</v>
      </c>
      <c r="AI55" s="570"/>
      <c r="AJ55" s="466"/>
    </row>
    <row r="56" spans="1:36">
      <c r="A56" s="437"/>
      <c r="B56" s="473" t="s">
        <v>83</v>
      </c>
      <c r="C56" s="229"/>
      <c r="D56" s="229"/>
      <c r="E56" s="229"/>
      <c r="F56" s="229"/>
      <c r="G56" s="474">
        <v>20</v>
      </c>
      <c r="H56" s="474"/>
      <c r="I56" s="496"/>
      <c r="J56" s="496"/>
      <c r="K56" s="496"/>
      <c r="L56" s="496"/>
      <c r="M56" s="497">
        <f t="shared" si="11"/>
        <v>20</v>
      </c>
      <c r="N56" s="497"/>
      <c r="O56" s="497">
        <f t="shared" si="12"/>
        <v>10</v>
      </c>
      <c r="P56" s="497"/>
      <c r="Q56" s="497">
        <f t="shared" si="13"/>
        <v>4</v>
      </c>
      <c r="R56" s="522"/>
      <c r="S56" s="523" t="s">
        <v>84</v>
      </c>
      <c r="T56" s="523"/>
      <c r="U56" s="523"/>
      <c r="V56" s="523"/>
      <c r="W56" s="523"/>
      <c r="X56" s="474">
        <v>5</v>
      </c>
      <c r="Y56" s="474"/>
      <c r="Z56" s="496"/>
      <c r="AA56" s="496"/>
      <c r="AB56" s="496"/>
      <c r="AC56" s="496"/>
      <c r="AD56" s="497">
        <f t="shared" si="10"/>
        <v>5</v>
      </c>
      <c r="AE56" s="497"/>
      <c r="AF56" s="497">
        <f t="shared" si="14"/>
        <v>2</v>
      </c>
      <c r="AG56" s="497"/>
      <c r="AH56" s="497">
        <f t="shared" si="15"/>
        <v>1</v>
      </c>
      <c r="AI56" s="569"/>
      <c r="AJ56" s="466"/>
    </row>
    <row r="57" spans="1:36">
      <c r="A57" s="437"/>
      <c r="B57" s="475" t="str">
        <f>IF(E8="现代","计算机使用","Ω")</f>
        <v>Ω</v>
      </c>
      <c r="C57" s="232"/>
      <c r="D57" s="232"/>
      <c r="E57" s="232"/>
      <c r="F57" s="232"/>
      <c r="G57" s="476">
        <v>5</v>
      </c>
      <c r="H57" s="476"/>
      <c r="I57" s="498"/>
      <c r="J57" s="498"/>
      <c r="K57" s="498"/>
      <c r="L57" s="498"/>
      <c r="M57" s="499">
        <f t="shared" si="11"/>
        <v>5</v>
      </c>
      <c r="N57" s="499"/>
      <c r="O57" s="499">
        <f t="shared" si="12"/>
        <v>2</v>
      </c>
      <c r="P57" s="499"/>
      <c r="Q57" s="499">
        <f t="shared" si="13"/>
        <v>1</v>
      </c>
      <c r="R57" s="524"/>
      <c r="S57" s="232" t="s">
        <v>85</v>
      </c>
      <c r="T57" s="232"/>
      <c r="U57" s="232"/>
      <c r="V57" s="232"/>
      <c r="W57" s="232"/>
      <c r="X57" s="476">
        <v>1</v>
      </c>
      <c r="Y57" s="476"/>
      <c r="Z57" s="498"/>
      <c r="AA57" s="498"/>
      <c r="AB57" s="498"/>
      <c r="AC57" s="498"/>
      <c r="AD57" s="499">
        <f t="shared" si="10"/>
        <v>1</v>
      </c>
      <c r="AE57" s="499"/>
      <c r="AF57" s="499">
        <f t="shared" si="14"/>
        <v>0</v>
      </c>
      <c r="AG57" s="499"/>
      <c r="AH57" s="499">
        <f t="shared" si="15"/>
        <v>0</v>
      </c>
      <c r="AI57" s="570"/>
      <c r="AJ57" s="466"/>
    </row>
    <row r="58" spans="1:36">
      <c r="A58" s="437"/>
      <c r="B58" s="473" t="s">
        <v>86</v>
      </c>
      <c r="C58" s="229"/>
      <c r="D58" s="229"/>
      <c r="E58" s="229"/>
      <c r="F58" s="229"/>
      <c r="G58" s="474">
        <v>0</v>
      </c>
      <c r="H58" s="474"/>
      <c r="I58" s="500">
        <v>20</v>
      </c>
      <c r="J58" s="500"/>
      <c r="K58" s="496"/>
      <c r="L58" s="496"/>
      <c r="M58" s="497">
        <f t="shared" si="11"/>
        <v>20</v>
      </c>
      <c r="N58" s="497"/>
      <c r="O58" s="497">
        <f t="shared" si="12"/>
        <v>10</v>
      </c>
      <c r="P58" s="497"/>
      <c r="Q58" s="497">
        <f t="shared" si="13"/>
        <v>4</v>
      </c>
      <c r="R58" s="522"/>
      <c r="S58" s="523" t="s">
        <v>87</v>
      </c>
      <c r="T58" s="523"/>
      <c r="U58" s="523"/>
      <c r="V58" s="523"/>
      <c r="W58" s="523"/>
      <c r="X58" s="474">
        <v>10</v>
      </c>
      <c r="Y58" s="474"/>
      <c r="Z58" s="496"/>
      <c r="AA58" s="496"/>
      <c r="AB58" s="496"/>
      <c r="AC58" s="496"/>
      <c r="AD58" s="497">
        <f t="shared" si="10"/>
        <v>10</v>
      </c>
      <c r="AE58" s="497"/>
      <c r="AF58" s="497">
        <f t="shared" si="14"/>
        <v>5</v>
      </c>
      <c r="AG58" s="497"/>
      <c r="AH58" s="497">
        <f t="shared" si="15"/>
        <v>2</v>
      </c>
      <c r="AI58" s="569"/>
      <c r="AJ58" s="466"/>
    </row>
    <row r="59" spans="1:36">
      <c r="A59" s="437"/>
      <c r="B59" s="475" t="s">
        <v>88</v>
      </c>
      <c r="C59" s="232"/>
      <c r="D59" s="232"/>
      <c r="E59" s="232"/>
      <c r="F59" s="232"/>
      <c r="G59" s="476">
        <v>0</v>
      </c>
      <c r="H59" s="476"/>
      <c r="I59" s="498" t="s">
        <v>89</v>
      </c>
      <c r="J59" s="498"/>
      <c r="K59" s="498" t="s">
        <v>89</v>
      </c>
      <c r="L59" s="498" t="s">
        <v>89</v>
      </c>
      <c r="M59" s="499">
        <f t="shared" si="11"/>
        <v>0</v>
      </c>
      <c r="N59" s="499"/>
      <c r="O59" s="499">
        <f t="shared" si="12"/>
        <v>0</v>
      </c>
      <c r="P59" s="499"/>
      <c r="Q59" s="499">
        <f t="shared" si="13"/>
        <v>0</v>
      </c>
      <c r="R59" s="524"/>
      <c r="S59" s="525" t="s">
        <v>90</v>
      </c>
      <c r="T59" s="482"/>
      <c r="U59" s="526"/>
      <c r="V59" s="526"/>
      <c r="W59" s="527"/>
      <c r="X59" s="476">
        <v>1</v>
      </c>
      <c r="Y59" s="476"/>
      <c r="Z59" s="498"/>
      <c r="AA59" s="498"/>
      <c r="AB59" s="498"/>
      <c r="AC59" s="498"/>
      <c r="AD59" s="499">
        <f t="shared" si="10"/>
        <v>1</v>
      </c>
      <c r="AE59" s="499"/>
      <c r="AF59" s="499">
        <f t="shared" si="14"/>
        <v>0</v>
      </c>
      <c r="AG59" s="499"/>
      <c r="AH59" s="499">
        <f t="shared" si="15"/>
        <v>0</v>
      </c>
      <c r="AI59" s="570"/>
      <c r="AJ59" s="466"/>
    </row>
    <row r="60" spans="1:36">
      <c r="A60" s="437"/>
      <c r="B60" s="473" t="s">
        <v>91</v>
      </c>
      <c r="C60" s="229"/>
      <c r="D60" s="229"/>
      <c r="E60" s="229"/>
      <c r="F60" s="229"/>
      <c r="G60" s="474">
        <v>5</v>
      </c>
      <c r="H60" s="474"/>
      <c r="I60" s="496"/>
      <c r="J60" s="496"/>
      <c r="K60" s="496"/>
      <c r="L60" s="496"/>
      <c r="M60" s="497">
        <f t="shared" si="11"/>
        <v>5</v>
      </c>
      <c r="N60" s="497"/>
      <c r="O60" s="497">
        <f t="shared" si="12"/>
        <v>2</v>
      </c>
      <c r="P60" s="497"/>
      <c r="Q60" s="497">
        <f t="shared" si="13"/>
        <v>1</v>
      </c>
      <c r="R60" s="522"/>
      <c r="S60" s="523" t="s">
        <v>92</v>
      </c>
      <c r="T60" s="523"/>
      <c r="U60" s="523"/>
      <c r="V60" s="523"/>
      <c r="W60" s="523"/>
      <c r="X60" s="474">
        <v>1</v>
      </c>
      <c r="Y60" s="474"/>
      <c r="Z60" s="496"/>
      <c r="AA60" s="496"/>
      <c r="AB60" s="496"/>
      <c r="AC60" s="496"/>
      <c r="AD60" s="497">
        <f t="shared" si="10"/>
        <v>1</v>
      </c>
      <c r="AE60" s="497"/>
      <c r="AF60" s="497">
        <f t="shared" si="14"/>
        <v>0</v>
      </c>
      <c r="AG60" s="497"/>
      <c r="AH60" s="497">
        <f t="shared" si="15"/>
        <v>0</v>
      </c>
      <c r="AI60" s="569"/>
      <c r="AJ60" s="466"/>
    </row>
    <row r="61" spans="1:36">
      <c r="A61" s="437"/>
      <c r="B61" s="475" t="s">
        <v>93</v>
      </c>
      <c r="C61" s="232"/>
      <c r="D61" s="232"/>
      <c r="E61" s="232"/>
      <c r="F61" s="232"/>
      <c r="G61" s="476">
        <f>INT(DEX/2)</f>
        <v>32</v>
      </c>
      <c r="H61" s="476"/>
      <c r="I61" s="498"/>
      <c r="J61" s="498"/>
      <c r="K61" s="498">
        <v>30</v>
      </c>
      <c r="L61" s="498"/>
      <c r="M61" s="499">
        <f t="shared" si="11"/>
        <v>62</v>
      </c>
      <c r="N61" s="499"/>
      <c r="O61" s="499">
        <f t="shared" si="12"/>
        <v>31</v>
      </c>
      <c r="P61" s="499"/>
      <c r="Q61" s="499">
        <f t="shared" si="13"/>
        <v>12</v>
      </c>
      <c r="R61" s="524"/>
      <c r="S61" s="232" t="s">
        <v>94</v>
      </c>
      <c r="T61" s="232"/>
      <c r="U61" s="232"/>
      <c r="V61" s="232"/>
      <c r="W61" s="232"/>
      <c r="X61" s="476">
        <v>10</v>
      </c>
      <c r="Y61" s="476"/>
      <c r="Z61" s="498">
        <v>50</v>
      </c>
      <c r="AA61" s="498"/>
      <c r="AB61" s="498"/>
      <c r="AC61" s="498"/>
      <c r="AD61" s="499">
        <f t="shared" si="10"/>
        <v>60</v>
      </c>
      <c r="AE61" s="499"/>
      <c r="AF61" s="499">
        <f t="shared" si="14"/>
        <v>30</v>
      </c>
      <c r="AG61" s="499"/>
      <c r="AH61" s="499">
        <f t="shared" si="15"/>
        <v>12</v>
      </c>
      <c r="AI61" s="570"/>
      <c r="AJ61" s="466"/>
    </row>
    <row r="62" spans="1:36">
      <c r="A62" s="437"/>
      <c r="B62" s="473" t="s">
        <v>95</v>
      </c>
      <c r="C62" s="229"/>
      <c r="D62" s="229"/>
      <c r="E62" s="229"/>
      <c r="F62" s="229"/>
      <c r="G62" s="474">
        <v>20</v>
      </c>
      <c r="H62" s="474"/>
      <c r="I62" s="496"/>
      <c r="J62" s="496"/>
      <c r="K62" s="496"/>
      <c r="L62" s="496"/>
      <c r="M62" s="497">
        <f t="shared" si="11"/>
        <v>20</v>
      </c>
      <c r="N62" s="497"/>
      <c r="O62" s="497">
        <f t="shared" si="12"/>
        <v>10</v>
      </c>
      <c r="P62" s="497"/>
      <c r="Q62" s="497">
        <f t="shared" si="13"/>
        <v>4</v>
      </c>
      <c r="R62" s="522"/>
      <c r="S62" s="523" t="s">
        <v>96</v>
      </c>
      <c r="T62" s="523"/>
      <c r="U62" s="523"/>
      <c r="V62" s="523"/>
      <c r="W62" s="523"/>
      <c r="X62" s="474">
        <v>5</v>
      </c>
      <c r="Y62" s="474"/>
      <c r="Z62" s="496"/>
      <c r="AA62" s="496"/>
      <c r="AB62" s="496"/>
      <c r="AC62" s="496"/>
      <c r="AD62" s="497">
        <f t="shared" si="10"/>
        <v>5</v>
      </c>
      <c r="AE62" s="497"/>
      <c r="AF62" s="497">
        <f t="shared" si="14"/>
        <v>2</v>
      </c>
      <c r="AG62" s="497"/>
      <c r="AH62" s="497">
        <f t="shared" si="15"/>
        <v>1</v>
      </c>
      <c r="AI62" s="569"/>
      <c r="AJ62" s="466"/>
    </row>
    <row r="63" spans="1:36">
      <c r="A63" s="437"/>
      <c r="B63" s="475" t="s">
        <v>97</v>
      </c>
      <c r="C63" s="232"/>
      <c r="D63" s="232"/>
      <c r="E63" s="232"/>
      <c r="F63" s="232"/>
      <c r="G63" s="476">
        <v>10</v>
      </c>
      <c r="H63" s="476"/>
      <c r="I63" s="498"/>
      <c r="J63" s="498"/>
      <c r="K63" s="501"/>
      <c r="L63" s="502"/>
      <c r="M63" s="499">
        <f t="shared" si="11"/>
        <v>10</v>
      </c>
      <c r="N63" s="499"/>
      <c r="O63" s="499">
        <f t="shared" si="12"/>
        <v>5</v>
      </c>
      <c r="P63" s="499"/>
      <c r="Q63" s="499">
        <f t="shared" si="13"/>
        <v>2</v>
      </c>
      <c r="R63" s="524"/>
      <c r="S63" s="528" t="s">
        <v>98</v>
      </c>
      <c r="T63" s="529"/>
      <c r="U63" s="483" t="s">
        <v>99</v>
      </c>
      <c r="V63" s="483"/>
      <c r="W63" s="484"/>
      <c r="X63" s="476">
        <v>1</v>
      </c>
      <c r="Y63" s="476"/>
      <c r="Z63" s="498"/>
      <c r="AA63" s="498"/>
      <c r="AB63" s="498"/>
      <c r="AC63" s="498"/>
      <c r="AD63" s="499">
        <f t="shared" si="10"/>
        <v>1</v>
      </c>
      <c r="AE63" s="499"/>
      <c r="AF63" s="499">
        <f t="shared" si="14"/>
        <v>0</v>
      </c>
      <c r="AG63" s="499"/>
      <c r="AH63" s="499">
        <f t="shared" si="15"/>
        <v>0</v>
      </c>
      <c r="AI63" s="570"/>
      <c r="AJ63" s="466"/>
    </row>
    <row r="64" spans="1:36">
      <c r="A64" s="437"/>
      <c r="B64" s="473" t="str">
        <f>IF(E8="现代","电子学","Ω")</f>
        <v>Ω</v>
      </c>
      <c r="C64" s="229"/>
      <c r="D64" s="229"/>
      <c r="E64" s="229"/>
      <c r="F64" s="229"/>
      <c r="G64" s="474">
        <v>1</v>
      </c>
      <c r="H64" s="474"/>
      <c r="I64" s="496"/>
      <c r="J64" s="496"/>
      <c r="K64" s="496"/>
      <c r="L64" s="496"/>
      <c r="M64" s="497">
        <f t="shared" si="11"/>
        <v>1</v>
      </c>
      <c r="N64" s="497"/>
      <c r="O64" s="497">
        <f t="shared" si="12"/>
        <v>0</v>
      </c>
      <c r="P64" s="497"/>
      <c r="Q64" s="497">
        <f t="shared" si="13"/>
        <v>0</v>
      </c>
      <c r="R64" s="522"/>
      <c r="S64" s="530" t="s">
        <v>98</v>
      </c>
      <c r="T64" s="531"/>
      <c r="U64" s="532"/>
      <c r="V64" s="532"/>
      <c r="W64" s="533"/>
      <c r="X64" s="474">
        <v>1</v>
      </c>
      <c r="Y64" s="474"/>
      <c r="Z64" s="496"/>
      <c r="AA64" s="496"/>
      <c r="AB64" s="496"/>
      <c r="AC64" s="496"/>
      <c r="AD64" s="497">
        <f t="shared" si="10"/>
        <v>1</v>
      </c>
      <c r="AE64" s="497"/>
      <c r="AF64" s="497">
        <f t="shared" si="14"/>
        <v>0</v>
      </c>
      <c r="AG64" s="497"/>
      <c r="AH64" s="497">
        <f t="shared" si="15"/>
        <v>0</v>
      </c>
      <c r="AI64" s="569"/>
      <c r="AJ64" s="466"/>
    </row>
    <row r="65" spans="1:36">
      <c r="A65" s="437"/>
      <c r="B65" s="475" t="s">
        <v>100</v>
      </c>
      <c r="C65" s="232"/>
      <c r="D65" s="232"/>
      <c r="E65" s="232"/>
      <c r="F65" s="232"/>
      <c r="G65" s="476">
        <v>5</v>
      </c>
      <c r="H65" s="476"/>
      <c r="I65" s="498">
        <v>45</v>
      </c>
      <c r="J65" s="498"/>
      <c r="K65" s="498"/>
      <c r="L65" s="498"/>
      <c r="M65" s="499">
        <f t="shared" si="11"/>
        <v>50</v>
      </c>
      <c r="N65" s="499"/>
      <c r="O65" s="499">
        <f t="shared" si="12"/>
        <v>25</v>
      </c>
      <c r="P65" s="499"/>
      <c r="Q65" s="499">
        <f t="shared" si="13"/>
        <v>10</v>
      </c>
      <c r="R65" s="524"/>
      <c r="S65" s="528" t="s">
        <v>98</v>
      </c>
      <c r="T65" s="529"/>
      <c r="U65" s="483"/>
      <c r="V65" s="483"/>
      <c r="W65" s="484"/>
      <c r="X65" s="476">
        <v>1</v>
      </c>
      <c r="Y65" s="476"/>
      <c r="Z65" s="498"/>
      <c r="AA65" s="498"/>
      <c r="AB65" s="498"/>
      <c r="AC65" s="498"/>
      <c r="AD65" s="499">
        <f t="shared" si="10"/>
        <v>1</v>
      </c>
      <c r="AE65" s="499"/>
      <c r="AF65" s="499">
        <f t="shared" si="14"/>
        <v>0</v>
      </c>
      <c r="AG65" s="499"/>
      <c r="AH65" s="499">
        <f t="shared" si="15"/>
        <v>0</v>
      </c>
      <c r="AI65" s="570"/>
      <c r="AJ65" s="466"/>
    </row>
    <row r="66" spans="1:36">
      <c r="A66" s="437"/>
      <c r="B66" s="571" t="s">
        <v>101</v>
      </c>
      <c r="C66" s="572"/>
      <c r="D66" s="573" t="s">
        <v>102</v>
      </c>
      <c r="E66" s="573"/>
      <c r="F66" s="574"/>
      <c r="G66" s="474">
        <v>25</v>
      </c>
      <c r="H66" s="474"/>
      <c r="I66" s="496">
        <v>10</v>
      </c>
      <c r="J66" s="496"/>
      <c r="K66" s="496">
        <v>45</v>
      </c>
      <c r="L66" s="496"/>
      <c r="M66" s="497">
        <f t="shared" si="11"/>
        <v>80</v>
      </c>
      <c r="N66" s="497"/>
      <c r="O66" s="497">
        <f t="shared" si="12"/>
        <v>40</v>
      </c>
      <c r="P66" s="497"/>
      <c r="Q66" s="497">
        <f t="shared" si="13"/>
        <v>16</v>
      </c>
      <c r="R66" s="522"/>
      <c r="S66" s="523" t="s">
        <v>103</v>
      </c>
      <c r="T66" s="523"/>
      <c r="U66" s="523"/>
      <c r="V66" s="523"/>
      <c r="W66" s="523"/>
      <c r="X66" s="474">
        <v>10</v>
      </c>
      <c r="Y66" s="474"/>
      <c r="Z66" s="496"/>
      <c r="AA66" s="496"/>
      <c r="AB66" s="496"/>
      <c r="AC66" s="496"/>
      <c r="AD66" s="497">
        <f t="shared" si="10"/>
        <v>10</v>
      </c>
      <c r="AE66" s="497"/>
      <c r="AF66" s="497">
        <f t="shared" si="14"/>
        <v>5</v>
      </c>
      <c r="AG66" s="497"/>
      <c r="AH66" s="497">
        <f t="shared" si="15"/>
        <v>2</v>
      </c>
      <c r="AI66" s="569"/>
      <c r="AJ66" s="466"/>
    </row>
    <row r="67" spans="1:36">
      <c r="A67" s="437"/>
      <c r="B67" s="575" t="s">
        <v>101</v>
      </c>
      <c r="C67" s="576"/>
      <c r="D67" s="577" t="s">
        <v>104</v>
      </c>
      <c r="E67" s="577"/>
      <c r="F67" s="578"/>
      <c r="G67" s="476">
        <f>LOOKUP(D67,技能专攻!H4:H11,技能专攻!I4:I11)</f>
        <v>20</v>
      </c>
      <c r="H67" s="476"/>
      <c r="I67" s="498"/>
      <c r="J67" s="498"/>
      <c r="K67" s="498"/>
      <c r="L67" s="498"/>
      <c r="M67" s="499">
        <f t="shared" si="11"/>
        <v>20</v>
      </c>
      <c r="N67" s="499"/>
      <c r="O67" s="499">
        <f t="shared" si="12"/>
        <v>10</v>
      </c>
      <c r="P67" s="499"/>
      <c r="Q67" s="499">
        <f t="shared" si="13"/>
        <v>4</v>
      </c>
      <c r="R67" s="524"/>
      <c r="S67" s="232" t="s">
        <v>105</v>
      </c>
      <c r="T67" s="232"/>
      <c r="U67" s="232"/>
      <c r="V67" s="232"/>
      <c r="W67" s="232"/>
      <c r="X67" s="476">
        <v>25</v>
      </c>
      <c r="Y67" s="476"/>
      <c r="Z67" s="498"/>
      <c r="AA67" s="498"/>
      <c r="AB67" s="498">
        <v>35</v>
      </c>
      <c r="AC67" s="498"/>
      <c r="AD67" s="499">
        <f t="shared" si="10"/>
        <v>60</v>
      </c>
      <c r="AE67" s="499"/>
      <c r="AF67" s="499">
        <f t="shared" si="14"/>
        <v>30</v>
      </c>
      <c r="AG67" s="499"/>
      <c r="AH67" s="499">
        <f t="shared" si="15"/>
        <v>12</v>
      </c>
      <c r="AI67" s="570"/>
      <c r="AJ67" s="466"/>
    </row>
    <row r="68" spans="1:36">
      <c r="A68" s="437"/>
      <c r="B68" s="579" t="s">
        <v>101</v>
      </c>
      <c r="C68" s="580"/>
      <c r="D68" s="581"/>
      <c r="E68" s="581"/>
      <c r="F68" s="582"/>
      <c r="G68" s="474"/>
      <c r="H68" s="474"/>
      <c r="I68" s="496"/>
      <c r="J68" s="496"/>
      <c r="K68" s="496"/>
      <c r="L68" s="496"/>
      <c r="M68" s="497">
        <f t="shared" si="11"/>
        <v>0</v>
      </c>
      <c r="N68" s="497"/>
      <c r="O68" s="497">
        <f t="shared" si="12"/>
        <v>0</v>
      </c>
      <c r="P68" s="497"/>
      <c r="Q68" s="497">
        <f t="shared" si="13"/>
        <v>0</v>
      </c>
      <c r="R68" s="522"/>
      <c r="S68" s="523" t="s">
        <v>106</v>
      </c>
      <c r="T68" s="523"/>
      <c r="U68" s="523"/>
      <c r="V68" s="523"/>
      <c r="W68" s="523"/>
      <c r="X68" s="474">
        <v>20</v>
      </c>
      <c r="Y68" s="474"/>
      <c r="Z68" s="496">
        <v>50</v>
      </c>
      <c r="AA68" s="496"/>
      <c r="AB68" s="496"/>
      <c r="AC68" s="496"/>
      <c r="AD68" s="497">
        <f t="shared" si="10"/>
        <v>70</v>
      </c>
      <c r="AE68" s="497"/>
      <c r="AF68" s="497">
        <f t="shared" si="14"/>
        <v>35</v>
      </c>
      <c r="AG68" s="497"/>
      <c r="AH68" s="497">
        <f t="shared" si="15"/>
        <v>14</v>
      </c>
      <c r="AI68" s="569"/>
      <c r="AJ68" s="466"/>
    </row>
    <row r="69" spans="1:36">
      <c r="A69" s="437"/>
      <c r="B69" s="583" t="s">
        <v>107</v>
      </c>
      <c r="C69" s="584"/>
      <c r="D69" s="527" t="s">
        <v>108</v>
      </c>
      <c r="E69" s="585"/>
      <c r="F69" s="585"/>
      <c r="G69" s="586">
        <f>LOOKUP(D69,技能专攻!K3:K9,技能专攻!L3:L9)</f>
        <v>20</v>
      </c>
      <c r="H69" s="587"/>
      <c r="I69" s="498"/>
      <c r="J69" s="498"/>
      <c r="K69" s="498"/>
      <c r="L69" s="498"/>
      <c r="M69" s="499">
        <f t="shared" si="11"/>
        <v>20</v>
      </c>
      <c r="N69" s="499"/>
      <c r="O69" s="499">
        <f t="shared" si="12"/>
        <v>10</v>
      </c>
      <c r="P69" s="499"/>
      <c r="Q69" s="499">
        <f t="shared" si="13"/>
        <v>4</v>
      </c>
      <c r="R69" s="524"/>
      <c r="S69" s="525" t="s">
        <v>109</v>
      </c>
      <c r="T69" s="482"/>
      <c r="U69" s="607"/>
      <c r="V69" s="607"/>
      <c r="W69" s="608"/>
      <c r="X69" s="476">
        <v>10</v>
      </c>
      <c r="Y69" s="476"/>
      <c r="Z69" s="498"/>
      <c r="AA69" s="498"/>
      <c r="AB69" s="498"/>
      <c r="AC69" s="498"/>
      <c r="AD69" s="499">
        <f t="shared" si="10"/>
        <v>10</v>
      </c>
      <c r="AE69" s="499"/>
      <c r="AF69" s="499">
        <f t="shared" si="14"/>
        <v>5</v>
      </c>
      <c r="AG69" s="499"/>
      <c r="AH69" s="499">
        <f t="shared" si="15"/>
        <v>2</v>
      </c>
      <c r="AI69" s="570"/>
      <c r="AJ69" s="466"/>
    </row>
    <row r="70" spans="1:36">
      <c r="A70" s="437"/>
      <c r="B70" s="588" t="s">
        <v>107</v>
      </c>
      <c r="C70" s="589"/>
      <c r="D70" s="590" t="s">
        <v>110</v>
      </c>
      <c r="E70" s="590"/>
      <c r="F70" s="591"/>
      <c r="G70" s="592">
        <f>LOOKUP(D70,技能专攻!K4:K10,技能专攻!L4:L10)</f>
        <v>25</v>
      </c>
      <c r="H70" s="593"/>
      <c r="I70" s="496"/>
      <c r="J70" s="496"/>
      <c r="K70" s="496"/>
      <c r="L70" s="496"/>
      <c r="M70" s="497">
        <f t="shared" si="11"/>
        <v>25</v>
      </c>
      <c r="N70" s="497"/>
      <c r="O70" s="497">
        <f t="shared" si="12"/>
        <v>12</v>
      </c>
      <c r="P70" s="497"/>
      <c r="Q70" s="497">
        <f t="shared" si="13"/>
        <v>5</v>
      </c>
      <c r="R70" s="522"/>
      <c r="S70" s="523" t="s">
        <v>111</v>
      </c>
      <c r="T70" s="523"/>
      <c r="U70" s="523"/>
      <c r="V70" s="523"/>
      <c r="W70" s="523"/>
      <c r="X70" s="474">
        <v>20</v>
      </c>
      <c r="Y70" s="474"/>
      <c r="Z70" s="496"/>
      <c r="AA70" s="496"/>
      <c r="AB70" s="496"/>
      <c r="AC70" s="496"/>
      <c r="AD70" s="497">
        <f t="shared" si="10"/>
        <v>20</v>
      </c>
      <c r="AE70" s="497"/>
      <c r="AF70" s="497">
        <f t="shared" si="14"/>
        <v>10</v>
      </c>
      <c r="AG70" s="497"/>
      <c r="AH70" s="497">
        <f t="shared" si="15"/>
        <v>4</v>
      </c>
      <c r="AI70" s="569"/>
      <c r="AJ70" s="466"/>
    </row>
    <row r="71" spans="1:36">
      <c r="A71" s="437"/>
      <c r="B71" s="583" t="s">
        <v>107</v>
      </c>
      <c r="C71" s="584"/>
      <c r="D71" s="526"/>
      <c r="E71" s="526"/>
      <c r="F71" s="527"/>
      <c r="G71" s="476"/>
      <c r="H71" s="476"/>
      <c r="I71" s="498"/>
      <c r="J71" s="498"/>
      <c r="K71" s="498"/>
      <c r="L71" s="498"/>
      <c r="M71" s="499">
        <f t="shared" si="11"/>
        <v>0</v>
      </c>
      <c r="N71" s="499"/>
      <c r="O71" s="499">
        <f t="shared" si="12"/>
        <v>0</v>
      </c>
      <c r="P71" s="499"/>
      <c r="Q71" s="499">
        <f t="shared" si="13"/>
        <v>0</v>
      </c>
      <c r="R71" s="524"/>
      <c r="S71" s="232" t="s">
        <v>112</v>
      </c>
      <c r="T71" s="232"/>
      <c r="U71" s="232"/>
      <c r="V71" s="232"/>
      <c r="W71" s="232"/>
      <c r="X71" s="476">
        <v>20</v>
      </c>
      <c r="Y71" s="476"/>
      <c r="Z71" s="498"/>
      <c r="AA71" s="498"/>
      <c r="AB71" s="498"/>
      <c r="AC71" s="498"/>
      <c r="AD71" s="499">
        <f t="shared" si="10"/>
        <v>20</v>
      </c>
      <c r="AE71" s="499"/>
      <c r="AF71" s="499">
        <f t="shared" si="14"/>
        <v>10</v>
      </c>
      <c r="AG71" s="499"/>
      <c r="AH71" s="499">
        <f t="shared" si="15"/>
        <v>4</v>
      </c>
      <c r="AI71" s="570"/>
      <c r="AJ71" s="466"/>
    </row>
    <row r="72" spans="1:36">
      <c r="A72" s="437"/>
      <c r="B72" s="473" t="s">
        <v>113</v>
      </c>
      <c r="C72" s="229"/>
      <c r="D72" s="229"/>
      <c r="E72" s="229"/>
      <c r="F72" s="229"/>
      <c r="G72" s="474">
        <v>30</v>
      </c>
      <c r="H72" s="474"/>
      <c r="I72" s="496"/>
      <c r="J72" s="496"/>
      <c r="K72" s="496"/>
      <c r="L72" s="496"/>
      <c r="M72" s="497">
        <f t="shared" si="11"/>
        <v>30</v>
      </c>
      <c r="N72" s="497"/>
      <c r="O72" s="497">
        <f t="shared" si="12"/>
        <v>15</v>
      </c>
      <c r="P72" s="497"/>
      <c r="Q72" s="497">
        <f t="shared" si="13"/>
        <v>6</v>
      </c>
      <c r="R72" s="522"/>
      <c r="S72" s="523" t="s">
        <v>114</v>
      </c>
      <c r="T72" s="523"/>
      <c r="U72" s="523"/>
      <c r="V72" s="523"/>
      <c r="W72" s="523"/>
      <c r="X72" s="474">
        <v>10</v>
      </c>
      <c r="Y72" s="474"/>
      <c r="Z72" s="496"/>
      <c r="AA72" s="496"/>
      <c r="AB72" s="496"/>
      <c r="AC72" s="496"/>
      <c r="AD72" s="497">
        <f t="shared" si="10"/>
        <v>10</v>
      </c>
      <c r="AE72" s="497"/>
      <c r="AF72" s="497">
        <f t="shared" si="14"/>
        <v>5</v>
      </c>
      <c r="AG72" s="497"/>
      <c r="AH72" s="497">
        <f t="shared" si="15"/>
        <v>2</v>
      </c>
      <c r="AI72" s="569"/>
      <c r="AJ72" s="466"/>
    </row>
    <row r="73" spans="1:36">
      <c r="A73" s="437"/>
      <c r="B73" s="475" t="s">
        <v>115</v>
      </c>
      <c r="C73" s="232"/>
      <c r="D73" s="232"/>
      <c r="E73" s="232"/>
      <c r="F73" s="232"/>
      <c r="G73" s="476">
        <v>5</v>
      </c>
      <c r="H73" s="476"/>
      <c r="I73" s="498"/>
      <c r="J73" s="498"/>
      <c r="K73" s="498"/>
      <c r="L73" s="498"/>
      <c r="M73" s="499">
        <f t="shared" si="11"/>
        <v>5</v>
      </c>
      <c r="N73" s="499"/>
      <c r="O73" s="499">
        <f t="shared" si="12"/>
        <v>2</v>
      </c>
      <c r="P73" s="499"/>
      <c r="Q73" s="499">
        <f t="shared" si="13"/>
        <v>1</v>
      </c>
      <c r="R73" s="524"/>
      <c r="S73" s="609" t="s">
        <v>116</v>
      </c>
      <c r="T73" s="610"/>
      <c r="U73" s="610"/>
      <c r="V73" s="610"/>
      <c r="W73" s="234"/>
      <c r="X73" s="476">
        <f>LOOKUP(S73,技能专攻!N4:N9,技能专攻!O4:O9)</f>
        <v>1</v>
      </c>
      <c r="Y73" s="476"/>
      <c r="Z73" s="498"/>
      <c r="AA73" s="498"/>
      <c r="AB73" s="498"/>
      <c r="AC73" s="498"/>
      <c r="AD73" s="499">
        <f t="shared" si="10"/>
        <v>1</v>
      </c>
      <c r="AE73" s="499"/>
      <c r="AF73" s="499">
        <f t="shared" si="14"/>
        <v>0</v>
      </c>
      <c r="AG73" s="499"/>
      <c r="AH73" s="499">
        <f t="shared" si="15"/>
        <v>0</v>
      </c>
      <c r="AI73" s="570"/>
      <c r="AJ73" s="466"/>
    </row>
    <row r="74" spans="1:36">
      <c r="A74" s="437"/>
      <c r="B74" s="473" t="s">
        <v>117</v>
      </c>
      <c r="C74" s="229"/>
      <c r="D74" s="229"/>
      <c r="E74" s="229"/>
      <c r="F74" s="229"/>
      <c r="G74" s="474">
        <v>15</v>
      </c>
      <c r="H74" s="474"/>
      <c r="I74" s="496">
        <v>60</v>
      </c>
      <c r="J74" s="496"/>
      <c r="K74" s="496"/>
      <c r="L74" s="496"/>
      <c r="M74" s="497">
        <f t="shared" si="11"/>
        <v>75</v>
      </c>
      <c r="N74" s="497"/>
      <c r="O74" s="497">
        <f t="shared" si="12"/>
        <v>37</v>
      </c>
      <c r="P74" s="497"/>
      <c r="Q74" s="497">
        <f t="shared" si="13"/>
        <v>15</v>
      </c>
      <c r="R74" s="522"/>
      <c r="S74" s="611"/>
      <c r="T74" s="612"/>
      <c r="U74" s="612"/>
      <c r="V74" s="612"/>
      <c r="W74" s="613"/>
      <c r="X74" s="496"/>
      <c r="Y74" s="496"/>
      <c r="Z74" s="496"/>
      <c r="AA74" s="496"/>
      <c r="AB74" s="496"/>
      <c r="AC74" s="496"/>
      <c r="AD74" s="497">
        <f t="shared" si="10"/>
        <v>0</v>
      </c>
      <c r="AE74" s="497"/>
      <c r="AF74" s="497">
        <f t="shared" si="14"/>
        <v>0</v>
      </c>
      <c r="AG74" s="497"/>
      <c r="AH74" s="497">
        <f t="shared" si="15"/>
        <v>0</v>
      </c>
      <c r="AI74" s="569"/>
      <c r="AJ74" s="466"/>
    </row>
    <row r="75" spans="1:36">
      <c r="A75" s="437"/>
      <c r="B75" s="475" t="s">
        <v>118</v>
      </c>
      <c r="C75" s="232"/>
      <c r="D75" s="232"/>
      <c r="E75" s="232"/>
      <c r="F75" s="232"/>
      <c r="G75" s="476">
        <v>20</v>
      </c>
      <c r="H75" s="476"/>
      <c r="I75" s="498"/>
      <c r="J75" s="498"/>
      <c r="K75" s="498"/>
      <c r="L75" s="498"/>
      <c r="M75" s="499">
        <f t="shared" si="11"/>
        <v>20</v>
      </c>
      <c r="N75" s="499"/>
      <c r="O75" s="499">
        <f t="shared" si="12"/>
        <v>10</v>
      </c>
      <c r="P75" s="499"/>
      <c r="Q75" s="499">
        <f t="shared" si="13"/>
        <v>4</v>
      </c>
      <c r="R75" s="524"/>
      <c r="S75" s="159"/>
      <c r="T75" s="159"/>
      <c r="U75" s="159"/>
      <c r="V75" s="159"/>
      <c r="W75" s="159"/>
      <c r="X75" s="498"/>
      <c r="Y75" s="498"/>
      <c r="Z75" s="498"/>
      <c r="AA75" s="498"/>
      <c r="AB75" s="498"/>
      <c r="AC75" s="498"/>
      <c r="AD75" s="499">
        <f t="shared" si="10"/>
        <v>0</v>
      </c>
      <c r="AE75" s="499"/>
      <c r="AF75" s="499">
        <f t="shared" si="14"/>
        <v>0</v>
      </c>
      <c r="AG75" s="499"/>
      <c r="AH75" s="499">
        <f t="shared" si="15"/>
        <v>0</v>
      </c>
      <c r="AI75" s="570"/>
      <c r="AJ75" s="466"/>
    </row>
    <row r="76" spans="1:36">
      <c r="A76" s="437"/>
      <c r="B76" s="594" t="s">
        <v>119</v>
      </c>
      <c r="C76" s="595"/>
      <c r="D76" s="532"/>
      <c r="E76" s="532"/>
      <c r="F76" s="533"/>
      <c r="G76" s="496">
        <v>1</v>
      </c>
      <c r="H76" s="496"/>
      <c r="I76" s="496"/>
      <c r="J76" s="496"/>
      <c r="K76" s="496"/>
      <c r="L76" s="496"/>
      <c r="M76" s="497">
        <f t="shared" si="11"/>
        <v>1</v>
      </c>
      <c r="N76" s="497"/>
      <c r="O76" s="497">
        <f t="shared" si="12"/>
        <v>0</v>
      </c>
      <c r="P76" s="497"/>
      <c r="Q76" s="497">
        <f t="shared" si="13"/>
        <v>0</v>
      </c>
      <c r="R76" s="522"/>
      <c r="S76" s="614"/>
      <c r="T76" s="614"/>
      <c r="U76" s="614"/>
      <c r="V76" s="614"/>
      <c r="W76" s="614"/>
      <c r="X76" s="496"/>
      <c r="Y76" s="496"/>
      <c r="Z76" s="496"/>
      <c r="AA76" s="496"/>
      <c r="AB76" s="496"/>
      <c r="AC76" s="496"/>
      <c r="AD76" s="497">
        <f t="shared" si="10"/>
        <v>0</v>
      </c>
      <c r="AE76" s="497"/>
      <c r="AF76" s="497">
        <f t="shared" si="14"/>
        <v>0</v>
      </c>
      <c r="AG76" s="497"/>
      <c r="AH76" s="497">
        <f t="shared" si="15"/>
        <v>0</v>
      </c>
      <c r="AI76" s="569"/>
      <c r="AJ76" s="466"/>
    </row>
    <row r="77" spans="1:36">
      <c r="A77" s="437"/>
      <c r="B77" s="596" t="s">
        <v>119</v>
      </c>
      <c r="C77" s="525"/>
      <c r="D77" s="483"/>
      <c r="E77" s="483"/>
      <c r="F77" s="484"/>
      <c r="G77" s="498">
        <v>1</v>
      </c>
      <c r="H77" s="498"/>
      <c r="I77" s="498"/>
      <c r="J77" s="498"/>
      <c r="K77" s="498"/>
      <c r="L77" s="498"/>
      <c r="M77" s="499">
        <f t="shared" si="11"/>
        <v>1</v>
      </c>
      <c r="N77" s="499"/>
      <c r="O77" s="499">
        <f t="shared" si="12"/>
        <v>0</v>
      </c>
      <c r="P77" s="499"/>
      <c r="Q77" s="499">
        <f t="shared" si="13"/>
        <v>0</v>
      </c>
      <c r="R77" s="524"/>
      <c r="S77" s="159"/>
      <c r="T77" s="159"/>
      <c r="U77" s="159"/>
      <c r="V77" s="159"/>
      <c r="W77" s="159"/>
      <c r="X77" s="498"/>
      <c r="Y77" s="498"/>
      <c r="Z77" s="498"/>
      <c r="AA77" s="498"/>
      <c r="AB77" s="498"/>
      <c r="AC77" s="498"/>
      <c r="AD77" s="499">
        <f t="shared" si="10"/>
        <v>0</v>
      </c>
      <c r="AE77" s="499"/>
      <c r="AF77" s="499">
        <f t="shared" si="14"/>
        <v>0</v>
      </c>
      <c r="AG77" s="499"/>
      <c r="AH77" s="499">
        <f t="shared" si="15"/>
        <v>0</v>
      </c>
      <c r="AI77" s="570"/>
      <c r="AJ77" s="466"/>
    </row>
    <row r="78" spans="1:36">
      <c r="A78" s="437"/>
      <c r="B78" s="594" t="s">
        <v>119</v>
      </c>
      <c r="C78" s="595"/>
      <c r="D78" s="532"/>
      <c r="E78" s="532"/>
      <c r="F78" s="533"/>
      <c r="G78" s="496">
        <v>1</v>
      </c>
      <c r="H78" s="496"/>
      <c r="I78" s="496"/>
      <c r="J78" s="496"/>
      <c r="K78" s="496"/>
      <c r="L78" s="496"/>
      <c r="M78" s="497">
        <f t="shared" si="11"/>
        <v>1</v>
      </c>
      <c r="N78" s="497"/>
      <c r="O78" s="497">
        <f t="shared" si="12"/>
        <v>0</v>
      </c>
      <c r="P78" s="497"/>
      <c r="Q78" s="497">
        <f t="shared" si="13"/>
        <v>0</v>
      </c>
      <c r="R78" s="522"/>
      <c r="S78" s="611"/>
      <c r="T78" s="612"/>
      <c r="U78" s="612"/>
      <c r="V78" s="612"/>
      <c r="W78" s="613"/>
      <c r="X78" s="496"/>
      <c r="Y78" s="496"/>
      <c r="Z78" s="496"/>
      <c r="AA78" s="496"/>
      <c r="AB78" s="496"/>
      <c r="AC78" s="496"/>
      <c r="AD78" s="497">
        <f t="shared" si="10"/>
        <v>0</v>
      </c>
      <c r="AE78" s="497"/>
      <c r="AF78" s="497">
        <f t="shared" si="14"/>
        <v>0</v>
      </c>
      <c r="AG78" s="497"/>
      <c r="AH78" s="497">
        <f t="shared" si="15"/>
        <v>0</v>
      </c>
      <c r="AI78" s="569"/>
      <c r="AJ78" s="466"/>
    </row>
    <row r="79" s="434" customFormat="1" ht="17.25" spans="1:36">
      <c r="A79" s="437"/>
      <c r="B79" s="597" t="s">
        <v>120</v>
      </c>
      <c r="C79" s="598"/>
      <c r="D79" s="599"/>
      <c r="E79" s="599"/>
      <c r="F79" s="600"/>
      <c r="G79" s="601">
        <f>EDU</f>
        <v>75</v>
      </c>
      <c r="H79" s="601"/>
      <c r="I79" s="603"/>
      <c r="J79" s="603"/>
      <c r="K79" s="603"/>
      <c r="L79" s="603"/>
      <c r="M79" s="604">
        <f t="shared" si="11"/>
        <v>75</v>
      </c>
      <c r="N79" s="604"/>
      <c r="O79" s="604">
        <f t="shared" si="12"/>
        <v>37</v>
      </c>
      <c r="P79" s="604"/>
      <c r="Q79" s="604">
        <f t="shared" si="13"/>
        <v>15</v>
      </c>
      <c r="R79" s="615"/>
      <c r="S79" s="616" t="str">
        <f>"剩余职业点数="&amp;LOOKUP(OccNo,职业列表!A2:A116,职业列表!E2:E116)-SUM(I48:J79,Z48:AA79)&amp;"        剩余兴趣点数="&amp;INT*2-SUM(K48:L79,AB48:AC79)</f>
        <v>剩余职业点数=0        剩余兴趣点数=0</v>
      </c>
      <c r="T79" s="617"/>
      <c r="U79" s="617"/>
      <c r="V79" s="617"/>
      <c r="W79" s="617"/>
      <c r="X79" s="617"/>
      <c r="Y79" s="617"/>
      <c r="Z79" s="617"/>
      <c r="AA79" s="617"/>
      <c r="AB79" s="617"/>
      <c r="AC79" s="617"/>
      <c r="AD79" s="617"/>
      <c r="AE79" s="617"/>
      <c r="AF79" s="617"/>
      <c r="AG79" s="617"/>
      <c r="AH79" s="617"/>
      <c r="AI79" s="618"/>
      <c r="AJ79" s="438"/>
    </row>
    <row r="80" s="434" customFormat="1" spans="1:36">
      <c r="A80" s="437"/>
      <c r="B80" s="602" t="s">
        <v>121</v>
      </c>
      <c r="C80" s="602"/>
      <c r="D80" s="602"/>
      <c r="E80" s="602"/>
      <c r="F80" s="602"/>
      <c r="G80" s="602"/>
      <c r="H80" s="602"/>
      <c r="I80" s="602"/>
      <c r="J80" s="602"/>
      <c r="K80" s="602"/>
      <c r="L80" s="602"/>
      <c r="M80" s="602"/>
      <c r="N80" s="602"/>
      <c r="O80" s="605" t="s">
        <v>122</v>
      </c>
      <c r="P80" s="605"/>
      <c r="Q80" s="605"/>
      <c r="R80" s="605"/>
      <c r="S80" s="605"/>
      <c r="T80" s="605"/>
      <c r="U80" s="605"/>
      <c r="V80" s="605"/>
      <c r="W80" s="602"/>
      <c r="X80" s="602"/>
      <c r="Y80" s="602"/>
      <c r="Z80" s="602"/>
      <c r="AA80" s="602"/>
      <c r="AB80" s="602"/>
      <c r="AC80" s="602"/>
      <c r="AD80" s="602"/>
      <c r="AE80" s="602"/>
      <c r="AF80" s="602"/>
      <c r="AG80" s="602"/>
      <c r="AH80" s="602"/>
      <c r="AI80" s="602"/>
      <c r="AJ80" s="438"/>
    </row>
    <row r="81" s="434" customFormat="1" spans="1:36">
      <c r="A81" s="437"/>
      <c r="B81" s="438"/>
      <c r="C81" s="438"/>
      <c r="D81" s="438"/>
      <c r="E81" s="438"/>
      <c r="F81" s="438"/>
      <c r="G81" s="438"/>
      <c r="H81" s="438"/>
      <c r="I81" s="438"/>
      <c r="J81" s="438"/>
      <c r="K81" s="438"/>
      <c r="L81" s="438"/>
      <c r="M81" s="438"/>
      <c r="N81" s="438"/>
      <c r="O81" s="438"/>
      <c r="P81" s="438"/>
      <c r="Q81" s="438"/>
      <c r="R81" s="438"/>
      <c r="S81" s="438"/>
      <c r="T81" s="438"/>
      <c r="U81" s="438"/>
      <c r="V81" s="438"/>
      <c r="W81" s="438"/>
      <c r="X81" s="438"/>
      <c r="Y81" s="438"/>
      <c r="Z81" s="438"/>
      <c r="AA81" s="438"/>
      <c r="AB81" s="438"/>
      <c r="AC81" s="438"/>
      <c r="AD81" s="438"/>
      <c r="AE81" s="438"/>
      <c r="AF81" s="438"/>
      <c r="AG81" s="438"/>
      <c r="AH81" s="438"/>
      <c r="AI81" s="438"/>
      <c r="AJ81" s="438"/>
    </row>
    <row r="82" s="434" customFormat="1" ht="27.75" spans="1:36">
      <c r="A82" s="437"/>
      <c r="B82" s="439" t="s">
        <v>123</v>
      </c>
      <c r="C82" s="439"/>
      <c r="D82" s="439"/>
      <c r="E82" s="439"/>
      <c r="F82" s="439"/>
      <c r="G82" s="439"/>
      <c r="H82" s="439"/>
      <c r="I82" s="439"/>
      <c r="J82" s="439"/>
      <c r="K82" s="439"/>
      <c r="L82" s="438"/>
      <c r="M82" s="438"/>
      <c r="N82" s="438"/>
      <c r="O82" s="438"/>
      <c r="P82" s="438"/>
      <c r="Q82" s="438"/>
      <c r="R82" s="438"/>
      <c r="S82" s="438"/>
      <c r="T82" s="438"/>
      <c r="U82" s="438"/>
      <c r="V82" s="438"/>
      <c r="W82" s="438"/>
      <c r="X82" s="438"/>
      <c r="Y82" s="438"/>
      <c r="Z82" s="438"/>
      <c r="AA82" s="438"/>
      <c r="AB82" s="438"/>
      <c r="AC82" s="438"/>
      <c r="AD82" s="438"/>
      <c r="AE82" s="438"/>
      <c r="AF82" s="438"/>
      <c r="AG82" s="438"/>
      <c r="AH82" s="438"/>
      <c r="AI82" s="438"/>
      <c r="AJ82" s="438"/>
    </row>
    <row r="83" s="434" customFormat="1" spans="1:36">
      <c r="A83" s="437"/>
      <c r="B83" s="440" t="s">
        <v>124</v>
      </c>
      <c r="C83" s="440"/>
      <c r="D83" s="440"/>
      <c r="E83" s="440"/>
      <c r="F83" s="440"/>
      <c r="G83" s="440"/>
      <c r="H83" s="440"/>
      <c r="I83" s="440"/>
      <c r="J83" s="440"/>
      <c r="K83" s="440"/>
      <c r="L83" s="438" t="s">
        <v>125</v>
      </c>
      <c r="M83" s="438"/>
      <c r="N83" s="438"/>
      <c r="O83" s="438"/>
      <c r="P83" s="438"/>
      <c r="Q83" s="438"/>
      <c r="R83" s="438"/>
      <c r="S83" s="438"/>
      <c r="T83" s="438"/>
      <c r="U83" s="438"/>
      <c r="V83" s="438"/>
      <c r="W83" s="438"/>
      <c r="X83" s="438"/>
      <c r="Y83" s="438"/>
      <c r="Z83" s="438"/>
      <c r="AA83" s="438"/>
      <c r="AB83" s="438"/>
      <c r="AC83" s="438"/>
      <c r="AD83" s="438"/>
      <c r="AE83" s="438"/>
      <c r="AF83" s="438"/>
      <c r="AG83" s="438"/>
      <c r="AH83" s="438"/>
      <c r="AI83" s="438"/>
      <c r="AJ83" s="438"/>
    </row>
    <row r="84" s="434" customFormat="1" spans="1:36">
      <c r="A84" s="437"/>
      <c r="B84" s="438" t="s">
        <v>126</v>
      </c>
      <c r="C84" s="438"/>
      <c r="D84" s="438"/>
      <c r="E84" s="438"/>
      <c r="F84" s="438"/>
      <c r="G84" s="438"/>
      <c r="H84" s="438"/>
      <c r="I84" s="438"/>
      <c r="J84" s="438"/>
      <c r="K84" s="438"/>
      <c r="L84" s="438"/>
      <c r="M84" s="438"/>
      <c r="N84" s="438"/>
      <c r="O84" s="438"/>
      <c r="P84" s="438"/>
      <c r="Q84" s="438"/>
      <c r="R84" s="438"/>
      <c r="S84" s="438"/>
      <c r="T84" s="438"/>
      <c r="U84" s="438"/>
      <c r="V84" s="438"/>
      <c r="W84" s="438"/>
      <c r="X84" s="438"/>
      <c r="Y84" s="438"/>
      <c r="Z84" s="438"/>
      <c r="AA84" s="438"/>
      <c r="AB84" s="438"/>
      <c r="AC84" s="438"/>
      <c r="AD84" s="438"/>
      <c r="AE84" s="438"/>
      <c r="AF84" s="438"/>
      <c r="AG84" s="438"/>
      <c r="AH84" s="438"/>
      <c r="AI84" s="438"/>
      <c r="AJ84" s="438"/>
    </row>
    <row r="85" s="434" customFormat="1" spans="1:36">
      <c r="A85" s="437"/>
      <c r="B85" s="438" t="s">
        <v>127</v>
      </c>
      <c r="C85" s="438"/>
      <c r="D85" s="438"/>
      <c r="E85" s="438"/>
      <c r="F85" s="438"/>
      <c r="G85" s="438"/>
      <c r="H85" s="438"/>
      <c r="I85" s="438"/>
      <c r="J85" s="438"/>
      <c r="K85" s="438"/>
      <c r="L85" s="438"/>
      <c r="M85" s="438"/>
      <c r="N85" s="438"/>
      <c r="O85" s="438"/>
      <c r="P85" s="438"/>
      <c r="Q85" s="438"/>
      <c r="R85" s="438"/>
      <c r="S85" s="438"/>
      <c r="T85" s="438"/>
      <c r="U85" s="438"/>
      <c r="V85" s="438"/>
      <c r="W85" s="438"/>
      <c r="X85" s="438"/>
      <c r="Y85" s="438"/>
      <c r="Z85" s="438"/>
      <c r="AA85" s="438"/>
      <c r="AB85" s="438"/>
      <c r="AC85" s="438"/>
      <c r="AD85" s="438"/>
      <c r="AE85" s="438"/>
      <c r="AF85" s="438"/>
      <c r="AG85" s="438"/>
      <c r="AH85" s="438"/>
      <c r="AI85" s="438"/>
      <c r="AJ85" s="438"/>
    </row>
    <row r="86" s="434" customFormat="1" spans="1:36">
      <c r="A86" s="437"/>
      <c r="B86" s="438"/>
      <c r="C86" s="438"/>
      <c r="D86" s="438"/>
      <c r="E86" s="438"/>
      <c r="F86" s="438"/>
      <c r="G86" s="438"/>
      <c r="H86" s="438"/>
      <c r="I86" s="438"/>
      <c r="J86" s="438"/>
      <c r="K86" s="438"/>
      <c r="L86" s="438"/>
      <c r="M86" s="438"/>
      <c r="N86" s="438"/>
      <c r="O86" s="438"/>
      <c r="P86" s="438"/>
      <c r="Q86" s="438"/>
      <c r="R86" s="438"/>
      <c r="S86" s="438"/>
      <c r="T86" s="438"/>
      <c r="U86" s="438"/>
      <c r="V86" s="438"/>
      <c r="W86" s="438"/>
      <c r="X86" s="438"/>
      <c r="Y86" s="438"/>
      <c r="Z86" s="438"/>
      <c r="AA86" s="438"/>
      <c r="AB86" s="438"/>
      <c r="AC86" s="438"/>
      <c r="AD86" s="438"/>
      <c r="AE86" s="438"/>
      <c r="AF86" s="438"/>
      <c r="AG86" s="438"/>
      <c r="AH86" s="438"/>
      <c r="AI86" s="438"/>
      <c r="AJ86" s="438"/>
    </row>
    <row r="87" s="434" customFormat="1" ht="27.75" spans="1:36">
      <c r="A87" s="437"/>
      <c r="B87" s="439" t="s">
        <v>128</v>
      </c>
      <c r="C87" s="439"/>
      <c r="D87" s="439"/>
      <c r="E87" s="439"/>
      <c r="F87" s="439"/>
      <c r="G87" s="439"/>
      <c r="H87" s="439"/>
      <c r="I87" s="439"/>
      <c r="J87" s="439"/>
      <c r="K87" s="439"/>
      <c r="L87" s="438"/>
      <c r="M87" s="438"/>
      <c r="N87" s="438"/>
      <c r="O87" s="438"/>
      <c r="P87" s="438"/>
      <c r="Q87" s="438"/>
      <c r="R87" s="438"/>
      <c r="S87" s="438"/>
      <c r="T87" s="438"/>
      <c r="U87" s="438"/>
      <c r="V87" s="438"/>
      <c r="W87" s="438"/>
      <c r="X87" s="438"/>
      <c r="Y87" s="438"/>
      <c r="Z87" s="438"/>
      <c r="AA87" s="438"/>
      <c r="AB87" s="438"/>
      <c r="AC87" s="438"/>
      <c r="AD87" s="438"/>
      <c r="AE87" s="438"/>
      <c r="AF87" s="438"/>
      <c r="AG87" s="438"/>
      <c r="AH87" s="438"/>
      <c r="AI87" s="438"/>
      <c r="AJ87" s="438"/>
    </row>
    <row r="88" s="434" customFormat="1" spans="1:36">
      <c r="A88" s="437"/>
      <c r="B88" s="438" t="s">
        <v>129</v>
      </c>
      <c r="C88" s="438"/>
      <c r="D88" s="438"/>
      <c r="E88" s="438"/>
      <c r="F88" s="438"/>
      <c r="G88" s="438"/>
      <c r="H88" s="438"/>
      <c r="I88" s="438"/>
      <c r="J88" s="438"/>
      <c r="K88" s="438"/>
      <c r="L88" s="438"/>
      <c r="M88" s="438"/>
      <c r="N88" s="438"/>
      <c r="O88" s="438"/>
      <c r="P88" s="606" t="s">
        <v>130</v>
      </c>
      <c r="Q88" s="606"/>
      <c r="R88" s="606"/>
      <c r="S88" s="606"/>
      <c r="T88" s="606"/>
      <c r="U88" s="606"/>
      <c r="V88" s="606"/>
      <c r="W88" s="606"/>
      <c r="X88" s="606"/>
      <c r="Y88" s="606"/>
      <c r="Z88" s="606"/>
      <c r="AA88" s="438"/>
      <c r="AB88" s="438"/>
      <c r="AC88" s="438"/>
      <c r="AD88" s="438"/>
      <c r="AE88" s="438"/>
      <c r="AF88" s="438"/>
      <c r="AG88" s="438"/>
      <c r="AH88" s="438"/>
      <c r="AI88" s="438"/>
      <c r="AJ88" s="438"/>
    </row>
    <row r="89" s="434" customFormat="1" spans="1:36">
      <c r="A89" s="437"/>
      <c r="B89" s="440" t="s">
        <v>131</v>
      </c>
      <c r="C89" s="440"/>
      <c r="D89" s="440"/>
      <c r="E89" s="440"/>
      <c r="F89" s="440"/>
      <c r="G89" s="440"/>
      <c r="H89" s="440"/>
      <c r="I89" s="440"/>
      <c r="J89" s="440"/>
      <c r="K89" s="440"/>
      <c r="L89" s="438" t="s">
        <v>132</v>
      </c>
      <c r="M89" s="438"/>
      <c r="N89" s="438"/>
      <c r="O89" s="438"/>
      <c r="P89" s="438"/>
      <c r="Q89" s="438"/>
      <c r="R89" s="438"/>
      <c r="S89" s="438"/>
      <c r="T89" s="438"/>
      <c r="U89" s="438"/>
      <c r="V89" s="438"/>
      <c r="W89" s="438"/>
      <c r="X89" s="438"/>
      <c r="Y89" s="438"/>
      <c r="Z89" s="438"/>
      <c r="AA89" s="438"/>
      <c r="AB89" s="438"/>
      <c r="AC89" s="438"/>
      <c r="AD89" s="438"/>
      <c r="AE89" s="438"/>
      <c r="AF89" s="438"/>
      <c r="AG89" s="438"/>
      <c r="AH89" s="438"/>
      <c r="AI89" s="438"/>
      <c r="AJ89" s="438"/>
    </row>
    <row r="90" s="434" customFormat="1" spans="1:36">
      <c r="A90" s="437"/>
      <c r="B90" s="440" t="s">
        <v>133</v>
      </c>
      <c r="C90" s="440"/>
      <c r="D90" s="440"/>
      <c r="E90" s="440"/>
      <c r="F90" s="440"/>
      <c r="G90" s="440"/>
      <c r="H90" s="440"/>
      <c r="I90" s="440"/>
      <c r="J90" s="440"/>
      <c r="K90" s="440"/>
      <c r="L90" s="440"/>
      <c r="M90" s="438" t="s">
        <v>134</v>
      </c>
      <c r="N90" s="438"/>
      <c r="O90" s="438"/>
      <c r="P90" s="438"/>
      <c r="Q90" s="438"/>
      <c r="R90" s="438"/>
      <c r="S90" s="438"/>
      <c r="T90" s="438"/>
      <c r="U90" s="438"/>
      <c r="V90" s="438"/>
      <c r="W90" s="438"/>
      <c r="X90" s="438"/>
      <c r="Y90" s="438"/>
      <c r="Z90" s="438"/>
      <c r="AA90" s="438"/>
      <c r="AB90" s="438"/>
      <c r="AC90" s="438"/>
      <c r="AD90" s="438"/>
      <c r="AE90" s="438"/>
      <c r="AF90" s="438"/>
      <c r="AG90" s="438"/>
      <c r="AH90" s="438"/>
      <c r="AI90" s="438"/>
      <c r="AJ90" s="438"/>
    </row>
    <row r="91" s="434" customFormat="1" spans="1:36">
      <c r="A91" s="437"/>
      <c r="B91" s="438"/>
      <c r="C91" s="438"/>
      <c r="D91" s="438"/>
      <c r="E91" s="438"/>
      <c r="F91" s="438"/>
      <c r="G91" s="438"/>
      <c r="H91" s="438"/>
      <c r="I91" s="438"/>
      <c r="J91" s="438"/>
      <c r="K91" s="438"/>
      <c r="L91" s="438"/>
      <c r="M91" s="438"/>
      <c r="N91" s="438"/>
      <c r="O91" s="438"/>
      <c r="P91" s="438"/>
      <c r="Q91" s="438"/>
      <c r="R91" s="438"/>
      <c r="S91" s="438"/>
      <c r="T91" s="438"/>
      <c r="U91" s="438"/>
      <c r="V91" s="438"/>
      <c r="W91" s="438"/>
      <c r="X91" s="438"/>
      <c r="Y91" s="438"/>
      <c r="Z91" s="438"/>
      <c r="AA91" s="438"/>
      <c r="AB91" s="438"/>
      <c r="AC91" s="438"/>
      <c r="AD91" s="438"/>
      <c r="AE91" s="438"/>
      <c r="AF91" s="438"/>
      <c r="AG91" s="438"/>
      <c r="AH91" s="438"/>
      <c r="AI91" s="438"/>
      <c r="AJ91" s="438"/>
    </row>
    <row r="92" s="434" customFormat="1" spans="1:36">
      <c r="A92" s="437"/>
      <c r="B92" s="438" t="s">
        <v>135</v>
      </c>
      <c r="C92" s="438"/>
      <c r="D92" s="438"/>
      <c r="E92" s="438"/>
      <c r="F92" s="438"/>
      <c r="G92" s="438"/>
      <c r="H92" s="438"/>
      <c r="I92" s="438"/>
      <c r="J92" s="438"/>
      <c r="K92" s="438"/>
      <c r="L92" s="438"/>
      <c r="M92" s="438"/>
      <c r="N92" s="438"/>
      <c r="O92" s="438"/>
      <c r="P92" s="438"/>
      <c r="Q92" s="438"/>
      <c r="R92" s="438"/>
      <c r="S92" s="438"/>
      <c r="T92" s="438"/>
      <c r="U92" s="438"/>
      <c r="V92" s="438"/>
      <c r="W92" s="438"/>
      <c r="X92" s="438"/>
      <c r="Y92" s="438"/>
      <c r="Z92" s="438"/>
      <c r="AA92" s="438"/>
      <c r="AB92" s="438"/>
      <c r="AC92" s="438"/>
      <c r="AD92" s="438"/>
      <c r="AE92" s="438"/>
      <c r="AF92" s="438"/>
      <c r="AG92" s="438"/>
      <c r="AH92" s="438"/>
      <c r="AI92" s="438"/>
      <c r="AJ92" s="438"/>
    </row>
    <row r="93" s="434" customFormat="1" spans="1:36">
      <c r="A93" s="437"/>
      <c r="B93" s="438" t="s">
        <v>136</v>
      </c>
      <c r="C93" s="438"/>
      <c r="D93" s="438"/>
      <c r="E93" s="438"/>
      <c r="F93" s="438"/>
      <c r="G93" s="438"/>
      <c r="H93" s="438"/>
      <c r="I93" s="438"/>
      <c r="J93" s="438"/>
      <c r="K93" s="438"/>
      <c r="L93" s="438"/>
      <c r="M93" s="438"/>
      <c r="N93" s="438"/>
      <c r="O93" s="438"/>
      <c r="P93" s="438"/>
      <c r="Q93" s="438"/>
      <c r="R93" s="438"/>
      <c r="S93" s="438"/>
      <c r="T93" s="438"/>
      <c r="U93" s="438"/>
      <c r="V93" s="438"/>
      <c r="W93" s="438"/>
      <c r="X93" s="440" t="s">
        <v>137</v>
      </c>
      <c r="Y93" s="440"/>
      <c r="Z93" s="440"/>
      <c r="AA93" s="440"/>
      <c r="AB93" s="440"/>
      <c r="AC93" s="440"/>
      <c r="AD93" s="440"/>
      <c r="AE93" s="440"/>
      <c r="AF93" s="440"/>
      <c r="AG93" s="440"/>
      <c r="AH93" s="440"/>
      <c r="AI93" s="440"/>
      <c r="AJ93" s="438"/>
    </row>
    <row r="94" s="434" customFormat="1" spans="1:36">
      <c r="A94" s="437"/>
      <c r="B94" s="438"/>
      <c r="C94" s="438"/>
      <c r="D94" s="438"/>
      <c r="E94" s="438"/>
      <c r="F94" s="438"/>
      <c r="G94" s="438"/>
      <c r="H94" s="438"/>
      <c r="I94" s="438"/>
      <c r="J94" s="438"/>
      <c r="K94" s="438"/>
      <c r="L94" s="438"/>
      <c r="M94" s="438"/>
      <c r="N94" s="438"/>
      <c r="O94" s="438"/>
      <c r="P94" s="438"/>
      <c r="Q94" s="438"/>
      <c r="R94" s="438"/>
      <c r="S94" s="438"/>
      <c r="T94" s="438"/>
      <c r="U94" s="438"/>
      <c r="V94" s="438"/>
      <c r="W94" s="438"/>
      <c r="X94" s="438"/>
      <c r="Y94" s="438"/>
      <c r="Z94" s="438"/>
      <c r="AA94" s="438"/>
      <c r="AB94" s="438"/>
      <c r="AC94" s="438"/>
      <c r="AD94" s="438"/>
      <c r="AE94" s="438"/>
      <c r="AF94" s="438"/>
      <c r="AG94" s="438"/>
      <c r="AH94" s="438"/>
      <c r="AI94" s="438"/>
      <c r="AJ94" s="438"/>
    </row>
    <row r="95" s="434" customFormat="1" ht="27.75" spans="1:36">
      <c r="A95" s="437"/>
      <c r="B95" s="439" t="s">
        <v>138</v>
      </c>
      <c r="C95" s="439"/>
      <c r="D95" s="439"/>
      <c r="E95" s="439"/>
      <c r="F95" s="439"/>
      <c r="G95" s="439"/>
      <c r="H95" s="439"/>
      <c r="I95" s="439"/>
      <c r="J95" s="439"/>
      <c r="K95" s="439"/>
      <c r="L95" s="438"/>
      <c r="M95" s="438"/>
      <c r="N95" s="438"/>
      <c r="O95" s="438"/>
      <c r="P95" s="438"/>
      <c r="Q95" s="438"/>
      <c r="R95" s="438"/>
      <c r="S95" s="438"/>
      <c r="T95" s="438"/>
      <c r="U95" s="438"/>
      <c r="V95" s="438"/>
      <c r="W95" s="438"/>
      <c r="X95" s="438"/>
      <c r="Y95" s="438"/>
      <c r="Z95" s="438"/>
      <c r="AA95" s="438"/>
      <c r="AB95" s="438"/>
      <c r="AC95" s="438"/>
      <c r="AD95" s="438"/>
      <c r="AE95" s="438"/>
      <c r="AF95" s="438"/>
      <c r="AG95" s="438"/>
      <c r="AH95" s="438"/>
      <c r="AI95" s="438"/>
      <c r="AJ95" s="438"/>
    </row>
    <row r="96" s="434" customFormat="1" spans="1:36">
      <c r="A96" s="437"/>
      <c r="B96" s="438" t="s">
        <v>139</v>
      </c>
      <c r="C96" s="438"/>
      <c r="D96" s="438"/>
      <c r="E96" s="438"/>
      <c r="F96" s="438"/>
      <c r="G96" s="438"/>
      <c r="H96" s="438"/>
      <c r="I96" s="438"/>
      <c r="J96" s="438"/>
      <c r="K96" s="438"/>
      <c r="L96" s="438"/>
      <c r="M96" s="438"/>
      <c r="N96" s="438"/>
      <c r="O96" s="438"/>
      <c r="P96" s="438"/>
      <c r="Q96" s="438"/>
      <c r="R96" s="438"/>
      <c r="S96" s="438"/>
      <c r="T96" s="438"/>
      <c r="U96" s="438"/>
      <c r="V96" s="438"/>
      <c r="W96" s="438"/>
      <c r="X96" s="438"/>
      <c r="Y96" s="438"/>
      <c r="Z96" s="438"/>
      <c r="AA96" s="438"/>
      <c r="AB96" s="438"/>
      <c r="AC96" s="438"/>
      <c r="AD96" s="438"/>
      <c r="AE96" s="438"/>
      <c r="AF96" s="438"/>
      <c r="AG96" s="438"/>
      <c r="AH96" s="438"/>
      <c r="AI96" s="438"/>
      <c r="AJ96" s="438"/>
    </row>
    <row r="97" s="434" customFormat="1" spans="1:36">
      <c r="A97" s="437"/>
      <c r="B97" s="438" t="s">
        <v>140</v>
      </c>
      <c r="C97" s="438"/>
      <c r="D97" s="438"/>
      <c r="E97" s="438"/>
      <c r="F97" s="438"/>
      <c r="G97" s="438"/>
      <c r="H97" s="438"/>
      <c r="I97" s="438"/>
      <c r="J97" s="438"/>
      <c r="K97" s="438"/>
      <c r="L97" s="438"/>
      <c r="M97" s="438"/>
      <c r="N97" s="438"/>
      <c r="O97" s="438"/>
      <c r="P97" s="438"/>
      <c r="Q97" s="438"/>
      <c r="R97" s="438"/>
      <c r="S97" s="438"/>
      <c r="T97" s="438"/>
      <c r="U97" s="438"/>
      <c r="V97" s="438"/>
      <c r="W97" s="438"/>
      <c r="X97" s="438"/>
      <c r="Y97" s="438"/>
      <c r="Z97" s="438"/>
      <c r="AA97" s="438"/>
      <c r="AB97" s="438"/>
      <c r="AC97" s="438"/>
      <c r="AD97" s="438"/>
      <c r="AE97" s="438"/>
      <c r="AF97" s="438"/>
      <c r="AG97" s="438"/>
      <c r="AH97" s="438"/>
      <c r="AI97" s="438"/>
      <c r="AJ97" s="438"/>
    </row>
    <row r="98" s="434" customFormat="1" spans="1:36">
      <c r="A98" s="437"/>
      <c r="B98" s="438" t="s">
        <v>141</v>
      </c>
      <c r="C98" s="438"/>
      <c r="D98" s="438"/>
      <c r="E98" s="438"/>
      <c r="F98" s="438"/>
      <c r="G98" s="438"/>
      <c r="H98" s="438"/>
      <c r="I98" s="438"/>
      <c r="J98" s="438"/>
      <c r="K98" s="438"/>
      <c r="L98" s="438"/>
      <c r="M98" s="438"/>
      <c r="N98" s="438"/>
      <c r="O98" s="438"/>
      <c r="P98" s="438"/>
      <c r="Q98" s="438"/>
      <c r="R98" s="438"/>
      <c r="S98" s="438"/>
      <c r="T98" s="438"/>
      <c r="U98" s="438"/>
      <c r="V98" s="438"/>
      <c r="W98" s="438"/>
      <c r="X98" s="438"/>
      <c r="Y98" s="438"/>
      <c r="Z98" s="438"/>
      <c r="AA98" s="438"/>
      <c r="AB98" s="438"/>
      <c r="AC98" s="438"/>
      <c r="AD98" s="438"/>
      <c r="AE98" s="438"/>
      <c r="AF98" s="438"/>
      <c r="AG98" s="438"/>
      <c r="AH98" s="438"/>
      <c r="AI98" s="438"/>
      <c r="AJ98" s="438"/>
    </row>
    <row r="99" s="434" customFormat="1" spans="1:36">
      <c r="A99" s="437"/>
      <c r="B99" s="438" t="s">
        <v>142</v>
      </c>
      <c r="C99" s="438"/>
      <c r="D99" s="438"/>
      <c r="E99" s="438"/>
      <c r="F99" s="438"/>
      <c r="G99" s="438"/>
      <c r="H99" s="438"/>
      <c r="I99" s="438"/>
      <c r="J99" s="438"/>
      <c r="K99" s="438"/>
      <c r="L99" s="438"/>
      <c r="M99" s="438"/>
      <c r="N99" s="438"/>
      <c r="O99" s="438"/>
      <c r="P99" s="438"/>
      <c r="Q99" s="438"/>
      <c r="R99" s="438"/>
      <c r="S99" s="438"/>
      <c r="T99" s="438"/>
      <c r="U99" s="438"/>
      <c r="V99" s="438"/>
      <c r="W99" s="438"/>
      <c r="X99" s="438"/>
      <c r="Y99" s="438"/>
      <c r="Z99" s="438"/>
      <c r="AA99" s="438"/>
      <c r="AB99" s="438"/>
      <c r="AC99" s="438"/>
      <c r="AD99" s="438"/>
      <c r="AE99" s="438"/>
      <c r="AF99" s="438"/>
      <c r="AG99" s="438"/>
      <c r="AH99" s="438"/>
      <c r="AI99" s="438"/>
      <c r="AJ99" s="438"/>
    </row>
    <row r="100" s="434" customFormat="1" spans="1:36">
      <c r="A100" s="437"/>
      <c r="B100" s="438" t="s">
        <v>143</v>
      </c>
      <c r="C100" s="438"/>
      <c r="D100" s="438"/>
      <c r="E100" s="438"/>
      <c r="F100" s="438"/>
      <c r="G100" s="438"/>
      <c r="H100" s="438"/>
      <c r="I100" s="438"/>
      <c r="J100" s="438"/>
      <c r="K100" s="438"/>
      <c r="L100" s="438"/>
      <c r="M100" s="438"/>
      <c r="N100" s="438"/>
      <c r="O100" s="438"/>
      <c r="P100" s="438"/>
      <c r="Q100" s="438"/>
      <c r="R100" s="438"/>
      <c r="S100" s="438"/>
      <c r="T100" s="438"/>
      <c r="U100" s="438"/>
      <c r="V100" s="438"/>
      <c r="W100" s="438"/>
      <c r="X100" s="438"/>
      <c r="Y100" s="438"/>
      <c r="Z100" s="438"/>
      <c r="AA100" s="438"/>
      <c r="AB100" s="438"/>
      <c r="AC100" s="438"/>
      <c r="AD100" s="438"/>
      <c r="AE100" s="438"/>
      <c r="AF100" s="438"/>
      <c r="AG100" s="438"/>
      <c r="AH100" s="438"/>
      <c r="AI100" s="438"/>
      <c r="AJ100" s="438"/>
    </row>
    <row r="101" s="434" customFormat="1" spans="1:36">
      <c r="A101" s="437"/>
      <c r="B101" s="438"/>
      <c r="C101" s="438"/>
      <c r="D101" s="438"/>
      <c r="E101" s="438"/>
      <c r="F101" s="438"/>
      <c r="G101" s="438"/>
      <c r="H101" s="438"/>
      <c r="I101" s="438"/>
      <c r="J101" s="438"/>
      <c r="K101" s="438"/>
      <c r="L101" s="438"/>
      <c r="M101" s="438"/>
      <c r="N101" s="438"/>
      <c r="O101" s="438"/>
      <c r="P101" s="438"/>
      <c r="Q101" s="438"/>
      <c r="R101" s="438"/>
      <c r="S101" s="438"/>
      <c r="T101" s="438"/>
      <c r="U101" s="438"/>
      <c r="V101" s="438"/>
      <c r="W101" s="438"/>
      <c r="X101" s="438"/>
      <c r="Y101" s="438"/>
      <c r="Z101" s="438"/>
      <c r="AA101" s="438"/>
      <c r="AB101" s="438"/>
      <c r="AC101" s="438"/>
      <c r="AD101" s="438"/>
      <c r="AE101" s="438"/>
      <c r="AF101" s="438"/>
      <c r="AG101" s="438"/>
      <c r="AH101" s="438"/>
      <c r="AI101" s="438"/>
      <c r="AJ101" s="438"/>
    </row>
    <row r="102" s="434" customFormat="1" spans="1:36">
      <c r="A102" s="437"/>
      <c r="B102" s="438" t="s">
        <v>144</v>
      </c>
      <c r="C102" s="438"/>
      <c r="D102" s="438"/>
      <c r="E102" s="438"/>
      <c r="F102" s="438"/>
      <c r="G102" s="438"/>
      <c r="H102" s="438"/>
      <c r="I102" s="438"/>
      <c r="J102" s="438"/>
      <c r="K102" s="438"/>
      <c r="L102" s="438"/>
      <c r="M102" s="438"/>
      <c r="N102" s="438"/>
      <c r="O102" s="438"/>
      <c r="P102" s="438"/>
      <c r="Q102" s="438"/>
      <c r="R102" s="438"/>
      <c r="S102" s="438"/>
      <c r="T102" s="438"/>
      <c r="U102" s="438"/>
      <c r="V102" s="438"/>
      <c r="W102" s="438"/>
      <c r="X102" s="438"/>
      <c r="Y102" s="438"/>
      <c r="Z102" s="438"/>
      <c r="AA102" s="438"/>
      <c r="AB102" s="438"/>
      <c r="AC102" s="438"/>
      <c r="AD102" s="438"/>
      <c r="AE102" s="438"/>
      <c r="AF102" s="438"/>
      <c r="AG102" s="438"/>
      <c r="AH102" s="438"/>
      <c r="AI102" s="438"/>
      <c r="AJ102" s="438"/>
    </row>
    <row r="103" s="434" customFormat="1" spans="1:36">
      <c r="A103" s="437"/>
      <c r="B103" s="438" t="s">
        <v>145</v>
      </c>
      <c r="C103" s="438"/>
      <c r="D103" s="438"/>
      <c r="E103" s="438"/>
      <c r="F103" s="438"/>
      <c r="G103" s="438"/>
      <c r="H103" s="438"/>
      <c r="I103" s="438"/>
      <c r="J103" s="438"/>
      <c r="K103" s="438"/>
      <c r="L103" s="438"/>
      <c r="M103" s="438"/>
      <c r="N103" s="438"/>
      <c r="O103" s="438"/>
      <c r="P103" s="438"/>
      <c r="Q103" s="438"/>
      <c r="R103" s="438"/>
      <c r="S103" s="438"/>
      <c r="T103" s="438"/>
      <c r="U103" s="438"/>
      <c r="V103" s="438"/>
      <c r="W103" s="438"/>
      <c r="X103" s="438"/>
      <c r="Y103" s="438"/>
      <c r="Z103" s="438"/>
      <c r="AA103" s="438"/>
      <c r="AB103" s="438"/>
      <c r="AC103" s="438"/>
      <c r="AD103" s="438"/>
      <c r="AE103" s="438"/>
      <c r="AF103" s="438"/>
      <c r="AG103" s="438"/>
      <c r="AH103" s="438"/>
      <c r="AI103" s="438"/>
      <c r="AJ103" s="438"/>
    </row>
    <row r="104" s="434" customFormat="1" spans="1:36">
      <c r="A104" s="437"/>
      <c r="B104" s="438"/>
      <c r="C104" s="438"/>
      <c r="D104" s="438"/>
      <c r="E104" s="438"/>
      <c r="F104" s="438"/>
      <c r="G104" s="438"/>
      <c r="H104" s="438"/>
      <c r="I104" s="438"/>
      <c r="J104" s="438"/>
      <c r="K104" s="438"/>
      <c r="L104" s="438"/>
      <c r="M104" s="438"/>
      <c r="N104" s="438"/>
      <c r="O104" s="438"/>
      <c r="P104" s="438"/>
      <c r="Q104" s="438"/>
      <c r="R104" s="438"/>
      <c r="S104" s="438"/>
      <c r="T104" s="438"/>
      <c r="U104" s="438"/>
      <c r="V104" s="438"/>
      <c r="W104" s="438"/>
      <c r="X104" s="438"/>
      <c r="Y104" s="438"/>
      <c r="Z104" s="438"/>
      <c r="AA104" s="438"/>
      <c r="AB104" s="438"/>
      <c r="AC104" s="438"/>
      <c r="AD104" s="438"/>
      <c r="AE104" s="438"/>
      <c r="AF104" s="438"/>
      <c r="AG104" s="438"/>
      <c r="AH104" s="438"/>
      <c r="AI104" s="438"/>
      <c r="AJ104" s="438"/>
    </row>
    <row r="105" s="434" customFormat="1" spans="1:1">
      <c r="A105" s="436"/>
    </row>
    <row r="106" s="434" customFormat="1" spans="1:1">
      <c r="A106" s="436"/>
    </row>
    <row r="107" s="434" customFormat="1" spans="1:1">
      <c r="A107" s="436"/>
    </row>
    <row r="108" s="434" customFormat="1" spans="1:1">
      <c r="A108" s="436"/>
    </row>
    <row r="109" s="434" customFormat="1" spans="1:1">
      <c r="A109" s="436"/>
    </row>
    <row r="110" s="434" customFormat="1" spans="1:1">
      <c r="A110" s="436"/>
    </row>
    <row r="111" s="434" customFormat="1" spans="1:1">
      <c r="A111" s="436"/>
    </row>
    <row r="112" s="434" customFormat="1" spans="1:1">
      <c r="A112" s="436"/>
    </row>
    <row r="113" s="434" customFormat="1" spans="1:1">
      <c r="A113" s="436"/>
    </row>
    <row r="114" s="434" customFormat="1" spans="1:1">
      <c r="A114" s="436"/>
    </row>
    <row r="115" s="434" customFormat="1" spans="1:1">
      <c r="A115" s="436"/>
    </row>
    <row r="116" s="434" customFormat="1" spans="1:1">
      <c r="A116" s="436"/>
    </row>
    <row r="117" s="434" customFormat="1" spans="1:1">
      <c r="A117" s="436"/>
    </row>
    <row r="118" s="434" customFormat="1" spans="1:1">
      <c r="A118" s="436"/>
    </row>
    <row r="119" s="434" customFormat="1" spans="1:1">
      <c r="A119" s="436"/>
    </row>
    <row r="120" s="434" customFormat="1" spans="1:1">
      <c r="A120" s="436"/>
    </row>
    <row r="121" s="434" customFormat="1" spans="1:1">
      <c r="A121" s="436"/>
    </row>
    <row r="122" s="434" customFormat="1" spans="1:1">
      <c r="A122" s="436"/>
    </row>
    <row r="123" s="434" customFormat="1" spans="1:1">
      <c r="A123" s="436"/>
    </row>
    <row r="124" s="434" customFormat="1" spans="1:1">
      <c r="A124" s="436"/>
    </row>
    <row r="125" s="434" customFormat="1" spans="1:1">
      <c r="A125" s="436"/>
    </row>
    <row r="126" s="434" customFormat="1" spans="1:1">
      <c r="A126" s="436"/>
    </row>
    <row r="127" s="434" customFormat="1" spans="1:1">
      <c r="A127" s="436"/>
    </row>
    <row r="128" s="434" customFormat="1" spans="1:1">
      <c r="A128" s="436"/>
    </row>
    <row r="129" s="434" customFormat="1" spans="1:1">
      <c r="A129" s="436"/>
    </row>
    <row r="130" s="434" customFormat="1" spans="1:1">
      <c r="A130" s="436"/>
    </row>
    <row r="131" s="434" customFormat="1" spans="1:1">
      <c r="A131" s="436"/>
    </row>
    <row r="132" s="434" customFormat="1" spans="1:1">
      <c r="A132" s="436"/>
    </row>
    <row r="133" spans="2:36">
      <c r="B133" s="434"/>
      <c r="C133" s="434"/>
      <c r="D133" s="434"/>
      <c r="E133" s="434"/>
      <c r="F133" s="434"/>
      <c r="G133" s="434"/>
      <c r="H133" s="434"/>
      <c r="I133" s="434"/>
      <c r="J133" s="434"/>
      <c r="K133" s="434"/>
      <c r="L133" s="434"/>
      <c r="M133" s="434"/>
      <c r="N133" s="434"/>
      <c r="O133" s="434"/>
      <c r="P133" s="434"/>
      <c r="Q133" s="434"/>
      <c r="R133" s="434"/>
      <c r="S133" s="434"/>
      <c r="T133" s="434"/>
      <c r="U133" s="434"/>
      <c r="V133" s="434"/>
      <c r="W133" s="434"/>
      <c r="X133" s="434"/>
      <c r="Y133" s="434"/>
      <c r="Z133" s="434"/>
      <c r="AA133" s="434"/>
      <c r="AB133" s="434"/>
      <c r="AC133" s="434"/>
      <c r="AD133" s="434"/>
      <c r="AE133" s="434"/>
      <c r="AF133" s="434"/>
      <c r="AG133" s="434"/>
      <c r="AH133" s="434"/>
      <c r="AI133" s="434"/>
      <c r="AJ133" s="434"/>
    </row>
    <row r="134" spans="2:36">
      <c r="B134" s="434"/>
      <c r="C134" s="434"/>
      <c r="D134" s="434"/>
      <c r="E134" s="434"/>
      <c r="F134" s="434"/>
      <c r="G134" s="434"/>
      <c r="H134" s="434"/>
      <c r="I134" s="434"/>
      <c r="J134" s="434"/>
      <c r="K134" s="434"/>
      <c r="L134" s="434"/>
      <c r="M134" s="434"/>
      <c r="N134" s="434"/>
      <c r="O134" s="434"/>
      <c r="P134" s="434"/>
      <c r="Q134" s="434"/>
      <c r="R134" s="434"/>
      <c r="S134" s="434"/>
      <c r="T134" s="434"/>
      <c r="U134" s="434"/>
      <c r="V134" s="434"/>
      <c r="W134" s="434"/>
      <c r="X134" s="434"/>
      <c r="Y134" s="434"/>
      <c r="Z134" s="434"/>
      <c r="AA134" s="434"/>
      <c r="AB134" s="434"/>
      <c r="AC134" s="434"/>
      <c r="AD134" s="434"/>
      <c r="AE134" s="434"/>
      <c r="AF134" s="434"/>
      <c r="AG134" s="434"/>
      <c r="AH134" s="434"/>
      <c r="AI134" s="434"/>
      <c r="AJ134" s="434"/>
    </row>
    <row r="135" spans="2:36">
      <c r="B135" s="434"/>
      <c r="C135" s="434"/>
      <c r="D135" s="434"/>
      <c r="E135" s="434"/>
      <c r="F135" s="434"/>
      <c r="G135" s="434"/>
      <c r="H135" s="434"/>
      <c r="I135" s="434"/>
      <c r="J135" s="434"/>
      <c r="K135" s="434"/>
      <c r="L135" s="434"/>
      <c r="M135" s="434"/>
      <c r="N135" s="434"/>
      <c r="O135" s="434"/>
      <c r="P135" s="434"/>
      <c r="Q135" s="434"/>
      <c r="R135" s="434"/>
      <c r="S135" s="434"/>
      <c r="T135" s="434"/>
      <c r="U135" s="434"/>
      <c r="V135" s="434"/>
      <c r="W135" s="434"/>
      <c r="X135" s="434"/>
      <c r="Y135" s="434"/>
      <c r="Z135" s="434"/>
      <c r="AA135" s="434"/>
      <c r="AB135" s="434"/>
      <c r="AC135" s="434"/>
      <c r="AD135" s="434"/>
      <c r="AE135" s="434"/>
      <c r="AF135" s="434"/>
      <c r="AG135" s="434"/>
      <c r="AH135" s="434"/>
      <c r="AI135" s="434"/>
      <c r="AJ135" s="434"/>
    </row>
    <row r="136" spans="2:36">
      <c r="B136" s="434"/>
      <c r="C136" s="434"/>
      <c r="D136" s="434"/>
      <c r="E136" s="434"/>
      <c r="F136" s="434"/>
      <c r="G136" s="434"/>
      <c r="H136" s="434"/>
      <c r="I136" s="434"/>
      <c r="J136" s="434"/>
      <c r="K136" s="434"/>
      <c r="L136" s="434"/>
      <c r="M136" s="434"/>
      <c r="N136" s="434"/>
      <c r="O136" s="434"/>
      <c r="P136" s="434"/>
      <c r="Q136" s="434"/>
      <c r="R136" s="434"/>
      <c r="S136" s="434"/>
      <c r="T136" s="434"/>
      <c r="U136" s="434"/>
      <c r="V136" s="434"/>
      <c r="W136" s="434"/>
      <c r="X136" s="434"/>
      <c r="Y136" s="434"/>
      <c r="Z136" s="434"/>
      <c r="AA136" s="434"/>
      <c r="AB136" s="434"/>
      <c r="AC136" s="434"/>
      <c r="AD136" s="434"/>
      <c r="AE136" s="434"/>
      <c r="AF136" s="434"/>
      <c r="AG136" s="434"/>
      <c r="AH136" s="434"/>
      <c r="AI136" s="434"/>
      <c r="AJ136" s="434"/>
    </row>
    <row r="137" spans="2:35">
      <c r="B137" s="434"/>
      <c r="C137" s="434"/>
      <c r="D137" s="434"/>
      <c r="E137" s="434"/>
      <c r="F137" s="434"/>
      <c r="G137" s="434"/>
      <c r="H137" s="434"/>
      <c r="I137" s="434"/>
      <c r="J137" s="434"/>
      <c r="K137" s="434"/>
      <c r="L137" s="434"/>
      <c r="M137" s="434"/>
      <c r="N137" s="434"/>
      <c r="O137" s="434"/>
      <c r="P137" s="434"/>
      <c r="Q137" s="434"/>
      <c r="R137" s="434"/>
      <c r="S137" s="434"/>
      <c r="T137" s="434"/>
      <c r="U137" s="434"/>
      <c r="V137" s="434"/>
      <c r="W137" s="434"/>
      <c r="X137" s="434"/>
      <c r="Y137" s="434"/>
      <c r="Z137" s="434"/>
      <c r="AA137" s="434"/>
      <c r="AB137" s="434"/>
      <c r="AC137" s="434"/>
      <c r="AD137" s="434"/>
      <c r="AE137" s="434"/>
      <c r="AF137" s="434"/>
      <c r="AG137" s="434"/>
      <c r="AH137" s="434"/>
      <c r="AI137" s="434"/>
    </row>
    <row r="138" spans="2:35">
      <c r="B138" s="434"/>
      <c r="C138" s="434"/>
      <c r="D138" s="434"/>
      <c r="E138" s="434"/>
      <c r="F138" s="434"/>
      <c r="G138" s="434"/>
      <c r="H138" s="434"/>
      <c r="I138" s="434"/>
      <c r="J138" s="434"/>
      <c r="K138" s="434"/>
      <c r="L138" s="434"/>
      <c r="M138" s="434"/>
      <c r="N138" s="434"/>
      <c r="O138" s="434"/>
      <c r="P138" s="434"/>
      <c r="Q138" s="434"/>
      <c r="R138" s="434"/>
      <c r="S138" s="434"/>
      <c r="T138" s="434"/>
      <c r="U138" s="434"/>
      <c r="V138" s="434"/>
      <c r="W138" s="434"/>
      <c r="X138" s="434"/>
      <c r="Y138" s="434"/>
      <c r="Z138" s="434"/>
      <c r="AA138" s="434"/>
      <c r="AB138" s="434"/>
      <c r="AC138" s="434"/>
      <c r="AD138" s="434"/>
      <c r="AE138" s="434"/>
      <c r="AF138" s="434"/>
      <c r="AG138" s="434"/>
      <c r="AH138" s="434"/>
      <c r="AI138" s="434"/>
    </row>
  </sheetData>
  <sheetProtection algorithmName="SHA-512" hashValue="VseNIgJfWfDpGKl4TeAQQuyWQrmO24GGlSIkE8GTlSznCfsJEARajrgpSEqKsdXtCI/tocCSYStHqHJqhqmQiA==" saltValue="vQZ251LsB3JxPSMHRKonrA==" spinCount="100000" sheet="1" objects="1" scenarios="1"/>
  <mergeCells count="645">
    <mergeCell ref="B1:AI1"/>
    <mergeCell ref="B2:K2"/>
    <mergeCell ref="L2:AI2"/>
    <mergeCell ref="B3:AI3"/>
    <mergeCell ref="B4:G4"/>
    <mergeCell ref="I4:N4"/>
    <mergeCell ref="P4:U4"/>
    <mergeCell ref="AA4:AI4"/>
    <mergeCell ref="B5:AI5"/>
    <mergeCell ref="B6:AI6"/>
    <mergeCell ref="B7:AI7"/>
    <mergeCell ref="I8:AI8"/>
    <mergeCell ref="I9:AI9"/>
    <mergeCell ref="B10:AI10"/>
    <mergeCell ref="B11:K11"/>
    <mergeCell ref="L11:AI11"/>
    <mergeCell ref="B12:W12"/>
    <mergeCell ref="B13:W13"/>
    <mergeCell ref="B14:S14"/>
    <mergeCell ref="X14:AI14"/>
    <mergeCell ref="F15:G15"/>
    <mergeCell ref="L15:M15"/>
    <mergeCell ref="R15:S15"/>
    <mergeCell ref="F16:G16"/>
    <mergeCell ref="L16:M16"/>
    <mergeCell ref="R16:S16"/>
    <mergeCell ref="F17:G17"/>
    <mergeCell ref="L17:M17"/>
    <mergeCell ref="R17:S17"/>
    <mergeCell ref="F18:G18"/>
    <mergeCell ref="L18:M18"/>
    <mergeCell ref="R18:S18"/>
    <mergeCell ref="F19:G19"/>
    <mergeCell ref="L19:M19"/>
    <mergeCell ref="F20:G20"/>
    <mergeCell ref="L20:M20"/>
    <mergeCell ref="B21:AI21"/>
    <mergeCell ref="B22:AI22"/>
    <mergeCell ref="B23:Q23"/>
    <mergeCell ref="R23:Z23"/>
    <mergeCell ref="AA23:AI23"/>
    <mergeCell ref="B24:N24"/>
    <mergeCell ref="R24:AI24"/>
    <mergeCell ref="B25:C25"/>
    <mergeCell ref="D25:N25"/>
    <mergeCell ref="R25:AI25"/>
    <mergeCell ref="B26:C26"/>
    <mergeCell ref="D26:N26"/>
    <mergeCell ref="R26:AI26"/>
    <mergeCell ref="B27:C27"/>
    <mergeCell ref="D27:N27"/>
    <mergeCell ref="R27:AI27"/>
    <mergeCell ref="B28:C28"/>
    <mergeCell ref="D28:H28"/>
    <mergeCell ref="I28:J28"/>
    <mergeCell ref="K28:N28"/>
    <mergeCell ref="R28:AI28"/>
    <mergeCell ref="B29:C29"/>
    <mergeCell ref="D29:N29"/>
    <mergeCell ref="R29:AI29"/>
    <mergeCell ref="B30:C30"/>
    <mergeCell ref="D30:N30"/>
    <mergeCell ref="R30:AI30"/>
    <mergeCell ref="B31:AI31"/>
    <mergeCell ref="B32:AI32"/>
    <mergeCell ref="R33:T33"/>
    <mergeCell ref="U33:W33"/>
    <mergeCell ref="X33:Z33"/>
    <mergeCell ref="AA33:AC33"/>
    <mergeCell ref="AD33:AF33"/>
    <mergeCell ref="AG33:AI33"/>
    <mergeCell ref="R34:T34"/>
    <mergeCell ref="U34:W34"/>
    <mergeCell ref="X34:Z34"/>
    <mergeCell ref="AA34:AC34"/>
    <mergeCell ref="AD34:AF34"/>
    <mergeCell ref="AG34:AI34"/>
    <mergeCell ref="B35:F35"/>
    <mergeCell ref="J35:AI35"/>
    <mergeCell ref="B36:K36"/>
    <mergeCell ref="L36:AI36"/>
    <mergeCell ref="B37:E37"/>
    <mergeCell ref="F37:AI37"/>
    <mergeCell ref="B40:AI40"/>
    <mergeCell ref="B41:K41"/>
    <mergeCell ref="L41:AI41"/>
    <mergeCell ref="B44:AI44"/>
    <mergeCell ref="B45:AI45"/>
    <mergeCell ref="B46:AI46"/>
    <mergeCell ref="B47:F47"/>
    <mergeCell ref="G47:H47"/>
    <mergeCell ref="I47:J47"/>
    <mergeCell ref="K47:L47"/>
    <mergeCell ref="M47:R47"/>
    <mergeCell ref="S47:W47"/>
    <mergeCell ref="X47:Y47"/>
    <mergeCell ref="Z47:AA47"/>
    <mergeCell ref="AB47:AC47"/>
    <mergeCell ref="AD47:AI47"/>
    <mergeCell ref="B48:F48"/>
    <mergeCell ref="G48:H48"/>
    <mergeCell ref="I48:J48"/>
    <mergeCell ref="K48:L48"/>
    <mergeCell ref="M48:N48"/>
    <mergeCell ref="O48:P48"/>
    <mergeCell ref="Q48:R48"/>
    <mergeCell ref="S48:W48"/>
    <mergeCell ref="X48:Y48"/>
    <mergeCell ref="Z48:AA48"/>
    <mergeCell ref="AB48:AC48"/>
    <mergeCell ref="AD48:AE48"/>
    <mergeCell ref="AF48:AG48"/>
    <mergeCell ref="AH48:AI48"/>
    <mergeCell ref="B49:F49"/>
    <mergeCell ref="G49:H49"/>
    <mergeCell ref="I49:J49"/>
    <mergeCell ref="K49:L49"/>
    <mergeCell ref="M49:N49"/>
    <mergeCell ref="O49:P49"/>
    <mergeCell ref="Q49:R49"/>
    <mergeCell ref="S49:W49"/>
    <mergeCell ref="X49:Y49"/>
    <mergeCell ref="Z49:AA49"/>
    <mergeCell ref="AB49:AC49"/>
    <mergeCell ref="AD49:AE49"/>
    <mergeCell ref="AF49:AG49"/>
    <mergeCell ref="AH49:AI49"/>
    <mergeCell ref="B50:F50"/>
    <mergeCell ref="G50:H50"/>
    <mergeCell ref="I50:J50"/>
    <mergeCell ref="K50:L50"/>
    <mergeCell ref="M50:N50"/>
    <mergeCell ref="O50:P50"/>
    <mergeCell ref="Q50:R50"/>
    <mergeCell ref="S50:W50"/>
    <mergeCell ref="X50:Y50"/>
    <mergeCell ref="Z50:AA50"/>
    <mergeCell ref="AB50:AC50"/>
    <mergeCell ref="AD50:AE50"/>
    <mergeCell ref="AF50:AG50"/>
    <mergeCell ref="AH50:AI50"/>
    <mergeCell ref="B51:F51"/>
    <mergeCell ref="G51:H51"/>
    <mergeCell ref="I51:J51"/>
    <mergeCell ref="K51:L51"/>
    <mergeCell ref="M51:N51"/>
    <mergeCell ref="O51:P51"/>
    <mergeCell ref="Q51:R51"/>
    <mergeCell ref="S51:W51"/>
    <mergeCell ref="X51:Y51"/>
    <mergeCell ref="Z51:AA51"/>
    <mergeCell ref="AB51:AC51"/>
    <mergeCell ref="AD51:AE51"/>
    <mergeCell ref="AF51:AG51"/>
    <mergeCell ref="AH51:AI51"/>
    <mergeCell ref="B52:C52"/>
    <mergeCell ref="D52:F52"/>
    <mergeCell ref="G52:H52"/>
    <mergeCell ref="I52:J52"/>
    <mergeCell ref="K52:L52"/>
    <mergeCell ref="M52:N52"/>
    <mergeCell ref="O52:P52"/>
    <mergeCell ref="Q52:R52"/>
    <mergeCell ref="S52:W52"/>
    <mergeCell ref="X52:Y52"/>
    <mergeCell ref="Z52:AA52"/>
    <mergeCell ref="AB52:AC52"/>
    <mergeCell ref="AD52:AE52"/>
    <mergeCell ref="AF52:AG52"/>
    <mergeCell ref="AH52:AI52"/>
    <mergeCell ref="B53:C53"/>
    <mergeCell ref="D53:F53"/>
    <mergeCell ref="G53:H53"/>
    <mergeCell ref="I53:J53"/>
    <mergeCell ref="K53:L53"/>
    <mergeCell ref="M53:N53"/>
    <mergeCell ref="O53:P53"/>
    <mergeCell ref="Q53:R53"/>
    <mergeCell ref="S53:W53"/>
    <mergeCell ref="X53:Y53"/>
    <mergeCell ref="Z53:AA53"/>
    <mergeCell ref="AB53:AC53"/>
    <mergeCell ref="AD53:AE53"/>
    <mergeCell ref="AF53:AG53"/>
    <mergeCell ref="AH53:AI53"/>
    <mergeCell ref="B54:C54"/>
    <mergeCell ref="D54:F54"/>
    <mergeCell ref="G54:H54"/>
    <mergeCell ref="I54:J54"/>
    <mergeCell ref="K54:L54"/>
    <mergeCell ref="M54:N54"/>
    <mergeCell ref="O54:P54"/>
    <mergeCell ref="Q54:R54"/>
    <mergeCell ref="S54:W54"/>
    <mergeCell ref="X54:Y54"/>
    <mergeCell ref="Z54:AA54"/>
    <mergeCell ref="AB54:AC54"/>
    <mergeCell ref="AD54:AE54"/>
    <mergeCell ref="AF54:AG54"/>
    <mergeCell ref="AH54:AI54"/>
    <mergeCell ref="B55:F55"/>
    <mergeCell ref="G55:H55"/>
    <mergeCell ref="I55:J55"/>
    <mergeCell ref="K55:L55"/>
    <mergeCell ref="M55:N55"/>
    <mergeCell ref="O55:P55"/>
    <mergeCell ref="Q55:R55"/>
    <mergeCell ref="S55:W55"/>
    <mergeCell ref="X55:Y55"/>
    <mergeCell ref="Z55:AA55"/>
    <mergeCell ref="AB55:AC55"/>
    <mergeCell ref="AD55:AE55"/>
    <mergeCell ref="AF55:AG55"/>
    <mergeCell ref="AH55:AI55"/>
    <mergeCell ref="B56:F56"/>
    <mergeCell ref="G56:H56"/>
    <mergeCell ref="I56:J56"/>
    <mergeCell ref="K56:L56"/>
    <mergeCell ref="M56:N56"/>
    <mergeCell ref="O56:P56"/>
    <mergeCell ref="Q56:R56"/>
    <mergeCell ref="S56:W56"/>
    <mergeCell ref="X56:Y56"/>
    <mergeCell ref="Z56:AA56"/>
    <mergeCell ref="AB56:AC56"/>
    <mergeCell ref="AD56:AE56"/>
    <mergeCell ref="AF56:AG56"/>
    <mergeCell ref="AH56:AI56"/>
    <mergeCell ref="B57:F57"/>
    <mergeCell ref="G57:H57"/>
    <mergeCell ref="I57:J57"/>
    <mergeCell ref="K57:L57"/>
    <mergeCell ref="M57:N57"/>
    <mergeCell ref="O57:P57"/>
    <mergeCell ref="Q57:R57"/>
    <mergeCell ref="S57:W57"/>
    <mergeCell ref="X57:Y57"/>
    <mergeCell ref="Z57:AA57"/>
    <mergeCell ref="AB57:AC57"/>
    <mergeCell ref="AD57:AE57"/>
    <mergeCell ref="AF57:AG57"/>
    <mergeCell ref="AH57:AI57"/>
    <mergeCell ref="B58:F58"/>
    <mergeCell ref="G58:H58"/>
    <mergeCell ref="I58:J58"/>
    <mergeCell ref="K58:L58"/>
    <mergeCell ref="M58:N58"/>
    <mergeCell ref="O58:P58"/>
    <mergeCell ref="Q58:R58"/>
    <mergeCell ref="S58:W58"/>
    <mergeCell ref="X58:Y58"/>
    <mergeCell ref="Z58:AA58"/>
    <mergeCell ref="AB58:AC58"/>
    <mergeCell ref="AD58:AE58"/>
    <mergeCell ref="AF58:AG58"/>
    <mergeCell ref="AH58:AI58"/>
    <mergeCell ref="B59:F59"/>
    <mergeCell ref="G59:H59"/>
    <mergeCell ref="I59:J59"/>
    <mergeCell ref="K59:L59"/>
    <mergeCell ref="M59:N59"/>
    <mergeCell ref="O59:P59"/>
    <mergeCell ref="Q59:R59"/>
    <mergeCell ref="S59:T59"/>
    <mergeCell ref="U59:W59"/>
    <mergeCell ref="X59:Y59"/>
    <mergeCell ref="Z59:AA59"/>
    <mergeCell ref="AB59:AC59"/>
    <mergeCell ref="AD59:AE59"/>
    <mergeCell ref="AF59:AG59"/>
    <mergeCell ref="AH59:AI59"/>
    <mergeCell ref="B60:F60"/>
    <mergeCell ref="G60:H60"/>
    <mergeCell ref="I60:J60"/>
    <mergeCell ref="K60:L60"/>
    <mergeCell ref="M60:N60"/>
    <mergeCell ref="O60:P60"/>
    <mergeCell ref="Q60:R60"/>
    <mergeCell ref="S60:W60"/>
    <mergeCell ref="X60:Y60"/>
    <mergeCell ref="Z60:AA60"/>
    <mergeCell ref="AB60:AC60"/>
    <mergeCell ref="AD60:AE60"/>
    <mergeCell ref="AF60:AG60"/>
    <mergeCell ref="AH60:AI60"/>
    <mergeCell ref="B61:F61"/>
    <mergeCell ref="G61:H61"/>
    <mergeCell ref="I61:J61"/>
    <mergeCell ref="K61:L61"/>
    <mergeCell ref="M61:N61"/>
    <mergeCell ref="O61:P61"/>
    <mergeCell ref="Q61:R61"/>
    <mergeCell ref="S61:W61"/>
    <mergeCell ref="X61:Y61"/>
    <mergeCell ref="Z61:AA61"/>
    <mergeCell ref="AB61:AC61"/>
    <mergeCell ref="AD61:AE61"/>
    <mergeCell ref="AF61:AG61"/>
    <mergeCell ref="AH61:AI61"/>
    <mergeCell ref="B62:F62"/>
    <mergeCell ref="G62:H62"/>
    <mergeCell ref="I62:J62"/>
    <mergeCell ref="K62:L62"/>
    <mergeCell ref="M62:N62"/>
    <mergeCell ref="O62:P62"/>
    <mergeCell ref="Q62:R62"/>
    <mergeCell ref="S62:W62"/>
    <mergeCell ref="X62:Y62"/>
    <mergeCell ref="Z62:AA62"/>
    <mergeCell ref="AB62:AC62"/>
    <mergeCell ref="AD62:AE62"/>
    <mergeCell ref="AF62:AG62"/>
    <mergeCell ref="AH62:AI62"/>
    <mergeCell ref="B63:F63"/>
    <mergeCell ref="G63:H63"/>
    <mergeCell ref="I63:J63"/>
    <mergeCell ref="K63:L63"/>
    <mergeCell ref="M63:N63"/>
    <mergeCell ref="O63:P63"/>
    <mergeCell ref="Q63:R63"/>
    <mergeCell ref="S63:T63"/>
    <mergeCell ref="U63:W63"/>
    <mergeCell ref="X63:Y63"/>
    <mergeCell ref="Z63:AA63"/>
    <mergeCell ref="AB63:AC63"/>
    <mergeCell ref="AD63:AE63"/>
    <mergeCell ref="AF63:AG63"/>
    <mergeCell ref="AH63:AI63"/>
    <mergeCell ref="B64:F64"/>
    <mergeCell ref="G64:H64"/>
    <mergeCell ref="I64:J64"/>
    <mergeCell ref="K64:L64"/>
    <mergeCell ref="M64:N64"/>
    <mergeCell ref="O64:P64"/>
    <mergeCell ref="Q64:R64"/>
    <mergeCell ref="S64:T64"/>
    <mergeCell ref="U64:W64"/>
    <mergeCell ref="X64:Y64"/>
    <mergeCell ref="Z64:AA64"/>
    <mergeCell ref="AB64:AC64"/>
    <mergeCell ref="AD64:AE64"/>
    <mergeCell ref="AF64:AG64"/>
    <mergeCell ref="AH64:AI64"/>
    <mergeCell ref="B65:F65"/>
    <mergeCell ref="G65:H65"/>
    <mergeCell ref="I65:J65"/>
    <mergeCell ref="K65:L65"/>
    <mergeCell ref="M65:N65"/>
    <mergeCell ref="O65:P65"/>
    <mergeCell ref="Q65:R65"/>
    <mergeCell ref="S65:T65"/>
    <mergeCell ref="U65:W65"/>
    <mergeCell ref="X65:Y65"/>
    <mergeCell ref="Z65:AA65"/>
    <mergeCell ref="AB65:AC65"/>
    <mergeCell ref="AD65:AE65"/>
    <mergeCell ref="AF65:AG65"/>
    <mergeCell ref="AH65:AI65"/>
    <mergeCell ref="B66:C66"/>
    <mergeCell ref="D66:F66"/>
    <mergeCell ref="G66:H66"/>
    <mergeCell ref="I66:J66"/>
    <mergeCell ref="K66:L66"/>
    <mergeCell ref="M66:N66"/>
    <mergeCell ref="O66:P66"/>
    <mergeCell ref="Q66:R66"/>
    <mergeCell ref="S66:W66"/>
    <mergeCell ref="X66:Y66"/>
    <mergeCell ref="Z66:AA66"/>
    <mergeCell ref="AB66:AC66"/>
    <mergeCell ref="AD66:AE66"/>
    <mergeCell ref="AF66:AG66"/>
    <mergeCell ref="AH66:AI66"/>
    <mergeCell ref="B67:C67"/>
    <mergeCell ref="D67:F67"/>
    <mergeCell ref="G67:H67"/>
    <mergeCell ref="I67:J67"/>
    <mergeCell ref="K67:L67"/>
    <mergeCell ref="M67:N67"/>
    <mergeCell ref="O67:P67"/>
    <mergeCell ref="Q67:R67"/>
    <mergeCell ref="S67:W67"/>
    <mergeCell ref="X67:Y67"/>
    <mergeCell ref="Z67:AA67"/>
    <mergeCell ref="AB67:AC67"/>
    <mergeCell ref="AD67:AE67"/>
    <mergeCell ref="AF67:AG67"/>
    <mergeCell ref="AH67:AI67"/>
    <mergeCell ref="B68:C68"/>
    <mergeCell ref="D68:F68"/>
    <mergeCell ref="G68:H68"/>
    <mergeCell ref="I68:J68"/>
    <mergeCell ref="K68:L68"/>
    <mergeCell ref="M68:N68"/>
    <mergeCell ref="O68:P68"/>
    <mergeCell ref="Q68:R68"/>
    <mergeCell ref="S68:W68"/>
    <mergeCell ref="X68:Y68"/>
    <mergeCell ref="Z68:AA68"/>
    <mergeCell ref="AB68:AC68"/>
    <mergeCell ref="AD68:AE68"/>
    <mergeCell ref="AF68:AG68"/>
    <mergeCell ref="AH68:AI68"/>
    <mergeCell ref="B69:C69"/>
    <mergeCell ref="D69:F69"/>
    <mergeCell ref="G69:H69"/>
    <mergeCell ref="I69:J69"/>
    <mergeCell ref="K69:L69"/>
    <mergeCell ref="M69:N69"/>
    <mergeCell ref="O69:P69"/>
    <mergeCell ref="Q69:R69"/>
    <mergeCell ref="S69:T69"/>
    <mergeCell ref="U69:W69"/>
    <mergeCell ref="X69:Y69"/>
    <mergeCell ref="Z69:AA69"/>
    <mergeCell ref="AB69:AC69"/>
    <mergeCell ref="AD69:AE69"/>
    <mergeCell ref="AF69:AG69"/>
    <mergeCell ref="AH69:AI69"/>
    <mergeCell ref="B70:C70"/>
    <mergeCell ref="D70:F70"/>
    <mergeCell ref="G70:H70"/>
    <mergeCell ref="I70:J70"/>
    <mergeCell ref="K70:L70"/>
    <mergeCell ref="M70:N70"/>
    <mergeCell ref="O70:P70"/>
    <mergeCell ref="Q70:R70"/>
    <mergeCell ref="S70:W70"/>
    <mergeCell ref="X70:Y70"/>
    <mergeCell ref="Z70:AA70"/>
    <mergeCell ref="AB70:AC70"/>
    <mergeCell ref="AD70:AE70"/>
    <mergeCell ref="AF70:AG70"/>
    <mergeCell ref="AH70:AI70"/>
    <mergeCell ref="B71:C71"/>
    <mergeCell ref="D71:F71"/>
    <mergeCell ref="G71:H71"/>
    <mergeCell ref="I71:J71"/>
    <mergeCell ref="K71:L71"/>
    <mergeCell ref="M71:N71"/>
    <mergeCell ref="O71:P71"/>
    <mergeCell ref="Q71:R71"/>
    <mergeCell ref="S71:W71"/>
    <mergeCell ref="X71:Y71"/>
    <mergeCell ref="Z71:AA71"/>
    <mergeCell ref="AB71:AC71"/>
    <mergeCell ref="AD71:AE71"/>
    <mergeCell ref="AF71:AG71"/>
    <mergeCell ref="AH71:AI71"/>
    <mergeCell ref="B72:F72"/>
    <mergeCell ref="G72:H72"/>
    <mergeCell ref="I72:J72"/>
    <mergeCell ref="K72:L72"/>
    <mergeCell ref="M72:N72"/>
    <mergeCell ref="O72:P72"/>
    <mergeCell ref="Q72:R72"/>
    <mergeCell ref="S72:W72"/>
    <mergeCell ref="X72:Y72"/>
    <mergeCell ref="Z72:AA72"/>
    <mergeCell ref="AB72:AC72"/>
    <mergeCell ref="AD72:AE72"/>
    <mergeCell ref="AF72:AG72"/>
    <mergeCell ref="AH72:AI72"/>
    <mergeCell ref="B73:F73"/>
    <mergeCell ref="G73:H73"/>
    <mergeCell ref="I73:J73"/>
    <mergeCell ref="K73:L73"/>
    <mergeCell ref="M73:N73"/>
    <mergeCell ref="O73:P73"/>
    <mergeCell ref="Q73:R73"/>
    <mergeCell ref="S73:W73"/>
    <mergeCell ref="X73:Y73"/>
    <mergeCell ref="Z73:AA73"/>
    <mergeCell ref="AB73:AC73"/>
    <mergeCell ref="AD73:AE73"/>
    <mergeCell ref="AF73:AG73"/>
    <mergeCell ref="AH73:AI73"/>
    <mergeCell ref="B74:F74"/>
    <mergeCell ref="G74:H74"/>
    <mergeCell ref="I74:J74"/>
    <mergeCell ref="K74:L74"/>
    <mergeCell ref="M74:N74"/>
    <mergeCell ref="O74:P74"/>
    <mergeCell ref="Q74:R74"/>
    <mergeCell ref="S74:W74"/>
    <mergeCell ref="X74:Y74"/>
    <mergeCell ref="Z74:AA74"/>
    <mergeCell ref="AB74:AC74"/>
    <mergeCell ref="AD74:AE74"/>
    <mergeCell ref="AF74:AG74"/>
    <mergeCell ref="AH74:AI74"/>
    <mergeCell ref="B75:F75"/>
    <mergeCell ref="G75:H75"/>
    <mergeCell ref="I75:J75"/>
    <mergeCell ref="K75:L75"/>
    <mergeCell ref="M75:N75"/>
    <mergeCell ref="O75:P75"/>
    <mergeCell ref="Q75:R75"/>
    <mergeCell ref="S75:W75"/>
    <mergeCell ref="X75:Y75"/>
    <mergeCell ref="Z75:AA75"/>
    <mergeCell ref="AB75:AC75"/>
    <mergeCell ref="AD75:AE75"/>
    <mergeCell ref="AF75:AG75"/>
    <mergeCell ref="AH75:AI75"/>
    <mergeCell ref="B76:C76"/>
    <mergeCell ref="D76:F76"/>
    <mergeCell ref="G76:H76"/>
    <mergeCell ref="I76:J76"/>
    <mergeCell ref="K76:L76"/>
    <mergeCell ref="M76:N76"/>
    <mergeCell ref="O76:P76"/>
    <mergeCell ref="Q76:R76"/>
    <mergeCell ref="S76:W76"/>
    <mergeCell ref="X76:Y76"/>
    <mergeCell ref="Z76:AA76"/>
    <mergeCell ref="AB76:AC76"/>
    <mergeCell ref="AD76:AE76"/>
    <mergeCell ref="AF76:AG76"/>
    <mergeCell ref="AH76:AI76"/>
    <mergeCell ref="B77:C77"/>
    <mergeCell ref="D77:F77"/>
    <mergeCell ref="G77:H77"/>
    <mergeCell ref="I77:J77"/>
    <mergeCell ref="K77:L77"/>
    <mergeCell ref="M77:N77"/>
    <mergeCell ref="O77:P77"/>
    <mergeCell ref="Q77:R77"/>
    <mergeCell ref="S77:W77"/>
    <mergeCell ref="X77:Y77"/>
    <mergeCell ref="Z77:AA77"/>
    <mergeCell ref="AB77:AC77"/>
    <mergeCell ref="AD77:AE77"/>
    <mergeCell ref="AF77:AG77"/>
    <mergeCell ref="AH77:AI77"/>
    <mergeCell ref="B78:C78"/>
    <mergeCell ref="D78:F78"/>
    <mergeCell ref="G78:H78"/>
    <mergeCell ref="I78:J78"/>
    <mergeCell ref="K78:L78"/>
    <mergeCell ref="M78:N78"/>
    <mergeCell ref="O78:P78"/>
    <mergeCell ref="Q78:R78"/>
    <mergeCell ref="S78:W78"/>
    <mergeCell ref="X78:Y78"/>
    <mergeCell ref="Z78:AA78"/>
    <mergeCell ref="AB78:AC78"/>
    <mergeCell ref="AD78:AE78"/>
    <mergeCell ref="AF78:AG78"/>
    <mergeCell ref="AH78:AI78"/>
    <mergeCell ref="B79:C79"/>
    <mergeCell ref="D79:F79"/>
    <mergeCell ref="G79:H79"/>
    <mergeCell ref="I79:J79"/>
    <mergeCell ref="K79:L79"/>
    <mergeCell ref="M79:N79"/>
    <mergeCell ref="O79:P79"/>
    <mergeCell ref="Q79:R79"/>
    <mergeCell ref="S79:AI79"/>
    <mergeCell ref="B80:N80"/>
    <mergeCell ref="O80:V80"/>
    <mergeCell ref="W80:AI80"/>
    <mergeCell ref="B81:AI81"/>
    <mergeCell ref="B82:K82"/>
    <mergeCell ref="L82:AI82"/>
    <mergeCell ref="B83:K83"/>
    <mergeCell ref="L83:AI83"/>
    <mergeCell ref="B84:AI84"/>
    <mergeCell ref="B85:AI85"/>
    <mergeCell ref="B87:K87"/>
    <mergeCell ref="L87:AI87"/>
    <mergeCell ref="B88:O88"/>
    <mergeCell ref="P88:Z88"/>
    <mergeCell ref="AA88:AI88"/>
    <mergeCell ref="B89:K89"/>
    <mergeCell ref="L89:AI89"/>
    <mergeCell ref="B90:L90"/>
    <mergeCell ref="M90:AI90"/>
    <mergeCell ref="B91:AI91"/>
    <mergeCell ref="B92:AI92"/>
    <mergeCell ref="B93:W93"/>
    <mergeCell ref="X93:AI93"/>
    <mergeCell ref="B95:K95"/>
    <mergeCell ref="L95:AI95"/>
    <mergeCell ref="B96:AI96"/>
    <mergeCell ref="B97:AI97"/>
    <mergeCell ref="B98:AI98"/>
    <mergeCell ref="B99:AI99"/>
    <mergeCell ref="B100:AI100"/>
    <mergeCell ref="B101:AI101"/>
    <mergeCell ref="B102:AI102"/>
    <mergeCell ref="B103:AI103"/>
    <mergeCell ref="B104:AI104"/>
    <mergeCell ref="F33:F34"/>
    <mergeCell ref="J38:R39"/>
    <mergeCell ref="B42:AI43"/>
    <mergeCell ref="B15:C16"/>
    <mergeCell ref="D15:E16"/>
    <mergeCell ref="H15:I16"/>
    <mergeCell ref="J15:K16"/>
    <mergeCell ref="N15:O16"/>
    <mergeCell ref="P15:Q16"/>
    <mergeCell ref="X15:Y16"/>
    <mergeCell ref="Z15:AA16"/>
    <mergeCell ref="AB15:AC16"/>
    <mergeCell ref="AD15:AE16"/>
    <mergeCell ref="AF15:AG16"/>
    <mergeCell ref="AH15:AI16"/>
    <mergeCell ref="B8:D9"/>
    <mergeCell ref="E8:G9"/>
    <mergeCell ref="X12:AI13"/>
    <mergeCell ref="B17:C18"/>
    <mergeCell ref="D17:E18"/>
    <mergeCell ref="H17:I18"/>
    <mergeCell ref="J17:K18"/>
    <mergeCell ref="N17:O18"/>
    <mergeCell ref="P17:Q18"/>
    <mergeCell ref="X17:Y18"/>
    <mergeCell ref="Z17:AA18"/>
    <mergeCell ref="AB17:AC18"/>
    <mergeCell ref="AD17:AE18"/>
    <mergeCell ref="AF17:AG18"/>
    <mergeCell ref="AH17:AI18"/>
    <mergeCell ref="B19:C20"/>
    <mergeCell ref="D19:E20"/>
    <mergeCell ref="H19:I20"/>
    <mergeCell ref="J19:K20"/>
    <mergeCell ref="X19:Y20"/>
    <mergeCell ref="Z19:AA20"/>
    <mergeCell ref="AB19:AC20"/>
    <mergeCell ref="AD19:AE20"/>
    <mergeCell ref="G33:I34"/>
    <mergeCell ref="B33:C34"/>
    <mergeCell ref="D33:E34"/>
    <mergeCell ref="J33:K34"/>
    <mergeCell ref="L33:M34"/>
    <mergeCell ref="T14:W20"/>
    <mergeCell ref="O24:Q30"/>
    <mergeCell ref="AF19:AI20"/>
    <mergeCell ref="N19:S20"/>
    <mergeCell ref="G38:I39"/>
    <mergeCell ref="S38:AI39"/>
    <mergeCell ref="N33:Q34"/>
    <mergeCell ref="B38:D39"/>
    <mergeCell ref="E38:F39"/>
  </mergeCells>
  <dataValidations count="5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dataValidation type="whole" operator="between" allowBlank="1" showInputMessage="1" showErrorMessage="1" errorTitle="年龄" error="只能输入整数，且范围应在15-89之间。" sqref="D28:H28" errorStyle="information">
      <formula1>15</formula1>
      <formula2>89</formula2>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dataValidation type="list" allowBlank="1" showInputMessage="1" showErrorMessage="1" sqref="E8:G9">
      <formula1>"1890s,1920s,现代"</formula1>
    </dataValidation>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dataValidation type="list" allowBlank="1" showInputMessage="1" showErrorMessage="1" sqref="D52:F52">
      <formula1>技能专攻!$B$4:$B$11</formula1>
    </dataValidation>
    <dataValidation type="whole" operator="lessThanOrEqual" allowBlank="1" showInputMessage="1" showErrorMessage="1" errorTitle="人体极限" error="这些属性的极限值为99。&#10;除非你的守秘人同意，否则调查员属性不能突破这个上限。" sqref="P15:Q16"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B55:F55"/>
    <dataValidation allowBlank="1" showInputMessage="1" showErrorMessage="1" promptTitle="Firearms (不定) [无法孤注一骰]" prompt="包括了各种形式的火器，也包括了弓箭和弩。" sqref="B69:C7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B57:F57"/>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dataValidation allowBlank="1" showInputMessage="1" showErrorMessage="1" promptTitle="Operate Heavy Machinery (01%)" prompt="当驾驶以及操纵一辆坦克，挖土机或者其他巨型建造机械时需要这个技能。对于种类非常不同的机械，KP可以决定难度等级。" sqref="S57:W57"/>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B58:F58"/>
    <dataValidation type="list" allowBlank="1" showInputMessage="1" showErrorMessage="1" sqref="D67">
      <formula1>技能专攻!$H$4:$H$11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S59:T59"/>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59:F59"/>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B61:F61"/>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dataValidation type="list" allowBlank="1" showInputMessage="1" showErrorMessage="1" sqref="U63">
      <formula1>技能专攻!$E$4:$E$16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B64:F64"/>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dataValidation allowBlank="1" showInputMessage="1" showErrorMessage="1" promptTitle="Fighting (不定) [无法孤注一骰]" prompt="格斗技能指的是一名角色在近距离战斗上的技能。你可以花费一定的点数来获得任何的专业化技能。" sqref="B66:C68"/>
    <dataValidation type="list" allowBlank="1" showInputMessage="1" showErrorMessage="1" sqref="D69 D70:F70">
      <formula1>技能专攻!$K$4:$K$10</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dataValidation type="list" allowBlank="1" showInputMessage="1" showErrorMessage="1" promptTitle="Tips" prompt="此处是非常规技能下拉选单。&#10;传说集合没有在此列出&#10;请在【分支技能】中查看非常规技能的技能解释" sqref="S73:W73">
      <formula1>技能专攻!$N$4:$N$9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dataValidation allowBlank="1" showInputMessage="1" showErrorMessage="1" promptTitle="Language (Own) (EDU)" prompt="当选择这项技能时，必须明确一门具体的语言并且写在技能的后面。在婴儿期或者童年早期，大多数人使用单一一门语言。" sqref="B79:C79"/>
    <dataValidation type="whole" operator="lessThanOrEqual" allowBlank="1" showInputMessage="1" showErrorMessage="1" errorTitle="人体极限" error="这些属性的极限值为99。&#10;除非你的守秘人同意，否则调查员属性不能突破这个上限。" sqref="D15:E20 J15:K20 P17:Q18" errorStyle="information">
      <formula1>99</formula1>
    </dataValidation>
    <dataValidation allowBlank="1" showErrorMessage="1" sqref="D79"/>
    <dataValidation allowBlank="1" showInputMessage="1" showErrorMessage="1" promptTitle="Art and Craft (05%)" prompt="该技能可能能使你制作/修理一样东西，或者制造一个复制品/赝品。&#10;对一个物品进行一次成功的鉴定可能可以提供关于该物品的相关信息" sqref="B52:C54"/>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D76:F78"/>
    <dataValidation type="whole" operator="between" allowBlank="1" showInputMessage="1" showErrorMessage="1" sqref="E38:F39">
      <formula1>0</formula1>
      <formula2>114</formula2>
    </dataValidation>
  </dataValidations>
  <hyperlinks>
    <hyperlink ref="AA4:AH4" r:id="rId1" display="如果需要视频建卡教程，点击这里"/>
    <hyperlink ref="B4:G4" r:id="rId2" display="守秘人规则书下载地址"/>
    <hyperlink ref="I4:N4" r:id="rId3" display="调查员手册下载地址"/>
    <hyperlink ref="P4:U4" r:id="rId4" display="面团用人物卡下载地址"/>
    <hyperlink ref="B37:E37" location="职业列表!A1" display="查看职业列表"/>
    <hyperlink ref="O80" location="技能专攻!A1" display="请查看“技能专攻”标签"/>
    <hyperlink ref="O80:U80" location="技能专攻!H16" display="请查看“技能专攻”标签"/>
    <hyperlink ref="B83:F83" location="backstory" display="转到“人物卡”标签的“背景故事”部分"/>
    <hyperlink ref="B89" location="Assets" display="转到“人物卡”标签的“资产”部分"/>
    <hyperlink ref="B90" location="Gear" display="转到“人物卡”标签的“装备和道具”部分"/>
    <hyperlink ref="X93:AF93" location="weapon" display="把它们抄转至人物卡的“武器”部分。"/>
    <hyperlink ref="P88:Z88" location="资产对照表!H14" display="对照“现金和资产表”来确定它们的数量"/>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Q89"/>
  <sheetViews>
    <sheetView showGridLines="0" showRowColHeaders="0" tabSelected="1" topLeftCell="A61" workbookViewId="0">
      <selection activeCell="S64" sqref="S64:AQ73"/>
    </sheetView>
  </sheetViews>
  <sheetFormatPr defaultColWidth="3.25" defaultRowHeight="16.5"/>
  <cols>
    <col min="1" max="46" width="3.25" style="112"/>
    <col min="47" max="47" width="3.5" style="112" customWidth="1"/>
    <col min="48" max="16384" width="3.25" style="112"/>
  </cols>
  <sheetData>
    <row r="1" ht="17.25" spans="14:33">
      <c r="N1" s="198"/>
      <c r="O1" s="198"/>
      <c r="P1" s="199"/>
      <c r="Q1" s="199"/>
      <c r="R1" s="199"/>
      <c r="S1" s="199"/>
      <c r="T1" s="199"/>
      <c r="U1" s="199"/>
      <c r="V1" s="199"/>
      <c r="W1" s="199"/>
      <c r="X1" s="199"/>
      <c r="Y1" s="199"/>
      <c r="Z1" s="199"/>
      <c r="AA1" s="199"/>
      <c r="AB1" s="199"/>
      <c r="AC1" s="199"/>
      <c r="AD1" s="199"/>
      <c r="AE1" s="199"/>
      <c r="AF1" s="198"/>
      <c r="AG1" s="198"/>
    </row>
    <row r="2" spans="2:43">
      <c r="B2" s="113" t="str">
        <f>建卡!E8&amp;"  调查员信息"</f>
        <v>1920s  调查员信息</v>
      </c>
      <c r="C2" s="114"/>
      <c r="D2" s="114"/>
      <c r="E2" s="114"/>
      <c r="F2" s="114"/>
      <c r="G2" s="114"/>
      <c r="H2" s="114"/>
      <c r="I2" s="114"/>
      <c r="J2" s="114"/>
      <c r="K2" s="114"/>
      <c r="L2" s="114"/>
      <c r="M2" s="114"/>
      <c r="N2" s="200"/>
      <c r="P2" s="176" t="s">
        <v>15</v>
      </c>
      <c r="Q2" s="177"/>
      <c r="R2" s="177"/>
      <c r="S2" s="177"/>
      <c r="T2" s="177"/>
      <c r="U2" s="177"/>
      <c r="V2" s="177"/>
      <c r="W2" s="177"/>
      <c r="X2" s="177"/>
      <c r="Y2" s="177"/>
      <c r="Z2" s="177"/>
      <c r="AA2" s="177"/>
      <c r="AB2" s="177"/>
      <c r="AC2" s="177"/>
      <c r="AD2" s="177"/>
      <c r="AE2" s="177"/>
      <c r="AF2" s="177"/>
      <c r="AG2" s="300"/>
      <c r="AI2" s="346" t="s">
        <v>146</v>
      </c>
      <c r="AJ2" s="347"/>
      <c r="AK2" s="347"/>
      <c r="AL2" s="347"/>
      <c r="AM2" s="347"/>
      <c r="AN2" s="347"/>
      <c r="AO2" s="347"/>
      <c r="AP2" s="347"/>
      <c r="AQ2" s="375"/>
    </row>
    <row r="3" spans="2:43">
      <c r="B3" s="115" t="s">
        <v>31</v>
      </c>
      <c r="C3" s="116"/>
      <c r="D3" s="117" t="str">
        <f>IF(ISBLANK(建卡!D25)," ",建卡!D25)</f>
        <v>托德</v>
      </c>
      <c r="E3" s="118"/>
      <c r="F3" s="118"/>
      <c r="G3" s="118"/>
      <c r="H3" s="118"/>
      <c r="I3" s="118"/>
      <c r="J3" s="118"/>
      <c r="K3" s="118"/>
      <c r="L3" s="118"/>
      <c r="M3" s="118"/>
      <c r="N3" s="201"/>
      <c r="P3" s="202" t="s">
        <v>17</v>
      </c>
      <c r="Q3" s="259"/>
      <c r="R3" s="260">
        <f>建卡!D15</f>
        <v>65</v>
      </c>
      <c r="S3" s="260"/>
      <c r="T3" s="261">
        <f>INT(R3/2)</f>
        <v>32</v>
      </c>
      <c r="U3" s="261"/>
      <c r="V3" s="262" t="s">
        <v>18</v>
      </c>
      <c r="W3" s="262"/>
      <c r="X3" s="263">
        <f>建卡!J15</f>
        <v>65</v>
      </c>
      <c r="Y3" s="266"/>
      <c r="Z3" s="267">
        <f>INT(X3/2)</f>
        <v>32</v>
      </c>
      <c r="AA3" s="267"/>
      <c r="AB3" s="321" t="s">
        <v>147</v>
      </c>
      <c r="AC3" s="259"/>
      <c r="AD3" s="268">
        <f>建卡!P15</f>
        <v>85</v>
      </c>
      <c r="AE3" s="272"/>
      <c r="AF3" s="261">
        <f>INT(AD3/2)</f>
        <v>42</v>
      </c>
      <c r="AG3" s="348"/>
      <c r="AI3" s="349"/>
      <c r="AJ3" s="350"/>
      <c r="AK3" s="350"/>
      <c r="AL3" s="350"/>
      <c r="AM3" s="350"/>
      <c r="AN3" s="350"/>
      <c r="AO3" s="350"/>
      <c r="AP3" s="350"/>
      <c r="AQ3" s="376"/>
    </row>
    <row r="4" spans="2:43">
      <c r="B4" s="119" t="s">
        <v>34</v>
      </c>
      <c r="C4" s="120"/>
      <c r="D4" s="121" t="str">
        <f>IF(ISBLANK(建卡!D26)," ",建卡!D26)</f>
        <v>吃枣药丸</v>
      </c>
      <c r="E4" s="122"/>
      <c r="F4" s="122"/>
      <c r="G4" s="122"/>
      <c r="H4" s="122"/>
      <c r="I4" s="122"/>
      <c r="J4" s="122"/>
      <c r="K4" s="122"/>
      <c r="L4" s="122"/>
      <c r="M4" s="122"/>
      <c r="N4" s="203"/>
      <c r="P4" s="202"/>
      <c r="Q4" s="259"/>
      <c r="R4" s="260"/>
      <c r="S4" s="260"/>
      <c r="T4" s="264">
        <f>INT(R3/5)</f>
        <v>13</v>
      </c>
      <c r="U4" s="264"/>
      <c r="V4" s="262"/>
      <c r="W4" s="262"/>
      <c r="X4" s="265"/>
      <c r="Y4" s="269"/>
      <c r="Z4" s="267">
        <f>INT(X3/5)</f>
        <v>13</v>
      </c>
      <c r="AA4" s="267"/>
      <c r="AB4" s="259"/>
      <c r="AC4" s="259"/>
      <c r="AD4" s="271"/>
      <c r="AE4" s="322"/>
      <c r="AF4" s="261">
        <f>INT(AD3/5)</f>
        <v>17</v>
      </c>
      <c r="AG4" s="348"/>
      <c r="AI4" s="349"/>
      <c r="AJ4" s="350"/>
      <c r="AK4" s="350"/>
      <c r="AL4" s="350"/>
      <c r="AM4" s="350"/>
      <c r="AN4" s="350"/>
      <c r="AO4" s="350"/>
      <c r="AP4" s="350"/>
      <c r="AQ4" s="376"/>
    </row>
    <row r="5" spans="2:43">
      <c r="B5" s="115" t="s">
        <v>37</v>
      </c>
      <c r="C5" s="116"/>
      <c r="D5" s="117" t="str">
        <f>IF(ISBLANK(建卡!D27)," ",建卡!D27)</f>
        <v>黑帮马仔</v>
      </c>
      <c r="E5" s="118"/>
      <c r="F5" s="118"/>
      <c r="G5" s="118"/>
      <c r="H5" s="118"/>
      <c r="I5" s="118"/>
      <c r="J5" s="118"/>
      <c r="K5" s="118"/>
      <c r="L5" s="118"/>
      <c r="M5" s="118"/>
      <c r="N5" s="201"/>
      <c r="P5" s="204" t="s">
        <v>20</v>
      </c>
      <c r="Q5" s="262"/>
      <c r="R5" s="263">
        <f>建卡!D17</f>
        <v>45</v>
      </c>
      <c r="S5" s="266"/>
      <c r="T5" s="267">
        <f t="shared" ref="T5" si="0">INT(R5/2)</f>
        <v>22</v>
      </c>
      <c r="U5" s="267"/>
      <c r="V5" s="259" t="s">
        <v>21</v>
      </c>
      <c r="W5" s="259"/>
      <c r="X5" s="268">
        <f>建卡!J17</f>
        <v>60</v>
      </c>
      <c r="Y5" s="272"/>
      <c r="Z5" s="261">
        <f t="shared" ref="Z5" si="1">INT(X5/2)</f>
        <v>30</v>
      </c>
      <c r="AA5" s="261"/>
      <c r="AB5" s="262" t="s">
        <v>22</v>
      </c>
      <c r="AC5" s="262"/>
      <c r="AD5" s="263">
        <f>建卡!P17</f>
        <v>65</v>
      </c>
      <c r="AE5" s="266"/>
      <c r="AF5" s="267">
        <f>INT(AD5/2)</f>
        <v>32</v>
      </c>
      <c r="AG5" s="351"/>
      <c r="AI5" s="349"/>
      <c r="AJ5" s="350"/>
      <c r="AK5" s="350"/>
      <c r="AL5" s="350"/>
      <c r="AM5" s="350"/>
      <c r="AN5" s="350"/>
      <c r="AO5" s="350"/>
      <c r="AP5" s="350"/>
      <c r="AQ5" s="376"/>
    </row>
    <row r="6" spans="2:43">
      <c r="B6" s="119" t="s">
        <v>40</v>
      </c>
      <c r="C6" s="120"/>
      <c r="D6" s="123">
        <f>IF(ISBLANK(建卡!D28)," ",建卡!D28)</f>
        <v>27</v>
      </c>
      <c r="E6" s="124"/>
      <c r="F6" s="124"/>
      <c r="G6" s="124"/>
      <c r="H6" s="125"/>
      <c r="I6" s="205" t="s">
        <v>41</v>
      </c>
      <c r="J6" s="120"/>
      <c r="K6" s="206" t="str">
        <f>IF(ISBLANK(建卡!K28)," ",建卡!K28)</f>
        <v>男</v>
      </c>
      <c r="L6" s="206"/>
      <c r="M6" s="206"/>
      <c r="N6" s="207"/>
      <c r="P6" s="204"/>
      <c r="Q6" s="262"/>
      <c r="R6" s="265"/>
      <c r="S6" s="269"/>
      <c r="T6" s="270">
        <f t="shared" ref="T6" si="2">INT(R5/5)</f>
        <v>9</v>
      </c>
      <c r="U6" s="270"/>
      <c r="V6" s="259"/>
      <c r="W6" s="259"/>
      <c r="X6" s="271"/>
      <c r="Y6" s="322"/>
      <c r="Z6" s="261">
        <f t="shared" ref="Z6" si="3">INT(X5/5)</f>
        <v>12</v>
      </c>
      <c r="AA6" s="261"/>
      <c r="AB6" s="262"/>
      <c r="AC6" s="262"/>
      <c r="AD6" s="265"/>
      <c r="AE6" s="269"/>
      <c r="AF6" s="267">
        <f>INT(AD5/5)</f>
        <v>13</v>
      </c>
      <c r="AG6" s="351"/>
      <c r="AI6" s="349"/>
      <c r="AJ6" s="350"/>
      <c r="AK6" s="350"/>
      <c r="AL6" s="350"/>
      <c r="AM6" s="350"/>
      <c r="AN6" s="350"/>
      <c r="AO6" s="350"/>
      <c r="AP6" s="350"/>
      <c r="AQ6" s="376"/>
    </row>
    <row r="7" spans="2:43">
      <c r="B7" s="115" t="s">
        <v>44</v>
      </c>
      <c r="C7" s="116"/>
      <c r="D7" s="126" t="str">
        <f>IF(ISBLANK(建卡!D29)," ",建卡!D29)</f>
        <v>美国马萨诸塞州</v>
      </c>
      <c r="E7" s="127"/>
      <c r="F7" s="127"/>
      <c r="G7" s="127"/>
      <c r="H7" s="127"/>
      <c r="I7" s="127"/>
      <c r="J7" s="127"/>
      <c r="K7" s="127"/>
      <c r="L7" s="127"/>
      <c r="M7" s="127"/>
      <c r="N7" s="208"/>
      <c r="P7" s="202" t="s">
        <v>23</v>
      </c>
      <c r="Q7" s="259"/>
      <c r="R7" s="268">
        <f>建卡!D19</f>
        <v>80</v>
      </c>
      <c r="S7" s="272"/>
      <c r="T7" s="261">
        <f t="shared" ref="T7" si="4">INT(R7/2)</f>
        <v>40</v>
      </c>
      <c r="U7" s="261"/>
      <c r="V7" s="273" t="s">
        <v>24</v>
      </c>
      <c r="W7" s="273"/>
      <c r="X7" s="263">
        <f>建卡!J19</f>
        <v>75</v>
      </c>
      <c r="Y7" s="266"/>
      <c r="Z7" s="267">
        <f t="shared" ref="Z7" si="5">INT(X7/2)</f>
        <v>37</v>
      </c>
      <c r="AA7" s="267"/>
      <c r="AB7" s="259" t="s">
        <v>148</v>
      </c>
      <c r="AC7" s="259"/>
      <c r="AD7" s="323">
        <f>建卡!X34</f>
        <v>7</v>
      </c>
      <c r="AE7" s="323"/>
      <c r="AF7" s="324" t="s">
        <v>149</v>
      </c>
      <c r="AG7" s="352"/>
      <c r="AI7" s="349"/>
      <c r="AJ7" s="350"/>
      <c r="AK7" s="350"/>
      <c r="AL7" s="350"/>
      <c r="AM7" s="350"/>
      <c r="AN7" s="350"/>
      <c r="AO7" s="350"/>
      <c r="AP7" s="350"/>
      <c r="AQ7" s="376"/>
    </row>
    <row r="8" ht="17.25" spans="2:43">
      <c r="B8" s="128" t="s">
        <v>47</v>
      </c>
      <c r="C8" s="129"/>
      <c r="D8" s="130" t="str">
        <f>IF(ISBLANK(建卡!D30)," ",建卡!D30)</f>
        <v> </v>
      </c>
      <c r="E8" s="131"/>
      <c r="F8" s="131"/>
      <c r="G8" s="131"/>
      <c r="H8" s="131"/>
      <c r="I8" s="131"/>
      <c r="J8" s="131"/>
      <c r="K8" s="131"/>
      <c r="L8" s="131"/>
      <c r="M8" s="131"/>
      <c r="N8" s="209"/>
      <c r="P8" s="210"/>
      <c r="Q8" s="274"/>
      <c r="R8" s="275"/>
      <c r="S8" s="276"/>
      <c r="T8" s="277">
        <f t="shared" ref="T8" si="6">INT(R7/5)</f>
        <v>16</v>
      </c>
      <c r="U8" s="277"/>
      <c r="V8" s="278"/>
      <c r="W8" s="278"/>
      <c r="X8" s="279"/>
      <c r="Y8" s="325"/>
      <c r="Z8" s="326">
        <f t="shared" ref="Z8" si="7">INT(X7/5)</f>
        <v>15</v>
      </c>
      <c r="AA8" s="326"/>
      <c r="AB8" s="274"/>
      <c r="AC8" s="274"/>
      <c r="AD8" s="327"/>
      <c r="AE8" s="327"/>
      <c r="AF8" s="328">
        <v>0</v>
      </c>
      <c r="AG8" s="353"/>
      <c r="AI8" s="349"/>
      <c r="AJ8" s="350"/>
      <c r="AK8" s="350"/>
      <c r="AL8" s="350"/>
      <c r="AM8" s="350"/>
      <c r="AN8" s="350"/>
      <c r="AO8" s="350"/>
      <c r="AP8" s="350"/>
      <c r="AQ8" s="376"/>
    </row>
    <row r="9" ht="17.25" spans="1:43">
      <c r="A9" s="132"/>
      <c r="B9" s="132"/>
      <c r="C9" s="132"/>
      <c r="D9" s="132"/>
      <c r="E9" s="132"/>
      <c r="AI9" s="349"/>
      <c r="AJ9" s="350"/>
      <c r="AK9" s="350"/>
      <c r="AL9" s="350"/>
      <c r="AM9" s="350"/>
      <c r="AN9" s="350"/>
      <c r="AO9" s="350"/>
      <c r="AP9" s="350"/>
      <c r="AQ9" s="376"/>
    </row>
    <row r="10" spans="2:43">
      <c r="B10" s="133" t="s">
        <v>150</v>
      </c>
      <c r="C10" s="134"/>
      <c r="D10" s="135"/>
      <c r="E10" s="136">
        <f>建卡!AA34</f>
        <v>12</v>
      </c>
      <c r="F10" s="136"/>
      <c r="G10" s="136"/>
      <c r="H10" s="137">
        <f>建卡!AA34</f>
        <v>12</v>
      </c>
      <c r="I10" s="137"/>
      <c r="J10" s="211"/>
      <c r="K10" s="212" t="s">
        <v>151</v>
      </c>
      <c r="L10" s="213"/>
      <c r="M10" s="214"/>
      <c r="N10" s="215">
        <f>建卡!AD34</f>
        <v>65</v>
      </c>
      <c r="O10" s="216"/>
      <c r="P10" s="216"/>
      <c r="Q10" s="280">
        <f>99-SUM(H27:K27)</f>
        <v>99</v>
      </c>
      <c r="R10" s="280"/>
      <c r="S10" s="281"/>
      <c r="T10" s="282" t="s">
        <v>50</v>
      </c>
      <c r="U10" s="134"/>
      <c r="V10" s="135"/>
      <c r="W10" s="136">
        <f>建卡!D33</f>
        <v>45</v>
      </c>
      <c r="X10" s="136"/>
      <c r="Y10" s="137">
        <v>99</v>
      </c>
      <c r="Z10" s="211"/>
      <c r="AA10" s="212" t="s">
        <v>152</v>
      </c>
      <c r="AB10" s="213"/>
      <c r="AC10" s="214"/>
      <c r="AD10" s="216">
        <f>建卡!AG34</f>
        <v>13</v>
      </c>
      <c r="AE10" s="216"/>
      <c r="AF10" s="280">
        <f>建卡!AG34</f>
        <v>13</v>
      </c>
      <c r="AG10" s="354"/>
      <c r="AI10" s="349"/>
      <c r="AJ10" s="350"/>
      <c r="AK10" s="350"/>
      <c r="AL10" s="350"/>
      <c r="AM10" s="350"/>
      <c r="AN10" s="350"/>
      <c r="AO10" s="350"/>
      <c r="AP10" s="350"/>
      <c r="AQ10" s="376"/>
    </row>
    <row r="11" spans="2:43">
      <c r="B11" s="138"/>
      <c r="C11" s="139"/>
      <c r="D11" s="140"/>
      <c r="E11" s="141"/>
      <c r="F11" s="141"/>
      <c r="G11" s="141"/>
      <c r="H11" s="142"/>
      <c r="I11" s="142"/>
      <c r="J11" s="217"/>
      <c r="K11" s="218"/>
      <c r="L11" s="218"/>
      <c r="M11" s="219"/>
      <c r="N11" s="220"/>
      <c r="O11" s="220"/>
      <c r="P11" s="220"/>
      <c r="Q11" s="283"/>
      <c r="R11" s="283"/>
      <c r="S11" s="284"/>
      <c r="T11" s="139"/>
      <c r="U11" s="139"/>
      <c r="V11" s="140"/>
      <c r="W11" s="285"/>
      <c r="X11" s="285"/>
      <c r="Y11" s="329"/>
      <c r="Z11" s="330"/>
      <c r="AA11" s="218"/>
      <c r="AB11" s="218"/>
      <c r="AC11" s="219"/>
      <c r="AD11" s="331"/>
      <c r="AE11" s="331"/>
      <c r="AF11" s="332"/>
      <c r="AG11" s="355"/>
      <c r="AI11" s="349"/>
      <c r="AJ11" s="350"/>
      <c r="AK11" s="350"/>
      <c r="AL11" s="350"/>
      <c r="AM11" s="350"/>
      <c r="AN11" s="350"/>
      <c r="AO11" s="350"/>
      <c r="AP11" s="350"/>
      <c r="AQ11" s="376"/>
    </row>
    <row r="12" ht="17.25" spans="2:43">
      <c r="B12" s="143"/>
      <c r="C12" s="144"/>
      <c r="D12" s="145"/>
      <c r="E12" s="146" t="s">
        <v>153</v>
      </c>
      <c r="F12" s="147" t="s">
        <v>154</v>
      </c>
      <c r="G12" s="147"/>
      <c r="H12" s="146" t="s">
        <v>153</v>
      </c>
      <c r="I12" s="147" t="s">
        <v>155</v>
      </c>
      <c r="J12" s="221"/>
      <c r="K12" s="222"/>
      <c r="L12" s="222"/>
      <c r="M12" s="223"/>
      <c r="N12" s="224" t="s">
        <v>153</v>
      </c>
      <c r="O12" s="225" t="s">
        <v>156</v>
      </c>
      <c r="P12" s="225"/>
      <c r="Q12" s="224" t="s">
        <v>153</v>
      </c>
      <c r="R12" s="225" t="s">
        <v>157</v>
      </c>
      <c r="S12" s="286"/>
      <c r="T12" s="144"/>
      <c r="U12" s="144"/>
      <c r="V12" s="145"/>
      <c r="W12" s="287"/>
      <c r="X12" s="287"/>
      <c r="Y12" s="333"/>
      <c r="Z12" s="334"/>
      <c r="AA12" s="222"/>
      <c r="AB12" s="222"/>
      <c r="AC12" s="223"/>
      <c r="AD12" s="335"/>
      <c r="AE12" s="335"/>
      <c r="AF12" s="336"/>
      <c r="AG12" s="356"/>
      <c r="AI12" s="357"/>
      <c r="AJ12" s="358"/>
      <c r="AK12" s="358"/>
      <c r="AL12" s="358"/>
      <c r="AM12" s="358"/>
      <c r="AN12" s="358"/>
      <c r="AO12" s="358"/>
      <c r="AP12" s="358"/>
      <c r="AQ12" s="377"/>
    </row>
    <row r="13" ht="17.25" spans="2:36">
      <c r="B13" s="148"/>
      <c r="C13" s="148"/>
      <c r="E13" s="149"/>
      <c r="F13" s="150"/>
      <c r="G13" s="150"/>
      <c r="H13" s="150"/>
      <c r="I13" s="150"/>
      <c r="J13" s="150"/>
      <c r="K13" s="150"/>
      <c r="L13" s="226"/>
      <c r="M13" s="226"/>
      <c r="N13" s="226"/>
      <c r="O13" s="226"/>
      <c r="P13" s="226"/>
      <c r="Q13" s="226"/>
      <c r="R13" s="226"/>
      <c r="S13" s="226"/>
      <c r="T13" s="226"/>
      <c r="U13" s="226"/>
      <c r="V13" s="226"/>
      <c r="W13" s="226"/>
      <c r="X13" s="226"/>
      <c r="Y13" s="226"/>
      <c r="Z13" s="226"/>
      <c r="AA13" s="226"/>
      <c r="AB13" s="226"/>
      <c r="AC13" s="226"/>
      <c r="AD13" s="226"/>
      <c r="AE13" s="226"/>
      <c r="AF13" s="226"/>
      <c r="AG13" s="226"/>
      <c r="AH13" s="226"/>
      <c r="AI13" s="226"/>
      <c r="AJ13" s="226"/>
    </row>
    <row r="14" spans="2:43">
      <c r="B14" s="151" t="s">
        <v>64</v>
      </c>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378"/>
    </row>
    <row r="15" spans="2:43">
      <c r="B15" s="153"/>
      <c r="C15" s="154" t="s">
        <v>65</v>
      </c>
      <c r="D15" s="154"/>
      <c r="E15" s="154"/>
      <c r="F15" s="154"/>
      <c r="G15" s="154"/>
      <c r="H15" s="154" t="s">
        <v>158</v>
      </c>
      <c r="I15" s="154"/>
      <c r="J15" s="154" t="s">
        <v>159</v>
      </c>
      <c r="K15" s="154"/>
      <c r="L15" s="154" t="s">
        <v>68</v>
      </c>
      <c r="M15" s="154"/>
      <c r="N15" s="154"/>
      <c r="O15" s="227"/>
      <c r="P15" s="228"/>
      <c r="Q15" s="154" t="s">
        <v>65</v>
      </c>
      <c r="R15" s="154"/>
      <c r="S15" s="154"/>
      <c r="T15" s="154"/>
      <c r="U15" s="154"/>
      <c r="V15" s="154" t="s">
        <v>158</v>
      </c>
      <c r="W15" s="154"/>
      <c r="X15" s="154" t="s">
        <v>159</v>
      </c>
      <c r="Y15" s="154"/>
      <c r="Z15" s="154" t="s">
        <v>68</v>
      </c>
      <c r="AA15" s="154"/>
      <c r="AB15" s="154"/>
      <c r="AC15" s="227"/>
      <c r="AD15" s="228"/>
      <c r="AE15" s="154" t="s">
        <v>65</v>
      </c>
      <c r="AF15" s="154"/>
      <c r="AG15" s="154"/>
      <c r="AH15" s="154"/>
      <c r="AI15" s="154"/>
      <c r="AJ15" s="154" t="s">
        <v>158</v>
      </c>
      <c r="AK15" s="154"/>
      <c r="AL15" s="154" t="s">
        <v>159</v>
      </c>
      <c r="AM15" s="154"/>
      <c r="AN15" s="154" t="s">
        <v>68</v>
      </c>
      <c r="AO15" s="154"/>
      <c r="AP15" s="154"/>
      <c r="AQ15" s="379"/>
    </row>
    <row r="16" spans="2:43">
      <c r="B16" s="155" t="s">
        <v>153</v>
      </c>
      <c r="C16" s="156" t="str">
        <f>IF(ISBLANK(建卡!D48),建卡!B48,建卡!B48&amp;建卡!D48)</f>
        <v>会计</v>
      </c>
      <c r="D16" s="156"/>
      <c r="E16" s="156"/>
      <c r="F16" s="156"/>
      <c r="G16" s="156"/>
      <c r="H16" s="157">
        <f>建卡!M48</f>
        <v>5</v>
      </c>
      <c r="I16" s="157"/>
      <c r="J16" s="157"/>
      <c r="K16" s="157"/>
      <c r="L16" s="229" t="str">
        <f>SUM(H16:K16)&amp;"% ("&amp;INT(SUM(H16:K16)/2)&amp;"/"&amp;INT(SUM(H16:K16)/5)&amp;")"</f>
        <v>5% (2/1)</v>
      </c>
      <c r="M16" s="229"/>
      <c r="N16" s="229"/>
      <c r="O16" s="230"/>
      <c r="P16" s="231" t="s">
        <v>153</v>
      </c>
      <c r="Q16" s="156" t="str">
        <f>IF(ISBLANK(建卡!D69),建卡!B69,建卡!B69&amp;建卡!D69)</f>
        <v>射击:手枪</v>
      </c>
      <c r="R16" s="156"/>
      <c r="S16" s="156"/>
      <c r="T16" s="156"/>
      <c r="U16" s="156"/>
      <c r="V16" s="157">
        <f>建卡!M69</f>
        <v>20</v>
      </c>
      <c r="W16" s="157"/>
      <c r="X16" s="157"/>
      <c r="Y16" s="157"/>
      <c r="Z16" s="229" t="str">
        <f t="shared" ref="Z16" si="8">SUM(V16:Y16)&amp;"% ("&amp;INT(SUM(V16:Y16)/2)&amp;"/"&amp;INT(SUM(V16:Y16)/5)&amp;")"</f>
        <v>20% (10/4)</v>
      </c>
      <c r="AA16" s="229"/>
      <c r="AB16" s="229"/>
      <c r="AC16" s="230"/>
      <c r="AD16" s="231" t="s">
        <v>153</v>
      </c>
      <c r="AE16" s="156" t="str">
        <f>IF(ISBLANK(建卡!U58),建卡!S58,建卡!S58&amp;建卡!U58)</f>
        <v>说服</v>
      </c>
      <c r="AF16" s="156"/>
      <c r="AG16" s="156"/>
      <c r="AH16" s="156"/>
      <c r="AI16" s="156"/>
      <c r="AJ16" s="157">
        <f>建卡!AD58</f>
        <v>10</v>
      </c>
      <c r="AK16" s="157"/>
      <c r="AL16" s="157"/>
      <c r="AM16" s="157"/>
      <c r="AN16" s="229" t="str">
        <f>SUM(AJ16:AM16)&amp;"% ("&amp;INT(SUM(AJ16:AM16)/2)&amp;"/"&amp;INT(SUM(AJ16:AM16)/5)&amp;")"</f>
        <v>10% (5/2)</v>
      </c>
      <c r="AO16" s="229"/>
      <c r="AP16" s="229"/>
      <c r="AQ16" s="380"/>
    </row>
    <row r="17" spans="2:43">
      <c r="B17" s="158" t="s">
        <v>153</v>
      </c>
      <c r="C17" s="159" t="str">
        <f>IF(ISBLANK(建卡!D49),建卡!B49,建卡!B49&amp;建卡!D49)</f>
        <v>人类学</v>
      </c>
      <c r="D17" s="159"/>
      <c r="E17" s="159"/>
      <c r="F17" s="159"/>
      <c r="G17" s="159"/>
      <c r="H17" s="160">
        <f>建卡!M49</f>
        <v>1</v>
      </c>
      <c r="I17" s="160"/>
      <c r="J17" s="160"/>
      <c r="K17" s="160"/>
      <c r="L17" s="232" t="str">
        <f t="shared" ref="L17:L36" si="9">SUM(H17:K17)&amp;"% ("&amp;INT(SUM(H17:K17)/2)&amp;"/"&amp;INT(SUM(H17:K17)/5)&amp;")"</f>
        <v>1% (0/0)</v>
      </c>
      <c r="M17" s="232"/>
      <c r="N17" s="232"/>
      <c r="O17" s="233"/>
      <c r="P17" s="234" t="s">
        <v>153</v>
      </c>
      <c r="Q17" s="159" t="str">
        <f>IF(ISBLANK(建卡!D70),建卡!B70,建卡!B70&amp;建卡!D70)</f>
        <v>射击:步枪/霰弹枪</v>
      </c>
      <c r="R17" s="159"/>
      <c r="S17" s="159"/>
      <c r="T17" s="159"/>
      <c r="U17" s="159"/>
      <c r="V17" s="160">
        <f>建卡!M70</f>
        <v>25</v>
      </c>
      <c r="W17" s="160"/>
      <c r="X17" s="160"/>
      <c r="Y17" s="160"/>
      <c r="Z17" s="232" t="str">
        <f t="shared" ref="Z17:Z26" si="10">SUM(V17:Y17)&amp;"% ("&amp;INT(SUM(V17:Y17)/2)&amp;"/"&amp;INT(SUM(V17:Y17)/5)&amp;")"</f>
        <v>25% (12/5)</v>
      </c>
      <c r="AA17" s="232"/>
      <c r="AB17" s="232"/>
      <c r="AC17" s="233"/>
      <c r="AD17" s="234" t="s">
        <v>153</v>
      </c>
      <c r="AE17" s="159" t="str">
        <f>IF(ISBLANK(建卡!U59),建卡!S59,建卡!S59&amp;建卡!U59)</f>
        <v>驾驶:</v>
      </c>
      <c r="AF17" s="159"/>
      <c r="AG17" s="159"/>
      <c r="AH17" s="159"/>
      <c r="AI17" s="159"/>
      <c r="AJ17" s="160">
        <f>建卡!AD59</f>
        <v>1</v>
      </c>
      <c r="AK17" s="160"/>
      <c r="AL17" s="160"/>
      <c r="AM17" s="160"/>
      <c r="AN17" s="232" t="str">
        <f t="shared" ref="AN17:AN36" si="11">SUM(AJ17:AM17)&amp;"% ("&amp;INT(SUM(AJ17:AM17)/2)&amp;"/"&amp;INT(SUM(AJ17:AM17)/5)&amp;")"</f>
        <v>1% (0/0)</v>
      </c>
      <c r="AO17" s="232"/>
      <c r="AP17" s="232"/>
      <c r="AQ17" s="381"/>
    </row>
    <row r="18" spans="2:43">
      <c r="B18" s="155" t="s">
        <v>153</v>
      </c>
      <c r="C18" s="156" t="str">
        <f>IF(ISBLANK(建卡!D50),建卡!B50,建卡!B50&amp;建卡!D50)</f>
        <v>估价</v>
      </c>
      <c r="D18" s="156"/>
      <c r="E18" s="156"/>
      <c r="F18" s="156"/>
      <c r="G18" s="156"/>
      <c r="H18" s="157">
        <f>建卡!M50</f>
        <v>50</v>
      </c>
      <c r="I18" s="157"/>
      <c r="J18" s="157"/>
      <c r="K18" s="157"/>
      <c r="L18" s="229" t="str">
        <f t="shared" si="9"/>
        <v>50% (25/10)</v>
      </c>
      <c r="M18" s="229"/>
      <c r="N18" s="229"/>
      <c r="O18" s="230"/>
      <c r="P18" s="231" t="s">
        <v>153</v>
      </c>
      <c r="Q18" s="156" t="str">
        <f>IF(ISBLANK(建卡!D71),建卡!B71,建卡!B71&amp;建卡!D71)</f>
        <v>射击:</v>
      </c>
      <c r="R18" s="156"/>
      <c r="S18" s="156"/>
      <c r="T18" s="156"/>
      <c r="U18" s="156"/>
      <c r="V18" s="157">
        <f>建卡!M71</f>
        <v>0</v>
      </c>
      <c r="W18" s="157"/>
      <c r="X18" s="157"/>
      <c r="Y18" s="157"/>
      <c r="Z18" s="229" t="str">
        <f t="shared" si="10"/>
        <v>0% (0/0)</v>
      </c>
      <c r="AA18" s="229"/>
      <c r="AB18" s="229"/>
      <c r="AC18" s="230"/>
      <c r="AD18" s="231" t="s">
        <v>153</v>
      </c>
      <c r="AE18" s="156" t="str">
        <f>IF(ISBLANK(建卡!U60),建卡!S60,建卡!S60&amp;建卡!U60)</f>
        <v>精神分析</v>
      </c>
      <c r="AF18" s="156"/>
      <c r="AG18" s="156"/>
      <c r="AH18" s="156"/>
      <c r="AI18" s="156"/>
      <c r="AJ18" s="157">
        <f>建卡!AD60</f>
        <v>1</v>
      </c>
      <c r="AK18" s="157"/>
      <c r="AL18" s="157"/>
      <c r="AM18" s="157"/>
      <c r="AN18" s="229" t="str">
        <f t="shared" si="11"/>
        <v>1% (0/0)</v>
      </c>
      <c r="AO18" s="229"/>
      <c r="AP18" s="229"/>
      <c r="AQ18" s="380"/>
    </row>
    <row r="19" spans="2:43">
      <c r="B19" s="158" t="s">
        <v>153</v>
      </c>
      <c r="C19" s="159" t="str">
        <f>IF(ISBLANK(建卡!D51),建卡!B51,建卡!B51&amp;建卡!D51)</f>
        <v>考古学</v>
      </c>
      <c r="D19" s="159"/>
      <c r="E19" s="159"/>
      <c r="F19" s="159"/>
      <c r="G19" s="159"/>
      <c r="H19" s="160">
        <f>建卡!M51</f>
        <v>1</v>
      </c>
      <c r="I19" s="160"/>
      <c r="J19" s="160"/>
      <c r="K19" s="160"/>
      <c r="L19" s="232" t="str">
        <f t="shared" si="9"/>
        <v>1% (0/0)</v>
      </c>
      <c r="M19" s="232"/>
      <c r="N19" s="232"/>
      <c r="O19" s="233"/>
      <c r="P19" s="234" t="s">
        <v>153</v>
      </c>
      <c r="Q19" s="159" t="str">
        <f>IF(ISBLANK(建卡!D72),建卡!B72,建卡!B72&amp;建卡!D72)</f>
        <v>急救</v>
      </c>
      <c r="R19" s="159"/>
      <c r="S19" s="159"/>
      <c r="T19" s="159"/>
      <c r="U19" s="159"/>
      <c r="V19" s="160">
        <f>建卡!M72</f>
        <v>30</v>
      </c>
      <c r="W19" s="160"/>
      <c r="X19" s="160"/>
      <c r="Y19" s="160"/>
      <c r="Z19" s="232" t="str">
        <f t="shared" si="10"/>
        <v>30% (15/6)</v>
      </c>
      <c r="AA19" s="232"/>
      <c r="AB19" s="232"/>
      <c r="AC19" s="233"/>
      <c r="AD19" s="234" t="s">
        <v>153</v>
      </c>
      <c r="AE19" s="159" t="str">
        <f>IF(ISBLANK(建卡!U61),建卡!S61,建卡!S61&amp;建卡!U61)</f>
        <v>心理学</v>
      </c>
      <c r="AF19" s="159"/>
      <c r="AG19" s="159"/>
      <c r="AH19" s="159"/>
      <c r="AI19" s="159"/>
      <c r="AJ19" s="160">
        <f>建卡!AD61</f>
        <v>60</v>
      </c>
      <c r="AK19" s="160"/>
      <c r="AL19" s="160"/>
      <c r="AM19" s="160"/>
      <c r="AN19" s="232" t="str">
        <f t="shared" si="11"/>
        <v>60% (30/12)</v>
      </c>
      <c r="AO19" s="232"/>
      <c r="AP19" s="232"/>
      <c r="AQ19" s="381"/>
    </row>
    <row r="20" spans="2:43">
      <c r="B20" s="155" t="s">
        <v>153</v>
      </c>
      <c r="C20" s="156" t="str">
        <f>IF(ISBLANK(建卡!D52),建卡!B52,建卡!B52&amp;建卡!D52)</f>
        <v>技艺:</v>
      </c>
      <c r="D20" s="156"/>
      <c r="E20" s="156"/>
      <c r="F20" s="156"/>
      <c r="G20" s="156"/>
      <c r="H20" s="157">
        <f>建卡!M52</f>
        <v>5</v>
      </c>
      <c r="I20" s="157"/>
      <c r="J20" s="157"/>
      <c r="K20" s="157"/>
      <c r="L20" s="229" t="str">
        <f t="shared" si="9"/>
        <v>5% (2/1)</v>
      </c>
      <c r="M20" s="229"/>
      <c r="N20" s="229"/>
      <c r="O20" s="230"/>
      <c r="P20" s="231" t="s">
        <v>153</v>
      </c>
      <c r="Q20" s="156" t="str">
        <f>IF(ISBLANK(建卡!D73),建卡!B73,建卡!B73&amp;建卡!D73)</f>
        <v>历史</v>
      </c>
      <c r="R20" s="156"/>
      <c r="S20" s="156"/>
      <c r="T20" s="156"/>
      <c r="U20" s="156"/>
      <c r="V20" s="157">
        <f>建卡!M73</f>
        <v>5</v>
      </c>
      <c r="W20" s="157"/>
      <c r="X20" s="157"/>
      <c r="Y20" s="157"/>
      <c r="Z20" s="229" t="str">
        <f t="shared" si="10"/>
        <v>5% (2/1)</v>
      </c>
      <c r="AA20" s="229"/>
      <c r="AB20" s="229"/>
      <c r="AC20" s="230"/>
      <c r="AD20" s="231" t="s">
        <v>153</v>
      </c>
      <c r="AE20" s="156" t="str">
        <f>IF(ISBLANK(建卡!U62),建卡!S62,建卡!S62&amp;建卡!U62)</f>
        <v>骑术</v>
      </c>
      <c r="AF20" s="156"/>
      <c r="AG20" s="156"/>
      <c r="AH20" s="156"/>
      <c r="AI20" s="156"/>
      <c r="AJ20" s="157">
        <f>建卡!AD62</f>
        <v>5</v>
      </c>
      <c r="AK20" s="157"/>
      <c r="AL20" s="157"/>
      <c r="AM20" s="157"/>
      <c r="AN20" s="229" t="str">
        <f t="shared" si="11"/>
        <v>5% (2/1)</v>
      </c>
      <c r="AO20" s="229"/>
      <c r="AP20" s="229"/>
      <c r="AQ20" s="380"/>
    </row>
    <row r="21" spans="2:43">
      <c r="B21" s="158" t="s">
        <v>153</v>
      </c>
      <c r="C21" s="159" t="str">
        <f>IF(ISBLANK(建卡!D53),建卡!B53,建卡!B53&amp;建卡!D53)</f>
        <v>技艺:</v>
      </c>
      <c r="D21" s="159"/>
      <c r="E21" s="159"/>
      <c r="F21" s="159"/>
      <c r="G21" s="159"/>
      <c r="H21" s="160">
        <f>建卡!M53</f>
        <v>5</v>
      </c>
      <c r="I21" s="160"/>
      <c r="J21" s="160"/>
      <c r="K21" s="160"/>
      <c r="L21" s="232" t="str">
        <f t="shared" si="9"/>
        <v>5% (2/1)</v>
      </c>
      <c r="M21" s="232"/>
      <c r="N21" s="232"/>
      <c r="O21" s="233"/>
      <c r="P21" s="234" t="s">
        <v>153</v>
      </c>
      <c r="Q21" s="159" t="str">
        <f>IF(ISBLANK(建卡!D74),建卡!B74,建卡!B74&amp;建卡!D74)</f>
        <v>恐吓</v>
      </c>
      <c r="R21" s="159"/>
      <c r="S21" s="159"/>
      <c r="T21" s="159"/>
      <c r="U21" s="159"/>
      <c r="V21" s="160">
        <f>建卡!M74</f>
        <v>75</v>
      </c>
      <c r="W21" s="160"/>
      <c r="X21" s="160"/>
      <c r="Y21" s="160"/>
      <c r="Z21" s="232" t="str">
        <f t="shared" si="10"/>
        <v>75% (37/15)</v>
      </c>
      <c r="AA21" s="232"/>
      <c r="AB21" s="232"/>
      <c r="AC21" s="233"/>
      <c r="AD21" s="234" t="s">
        <v>153</v>
      </c>
      <c r="AE21" s="159" t="str">
        <f>IF(ISBLANK(建卡!U63),建卡!S63,建卡!S63&amp;建卡!U63)</f>
        <v>科学:药学</v>
      </c>
      <c r="AF21" s="159"/>
      <c r="AG21" s="159"/>
      <c r="AH21" s="159"/>
      <c r="AI21" s="159"/>
      <c r="AJ21" s="160">
        <f>建卡!AD63</f>
        <v>1</v>
      </c>
      <c r="AK21" s="160"/>
      <c r="AL21" s="160"/>
      <c r="AM21" s="160"/>
      <c r="AN21" s="232" t="str">
        <f t="shared" si="11"/>
        <v>1% (0/0)</v>
      </c>
      <c r="AO21" s="232"/>
      <c r="AP21" s="232"/>
      <c r="AQ21" s="381"/>
    </row>
    <row r="22" spans="2:43">
      <c r="B22" s="155" t="s">
        <v>153</v>
      </c>
      <c r="C22" s="156" t="str">
        <f>IF(ISBLANK(建卡!D54),建卡!B54,建卡!B54&amp;建卡!D54)</f>
        <v>技艺:</v>
      </c>
      <c r="D22" s="156"/>
      <c r="E22" s="156"/>
      <c r="F22" s="156"/>
      <c r="G22" s="156"/>
      <c r="H22" s="157">
        <f>建卡!M54</f>
        <v>5</v>
      </c>
      <c r="I22" s="157"/>
      <c r="J22" s="157"/>
      <c r="K22" s="157"/>
      <c r="L22" s="229" t="str">
        <f t="shared" si="9"/>
        <v>5% (2/1)</v>
      </c>
      <c r="M22" s="229"/>
      <c r="N22" s="229"/>
      <c r="O22" s="230"/>
      <c r="P22" s="231" t="s">
        <v>153</v>
      </c>
      <c r="Q22" s="156" t="str">
        <f>IF(ISBLANK(建卡!D75),建卡!B75,建卡!B75&amp;建卡!D75)</f>
        <v>跳跃</v>
      </c>
      <c r="R22" s="156"/>
      <c r="S22" s="156"/>
      <c r="T22" s="156"/>
      <c r="U22" s="156"/>
      <c r="V22" s="157">
        <f>建卡!M75</f>
        <v>20</v>
      </c>
      <c r="W22" s="157"/>
      <c r="X22" s="157"/>
      <c r="Y22" s="157"/>
      <c r="Z22" s="229" t="str">
        <f t="shared" si="10"/>
        <v>20% (10/4)</v>
      </c>
      <c r="AA22" s="229"/>
      <c r="AB22" s="229"/>
      <c r="AC22" s="230"/>
      <c r="AD22" s="231" t="s">
        <v>153</v>
      </c>
      <c r="AE22" s="156" t="str">
        <f>IF(ISBLANK(建卡!U64),建卡!S64,建卡!S64&amp;建卡!U64)</f>
        <v>科学:</v>
      </c>
      <c r="AF22" s="156"/>
      <c r="AG22" s="156"/>
      <c r="AH22" s="156"/>
      <c r="AI22" s="156"/>
      <c r="AJ22" s="157">
        <f>建卡!AD64</f>
        <v>1</v>
      </c>
      <c r="AK22" s="157"/>
      <c r="AL22" s="157"/>
      <c r="AM22" s="157"/>
      <c r="AN22" s="229" t="str">
        <f t="shared" si="11"/>
        <v>1% (0/0)</v>
      </c>
      <c r="AO22" s="229"/>
      <c r="AP22" s="229"/>
      <c r="AQ22" s="380"/>
    </row>
    <row r="23" spans="2:43">
      <c r="B23" s="158" t="s">
        <v>153</v>
      </c>
      <c r="C23" s="159" t="str">
        <f>IF(ISBLANK(建卡!D55),建卡!B55,建卡!B55&amp;建卡!D55)</f>
        <v>魅惑</v>
      </c>
      <c r="D23" s="159"/>
      <c r="E23" s="159"/>
      <c r="F23" s="159"/>
      <c r="G23" s="159"/>
      <c r="H23" s="160">
        <f>建卡!M55</f>
        <v>15</v>
      </c>
      <c r="I23" s="160"/>
      <c r="J23" s="160"/>
      <c r="K23" s="160"/>
      <c r="L23" s="232" t="str">
        <f t="shared" si="9"/>
        <v>15% (7/3)</v>
      </c>
      <c r="M23" s="232"/>
      <c r="N23" s="232"/>
      <c r="O23" s="233"/>
      <c r="P23" s="234" t="s">
        <v>153</v>
      </c>
      <c r="Q23" s="159" t="str">
        <f>IF(ISBLANK(建卡!D76),建卡!B76,建卡!B76&amp;建卡!D76)</f>
        <v>语言:</v>
      </c>
      <c r="R23" s="159"/>
      <c r="S23" s="159"/>
      <c r="T23" s="159"/>
      <c r="U23" s="159"/>
      <c r="V23" s="160">
        <f>建卡!M76</f>
        <v>1</v>
      </c>
      <c r="W23" s="160"/>
      <c r="X23" s="160"/>
      <c r="Y23" s="160"/>
      <c r="Z23" s="232" t="str">
        <f t="shared" si="10"/>
        <v>1% (0/0)</v>
      </c>
      <c r="AA23" s="232"/>
      <c r="AB23" s="232"/>
      <c r="AC23" s="233"/>
      <c r="AD23" s="234" t="s">
        <v>153</v>
      </c>
      <c r="AE23" s="159" t="str">
        <f>IF(ISBLANK(建卡!U65),建卡!S65,建卡!S65&amp;建卡!U65)</f>
        <v>科学:</v>
      </c>
      <c r="AF23" s="159"/>
      <c r="AG23" s="159"/>
      <c r="AH23" s="159"/>
      <c r="AI23" s="159"/>
      <c r="AJ23" s="160">
        <f>建卡!AD65</f>
        <v>1</v>
      </c>
      <c r="AK23" s="160"/>
      <c r="AL23" s="160"/>
      <c r="AM23" s="160"/>
      <c r="AN23" s="232" t="str">
        <f t="shared" si="11"/>
        <v>1% (0/0)</v>
      </c>
      <c r="AO23" s="232"/>
      <c r="AP23" s="232"/>
      <c r="AQ23" s="381"/>
    </row>
    <row r="24" spans="2:43">
      <c r="B24" s="155" t="s">
        <v>153</v>
      </c>
      <c r="C24" s="156" t="str">
        <f>IF(ISBLANK(建卡!D56),建卡!B56,建卡!B56&amp;建卡!D56)</f>
        <v>攀爬</v>
      </c>
      <c r="D24" s="156"/>
      <c r="E24" s="156"/>
      <c r="F24" s="156"/>
      <c r="G24" s="156"/>
      <c r="H24" s="157">
        <f>建卡!M56</f>
        <v>20</v>
      </c>
      <c r="I24" s="157"/>
      <c r="J24" s="157"/>
      <c r="K24" s="157"/>
      <c r="L24" s="229" t="str">
        <f t="shared" si="9"/>
        <v>20% (10/4)</v>
      </c>
      <c r="M24" s="229"/>
      <c r="N24" s="229"/>
      <c r="O24" s="230"/>
      <c r="P24" s="231" t="s">
        <v>153</v>
      </c>
      <c r="Q24" s="156" t="str">
        <f>IF(ISBLANK(建卡!D77),建卡!B77,建卡!B77&amp;建卡!D77)</f>
        <v>语言:</v>
      </c>
      <c r="R24" s="156"/>
      <c r="S24" s="156"/>
      <c r="T24" s="156"/>
      <c r="U24" s="156"/>
      <c r="V24" s="157">
        <f>建卡!M77</f>
        <v>1</v>
      </c>
      <c r="W24" s="157"/>
      <c r="X24" s="157"/>
      <c r="Y24" s="157"/>
      <c r="Z24" s="229" t="str">
        <f t="shared" si="10"/>
        <v>1% (0/0)</v>
      </c>
      <c r="AA24" s="229"/>
      <c r="AB24" s="229"/>
      <c r="AC24" s="230"/>
      <c r="AD24" s="231" t="s">
        <v>153</v>
      </c>
      <c r="AE24" s="156" t="str">
        <f>IF(ISBLANK(建卡!U66),建卡!S66,建卡!S66&amp;建卡!U66)</f>
        <v>妙手</v>
      </c>
      <c r="AF24" s="156"/>
      <c r="AG24" s="156"/>
      <c r="AH24" s="156"/>
      <c r="AI24" s="156"/>
      <c r="AJ24" s="157">
        <f>建卡!AD66</f>
        <v>10</v>
      </c>
      <c r="AK24" s="157"/>
      <c r="AL24" s="157"/>
      <c r="AM24" s="157"/>
      <c r="AN24" s="229" t="str">
        <f t="shared" si="11"/>
        <v>10% (5/2)</v>
      </c>
      <c r="AO24" s="229"/>
      <c r="AP24" s="229"/>
      <c r="AQ24" s="380"/>
    </row>
    <row r="25" spans="2:43">
      <c r="B25" s="158" t="s">
        <v>153</v>
      </c>
      <c r="C25" s="159" t="str">
        <f>IF(ISBLANK(建卡!D57),建卡!B57,建卡!B57&amp;建卡!D57)</f>
        <v>Ω</v>
      </c>
      <c r="D25" s="159"/>
      <c r="E25" s="159"/>
      <c r="F25" s="159"/>
      <c r="G25" s="159"/>
      <c r="H25" s="160">
        <f>建卡!M57</f>
        <v>5</v>
      </c>
      <c r="I25" s="160"/>
      <c r="J25" s="160"/>
      <c r="K25" s="160"/>
      <c r="L25" s="232" t="str">
        <f t="shared" si="9"/>
        <v>5% (2/1)</v>
      </c>
      <c r="M25" s="232"/>
      <c r="N25" s="232"/>
      <c r="O25" s="233"/>
      <c r="P25" s="234" t="s">
        <v>153</v>
      </c>
      <c r="Q25" s="159" t="str">
        <f>IF(ISBLANK(建卡!D78),建卡!B78,建卡!B78&amp;建卡!D78)</f>
        <v>语言:</v>
      </c>
      <c r="R25" s="159"/>
      <c r="S25" s="159"/>
      <c r="T25" s="159"/>
      <c r="U25" s="159"/>
      <c r="V25" s="160">
        <f>建卡!M78</f>
        <v>1</v>
      </c>
      <c r="W25" s="160"/>
      <c r="X25" s="160"/>
      <c r="Y25" s="160"/>
      <c r="Z25" s="232" t="str">
        <f t="shared" si="10"/>
        <v>1% (0/0)</v>
      </c>
      <c r="AA25" s="232"/>
      <c r="AB25" s="232"/>
      <c r="AC25" s="233"/>
      <c r="AD25" s="234" t="s">
        <v>153</v>
      </c>
      <c r="AE25" s="159" t="str">
        <f>IF(ISBLANK(建卡!U67),建卡!S67,建卡!S67&amp;建卡!U67)</f>
        <v>侦察</v>
      </c>
      <c r="AF25" s="159"/>
      <c r="AG25" s="159"/>
      <c r="AH25" s="159"/>
      <c r="AI25" s="159"/>
      <c r="AJ25" s="160">
        <f>建卡!AD67</f>
        <v>60</v>
      </c>
      <c r="AK25" s="160"/>
      <c r="AL25" s="160"/>
      <c r="AM25" s="160"/>
      <c r="AN25" s="232" t="str">
        <f t="shared" si="11"/>
        <v>60% (30/12)</v>
      </c>
      <c r="AO25" s="232"/>
      <c r="AP25" s="232"/>
      <c r="AQ25" s="381"/>
    </row>
    <row r="26" spans="2:43">
      <c r="B26" s="161"/>
      <c r="C26" s="156" t="str">
        <f>IF(ISBLANK(建卡!D58),建卡!B58,建卡!B58&amp;建卡!D58)</f>
        <v>信用评级</v>
      </c>
      <c r="D26" s="156"/>
      <c r="E26" s="156"/>
      <c r="F26" s="156"/>
      <c r="G26" s="156"/>
      <c r="H26" s="157">
        <f>建卡!M58</f>
        <v>20</v>
      </c>
      <c r="I26" s="157"/>
      <c r="J26" s="157"/>
      <c r="K26" s="157"/>
      <c r="L26" s="229" t="str">
        <f t="shared" si="9"/>
        <v>20% (10/4)</v>
      </c>
      <c r="M26" s="229"/>
      <c r="N26" s="229"/>
      <c r="O26" s="230"/>
      <c r="P26" s="231" t="s">
        <v>153</v>
      </c>
      <c r="Q26" s="156" t="str">
        <f>IF(ISBLANK(建卡!D79),建卡!B79,建卡!B79&amp;建卡!D79)</f>
        <v>母语:</v>
      </c>
      <c r="R26" s="156"/>
      <c r="S26" s="156"/>
      <c r="T26" s="156"/>
      <c r="U26" s="156"/>
      <c r="V26" s="157">
        <f>建卡!M79</f>
        <v>75</v>
      </c>
      <c r="W26" s="157"/>
      <c r="X26" s="157"/>
      <c r="Y26" s="157"/>
      <c r="Z26" s="229" t="str">
        <f t="shared" si="10"/>
        <v>75% (37/15)</v>
      </c>
      <c r="AA26" s="229"/>
      <c r="AB26" s="229"/>
      <c r="AC26" s="230"/>
      <c r="AD26" s="231" t="s">
        <v>153</v>
      </c>
      <c r="AE26" s="156" t="str">
        <f>IF(ISBLANK(建卡!U68),建卡!S68,建卡!S68&amp;建卡!U68)</f>
        <v>潜行</v>
      </c>
      <c r="AF26" s="156"/>
      <c r="AG26" s="156"/>
      <c r="AH26" s="156"/>
      <c r="AI26" s="156"/>
      <c r="AJ26" s="157">
        <f>建卡!AD68</f>
        <v>70</v>
      </c>
      <c r="AK26" s="157"/>
      <c r="AL26" s="157"/>
      <c r="AM26" s="157"/>
      <c r="AN26" s="229" t="str">
        <f t="shared" si="11"/>
        <v>70% (35/14)</v>
      </c>
      <c r="AO26" s="229"/>
      <c r="AP26" s="229"/>
      <c r="AQ26" s="380"/>
    </row>
    <row r="27" spans="2:43">
      <c r="B27" s="162"/>
      <c r="C27" s="159" t="str">
        <f>IF(ISBLANK(建卡!D59),建卡!B59,建卡!B59&amp;建卡!D59)</f>
        <v>克苏鲁神话</v>
      </c>
      <c r="D27" s="159"/>
      <c r="E27" s="159"/>
      <c r="F27" s="159"/>
      <c r="G27" s="159"/>
      <c r="H27" s="160">
        <f>建卡!M59</f>
        <v>0</v>
      </c>
      <c r="I27" s="160"/>
      <c r="J27" s="160"/>
      <c r="K27" s="160"/>
      <c r="L27" s="232" t="str">
        <f t="shared" si="9"/>
        <v>0% (0/0)</v>
      </c>
      <c r="M27" s="232"/>
      <c r="N27" s="232"/>
      <c r="O27" s="233"/>
      <c r="P27" s="234" t="s">
        <v>153</v>
      </c>
      <c r="Q27" s="159" t="str">
        <f>IF(ISBLANK(建卡!U48),建卡!S48,建卡!S48&amp;建卡!U48)</f>
        <v>法律</v>
      </c>
      <c r="R27" s="159"/>
      <c r="S27" s="159"/>
      <c r="T27" s="159"/>
      <c r="U27" s="159"/>
      <c r="V27" s="160">
        <f>建卡!AD48</f>
        <v>20</v>
      </c>
      <c r="W27" s="160"/>
      <c r="X27" s="160"/>
      <c r="Y27" s="160"/>
      <c r="Z27" s="232" t="str">
        <f t="shared" ref="Z27" si="12">SUM(V27:Y27)&amp;"% ("&amp;INT(SUM(V27:Y27)/2)&amp;"/"&amp;INT(SUM(V27:Y27)/5)&amp;")"</f>
        <v>20% (10/4)</v>
      </c>
      <c r="AA27" s="232"/>
      <c r="AB27" s="232"/>
      <c r="AC27" s="233"/>
      <c r="AD27" s="234" t="s">
        <v>153</v>
      </c>
      <c r="AE27" s="159" t="str">
        <f>IF(ISBLANK(建卡!U69),建卡!S69,建卡!S69&amp;建卡!U69)</f>
        <v>生存:</v>
      </c>
      <c r="AF27" s="159"/>
      <c r="AG27" s="159"/>
      <c r="AH27" s="159"/>
      <c r="AI27" s="159"/>
      <c r="AJ27" s="160">
        <f>建卡!AD69</f>
        <v>10</v>
      </c>
      <c r="AK27" s="160"/>
      <c r="AL27" s="160"/>
      <c r="AM27" s="160"/>
      <c r="AN27" s="232" t="str">
        <f t="shared" si="11"/>
        <v>10% (5/2)</v>
      </c>
      <c r="AO27" s="232"/>
      <c r="AP27" s="232"/>
      <c r="AQ27" s="381"/>
    </row>
    <row r="28" spans="2:43">
      <c r="B28" s="155" t="s">
        <v>153</v>
      </c>
      <c r="C28" s="156" t="str">
        <f>IF(ISBLANK(建卡!D60),建卡!B60,建卡!B60&amp;建卡!D60)</f>
        <v>乔装</v>
      </c>
      <c r="D28" s="156"/>
      <c r="E28" s="156"/>
      <c r="F28" s="156"/>
      <c r="G28" s="156"/>
      <c r="H28" s="157">
        <f>建卡!M60</f>
        <v>5</v>
      </c>
      <c r="I28" s="157"/>
      <c r="J28" s="157"/>
      <c r="K28" s="157"/>
      <c r="L28" s="229" t="str">
        <f t="shared" si="9"/>
        <v>5% (2/1)</v>
      </c>
      <c r="M28" s="229"/>
      <c r="N28" s="229"/>
      <c r="O28" s="230"/>
      <c r="P28" s="231" t="s">
        <v>153</v>
      </c>
      <c r="Q28" s="156" t="str">
        <f>IF(ISBLANK(建卡!U49),建卡!S49,建卡!S49&amp;建卡!U49)</f>
        <v>图书馆使用</v>
      </c>
      <c r="R28" s="156"/>
      <c r="S28" s="156"/>
      <c r="T28" s="156"/>
      <c r="U28" s="156"/>
      <c r="V28" s="157">
        <f>建卡!AD49</f>
        <v>20</v>
      </c>
      <c r="W28" s="157"/>
      <c r="X28" s="157"/>
      <c r="Y28" s="157"/>
      <c r="Z28" s="229" t="str">
        <f t="shared" ref="Z28:Z36" si="13">SUM(V28:Y28)&amp;"% ("&amp;INT(SUM(V28:Y28)/2)&amp;"/"&amp;INT(SUM(V28:Y28)/5)&amp;")"</f>
        <v>20% (10/4)</v>
      </c>
      <c r="AA28" s="229"/>
      <c r="AB28" s="229"/>
      <c r="AC28" s="230"/>
      <c r="AD28" s="231" t="s">
        <v>153</v>
      </c>
      <c r="AE28" s="156" t="str">
        <f>IF(ISBLANK(建卡!U70),建卡!S70,建卡!S70&amp;建卡!U70)</f>
        <v>游泳</v>
      </c>
      <c r="AF28" s="156"/>
      <c r="AG28" s="156"/>
      <c r="AH28" s="156"/>
      <c r="AI28" s="156"/>
      <c r="AJ28" s="157">
        <f>建卡!AD70</f>
        <v>20</v>
      </c>
      <c r="AK28" s="157"/>
      <c r="AL28" s="157"/>
      <c r="AM28" s="157"/>
      <c r="AN28" s="229" t="str">
        <f t="shared" si="11"/>
        <v>20% (10/4)</v>
      </c>
      <c r="AO28" s="229"/>
      <c r="AP28" s="229"/>
      <c r="AQ28" s="380"/>
    </row>
    <row r="29" spans="2:43">
      <c r="B29" s="158" t="s">
        <v>153</v>
      </c>
      <c r="C29" s="159" t="str">
        <f>IF(ISBLANK(建卡!D61),建卡!B61,建卡!B61&amp;建卡!D61)</f>
        <v>闪避</v>
      </c>
      <c r="D29" s="159"/>
      <c r="E29" s="159"/>
      <c r="F29" s="159"/>
      <c r="G29" s="159"/>
      <c r="H29" s="160">
        <f>建卡!M61</f>
        <v>62</v>
      </c>
      <c r="I29" s="160"/>
      <c r="J29" s="160"/>
      <c r="K29" s="160"/>
      <c r="L29" s="232" t="str">
        <f t="shared" si="9"/>
        <v>62% (31/12)</v>
      </c>
      <c r="M29" s="232"/>
      <c r="N29" s="232"/>
      <c r="O29" s="233"/>
      <c r="P29" s="234" t="s">
        <v>153</v>
      </c>
      <c r="Q29" s="159" t="str">
        <f>IF(ISBLANK(建卡!U50),建卡!S50,建卡!S50&amp;建卡!U50)</f>
        <v>聆听</v>
      </c>
      <c r="R29" s="159"/>
      <c r="S29" s="159"/>
      <c r="T29" s="159"/>
      <c r="U29" s="159"/>
      <c r="V29" s="160">
        <f>建卡!AD50</f>
        <v>20</v>
      </c>
      <c r="W29" s="160"/>
      <c r="X29" s="160"/>
      <c r="Y29" s="160"/>
      <c r="Z29" s="232" t="str">
        <f t="shared" si="13"/>
        <v>20% (10/4)</v>
      </c>
      <c r="AA29" s="232"/>
      <c r="AB29" s="232"/>
      <c r="AC29" s="233"/>
      <c r="AD29" s="234" t="s">
        <v>153</v>
      </c>
      <c r="AE29" s="159" t="str">
        <f>IF(ISBLANK(建卡!U71),建卡!S71,建卡!S71&amp;建卡!U71)</f>
        <v>投掷</v>
      </c>
      <c r="AF29" s="159"/>
      <c r="AG29" s="159"/>
      <c r="AH29" s="159"/>
      <c r="AI29" s="159"/>
      <c r="AJ29" s="160">
        <f>建卡!AD71</f>
        <v>20</v>
      </c>
      <c r="AK29" s="160"/>
      <c r="AL29" s="160"/>
      <c r="AM29" s="160"/>
      <c r="AN29" s="232" t="str">
        <f t="shared" si="11"/>
        <v>20% (10/4)</v>
      </c>
      <c r="AO29" s="232"/>
      <c r="AP29" s="232"/>
      <c r="AQ29" s="381"/>
    </row>
    <row r="30" spans="2:43">
      <c r="B30" s="155" t="s">
        <v>153</v>
      </c>
      <c r="C30" s="156" t="str">
        <f>IF(ISBLANK(建卡!D62),建卡!B62,建卡!B62&amp;建卡!D62)</f>
        <v>汽车驾驶</v>
      </c>
      <c r="D30" s="156"/>
      <c r="E30" s="156"/>
      <c r="F30" s="156"/>
      <c r="G30" s="156"/>
      <c r="H30" s="157">
        <f>建卡!M62</f>
        <v>20</v>
      </c>
      <c r="I30" s="157"/>
      <c r="J30" s="157"/>
      <c r="K30" s="157"/>
      <c r="L30" s="229" t="str">
        <f t="shared" si="9"/>
        <v>20% (10/4)</v>
      </c>
      <c r="M30" s="229"/>
      <c r="N30" s="229"/>
      <c r="O30" s="230"/>
      <c r="P30" s="231" t="s">
        <v>153</v>
      </c>
      <c r="Q30" s="156" t="str">
        <f>IF(ISBLANK(建卡!U51),建卡!S51,建卡!S51&amp;建卡!U51)</f>
        <v>锁匠</v>
      </c>
      <c r="R30" s="156"/>
      <c r="S30" s="156"/>
      <c r="T30" s="156"/>
      <c r="U30" s="156"/>
      <c r="V30" s="157">
        <f>建卡!AD51</f>
        <v>46</v>
      </c>
      <c r="W30" s="157"/>
      <c r="X30" s="157"/>
      <c r="Y30" s="157"/>
      <c r="Z30" s="229" t="str">
        <f t="shared" si="13"/>
        <v>46% (23/9)</v>
      </c>
      <c r="AA30" s="229"/>
      <c r="AB30" s="229"/>
      <c r="AC30" s="230"/>
      <c r="AD30" s="231" t="s">
        <v>153</v>
      </c>
      <c r="AE30" s="156" t="str">
        <f>IF(ISBLANK(建卡!U72),建卡!S72,建卡!S72&amp;建卡!U72)</f>
        <v>追踪</v>
      </c>
      <c r="AF30" s="156"/>
      <c r="AG30" s="156"/>
      <c r="AH30" s="156"/>
      <c r="AI30" s="156"/>
      <c r="AJ30" s="157">
        <f>建卡!AD72</f>
        <v>10</v>
      </c>
      <c r="AK30" s="157"/>
      <c r="AL30" s="157"/>
      <c r="AM30" s="157"/>
      <c r="AN30" s="229" t="str">
        <f t="shared" si="11"/>
        <v>10% (5/2)</v>
      </c>
      <c r="AO30" s="229"/>
      <c r="AP30" s="229"/>
      <c r="AQ30" s="380"/>
    </row>
    <row r="31" spans="2:43">
      <c r="B31" s="158" t="s">
        <v>153</v>
      </c>
      <c r="C31" s="159" t="str">
        <f>IF(ISBLANK(建卡!D63),建卡!B63,建卡!B63&amp;建卡!D63)</f>
        <v>电气维修</v>
      </c>
      <c r="D31" s="159"/>
      <c r="E31" s="159"/>
      <c r="F31" s="159"/>
      <c r="G31" s="159"/>
      <c r="H31" s="160">
        <f>建卡!M63</f>
        <v>10</v>
      </c>
      <c r="I31" s="160"/>
      <c r="J31" s="160"/>
      <c r="K31" s="160"/>
      <c r="L31" s="232" t="str">
        <f t="shared" si="9"/>
        <v>10% (5/2)</v>
      </c>
      <c r="M31" s="232"/>
      <c r="N31" s="232"/>
      <c r="O31" s="233"/>
      <c r="P31" s="234" t="s">
        <v>153</v>
      </c>
      <c r="Q31" s="159" t="str">
        <f>IF(ISBLANK(建卡!U52),建卡!S52,建卡!S52&amp;建卡!U52)</f>
        <v>机械维修</v>
      </c>
      <c r="R31" s="159"/>
      <c r="S31" s="159"/>
      <c r="T31" s="159"/>
      <c r="U31" s="159"/>
      <c r="V31" s="160">
        <f>建卡!AD52</f>
        <v>10</v>
      </c>
      <c r="W31" s="160"/>
      <c r="X31" s="160"/>
      <c r="Y31" s="160"/>
      <c r="Z31" s="232" t="str">
        <f t="shared" si="13"/>
        <v>10% (5/2)</v>
      </c>
      <c r="AA31" s="232"/>
      <c r="AB31" s="232"/>
      <c r="AC31" s="233"/>
      <c r="AD31" s="234" t="s">
        <v>153</v>
      </c>
      <c r="AE31" s="159" t="str">
        <f>IF(ISBLANK(建卡!U73),建卡!S73,建卡!S73&amp;建卡!U73)</f>
        <v>潜水</v>
      </c>
      <c r="AF31" s="159"/>
      <c r="AG31" s="159"/>
      <c r="AH31" s="159"/>
      <c r="AI31" s="159"/>
      <c r="AJ31" s="160">
        <f>建卡!AD73</f>
        <v>1</v>
      </c>
      <c r="AK31" s="160"/>
      <c r="AL31" s="160"/>
      <c r="AM31" s="160"/>
      <c r="AN31" s="232" t="str">
        <f t="shared" si="11"/>
        <v>1% (0/0)</v>
      </c>
      <c r="AO31" s="232"/>
      <c r="AP31" s="232"/>
      <c r="AQ31" s="381"/>
    </row>
    <row r="32" spans="2:43">
      <c r="B32" s="155" t="s">
        <v>153</v>
      </c>
      <c r="C32" s="156" t="str">
        <f>IF(ISBLANK(建卡!D64),建卡!B64,建卡!B64&amp;建卡!D64)</f>
        <v>Ω</v>
      </c>
      <c r="D32" s="156"/>
      <c r="E32" s="156"/>
      <c r="F32" s="156"/>
      <c r="G32" s="156"/>
      <c r="H32" s="157">
        <f>建卡!M64</f>
        <v>1</v>
      </c>
      <c r="I32" s="157"/>
      <c r="J32" s="157"/>
      <c r="K32" s="157"/>
      <c r="L32" s="229" t="str">
        <f t="shared" si="9"/>
        <v>1% (0/0)</v>
      </c>
      <c r="M32" s="229"/>
      <c r="N32" s="229"/>
      <c r="O32" s="230"/>
      <c r="P32" s="231" t="s">
        <v>153</v>
      </c>
      <c r="Q32" s="156" t="str">
        <f>IF(ISBLANK(建卡!U53),建卡!S53,建卡!S53&amp;建卡!U53)</f>
        <v>医学</v>
      </c>
      <c r="R32" s="156"/>
      <c r="S32" s="156"/>
      <c r="T32" s="156"/>
      <c r="U32" s="156"/>
      <c r="V32" s="157">
        <f>建卡!AD53</f>
        <v>1</v>
      </c>
      <c r="W32" s="157"/>
      <c r="X32" s="157"/>
      <c r="Y32" s="157"/>
      <c r="Z32" s="229" t="str">
        <f t="shared" si="13"/>
        <v>1% (0/0)</v>
      </c>
      <c r="AA32" s="229"/>
      <c r="AB32" s="229"/>
      <c r="AC32" s="230"/>
      <c r="AD32" s="231" t="s">
        <v>153</v>
      </c>
      <c r="AE32" s="156" t="str">
        <f>IF(ISBLANK(建卡!S74),"",建卡!S74)</f>
        <v/>
      </c>
      <c r="AF32" s="156"/>
      <c r="AG32" s="156"/>
      <c r="AH32" s="156"/>
      <c r="AI32" s="156"/>
      <c r="AJ32" s="157">
        <f>建卡!AD74</f>
        <v>0</v>
      </c>
      <c r="AK32" s="157"/>
      <c r="AL32" s="157"/>
      <c r="AM32" s="157"/>
      <c r="AN32" s="229" t="str">
        <f t="shared" si="11"/>
        <v>0% (0/0)</v>
      </c>
      <c r="AO32" s="229"/>
      <c r="AP32" s="229"/>
      <c r="AQ32" s="380"/>
    </row>
    <row r="33" spans="2:43">
      <c r="B33" s="158" t="s">
        <v>153</v>
      </c>
      <c r="C33" s="159" t="str">
        <f>IF(ISBLANK(建卡!D65),建卡!B65,建卡!B65&amp;建卡!D65)</f>
        <v>话术</v>
      </c>
      <c r="D33" s="159"/>
      <c r="E33" s="159"/>
      <c r="F33" s="159"/>
      <c r="G33" s="159"/>
      <c r="H33" s="160">
        <f>建卡!M65</f>
        <v>50</v>
      </c>
      <c r="I33" s="160"/>
      <c r="J33" s="160"/>
      <c r="K33" s="160"/>
      <c r="L33" s="232" t="str">
        <f t="shared" si="9"/>
        <v>50% (25/10)</v>
      </c>
      <c r="M33" s="232"/>
      <c r="N33" s="232"/>
      <c r="O33" s="233"/>
      <c r="P33" s="234" t="s">
        <v>153</v>
      </c>
      <c r="Q33" s="159" t="str">
        <f>IF(ISBLANK(建卡!U54),建卡!S54,建卡!S54&amp;建卡!U54)</f>
        <v>博物学</v>
      </c>
      <c r="R33" s="159"/>
      <c r="S33" s="159"/>
      <c r="T33" s="159"/>
      <c r="U33" s="159"/>
      <c r="V33" s="160">
        <f>建卡!AD54</f>
        <v>10</v>
      </c>
      <c r="W33" s="160"/>
      <c r="X33" s="160"/>
      <c r="Y33" s="160"/>
      <c r="Z33" s="232" t="str">
        <f t="shared" si="13"/>
        <v>10% (5/2)</v>
      </c>
      <c r="AA33" s="232"/>
      <c r="AB33" s="232"/>
      <c r="AC33" s="233"/>
      <c r="AD33" s="234" t="s">
        <v>153</v>
      </c>
      <c r="AE33" s="159" t="str">
        <f>IF(ISBLANK(建卡!S75),"",建卡!S75)</f>
        <v/>
      </c>
      <c r="AF33" s="159"/>
      <c r="AG33" s="159"/>
      <c r="AH33" s="159"/>
      <c r="AI33" s="159"/>
      <c r="AJ33" s="160">
        <f>建卡!AD75</f>
        <v>0</v>
      </c>
      <c r="AK33" s="160"/>
      <c r="AL33" s="160"/>
      <c r="AM33" s="160"/>
      <c r="AN33" s="232" t="str">
        <f t="shared" si="11"/>
        <v>0% (0/0)</v>
      </c>
      <c r="AO33" s="232"/>
      <c r="AP33" s="232"/>
      <c r="AQ33" s="381"/>
    </row>
    <row r="34" spans="2:43">
      <c r="B34" s="155" t="s">
        <v>153</v>
      </c>
      <c r="C34" s="156" t="str">
        <f>IF(ISBLANK(建卡!D66),建卡!B66,建卡!B66&amp;建卡!D66)</f>
        <v>格斗:斗殴</v>
      </c>
      <c r="D34" s="156"/>
      <c r="E34" s="156"/>
      <c r="F34" s="156"/>
      <c r="G34" s="156"/>
      <c r="H34" s="157">
        <f>建卡!M66</f>
        <v>80</v>
      </c>
      <c r="I34" s="157"/>
      <c r="J34" s="157"/>
      <c r="K34" s="157"/>
      <c r="L34" s="229" t="str">
        <f t="shared" si="9"/>
        <v>80% (40/16)</v>
      </c>
      <c r="M34" s="229"/>
      <c r="N34" s="229"/>
      <c r="O34" s="230"/>
      <c r="P34" s="231" t="s">
        <v>153</v>
      </c>
      <c r="Q34" s="156" t="str">
        <f>IF(ISBLANK(建卡!U55),建卡!S55,建卡!S55&amp;建卡!U55)</f>
        <v>领航</v>
      </c>
      <c r="R34" s="156"/>
      <c r="S34" s="156"/>
      <c r="T34" s="156"/>
      <c r="U34" s="156"/>
      <c r="V34" s="157">
        <f>建卡!AD55</f>
        <v>10</v>
      </c>
      <c r="W34" s="157"/>
      <c r="X34" s="157"/>
      <c r="Y34" s="157"/>
      <c r="Z34" s="229" t="str">
        <f t="shared" si="13"/>
        <v>10% (5/2)</v>
      </c>
      <c r="AA34" s="229"/>
      <c r="AB34" s="229"/>
      <c r="AC34" s="230"/>
      <c r="AD34" s="231" t="s">
        <v>153</v>
      </c>
      <c r="AE34" s="156" t="str">
        <f>IF(ISBLANK(建卡!S76),"",建卡!S76)</f>
        <v/>
      </c>
      <c r="AF34" s="156"/>
      <c r="AG34" s="156"/>
      <c r="AH34" s="156"/>
      <c r="AI34" s="156"/>
      <c r="AJ34" s="157">
        <f>建卡!AD76</f>
        <v>0</v>
      </c>
      <c r="AK34" s="157"/>
      <c r="AL34" s="157"/>
      <c r="AM34" s="157"/>
      <c r="AN34" s="229" t="str">
        <f t="shared" si="11"/>
        <v>0% (0/0)</v>
      </c>
      <c r="AO34" s="229"/>
      <c r="AP34" s="229"/>
      <c r="AQ34" s="380"/>
    </row>
    <row r="35" spans="2:43">
      <c r="B35" s="158" t="s">
        <v>153</v>
      </c>
      <c r="C35" s="159" t="str">
        <f>IF(ISBLANK(建卡!D67),建卡!B67,建卡!B67&amp;建卡!D67)</f>
        <v>格斗:剑</v>
      </c>
      <c r="D35" s="159"/>
      <c r="E35" s="159"/>
      <c r="F35" s="159"/>
      <c r="G35" s="159"/>
      <c r="H35" s="160">
        <f>建卡!M67</f>
        <v>20</v>
      </c>
      <c r="I35" s="160"/>
      <c r="J35" s="160"/>
      <c r="K35" s="160"/>
      <c r="L35" s="232" t="str">
        <f t="shared" si="9"/>
        <v>20% (10/4)</v>
      </c>
      <c r="M35" s="232"/>
      <c r="N35" s="232"/>
      <c r="O35" s="233"/>
      <c r="P35" s="234" t="s">
        <v>153</v>
      </c>
      <c r="Q35" s="159" t="str">
        <f>IF(ISBLANK(建卡!U56),建卡!S56,建卡!S56&amp;建卡!U56)</f>
        <v>神秘学</v>
      </c>
      <c r="R35" s="159"/>
      <c r="S35" s="159"/>
      <c r="T35" s="159"/>
      <c r="U35" s="159"/>
      <c r="V35" s="160">
        <f>建卡!AD56</f>
        <v>5</v>
      </c>
      <c r="W35" s="160"/>
      <c r="X35" s="160"/>
      <c r="Y35" s="160"/>
      <c r="Z35" s="232" t="str">
        <f t="shared" si="13"/>
        <v>5% (2/1)</v>
      </c>
      <c r="AA35" s="232"/>
      <c r="AB35" s="232"/>
      <c r="AC35" s="233"/>
      <c r="AD35" s="234" t="s">
        <v>153</v>
      </c>
      <c r="AE35" s="159" t="str">
        <f>IF(ISBLANK(建卡!S77),"",建卡!S77)</f>
        <v/>
      </c>
      <c r="AF35" s="159"/>
      <c r="AG35" s="159"/>
      <c r="AH35" s="159"/>
      <c r="AI35" s="159"/>
      <c r="AJ35" s="160">
        <f>建卡!AD77</f>
        <v>0</v>
      </c>
      <c r="AK35" s="160"/>
      <c r="AL35" s="160"/>
      <c r="AM35" s="160"/>
      <c r="AN35" s="232" t="str">
        <f t="shared" si="11"/>
        <v>0% (0/0)</v>
      </c>
      <c r="AO35" s="232"/>
      <c r="AP35" s="232"/>
      <c r="AQ35" s="381"/>
    </row>
    <row r="36" ht="17.25" spans="2:43">
      <c r="B36" s="163" t="s">
        <v>153</v>
      </c>
      <c r="C36" s="164" t="str">
        <f>IF(ISBLANK(建卡!D68),建卡!B68,建卡!B68&amp;建卡!D68)</f>
        <v>格斗:</v>
      </c>
      <c r="D36" s="164"/>
      <c r="E36" s="164"/>
      <c r="F36" s="164"/>
      <c r="G36" s="164"/>
      <c r="H36" s="165">
        <f>建卡!M68</f>
        <v>0</v>
      </c>
      <c r="I36" s="165"/>
      <c r="J36" s="165"/>
      <c r="K36" s="165"/>
      <c r="L36" s="235" t="str">
        <f t="shared" si="9"/>
        <v>0% (0/0)</v>
      </c>
      <c r="M36" s="235"/>
      <c r="N36" s="235"/>
      <c r="O36" s="236"/>
      <c r="P36" s="237" t="s">
        <v>153</v>
      </c>
      <c r="Q36" s="164" t="str">
        <f>IF(ISBLANK(建卡!U57),建卡!S57,建卡!S57&amp;建卡!U57)</f>
        <v>操作重型机械</v>
      </c>
      <c r="R36" s="164"/>
      <c r="S36" s="164"/>
      <c r="T36" s="164"/>
      <c r="U36" s="164"/>
      <c r="V36" s="165">
        <f>建卡!AD57</f>
        <v>1</v>
      </c>
      <c r="W36" s="165"/>
      <c r="X36" s="165"/>
      <c r="Y36" s="165"/>
      <c r="Z36" s="235" t="str">
        <f t="shared" si="13"/>
        <v>1% (0/0)</v>
      </c>
      <c r="AA36" s="235"/>
      <c r="AB36" s="235"/>
      <c r="AC36" s="236"/>
      <c r="AD36" s="237" t="s">
        <v>153</v>
      </c>
      <c r="AE36" s="164" t="str">
        <f>IF(ISBLANK(建卡!S78),"",建卡!S78)</f>
        <v/>
      </c>
      <c r="AF36" s="164"/>
      <c r="AG36" s="164"/>
      <c r="AH36" s="164"/>
      <c r="AI36" s="164"/>
      <c r="AJ36" s="165">
        <f>建卡!AD78</f>
        <v>0</v>
      </c>
      <c r="AK36" s="165"/>
      <c r="AL36" s="165"/>
      <c r="AM36" s="165"/>
      <c r="AN36" s="235" t="str">
        <f t="shared" si="11"/>
        <v>0% (0/0)</v>
      </c>
      <c r="AO36" s="235"/>
      <c r="AP36" s="235"/>
      <c r="AQ36" s="382"/>
    </row>
    <row r="37" ht="17.25" spans="2:39">
      <c r="B37" s="166"/>
      <c r="P37" s="238"/>
      <c r="AD37" s="337"/>
      <c r="AE37" s="337"/>
      <c r="AF37" s="337"/>
      <c r="AG37" s="337"/>
      <c r="AH37" s="337"/>
      <c r="AI37" s="337"/>
      <c r="AJ37" s="337"/>
      <c r="AK37" s="337"/>
      <c r="AL37" s="337"/>
      <c r="AM37" s="359"/>
    </row>
    <row r="38" spans="2:43">
      <c r="B38" s="113" t="s">
        <v>160</v>
      </c>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200"/>
      <c r="AJ38" s="176" t="s">
        <v>161</v>
      </c>
      <c r="AK38" s="177"/>
      <c r="AL38" s="177"/>
      <c r="AM38" s="177"/>
      <c r="AN38" s="177"/>
      <c r="AO38" s="177"/>
      <c r="AP38" s="177"/>
      <c r="AQ38" s="300"/>
    </row>
    <row r="39" spans="2:43">
      <c r="B39" s="167" t="s">
        <v>160</v>
      </c>
      <c r="C39" s="168"/>
      <c r="D39" s="168"/>
      <c r="E39" s="168"/>
      <c r="F39" s="168"/>
      <c r="G39" s="168"/>
      <c r="H39" s="168"/>
      <c r="I39" s="168"/>
      <c r="J39" s="239"/>
      <c r="K39" s="240" t="s">
        <v>68</v>
      </c>
      <c r="L39" s="168"/>
      <c r="M39" s="168"/>
      <c r="N39" s="168"/>
      <c r="O39" s="168"/>
      <c r="P39" s="239"/>
      <c r="Q39" s="240" t="s">
        <v>162</v>
      </c>
      <c r="R39" s="168" t="s">
        <v>163</v>
      </c>
      <c r="S39" s="168"/>
      <c r="T39" s="168"/>
      <c r="U39" s="168"/>
      <c r="V39" s="168"/>
      <c r="W39" s="239"/>
      <c r="X39" s="288" t="s">
        <v>164</v>
      </c>
      <c r="Y39" s="338"/>
      <c r="Z39" s="338"/>
      <c r="AA39" s="339"/>
      <c r="AB39" s="288" t="s">
        <v>165</v>
      </c>
      <c r="AC39" s="338"/>
      <c r="AD39" s="339"/>
      <c r="AE39" s="240" t="s">
        <v>166</v>
      </c>
      <c r="AF39" s="239"/>
      <c r="AG39" s="240" t="s">
        <v>167</v>
      </c>
      <c r="AH39" s="360"/>
      <c r="AJ39" s="361" t="s">
        <v>168</v>
      </c>
      <c r="AK39" s="362"/>
      <c r="AL39" s="362"/>
      <c r="AM39" s="362"/>
      <c r="AN39" s="363" t="str">
        <f>建卡!R34</f>
        <v>+1D4</v>
      </c>
      <c r="AO39" s="363"/>
      <c r="AP39" s="363"/>
      <c r="AQ39" s="383"/>
    </row>
    <row r="40" spans="2:43">
      <c r="B40" s="169" t="s">
        <v>169</v>
      </c>
      <c r="C40" s="170"/>
      <c r="D40" s="170"/>
      <c r="E40" s="170"/>
      <c r="F40" s="170"/>
      <c r="G40" s="170"/>
      <c r="H40" s="170"/>
      <c r="I40" s="170"/>
      <c r="J40" s="241"/>
      <c r="K40" s="242">
        <f>SUM(H34:K34)</f>
        <v>80</v>
      </c>
      <c r="L40" s="243"/>
      <c r="M40" s="242">
        <f>INT(K40/2)</f>
        <v>40</v>
      </c>
      <c r="N40" s="243"/>
      <c r="O40" s="242">
        <f>INT(K40/5)</f>
        <v>16</v>
      </c>
      <c r="P40" s="243"/>
      <c r="Q40" s="289" t="s">
        <v>170</v>
      </c>
      <c r="R40" s="290" t="s">
        <v>171</v>
      </c>
      <c r="S40" s="290"/>
      <c r="T40" s="290"/>
      <c r="U40" s="290"/>
      <c r="V40" s="290"/>
      <c r="W40" s="291"/>
      <c r="X40" s="292" t="s">
        <v>89</v>
      </c>
      <c r="Y40" s="340"/>
      <c r="Z40" s="340"/>
      <c r="AA40" s="341"/>
      <c r="AB40" s="292">
        <v>1</v>
      </c>
      <c r="AC40" s="340"/>
      <c r="AD40" s="341"/>
      <c r="AE40" s="290" t="s">
        <v>89</v>
      </c>
      <c r="AF40" s="291"/>
      <c r="AG40" s="364" t="s">
        <v>89</v>
      </c>
      <c r="AH40" s="365"/>
      <c r="AJ40" s="361"/>
      <c r="AK40" s="362"/>
      <c r="AL40" s="362"/>
      <c r="AM40" s="362"/>
      <c r="AN40" s="363"/>
      <c r="AO40" s="363"/>
      <c r="AP40" s="363"/>
      <c r="AQ40" s="383"/>
    </row>
    <row r="41" spans="2:43">
      <c r="B41" s="171" t="s">
        <v>172</v>
      </c>
      <c r="C41" s="172"/>
      <c r="D41" s="172"/>
      <c r="E41" s="172"/>
      <c r="F41" s="172"/>
      <c r="G41" s="172"/>
      <c r="H41" s="172"/>
      <c r="I41" s="172"/>
      <c r="J41" s="244"/>
      <c r="K41" s="245">
        <v>80</v>
      </c>
      <c r="L41" s="246"/>
      <c r="M41" s="247">
        <f t="shared" ref="M41:M44" si="14">INT(K41/2)</f>
        <v>40</v>
      </c>
      <c r="N41" s="248"/>
      <c r="O41" s="247">
        <f t="shared" ref="O41:O44" si="15">INT(K41/5)</f>
        <v>16</v>
      </c>
      <c r="P41" s="248"/>
      <c r="Q41" s="293"/>
      <c r="R41" s="172" t="s">
        <v>173</v>
      </c>
      <c r="S41" s="172"/>
      <c r="T41" s="172"/>
      <c r="U41" s="172"/>
      <c r="V41" s="172"/>
      <c r="W41" s="244"/>
      <c r="X41" s="294"/>
      <c r="Y41" s="172"/>
      <c r="Z41" s="172"/>
      <c r="AA41" s="244"/>
      <c r="AB41" s="294"/>
      <c r="AC41" s="172"/>
      <c r="AD41" s="244"/>
      <c r="AE41" s="172"/>
      <c r="AF41" s="244"/>
      <c r="AG41" s="294"/>
      <c r="AH41" s="366"/>
      <c r="AJ41" s="202" t="s">
        <v>174</v>
      </c>
      <c r="AK41" s="259"/>
      <c r="AL41" s="259"/>
      <c r="AM41" s="259"/>
      <c r="AN41" s="264">
        <f>建卡!U34</f>
        <v>1</v>
      </c>
      <c r="AO41" s="264"/>
      <c r="AP41" s="264"/>
      <c r="AQ41" s="384"/>
    </row>
    <row r="42" spans="2:43">
      <c r="B42" s="169" t="s">
        <v>175</v>
      </c>
      <c r="C42" s="170"/>
      <c r="D42" s="170"/>
      <c r="E42" s="170"/>
      <c r="F42" s="170"/>
      <c r="G42" s="170"/>
      <c r="H42" s="170"/>
      <c r="I42" s="170"/>
      <c r="J42" s="241"/>
      <c r="K42" s="249">
        <v>80</v>
      </c>
      <c r="L42" s="250"/>
      <c r="M42" s="242">
        <f t="shared" si="14"/>
        <v>40</v>
      </c>
      <c r="N42" s="243"/>
      <c r="O42" s="242">
        <f t="shared" si="15"/>
        <v>16</v>
      </c>
      <c r="P42" s="243"/>
      <c r="Q42" s="295"/>
      <c r="R42" s="170" t="s">
        <v>176</v>
      </c>
      <c r="S42" s="170"/>
      <c r="T42" s="170"/>
      <c r="U42" s="170"/>
      <c r="V42" s="170"/>
      <c r="W42" s="241"/>
      <c r="X42" s="296"/>
      <c r="Y42" s="342"/>
      <c r="Z42" s="342"/>
      <c r="AA42" s="343"/>
      <c r="AB42" s="296"/>
      <c r="AC42" s="342"/>
      <c r="AD42" s="343"/>
      <c r="AE42" s="170"/>
      <c r="AF42" s="241"/>
      <c r="AG42" s="367"/>
      <c r="AH42" s="368"/>
      <c r="AJ42" s="202"/>
      <c r="AK42" s="259"/>
      <c r="AL42" s="259"/>
      <c r="AM42" s="259"/>
      <c r="AN42" s="264"/>
      <c r="AO42" s="264"/>
      <c r="AP42" s="264"/>
      <c r="AQ42" s="384"/>
    </row>
    <row r="43" spans="2:43">
      <c r="B43" s="171"/>
      <c r="C43" s="172"/>
      <c r="D43" s="172"/>
      <c r="E43" s="172"/>
      <c r="F43" s="172"/>
      <c r="G43" s="172"/>
      <c r="H43" s="172"/>
      <c r="I43" s="172"/>
      <c r="J43" s="244"/>
      <c r="K43" s="245"/>
      <c r="L43" s="246"/>
      <c r="M43" s="247">
        <f t="shared" si="14"/>
        <v>0</v>
      </c>
      <c r="N43" s="248"/>
      <c r="O43" s="247">
        <f t="shared" si="15"/>
        <v>0</v>
      </c>
      <c r="P43" s="248"/>
      <c r="Q43" s="297"/>
      <c r="R43" s="172"/>
      <c r="S43" s="172"/>
      <c r="T43" s="172"/>
      <c r="U43" s="172"/>
      <c r="V43" s="172"/>
      <c r="W43" s="244"/>
      <c r="X43" s="294"/>
      <c r="Y43" s="172"/>
      <c r="Z43" s="172"/>
      <c r="AA43" s="244"/>
      <c r="AB43" s="294"/>
      <c r="AC43" s="172"/>
      <c r="AD43" s="244"/>
      <c r="AE43" s="172"/>
      <c r="AF43" s="244"/>
      <c r="AG43" s="294"/>
      <c r="AH43" s="366"/>
      <c r="AJ43" s="361" t="s">
        <v>177</v>
      </c>
      <c r="AK43" s="362"/>
      <c r="AL43" s="362"/>
      <c r="AM43" s="362"/>
      <c r="AN43" s="369">
        <f>SUM(H29:K29)</f>
        <v>62</v>
      </c>
      <c r="AO43" s="363"/>
      <c r="AP43" s="369">
        <f>INT(AN43/2)</f>
        <v>31</v>
      </c>
      <c r="AQ43" s="383"/>
    </row>
    <row r="44" ht="17.25" spans="2:43">
      <c r="B44" s="173"/>
      <c r="C44" s="174"/>
      <c r="D44" s="174"/>
      <c r="E44" s="174"/>
      <c r="F44" s="174"/>
      <c r="G44" s="174"/>
      <c r="H44" s="174"/>
      <c r="I44" s="174"/>
      <c r="J44" s="251"/>
      <c r="K44" s="252"/>
      <c r="L44" s="253"/>
      <c r="M44" s="254">
        <f t="shared" si="14"/>
        <v>0</v>
      </c>
      <c r="N44" s="255"/>
      <c r="O44" s="254">
        <f t="shared" si="15"/>
        <v>0</v>
      </c>
      <c r="P44" s="255"/>
      <c r="Q44" s="298"/>
      <c r="R44" s="174"/>
      <c r="S44" s="174"/>
      <c r="T44" s="174"/>
      <c r="U44" s="174"/>
      <c r="V44" s="174"/>
      <c r="W44" s="251"/>
      <c r="X44" s="299"/>
      <c r="Y44" s="344"/>
      <c r="Z44" s="344"/>
      <c r="AA44" s="345"/>
      <c r="AB44" s="299"/>
      <c r="AC44" s="344"/>
      <c r="AD44" s="345"/>
      <c r="AE44" s="174"/>
      <c r="AF44" s="251"/>
      <c r="AG44" s="370"/>
      <c r="AH44" s="371"/>
      <c r="AJ44" s="372"/>
      <c r="AK44" s="373"/>
      <c r="AL44" s="373"/>
      <c r="AM44" s="373"/>
      <c r="AN44" s="374"/>
      <c r="AO44" s="374"/>
      <c r="AP44" s="385">
        <f>INT(AN43/5)</f>
        <v>12</v>
      </c>
      <c r="AQ44" s="386"/>
    </row>
    <row r="45" spans="2:41">
      <c r="B45" s="175" t="s">
        <v>178</v>
      </c>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75"/>
      <c r="AE45" s="175"/>
      <c r="AF45" s="175"/>
      <c r="AG45" s="175"/>
      <c r="AH45" s="175"/>
      <c r="AI45" s="175"/>
      <c r="AJ45" s="175"/>
      <c r="AK45" s="175"/>
      <c r="AL45" s="175"/>
      <c r="AM45" s="175"/>
      <c r="AN45" s="175"/>
      <c r="AO45" s="175"/>
    </row>
    <row r="47" spans="2:43">
      <c r="B47" s="176" t="s">
        <v>179</v>
      </c>
      <c r="C47" s="177"/>
      <c r="D47" s="177"/>
      <c r="E47" s="177"/>
      <c r="F47" s="177"/>
      <c r="G47" s="177"/>
      <c r="H47" s="177"/>
      <c r="I47" s="177"/>
      <c r="J47" s="177"/>
      <c r="K47" s="177"/>
      <c r="L47" s="177"/>
      <c r="M47" s="177"/>
      <c r="N47" s="177"/>
      <c r="O47" s="177"/>
      <c r="P47" s="177"/>
      <c r="Q47" s="300"/>
      <c r="S47" s="113" t="s">
        <v>180</v>
      </c>
      <c r="T47" s="114"/>
      <c r="U47" s="114"/>
      <c r="V47" s="114"/>
      <c r="W47" s="114"/>
      <c r="X47" s="114"/>
      <c r="Y47" s="114"/>
      <c r="Z47" s="114"/>
      <c r="AA47" s="114"/>
      <c r="AB47" s="114"/>
      <c r="AC47" s="114"/>
      <c r="AD47" s="114"/>
      <c r="AE47" s="114"/>
      <c r="AF47" s="114"/>
      <c r="AG47" s="114"/>
      <c r="AH47" s="114"/>
      <c r="AI47" s="114"/>
      <c r="AJ47" s="114"/>
      <c r="AK47" s="114"/>
      <c r="AL47" s="114"/>
      <c r="AM47" s="114"/>
      <c r="AN47" s="114"/>
      <c r="AO47" s="114"/>
      <c r="AP47" s="114"/>
      <c r="AQ47" s="200"/>
    </row>
    <row r="48" spans="2:43">
      <c r="B48" s="178" t="str">
        <f>"   信用评级："&amp;L26</f>
        <v>   信用评级：20% (10/4)</v>
      </c>
      <c r="C48" s="179"/>
      <c r="D48" s="179"/>
      <c r="E48" s="179"/>
      <c r="F48" s="179"/>
      <c r="G48" s="179"/>
      <c r="H48" s="179"/>
      <c r="I48" s="179"/>
      <c r="J48" s="256"/>
      <c r="K48" s="179" t="str">
        <f>"    生活水平："&amp;LOOKUP(CR,{0,1,10,50,90,99},{"身无分文","贫穷","标准","小康","富裕","富豪"})</f>
        <v>    生活水平：标准</v>
      </c>
      <c r="L48" s="179"/>
      <c r="M48" s="179"/>
      <c r="N48" s="179"/>
      <c r="O48" s="179"/>
      <c r="P48" s="179"/>
      <c r="Q48" s="301"/>
      <c r="S48" s="302" t="s">
        <v>181</v>
      </c>
      <c r="T48" s="270"/>
      <c r="U48" s="270"/>
      <c r="V48" s="270"/>
      <c r="W48" s="303" t="s">
        <v>182</v>
      </c>
      <c r="X48" s="304"/>
      <c r="Y48" s="304"/>
      <c r="Z48" s="304"/>
      <c r="AA48" s="304"/>
      <c r="AB48" s="304"/>
      <c r="AC48" s="304"/>
      <c r="AD48" s="304"/>
      <c r="AE48" s="304"/>
      <c r="AF48" s="304"/>
      <c r="AG48" s="304"/>
      <c r="AH48" s="304"/>
      <c r="AI48" s="304"/>
      <c r="AJ48" s="304"/>
      <c r="AK48" s="304"/>
      <c r="AL48" s="304"/>
      <c r="AM48" s="304"/>
      <c r="AN48" s="304"/>
      <c r="AO48" s="304"/>
      <c r="AP48" s="304"/>
      <c r="AQ48" s="387"/>
    </row>
    <row r="49" spans="2:43">
      <c r="B49" s="180" t="s">
        <v>183</v>
      </c>
      <c r="C49" s="181"/>
      <c r="D49" s="182"/>
      <c r="E49" s="183"/>
      <c r="F49" s="183"/>
      <c r="G49" s="183"/>
      <c r="H49" s="183"/>
      <c r="I49" s="183"/>
      <c r="J49" s="257"/>
      <c r="K49" s="181" t="s">
        <v>184</v>
      </c>
      <c r="L49" s="258"/>
      <c r="M49" s="258"/>
      <c r="N49" s="182"/>
      <c r="O49" s="183"/>
      <c r="P49" s="183"/>
      <c r="Q49" s="305"/>
      <c r="S49" s="302"/>
      <c r="T49" s="270"/>
      <c r="U49" s="270"/>
      <c r="V49" s="270"/>
      <c r="W49" s="306"/>
      <c r="X49" s="307"/>
      <c r="Y49" s="307"/>
      <c r="Z49" s="307"/>
      <c r="AA49" s="307"/>
      <c r="AB49" s="307"/>
      <c r="AC49" s="307"/>
      <c r="AD49" s="307"/>
      <c r="AE49" s="307"/>
      <c r="AF49" s="307"/>
      <c r="AG49" s="307"/>
      <c r="AH49" s="307"/>
      <c r="AI49" s="307"/>
      <c r="AJ49" s="307"/>
      <c r="AK49" s="307"/>
      <c r="AL49" s="307"/>
      <c r="AM49" s="307"/>
      <c r="AN49" s="307"/>
      <c r="AO49" s="307"/>
      <c r="AP49" s="307"/>
      <c r="AQ49" s="388"/>
    </row>
    <row r="50" spans="2:43">
      <c r="B50" s="184"/>
      <c r="C50" s="185"/>
      <c r="D50" s="185"/>
      <c r="E50" s="185"/>
      <c r="F50" s="185"/>
      <c r="G50" s="185"/>
      <c r="H50" s="185"/>
      <c r="I50" s="185"/>
      <c r="J50" s="185"/>
      <c r="K50" s="185"/>
      <c r="L50" s="185"/>
      <c r="M50" s="185"/>
      <c r="N50" s="185"/>
      <c r="O50" s="185"/>
      <c r="P50" s="185"/>
      <c r="Q50" s="308"/>
      <c r="S50" s="309" t="s">
        <v>185</v>
      </c>
      <c r="T50" s="264"/>
      <c r="U50" s="264"/>
      <c r="V50" s="264"/>
      <c r="W50" s="310" t="s">
        <v>186</v>
      </c>
      <c r="X50" s="311"/>
      <c r="Y50" s="311"/>
      <c r="Z50" s="311"/>
      <c r="AA50" s="311"/>
      <c r="AB50" s="311"/>
      <c r="AC50" s="311"/>
      <c r="AD50" s="311"/>
      <c r="AE50" s="311"/>
      <c r="AF50" s="311"/>
      <c r="AG50" s="311"/>
      <c r="AH50" s="311"/>
      <c r="AI50" s="311"/>
      <c r="AJ50" s="311"/>
      <c r="AK50" s="311"/>
      <c r="AL50" s="311"/>
      <c r="AM50" s="311"/>
      <c r="AN50" s="311"/>
      <c r="AO50" s="311"/>
      <c r="AP50" s="311"/>
      <c r="AQ50" s="389"/>
    </row>
    <row r="51" spans="2:43">
      <c r="B51" s="186"/>
      <c r="C51" s="187"/>
      <c r="D51" s="187"/>
      <c r="E51" s="187"/>
      <c r="F51" s="187"/>
      <c r="G51" s="187"/>
      <c r="H51" s="187"/>
      <c r="I51" s="187"/>
      <c r="J51" s="187"/>
      <c r="K51" s="187"/>
      <c r="L51" s="187"/>
      <c r="M51" s="187"/>
      <c r="N51" s="187"/>
      <c r="O51" s="187"/>
      <c r="P51" s="187"/>
      <c r="Q51" s="312"/>
      <c r="S51" s="309"/>
      <c r="T51" s="264"/>
      <c r="U51" s="264"/>
      <c r="V51" s="264"/>
      <c r="W51" s="313"/>
      <c r="X51" s="314"/>
      <c r="Y51" s="314"/>
      <c r="Z51" s="314"/>
      <c r="AA51" s="314"/>
      <c r="AB51" s="314"/>
      <c r="AC51" s="314"/>
      <c r="AD51" s="314"/>
      <c r="AE51" s="314"/>
      <c r="AF51" s="314"/>
      <c r="AG51" s="314"/>
      <c r="AH51" s="314"/>
      <c r="AI51" s="314"/>
      <c r="AJ51" s="314"/>
      <c r="AK51" s="314"/>
      <c r="AL51" s="314"/>
      <c r="AM51" s="314"/>
      <c r="AN51" s="314"/>
      <c r="AO51" s="314"/>
      <c r="AP51" s="314"/>
      <c r="AQ51" s="390"/>
    </row>
    <row r="52" spans="2:43">
      <c r="B52" s="186"/>
      <c r="C52" s="187"/>
      <c r="D52" s="187"/>
      <c r="E52" s="187"/>
      <c r="F52" s="187"/>
      <c r="G52" s="187"/>
      <c r="H52" s="187"/>
      <c r="I52" s="187"/>
      <c r="J52" s="187"/>
      <c r="K52" s="187"/>
      <c r="L52" s="187"/>
      <c r="M52" s="187"/>
      <c r="N52" s="187"/>
      <c r="O52" s="187"/>
      <c r="P52" s="187"/>
      <c r="Q52" s="312"/>
      <c r="S52" s="302" t="s">
        <v>187</v>
      </c>
      <c r="T52" s="270"/>
      <c r="U52" s="270"/>
      <c r="V52" s="270"/>
      <c r="W52" s="303"/>
      <c r="X52" s="304"/>
      <c r="Y52" s="304"/>
      <c r="Z52" s="304"/>
      <c r="AA52" s="304"/>
      <c r="AB52" s="304"/>
      <c r="AC52" s="304"/>
      <c r="AD52" s="304"/>
      <c r="AE52" s="304"/>
      <c r="AF52" s="304"/>
      <c r="AG52" s="304"/>
      <c r="AH52" s="304"/>
      <c r="AI52" s="304"/>
      <c r="AJ52" s="304"/>
      <c r="AK52" s="304"/>
      <c r="AL52" s="304"/>
      <c r="AM52" s="304"/>
      <c r="AN52" s="304"/>
      <c r="AO52" s="304"/>
      <c r="AP52" s="304"/>
      <c r="AQ52" s="387"/>
    </row>
    <row r="53" spans="2:43">
      <c r="B53" s="188"/>
      <c r="C53" s="189"/>
      <c r="D53" s="189"/>
      <c r="E53" s="189"/>
      <c r="F53" s="189"/>
      <c r="G53" s="189"/>
      <c r="H53" s="189"/>
      <c r="I53" s="189"/>
      <c r="J53" s="189"/>
      <c r="K53" s="189"/>
      <c r="L53" s="189"/>
      <c r="M53" s="189"/>
      <c r="N53" s="189"/>
      <c r="O53" s="189"/>
      <c r="P53" s="189"/>
      <c r="Q53" s="315"/>
      <c r="S53" s="302"/>
      <c r="T53" s="270"/>
      <c r="U53" s="270"/>
      <c r="V53" s="270"/>
      <c r="W53" s="306"/>
      <c r="X53" s="307"/>
      <c r="Y53" s="307"/>
      <c r="Z53" s="307"/>
      <c r="AA53" s="307"/>
      <c r="AB53" s="307"/>
      <c r="AC53" s="307"/>
      <c r="AD53" s="307"/>
      <c r="AE53" s="307"/>
      <c r="AF53" s="307"/>
      <c r="AG53" s="307"/>
      <c r="AH53" s="307"/>
      <c r="AI53" s="307"/>
      <c r="AJ53" s="307"/>
      <c r="AK53" s="307"/>
      <c r="AL53" s="307"/>
      <c r="AM53" s="307"/>
      <c r="AN53" s="307"/>
      <c r="AO53" s="307"/>
      <c r="AP53" s="307"/>
      <c r="AQ53" s="388"/>
    </row>
    <row r="54" ht="17.25" spans="2:43">
      <c r="B54" s="132"/>
      <c r="C54" s="132"/>
      <c r="D54" s="132"/>
      <c r="E54" s="132"/>
      <c r="F54" s="132"/>
      <c r="G54" s="132"/>
      <c r="H54" s="132"/>
      <c r="I54" s="132"/>
      <c r="J54" s="132"/>
      <c r="K54" s="132"/>
      <c r="L54" s="132"/>
      <c r="M54" s="132"/>
      <c r="N54" s="132"/>
      <c r="O54" s="132"/>
      <c r="P54" s="132"/>
      <c r="Q54" s="132"/>
      <c r="S54" s="309" t="s">
        <v>188</v>
      </c>
      <c r="T54" s="264"/>
      <c r="U54" s="264"/>
      <c r="V54" s="264"/>
      <c r="W54" s="310"/>
      <c r="X54" s="311"/>
      <c r="Y54" s="311"/>
      <c r="Z54" s="311"/>
      <c r="AA54" s="311"/>
      <c r="AB54" s="311"/>
      <c r="AC54" s="311"/>
      <c r="AD54" s="311"/>
      <c r="AE54" s="311"/>
      <c r="AF54" s="311"/>
      <c r="AG54" s="311"/>
      <c r="AH54" s="311"/>
      <c r="AI54" s="311"/>
      <c r="AJ54" s="311"/>
      <c r="AK54" s="311"/>
      <c r="AL54" s="311"/>
      <c r="AM54" s="311"/>
      <c r="AN54" s="311"/>
      <c r="AO54" s="311"/>
      <c r="AP54" s="311"/>
      <c r="AQ54" s="389"/>
    </row>
    <row r="55" spans="2:43">
      <c r="B55" s="190" t="s">
        <v>189</v>
      </c>
      <c r="C55" s="191"/>
      <c r="D55" s="191"/>
      <c r="E55" s="191"/>
      <c r="F55" s="191"/>
      <c r="G55" s="191"/>
      <c r="H55" s="191"/>
      <c r="I55" s="191"/>
      <c r="J55" s="191"/>
      <c r="K55" s="191"/>
      <c r="L55" s="191"/>
      <c r="M55" s="191"/>
      <c r="N55" s="191"/>
      <c r="O55" s="191"/>
      <c r="P55" s="191"/>
      <c r="Q55" s="316"/>
      <c r="S55" s="309"/>
      <c r="T55" s="264"/>
      <c r="U55" s="264"/>
      <c r="V55" s="264"/>
      <c r="W55" s="313"/>
      <c r="X55" s="314"/>
      <c r="Y55" s="314"/>
      <c r="Z55" s="314"/>
      <c r="AA55" s="314"/>
      <c r="AB55" s="314"/>
      <c r="AC55" s="314"/>
      <c r="AD55" s="314"/>
      <c r="AE55" s="314"/>
      <c r="AF55" s="314"/>
      <c r="AG55" s="314"/>
      <c r="AH55" s="314"/>
      <c r="AI55" s="314"/>
      <c r="AJ55" s="314"/>
      <c r="AK55" s="314"/>
      <c r="AL55" s="314"/>
      <c r="AM55" s="314"/>
      <c r="AN55" s="314"/>
      <c r="AO55" s="314"/>
      <c r="AP55" s="314"/>
      <c r="AQ55" s="390"/>
    </row>
    <row r="56" spans="2:43">
      <c r="B56" s="192" t="s">
        <v>190</v>
      </c>
      <c r="C56" s="193"/>
      <c r="D56" s="193"/>
      <c r="E56" s="193"/>
      <c r="F56" s="193"/>
      <c r="G56" s="193"/>
      <c r="H56" s="193"/>
      <c r="I56" s="193"/>
      <c r="J56" s="193"/>
      <c r="K56" s="193"/>
      <c r="L56" s="193"/>
      <c r="M56" s="193"/>
      <c r="N56" s="193"/>
      <c r="O56" s="193"/>
      <c r="P56" s="193"/>
      <c r="Q56" s="317"/>
      <c r="S56" s="302" t="s">
        <v>191</v>
      </c>
      <c r="T56" s="270"/>
      <c r="U56" s="270"/>
      <c r="V56" s="270"/>
      <c r="W56" s="303"/>
      <c r="X56" s="304"/>
      <c r="Y56" s="304"/>
      <c r="Z56" s="304"/>
      <c r="AA56" s="304"/>
      <c r="AB56" s="304"/>
      <c r="AC56" s="304"/>
      <c r="AD56" s="304"/>
      <c r="AE56" s="304"/>
      <c r="AF56" s="304"/>
      <c r="AG56" s="304"/>
      <c r="AH56" s="304"/>
      <c r="AI56" s="304"/>
      <c r="AJ56" s="304"/>
      <c r="AK56" s="304"/>
      <c r="AL56" s="304"/>
      <c r="AM56" s="304"/>
      <c r="AN56" s="304"/>
      <c r="AO56" s="304"/>
      <c r="AP56" s="304"/>
      <c r="AQ56" s="387"/>
    </row>
    <row r="57" spans="2:43">
      <c r="B57" s="194" t="s">
        <v>172</v>
      </c>
      <c r="C57" s="195"/>
      <c r="D57" s="195"/>
      <c r="E57" s="195"/>
      <c r="F57" s="195"/>
      <c r="G57" s="195"/>
      <c r="H57" s="195"/>
      <c r="I57" s="195"/>
      <c r="J57" s="195"/>
      <c r="K57" s="195"/>
      <c r="L57" s="195"/>
      <c r="M57" s="195"/>
      <c r="N57" s="195"/>
      <c r="O57" s="195"/>
      <c r="P57" s="195"/>
      <c r="Q57" s="318"/>
      <c r="S57" s="302"/>
      <c r="T57" s="270"/>
      <c r="U57" s="270"/>
      <c r="V57" s="270"/>
      <c r="W57" s="306"/>
      <c r="X57" s="307"/>
      <c r="Y57" s="307"/>
      <c r="Z57" s="307"/>
      <c r="AA57" s="307"/>
      <c r="AB57" s="307"/>
      <c r="AC57" s="307"/>
      <c r="AD57" s="307"/>
      <c r="AE57" s="307"/>
      <c r="AF57" s="307"/>
      <c r="AG57" s="307"/>
      <c r="AH57" s="307"/>
      <c r="AI57" s="307"/>
      <c r="AJ57" s="307"/>
      <c r="AK57" s="307"/>
      <c r="AL57" s="307"/>
      <c r="AM57" s="307"/>
      <c r="AN57" s="307"/>
      <c r="AO57" s="307"/>
      <c r="AP57" s="307"/>
      <c r="AQ57" s="388"/>
    </row>
    <row r="58" spans="2:43">
      <c r="B58" s="192"/>
      <c r="C58" s="193"/>
      <c r="D58" s="193"/>
      <c r="E58" s="193"/>
      <c r="F58" s="193"/>
      <c r="G58" s="193"/>
      <c r="H58" s="193"/>
      <c r="I58" s="193"/>
      <c r="J58" s="193"/>
      <c r="K58" s="193"/>
      <c r="L58" s="193"/>
      <c r="M58" s="193"/>
      <c r="N58" s="193"/>
      <c r="O58" s="193"/>
      <c r="P58" s="193"/>
      <c r="Q58" s="317"/>
      <c r="S58" s="309" t="s">
        <v>192</v>
      </c>
      <c r="T58" s="264"/>
      <c r="U58" s="264"/>
      <c r="V58" s="264"/>
      <c r="W58" s="310" t="s">
        <v>193</v>
      </c>
      <c r="X58" s="311"/>
      <c r="Y58" s="311"/>
      <c r="Z58" s="311"/>
      <c r="AA58" s="311"/>
      <c r="AB58" s="311"/>
      <c r="AC58" s="311"/>
      <c r="AD58" s="311"/>
      <c r="AE58" s="311"/>
      <c r="AF58" s="311"/>
      <c r="AG58" s="311"/>
      <c r="AH58" s="311"/>
      <c r="AI58" s="311"/>
      <c r="AJ58" s="311"/>
      <c r="AK58" s="311"/>
      <c r="AL58" s="311"/>
      <c r="AM58" s="311"/>
      <c r="AN58" s="311"/>
      <c r="AO58" s="311"/>
      <c r="AP58" s="311"/>
      <c r="AQ58" s="389"/>
    </row>
    <row r="59" spans="2:43">
      <c r="B59" s="194"/>
      <c r="C59" s="195"/>
      <c r="D59" s="195"/>
      <c r="E59" s="195"/>
      <c r="F59" s="195"/>
      <c r="G59" s="195"/>
      <c r="H59" s="195"/>
      <c r="I59" s="195"/>
      <c r="J59" s="195"/>
      <c r="K59" s="195"/>
      <c r="L59" s="195"/>
      <c r="M59" s="195"/>
      <c r="N59" s="195"/>
      <c r="O59" s="195"/>
      <c r="P59" s="195"/>
      <c r="Q59" s="318"/>
      <c r="S59" s="309"/>
      <c r="T59" s="264"/>
      <c r="U59" s="264"/>
      <c r="V59" s="264"/>
      <c r="W59" s="313"/>
      <c r="X59" s="314"/>
      <c r="Y59" s="314"/>
      <c r="Z59" s="314"/>
      <c r="AA59" s="314"/>
      <c r="AB59" s="314"/>
      <c r="AC59" s="314"/>
      <c r="AD59" s="314"/>
      <c r="AE59" s="314"/>
      <c r="AF59" s="314"/>
      <c r="AG59" s="314"/>
      <c r="AH59" s="314"/>
      <c r="AI59" s="314"/>
      <c r="AJ59" s="314"/>
      <c r="AK59" s="314"/>
      <c r="AL59" s="314"/>
      <c r="AM59" s="314"/>
      <c r="AN59" s="314"/>
      <c r="AO59" s="314"/>
      <c r="AP59" s="314"/>
      <c r="AQ59" s="390"/>
    </row>
    <row r="60" spans="2:43">
      <c r="B60" s="192"/>
      <c r="C60" s="193"/>
      <c r="D60" s="193"/>
      <c r="E60" s="193"/>
      <c r="F60" s="193"/>
      <c r="G60" s="193"/>
      <c r="H60" s="193"/>
      <c r="I60" s="193"/>
      <c r="J60" s="193"/>
      <c r="K60" s="193"/>
      <c r="L60" s="193"/>
      <c r="M60" s="193"/>
      <c r="N60" s="193"/>
      <c r="O60" s="193"/>
      <c r="P60" s="193"/>
      <c r="Q60" s="317"/>
      <c r="S60" s="302" t="s">
        <v>194</v>
      </c>
      <c r="T60" s="270"/>
      <c r="U60" s="270"/>
      <c r="V60" s="270"/>
      <c r="W60" s="303"/>
      <c r="X60" s="304"/>
      <c r="Y60" s="304"/>
      <c r="Z60" s="304"/>
      <c r="AA60" s="304"/>
      <c r="AB60" s="304"/>
      <c r="AC60" s="304"/>
      <c r="AD60" s="304"/>
      <c r="AE60" s="304"/>
      <c r="AF60" s="304"/>
      <c r="AG60" s="304"/>
      <c r="AH60" s="304"/>
      <c r="AI60" s="304"/>
      <c r="AJ60" s="304"/>
      <c r="AK60" s="304"/>
      <c r="AL60" s="304"/>
      <c r="AM60" s="304"/>
      <c r="AN60" s="304"/>
      <c r="AO60" s="304"/>
      <c r="AP60" s="304"/>
      <c r="AQ60" s="387"/>
    </row>
    <row r="61" spans="2:43">
      <c r="B61" s="194"/>
      <c r="C61" s="195"/>
      <c r="D61" s="195"/>
      <c r="E61" s="195"/>
      <c r="F61" s="195"/>
      <c r="G61" s="195"/>
      <c r="H61" s="195"/>
      <c r="I61" s="195"/>
      <c r="J61" s="195"/>
      <c r="K61" s="195"/>
      <c r="L61" s="195"/>
      <c r="M61" s="195"/>
      <c r="N61" s="195"/>
      <c r="O61" s="195"/>
      <c r="P61" s="195"/>
      <c r="Q61" s="318"/>
      <c r="S61" s="302"/>
      <c r="T61" s="270"/>
      <c r="U61" s="270"/>
      <c r="V61" s="270"/>
      <c r="W61" s="306"/>
      <c r="X61" s="307"/>
      <c r="Y61" s="307"/>
      <c r="Z61" s="307"/>
      <c r="AA61" s="307"/>
      <c r="AB61" s="307"/>
      <c r="AC61" s="307"/>
      <c r="AD61" s="307"/>
      <c r="AE61" s="307"/>
      <c r="AF61" s="307"/>
      <c r="AG61" s="307"/>
      <c r="AH61" s="307"/>
      <c r="AI61" s="307"/>
      <c r="AJ61" s="307"/>
      <c r="AK61" s="307"/>
      <c r="AL61" s="307"/>
      <c r="AM61" s="307"/>
      <c r="AN61" s="307"/>
      <c r="AO61" s="307"/>
      <c r="AP61" s="307"/>
      <c r="AQ61" s="388"/>
    </row>
    <row r="62" spans="2:43">
      <c r="B62" s="192"/>
      <c r="C62" s="193"/>
      <c r="D62" s="193"/>
      <c r="E62" s="193"/>
      <c r="F62" s="193"/>
      <c r="G62" s="193"/>
      <c r="H62" s="193"/>
      <c r="I62" s="193"/>
      <c r="J62" s="193"/>
      <c r="K62" s="193"/>
      <c r="L62" s="193"/>
      <c r="M62" s="193"/>
      <c r="N62" s="193"/>
      <c r="O62" s="193"/>
      <c r="P62" s="193"/>
      <c r="Q62" s="317"/>
      <c r="S62" s="309" t="s">
        <v>195</v>
      </c>
      <c r="T62" s="264"/>
      <c r="U62" s="264"/>
      <c r="V62" s="264"/>
      <c r="W62" s="310"/>
      <c r="X62" s="311"/>
      <c r="Y62" s="311"/>
      <c r="Z62" s="311"/>
      <c r="AA62" s="311"/>
      <c r="AB62" s="311"/>
      <c r="AC62" s="311"/>
      <c r="AD62" s="311"/>
      <c r="AE62" s="311"/>
      <c r="AF62" s="311"/>
      <c r="AG62" s="311"/>
      <c r="AH62" s="311"/>
      <c r="AI62" s="311"/>
      <c r="AJ62" s="311"/>
      <c r="AK62" s="311"/>
      <c r="AL62" s="311"/>
      <c r="AM62" s="311"/>
      <c r="AN62" s="311"/>
      <c r="AO62" s="311"/>
      <c r="AP62" s="311"/>
      <c r="AQ62" s="389"/>
    </row>
    <row r="63" spans="2:43">
      <c r="B63" s="194"/>
      <c r="C63" s="195"/>
      <c r="D63" s="195"/>
      <c r="E63" s="195"/>
      <c r="F63" s="195"/>
      <c r="G63" s="195"/>
      <c r="H63" s="195"/>
      <c r="I63" s="195"/>
      <c r="J63" s="195"/>
      <c r="K63" s="195"/>
      <c r="L63" s="195"/>
      <c r="M63" s="195"/>
      <c r="N63" s="195"/>
      <c r="O63" s="195"/>
      <c r="P63" s="195"/>
      <c r="Q63" s="318"/>
      <c r="S63" s="309"/>
      <c r="T63" s="264"/>
      <c r="U63" s="264"/>
      <c r="V63" s="264"/>
      <c r="W63" s="313"/>
      <c r="X63" s="314"/>
      <c r="Y63" s="314"/>
      <c r="Z63" s="314"/>
      <c r="AA63" s="314"/>
      <c r="AB63" s="314"/>
      <c r="AC63" s="314"/>
      <c r="AD63" s="314"/>
      <c r="AE63" s="314"/>
      <c r="AF63" s="314"/>
      <c r="AG63" s="314"/>
      <c r="AH63" s="314"/>
      <c r="AI63" s="314"/>
      <c r="AJ63" s="314"/>
      <c r="AK63" s="314"/>
      <c r="AL63" s="314"/>
      <c r="AM63" s="314"/>
      <c r="AN63" s="314"/>
      <c r="AO63" s="314"/>
      <c r="AP63" s="314"/>
      <c r="AQ63" s="390"/>
    </row>
    <row r="64" ht="17.25" spans="2:43">
      <c r="B64" s="196"/>
      <c r="C64" s="197"/>
      <c r="D64" s="197"/>
      <c r="E64" s="197"/>
      <c r="F64" s="197"/>
      <c r="G64" s="197"/>
      <c r="H64" s="197"/>
      <c r="I64" s="197"/>
      <c r="J64" s="197"/>
      <c r="K64" s="197"/>
      <c r="L64" s="197"/>
      <c r="M64" s="197"/>
      <c r="N64" s="197"/>
      <c r="O64" s="197"/>
      <c r="P64" s="197"/>
      <c r="Q64" s="319"/>
      <c r="S64" s="320" t="s">
        <v>196</v>
      </c>
      <c r="T64" s="304"/>
      <c r="U64" s="304"/>
      <c r="V64" s="304"/>
      <c r="W64" s="304"/>
      <c r="X64" s="304"/>
      <c r="Y64" s="304"/>
      <c r="Z64" s="304"/>
      <c r="AA64" s="304"/>
      <c r="AB64" s="304"/>
      <c r="AC64" s="304"/>
      <c r="AD64" s="304"/>
      <c r="AE64" s="304"/>
      <c r="AF64" s="304"/>
      <c r="AG64" s="304"/>
      <c r="AH64" s="304"/>
      <c r="AI64" s="304"/>
      <c r="AJ64" s="304"/>
      <c r="AK64" s="304"/>
      <c r="AL64" s="304"/>
      <c r="AM64" s="304"/>
      <c r="AN64" s="304"/>
      <c r="AO64" s="304"/>
      <c r="AP64" s="304"/>
      <c r="AQ64" s="387"/>
    </row>
    <row r="65" ht="17.25" spans="2:43">
      <c r="B65" s="132"/>
      <c r="C65" s="132"/>
      <c r="D65" s="132"/>
      <c r="E65" s="132"/>
      <c r="F65" s="132"/>
      <c r="G65" s="132"/>
      <c r="H65" s="132"/>
      <c r="I65" s="132"/>
      <c r="J65" s="132"/>
      <c r="K65" s="132"/>
      <c r="L65" s="132"/>
      <c r="M65" s="132"/>
      <c r="N65" s="132"/>
      <c r="O65" s="132"/>
      <c r="P65" s="132"/>
      <c r="Q65" s="132"/>
      <c r="S65" s="397"/>
      <c r="T65" s="398"/>
      <c r="U65" s="398"/>
      <c r="V65" s="398"/>
      <c r="W65" s="398"/>
      <c r="X65" s="398"/>
      <c r="Y65" s="398"/>
      <c r="Z65" s="398"/>
      <c r="AA65" s="398"/>
      <c r="AB65" s="398"/>
      <c r="AC65" s="398"/>
      <c r="AD65" s="398"/>
      <c r="AE65" s="398"/>
      <c r="AF65" s="398"/>
      <c r="AG65" s="398"/>
      <c r="AH65" s="398"/>
      <c r="AI65" s="398"/>
      <c r="AJ65" s="398"/>
      <c r="AK65" s="398"/>
      <c r="AL65" s="398"/>
      <c r="AM65" s="398"/>
      <c r="AN65" s="398"/>
      <c r="AO65" s="398"/>
      <c r="AP65" s="398"/>
      <c r="AQ65" s="429"/>
    </row>
    <row r="66" spans="2:43">
      <c r="B66" s="190" t="s">
        <v>197</v>
      </c>
      <c r="C66" s="191"/>
      <c r="D66" s="191"/>
      <c r="E66" s="191"/>
      <c r="F66" s="191"/>
      <c r="G66" s="191"/>
      <c r="H66" s="191"/>
      <c r="I66" s="191"/>
      <c r="J66" s="191"/>
      <c r="K66" s="191"/>
      <c r="L66" s="191"/>
      <c r="M66" s="191"/>
      <c r="N66" s="191"/>
      <c r="O66" s="191"/>
      <c r="P66" s="191"/>
      <c r="Q66" s="316"/>
      <c r="S66" s="397"/>
      <c r="T66" s="398"/>
      <c r="U66" s="398"/>
      <c r="V66" s="398"/>
      <c r="W66" s="398"/>
      <c r="X66" s="398"/>
      <c r="Y66" s="398"/>
      <c r="Z66" s="398"/>
      <c r="AA66" s="398"/>
      <c r="AB66" s="398"/>
      <c r="AC66" s="398"/>
      <c r="AD66" s="398"/>
      <c r="AE66" s="398"/>
      <c r="AF66" s="398"/>
      <c r="AG66" s="398"/>
      <c r="AH66" s="398"/>
      <c r="AI66" s="398"/>
      <c r="AJ66" s="398"/>
      <c r="AK66" s="398"/>
      <c r="AL66" s="398"/>
      <c r="AM66" s="398"/>
      <c r="AN66" s="398"/>
      <c r="AO66" s="398"/>
      <c r="AP66" s="398"/>
      <c r="AQ66" s="429"/>
    </row>
    <row r="67" spans="2:43">
      <c r="B67" s="391"/>
      <c r="C67" s="392"/>
      <c r="D67" s="392"/>
      <c r="E67" s="392"/>
      <c r="F67" s="392"/>
      <c r="G67" s="392"/>
      <c r="H67" s="392"/>
      <c r="I67" s="392"/>
      <c r="J67" s="392"/>
      <c r="K67" s="392"/>
      <c r="L67" s="392"/>
      <c r="M67" s="392"/>
      <c r="N67" s="392"/>
      <c r="O67" s="392"/>
      <c r="P67" s="392"/>
      <c r="Q67" s="399"/>
      <c r="S67" s="397"/>
      <c r="T67" s="398"/>
      <c r="U67" s="398"/>
      <c r="V67" s="398"/>
      <c r="W67" s="398"/>
      <c r="X67" s="398"/>
      <c r="Y67" s="398"/>
      <c r="Z67" s="398"/>
      <c r="AA67" s="398"/>
      <c r="AB67" s="398"/>
      <c r="AC67" s="398"/>
      <c r="AD67" s="398"/>
      <c r="AE67" s="398"/>
      <c r="AF67" s="398"/>
      <c r="AG67" s="398"/>
      <c r="AH67" s="398"/>
      <c r="AI67" s="398"/>
      <c r="AJ67" s="398"/>
      <c r="AK67" s="398"/>
      <c r="AL67" s="398"/>
      <c r="AM67" s="398"/>
      <c r="AN67" s="398"/>
      <c r="AO67" s="398"/>
      <c r="AP67" s="398"/>
      <c r="AQ67" s="429"/>
    </row>
    <row r="68" spans="2:43">
      <c r="B68" s="391"/>
      <c r="C68" s="392"/>
      <c r="D68" s="392"/>
      <c r="E68" s="392"/>
      <c r="F68" s="392"/>
      <c r="G68" s="392"/>
      <c r="H68" s="392"/>
      <c r="I68" s="392"/>
      <c r="J68" s="392"/>
      <c r="K68" s="392"/>
      <c r="L68" s="392"/>
      <c r="M68" s="392"/>
      <c r="N68" s="392"/>
      <c r="O68" s="392"/>
      <c r="P68" s="392"/>
      <c r="Q68" s="399"/>
      <c r="S68" s="397"/>
      <c r="T68" s="398"/>
      <c r="U68" s="398"/>
      <c r="V68" s="398"/>
      <c r="W68" s="398"/>
      <c r="X68" s="398"/>
      <c r="Y68" s="398"/>
      <c r="Z68" s="398"/>
      <c r="AA68" s="398"/>
      <c r="AB68" s="398"/>
      <c r="AC68" s="398"/>
      <c r="AD68" s="398"/>
      <c r="AE68" s="398"/>
      <c r="AF68" s="398"/>
      <c r="AG68" s="398"/>
      <c r="AH68" s="398"/>
      <c r="AI68" s="398"/>
      <c r="AJ68" s="398"/>
      <c r="AK68" s="398"/>
      <c r="AL68" s="398"/>
      <c r="AM68" s="398"/>
      <c r="AN68" s="398"/>
      <c r="AO68" s="398"/>
      <c r="AP68" s="398"/>
      <c r="AQ68" s="429"/>
    </row>
    <row r="69" spans="2:43">
      <c r="B69" s="391"/>
      <c r="C69" s="392"/>
      <c r="D69" s="392"/>
      <c r="E69" s="392"/>
      <c r="F69" s="392"/>
      <c r="G69" s="392"/>
      <c r="H69" s="392"/>
      <c r="I69" s="392"/>
      <c r="J69" s="392"/>
      <c r="K69" s="392"/>
      <c r="L69" s="392"/>
      <c r="M69" s="392"/>
      <c r="N69" s="392"/>
      <c r="O69" s="392"/>
      <c r="P69" s="392"/>
      <c r="Q69" s="399"/>
      <c r="S69" s="397"/>
      <c r="T69" s="398"/>
      <c r="U69" s="398"/>
      <c r="V69" s="398"/>
      <c r="W69" s="398"/>
      <c r="X69" s="398"/>
      <c r="Y69" s="398"/>
      <c r="Z69" s="398"/>
      <c r="AA69" s="398"/>
      <c r="AB69" s="398"/>
      <c r="AC69" s="398"/>
      <c r="AD69" s="398"/>
      <c r="AE69" s="398"/>
      <c r="AF69" s="398"/>
      <c r="AG69" s="398"/>
      <c r="AH69" s="398"/>
      <c r="AI69" s="398"/>
      <c r="AJ69" s="398"/>
      <c r="AK69" s="398"/>
      <c r="AL69" s="398"/>
      <c r="AM69" s="398"/>
      <c r="AN69" s="398"/>
      <c r="AO69" s="398"/>
      <c r="AP69" s="398"/>
      <c r="AQ69" s="429"/>
    </row>
    <row r="70" spans="2:43">
      <c r="B70" s="391"/>
      <c r="C70" s="392"/>
      <c r="D70" s="392"/>
      <c r="E70" s="392"/>
      <c r="F70" s="392"/>
      <c r="G70" s="392"/>
      <c r="H70" s="392"/>
      <c r="I70" s="392"/>
      <c r="J70" s="392"/>
      <c r="K70" s="392"/>
      <c r="L70" s="392"/>
      <c r="M70" s="392"/>
      <c r="N70" s="392"/>
      <c r="O70" s="392"/>
      <c r="P70" s="392"/>
      <c r="Q70" s="399"/>
      <c r="S70" s="397"/>
      <c r="T70" s="398"/>
      <c r="U70" s="398"/>
      <c r="V70" s="398"/>
      <c r="W70" s="398"/>
      <c r="X70" s="398"/>
      <c r="Y70" s="398"/>
      <c r="Z70" s="398"/>
      <c r="AA70" s="398"/>
      <c r="AB70" s="398"/>
      <c r="AC70" s="398"/>
      <c r="AD70" s="398"/>
      <c r="AE70" s="398"/>
      <c r="AF70" s="398"/>
      <c r="AG70" s="398"/>
      <c r="AH70" s="398"/>
      <c r="AI70" s="398"/>
      <c r="AJ70" s="398"/>
      <c r="AK70" s="398"/>
      <c r="AL70" s="398"/>
      <c r="AM70" s="398"/>
      <c r="AN70" s="398"/>
      <c r="AO70" s="398"/>
      <c r="AP70" s="398"/>
      <c r="AQ70" s="429"/>
    </row>
    <row r="71" spans="2:43">
      <c r="B71" s="391"/>
      <c r="C71" s="392"/>
      <c r="D71" s="392"/>
      <c r="E71" s="392"/>
      <c r="F71" s="392"/>
      <c r="G71" s="392"/>
      <c r="H71" s="392"/>
      <c r="I71" s="392"/>
      <c r="J71" s="392"/>
      <c r="K71" s="392"/>
      <c r="L71" s="392"/>
      <c r="M71" s="392"/>
      <c r="N71" s="392"/>
      <c r="O71" s="392"/>
      <c r="P71" s="392"/>
      <c r="Q71" s="399"/>
      <c r="S71" s="397"/>
      <c r="T71" s="398"/>
      <c r="U71" s="398"/>
      <c r="V71" s="398"/>
      <c r="W71" s="398"/>
      <c r="X71" s="398"/>
      <c r="Y71" s="398"/>
      <c r="Z71" s="398"/>
      <c r="AA71" s="398"/>
      <c r="AB71" s="398"/>
      <c r="AC71" s="398"/>
      <c r="AD71" s="398"/>
      <c r="AE71" s="398"/>
      <c r="AF71" s="398"/>
      <c r="AG71" s="398"/>
      <c r="AH71" s="398"/>
      <c r="AI71" s="398"/>
      <c r="AJ71" s="398"/>
      <c r="AK71" s="398"/>
      <c r="AL71" s="398"/>
      <c r="AM71" s="398"/>
      <c r="AN71" s="398"/>
      <c r="AO71" s="398"/>
      <c r="AP71" s="398"/>
      <c r="AQ71" s="429"/>
    </row>
    <row r="72" spans="2:43">
      <c r="B72" s="391"/>
      <c r="C72" s="392"/>
      <c r="D72" s="392"/>
      <c r="E72" s="392"/>
      <c r="F72" s="392"/>
      <c r="G72" s="392"/>
      <c r="H72" s="392"/>
      <c r="I72" s="392"/>
      <c r="J72" s="392"/>
      <c r="K72" s="392"/>
      <c r="L72" s="392"/>
      <c r="M72" s="392"/>
      <c r="N72" s="392"/>
      <c r="O72" s="392"/>
      <c r="P72" s="392"/>
      <c r="Q72" s="399"/>
      <c r="S72" s="397"/>
      <c r="T72" s="398"/>
      <c r="U72" s="398"/>
      <c r="V72" s="398"/>
      <c r="W72" s="398"/>
      <c r="X72" s="398"/>
      <c r="Y72" s="398"/>
      <c r="Z72" s="398"/>
      <c r="AA72" s="398"/>
      <c r="AB72" s="398"/>
      <c r="AC72" s="398"/>
      <c r="AD72" s="398"/>
      <c r="AE72" s="398"/>
      <c r="AF72" s="398"/>
      <c r="AG72" s="398"/>
      <c r="AH72" s="398"/>
      <c r="AI72" s="398"/>
      <c r="AJ72" s="398"/>
      <c r="AK72" s="398"/>
      <c r="AL72" s="398"/>
      <c r="AM72" s="398"/>
      <c r="AN72" s="398"/>
      <c r="AO72" s="398"/>
      <c r="AP72" s="398"/>
      <c r="AQ72" s="429"/>
    </row>
    <row r="73" spans="2:43">
      <c r="B73" s="391"/>
      <c r="C73" s="392"/>
      <c r="D73" s="392"/>
      <c r="E73" s="392"/>
      <c r="F73" s="392"/>
      <c r="G73" s="392"/>
      <c r="H73" s="392"/>
      <c r="I73" s="392"/>
      <c r="J73" s="392"/>
      <c r="K73" s="392"/>
      <c r="L73" s="392"/>
      <c r="M73" s="392"/>
      <c r="N73" s="392"/>
      <c r="O73" s="392"/>
      <c r="P73" s="392"/>
      <c r="Q73" s="399"/>
      <c r="S73" s="400"/>
      <c r="T73" s="401"/>
      <c r="U73" s="401"/>
      <c r="V73" s="401"/>
      <c r="W73" s="401"/>
      <c r="X73" s="401"/>
      <c r="Y73" s="401"/>
      <c r="Z73" s="401"/>
      <c r="AA73" s="401"/>
      <c r="AB73" s="401"/>
      <c r="AC73" s="401"/>
      <c r="AD73" s="401"/>
      <c r="AE73" s="401"/>
      <c r="AF73" s="401"/>
      <c r="AG73" s="401"/>
      <c r="AH73" s="401"/>
      <c r="AI73" s="401"/>
      <c r="AJ73" s="401"/>
      <c r="AK73" s="401"/>
      <c r="AL73" s="401"/>
      <c r="AM73" s="401"/>
      <c r="AN73" s="401"/>
      <c r="AO73" s="401"/>
      <c r="AP73" s="401"/>
      <c r="AQ73" s="430"/>
    </row>
    <row r="74" spans="2:17">
      <c r="B74" s="391"/>
      <c r="C74" s="392"/>
      <c r="D74" s="392"/>
      <c r="E74" s="392"/>
      <c r="F74" s="392"/>
      <c r="G74" s="392"/>
      <c r="H74" s="392"/>
      <c r="I74" s="392"/>
      <c r="J74" s="392"/>
      <c r="K74" s="392"/>
      <c r="L74" s="392"/>
      <c r="M74" s="392"/>
      <c r="N74" s="392"/>
      <c r="O74" s="392"/>
      <c r="P74" s="392"/>
      <c r="Q74" s="399"/>
    </row>
    <row r="75" spans="2:43">
      <c r="B75" s="391"/>
      <c r="C75" s="392"/>
      <c r="D75" s="392"/>
      <c r="E75" s="392"/>
      <c r="F75" s="392"/>
      <c r="G75" s="392"/>
      <c r="H75" s="392"/>
      <c r="I75" s="392"/>
      <c r="J75" s="392"/>
      <c r="K75" s="392"/>
      <c r="L75" s="392"/>
      <c r="M75" s="392"/>
      <c r="N75" s="392"/>
      <c r="O75" s="392"/>
      <c r="P75" s="392"/>
      <c r="Q75" s="399"/>
      <c r="S75" s="113" t="s">
        <v>198</v>
      </c>
      <c r="T75" s="114"/>
      <c r="U75" s="114"/>
      <c r="V75" s="114"/>
      <c r="W75" s="114"/>
      <c r="X75" s="114"/>
      <c r="Y75" s="114"/>
      <c r="Z75" s="114"/>
      <c r="AA75" s="114"/>
      <c r="AB75" s="200"/>
      <c r="AD75" s="113" t="s">
        <v>88</v>
      </c>
      <c r="AE75" s="114"/>
      <c r="AF75" s="114"/>
      <c r="AG75" s="114"/>
      <c r="AH75" s="114"/>
      <c r="AI75" s="114"/>
      <c r="AJ75" s="114"/>
      <c r="AK75" s="114"/>
      <c r="AL75" s="114"/>
      <c r="AM75" s="114"/>
      <c r="AN75" s="114"/>
      <c r="AO75" s="114"/>
      <c r="AP75" s="114"/>
      <c r="AQ75" s="200"/>
    </row>
    <row r="76" spans="2:43">
      <c r="B76" s="391"/>
      <c r="C76" s="392"/>
      <c r="D76" s="392"/>
      <c r="E76" s="392"/>
      <c r="F76" s="392"/>
      <c r="G76" s="392"/>
      <c r="H76" s="392"/>
      <c r="I76" s="392"/>
      <c r="J76" s="392"/>
      <c r="K76" s="392"/>
      <c r="L76" s="392"/>
      <c r="M76" s="392"/>
      <c r="N76" s="392"/>
      <c r="O76" s="392"/>
      <c r="P76" s="392"/>
      <c r="Q76" s="399"/>
      <c r="S76" s="402" t="s">
        <v>199</v>
      </c>
      <c r="T76" s="403"/>
      <c r="U76" s="403"/>
      <c r="V76" s="403"/>
      <c r="W76" s="403"/>
      <c r="X76" s="403"/>
      <c r="Y76" s="403"/>
      <c r="Z76" s="403"/>
      <c r="AA76" s="403"/>
      <c r="AB76" s="414"/>
      <c r="AD76" s="167" t="s">
        <v>200</v>
      </c>
      <c r="AE76" s="168"/>
      <c r="AF76" s="168"/>
      <c r="AG76" s="168"/>
      <c r="AH76" s="168"/>
      <c r="AI76" s="168"/>
      <c r="AJ76" s="239"/>
      <c r="AK76" s="240" t="s">
        <v>201</v>
      </c>
      <c r="AL76" s="168"/>
      <c r="AM76" s="168"/>
      <c r="AN76" s="168"/>
      <c r="AO76" s="168"/>
      <c r="AP76" s="168"/>
      <c r="AQ76" s="360"/>
    </row>
    <row r="77" ht="17.25" spans="2:43">
      <c r="B77" s="393"/>
      <c r="C77" s="394"/>
      <c r="D77" s="394"/>
      <c r="E77" s="394"/>
      <c r="F77" s="394"/>
      <c r="G77" s="394"/>
      <c r="H77" s="394"/>
      <c r="I77" s="394"/>
      <c r="J77" s="394"/>
      <c r="K77" s="394"/>
      <c r="L77" s="394"/>
      <c r="M77" s="394"/>
      <c r="N77" s="394"/>
      <c r="O77" s="394"/>
      <c r="P77" s="394"/>
      <c r="Q77" s="404"/>
      <c r="S77" s="405"/>
      <c r="T77" s="406"/>
      <c r="U77" s="406"/>
      <c r="V77" s="406"/>
      <c r="W77" s="406"/>
      <c r="X77" s="406"/>
      <c r="Y77" s="406"/>
      <c r="Z77" s="406"/>
      <c r="AA77" s="406"/>
      <c r="AB77" s="415"/>
      <c r="AD77" s="416"/>
      <c r="AE77" s="417"/>
      <c r="AF77" s="417"/>
      <c r="AG77" s="417"/>
      <c r="AH77" s="417"/>
      <c r="AI77" s="417"/>
      <c r="AJ77" s="424"/>
      <c r="AK77" s="425"/>
      <c r="AL77" s="417"/>
      <c r="AM77" s="417"/>
      <c r="AN77" s="417"/>
      <c r="AO77" s="417"/>
      <c r="AP77" s="417"/>
      <c r="AQ77" s="431"/>
    </row>
    <row r="78" ht="17.25" spans="19:43">
      <c r="S78" s="407"/>
      <c r="T78" s="408"/>
      <c r="U78" s="408"/>
      <c r="V78" s="408"/>
      <c r="W78" s="408"/>
      <c r="X78" s="408"/>
      <c r="Y78" s="408"/>
      <c r="Z78" s="408"/>
      <c r="AA78" s="408"/>
      <c r="AB78" s="418"/>
      <c r="AD78" s="419"/>
      <c r="AE78" s="420"/>
      <c r="AF78" s="420"/>
      <c r="AG78" s="420"/>
      <c r="AH78" s="420"/>
      <c r="AI78" s="420"/>
      <c r="AJ78" s="426"/>
      <c r="AK78" s="420"/>
      <c r="AL78" s="420"/>
      <c r="AM78" s="420"/>
      <c r="AN78" s="420"/>
      <c r="AO78" s="420"/>
      <c r="AP78" s="420"/>
      <c r="AQ78" s="432"/>
    </row>
    <row r="79" spans="2:43">
      <c r="B79" s="113" t="s">
        <v>202</v>
      </c>
      <c r="C79" s="114"/>
      <c r="D79" s="114"/>
      <c r="E79" s="114"/>
      <c r="F79" s="114"/>
      <c r="G79" s="114"/>
      <c r="H79" s="114"/>
      <c r="I79" s="114"/>
      <c r="J79" s="114"/>
      <c r="K79" s="114"/>
      <c r="L79" s="114"/>
      <c r="M79" s="114"/>
      <c r="N79" s="114"/>
      <c r="O79" s="114"/>
      <c r="P79" s="114"/>
      <c r="Q79" s="200"/>
      <c r="S79" s="409"/>
      <c r="T79" s="410"/>
      <c r="U79" s="410"/>
      <c r="V79" s="410"/>
      <c r="W79" s="410"/>
      <c r="X79" s="410"/>
      <c r="Y79" s="410"/>
      <c r="Z79" s="410"/>
      <c r="AA79" s="410"/>
      <c r="AB79" s="421"/>
      <c r="AD79" s="416"/>
      <c r="AE79" s="417"/>
      <c r="AF79" s="417"/>
      <c r="AG79" s="417"/>
      <c r="AH79" s="417"/>
      <c r="AI79" s="417"/>
      <c r="AJ79" s="424"/>
      <c r="AK79" s="417"/>
      <c r="AL79" s="417"/>
      <c r="AM79" s="417"/>
      <c r="AN79" s="417"/>
      <c r="AO79" s="417"/>
      <c r="AP79" s="417"/>
      <c r="AQ79" s="431"/>
    </row>
    <row r="80" spans="2:43">
      <c r="B80" s="204" t="s">
        <v>203</v>
      </c>
      <c r="C80" s="262"/>
      <c r="D80" s="262"/>
      <c r="E80" s="262"/>
      <c r="F80" s="270" t="s">
        <v>204</v>
      </c>
      <c r="G80" s="270"/>
      <c r="H80" s="270" t="s">
        <v>205</v>
      </c>
      <c r="I80" s="270"/>
      <c r="J80" s="270" t="s">
        <v>206</v>
      </c>
      <c r="K80" s="270"/>
      <c r="L80" s="270" t="s">
        <v>207</v>
      </c>
      <c r="M80" s="270"/>
      <c r="N80" s="270" t="s">
        <v>208</v>
      </c>
      <c r="O80" s="270"/>
      <c r="P80" s="270" t="s">
        <v>209</v>
      </c>
      <c r="Q80" s="411"/>
      <c r="S80" s="402"/>
      <c r="T80" s="403"/>
      <c r="U80" s="403"/>
      <c r="V80" s="403"/>
      <c r="W80" s="403"/>
      <c r="X80" s="403"/>
      <c r="Y80" s="403"/>
      <c r="Z80" s="403"/>
      <c r="AA80" s="403"/>
      <c r="AB80" s="414"/>
      <c r="AD80" s="419"/>
      <c r="AE80" s="420"/>
      <c r="AF80" s="420"/>
      <c r="AG80" s="420"/>
      <c r="AH80" s="420"/>
      <c r="AI80" s="420"/>
      <c r="AJ80" s="426"/>
      <c r="AK80" s="420"/>
      <c r="AL80" s="420"/>
      <c r="AM80" s="420"/>
      <c r="AN80" s="420"/>
      <c r="AO80" s="420"/>
      <c r="AP80" s="420"/>
      <c r="AQ80" s="432"/>
    </row>
    <row r="81" spans="2:43">
      <c r="B81" s="204"/>
      <c r="C81" s="262"/>
      <c r="D81" s="262"/>
      <c r="E81" s="262"/>
      <c r="F81" s="270" t="s">
        <v>210</v>
      </c>
      <c r="G81" s="270"/>
      <c r="H81" s="270" t="s">
        <v>211</v>
      </c>
      <c r="I81" s="270"/>
      <c r="J81" s="270" t="s">
        <v>212</v>
      </c>
      <c r="K81" s="270"/>
      <c r="L81" s="270" t="s">
        <v>213</v>
      </c>
      <c r="M81" s="270"/>
      <c r="N81" s="270" t="s">
        <v>214</v>
      </c>
      <c r="O81" s="270"/>
      <c r="P81" s="619" t="s">
        <v>215</v>
      </c>
      <c r="Q81" s="411"/>
      <c r="S81" s="405"/>
      <c r="T81" s="406"/>
      <c r="U81" s="406"/>
      <c r="V81" s="406"/>
      <c r="W81" s="406"/>
      <c r="X81" s="406"/>
      <c r="Y81" s="406"/>
      <c r="Z81" s="406"/>
      <c r="AA81" s="406"/>
      <c r="AB81" s="415"/>
      <c r="AD81" s="416"/>
      <c r="AE81" s="417"/>
      <c r="AF81" s="417"/>
      <c r="AG81" s="417"/>
      <c r="AH81" s="417"/>
      <c r="AI81" s="417"/>
      <c r="AJ81" s="424"/>
      <c r="AK81" s="417"/>
      <c r="AL81" s="417"/>
      <c r="AM81" s="417"/>
      <c r="AN81" s="417"/>
      <c r="AO81" s="417"/>
      <c r="AP81" s="417"/>
      <c r="AQ81" s="431"/>
    </row>
    <row r="82" spans="2:43">
      <c r="B82" s="204" t="s">
        <v>216</v>
      </c>
      <c r="C82" s="262"/>
      <c r="D82" s="262"/>
      <c r="E82" s="262"/>
      <c r="F82" s="262"/>
      <c r="G82" s="262"/>
      <c r="H82" s="262"/>
      <c r="I82" s="262"/>
      <c r="J82" s="262"/>
      <c r="K82" s="262"/>
      <c r="L82" s="262"/>
      <c r="M82" s="262"/>
      <c r="N82" s="262"/>
      <c r="O82" s="262"/>
      <c r="P82" s="262"/>
      <c r="Q82" s="412"/>
      <c r="S82" s="407"/>
      <c r="T82" s="408"/>
      <c r="U82" s="408"/>
      <c r="V82" s="408"/>
      <c r="W82" s="408"/>
      <c r="X82" s="408"/>
      <c r="Y82" s="408"/>
      <c r="Z82" s="408"/>
      <c r="AA82" s="408"/>
      <c r="AB82" s="418"/>
      <c r="AD82" s="419"/>
      <c r="AE82" s="420"/>
      <c r="AF82" s="420"/>
      <c r="AG82" s="420"/>
      <c r="AH82" s="420"/>
      <c r="AI82" s="420"/>
      <c r="AJ82" s="426"/>
      <c r="AK82" s="420"/>
      <c r="AL82" s="420"/>
      <c r="AM82" s="420"/>
      <c r="AN82" s="420"/>
      <c r="AO82" s="420"/>
      <c r="AP82" s="420"/>
      <c r="AQ82" s="432"/>
    </row>
    <row r="83" spans="2:43">
      <c r="B83" s="204"/>
      <c r="C83" s="262"/>
      <c r="D83" s="262"/>
      <c r="E83" s="262"/>
      <c r="F83" s="262"/>
      <c r="G83" s="262"/>
      <c r="H83" s="262"/>
      <c r="I83" s="262"/>
      <c r="J83" s="262"/>
      <c r="K83" s="262"/>
      <c r="L83" s="262"/>
      <c r="M83" s="262"/>
      <c r="N83" s="262"/>
      <c r="O83" s="262"/>
      <c r="P83" s="262"/>
      <c r="Q83" s="412"/>
      <c r="S83" s="409"/>
      <c r="T83" s="410"/>
      <c r="U83" s="410"/>
      <c r="V83" s="410"/>
      <c r="W83" s="410"/>
      <c r="X83" s="410"/>
      <c r="Y83" s="410"/>
      <c r="Z83" s="410"/>
      <c r="AA83" s="410"/>
      <c r="AB83" s="421"/>
      <c r="AD83" s="416"/>
      <c r="AE83" s="417"/>
      <c r="AF83" s="417"/>
      <c r="AG83" s="417"/>
      <c r="AH83" s="417"/>
      <c r="AI83" s="417"/>
      <c r="AJ83" s="424"/>
      <c r="AK83" s="417"/>
      <c r="AL83" s="417"/>
      <c r="AM83" s="417"/>
      <c r="AN83" s="417"/>
      <c r="AO83" s="417"/>
      <c r="AP83" s="417"/>
      <c r="AQ83" s="431"/>
    </row>
    <row r="84" spans="2:43">
      <c r="B84" s="302" t="s">
        <v>217</v>
      </c>
      <c r="C84" s="270"/>
      <c r="D84" s="270"/>
      <c r="E84" s="270"/>
      <c r="F84" s="270"/>
      <c r="G84" s="270"/>
      <c r="H84" s="270"/>
      <c r="I84" s="270"/>
      <c r="J84" s="270" t="s">
        <v>218</v>
      </c>
      <c r="K84" s="270"/>
      <c r="L84" s="270"/>
      <c r="M84" s="270"/>
      <c r="N84" s="270"/>
      <c r="O84" s="270"/>
      <c r="P84" s="270"/>
      <c r="Q84" s="411"/>
      <c r="S84" s="402"/>
      <c r="T84" s="403"/>
      <c r="U84" s="403"/>
      <c r="V84" s="403"/>
      <c r="W84" s="403"/>
      <c r="X84" s="403"/>
      <c r="Y84" s="403"/>
      <c r="Z84" s="403"/>
      <c r="AA84" s="403"/>
      <c r="AB84" s="414"/>
      <c r="AD84" s="419"/>
      <c r="AE84" s="420"/>
      <c r="AF84" s="420"/>
      <c r="AG84" s="420"/>
      <c r="AH84" s="420"/>
      <c r="AI84" s="420"/>
      <c r="AJ84" s="426"/>
      <c r="AK84" s="420"/>
      <c r="AL84" s="420"/>
      <c r="AM84" s="420"/>
      <c r="AN84" s="420"/>
      <c r="AO84" s="420"/>
      <c r="AP84" s="420"/>
      <c r="AQ84" s="432"/>
    </row>
    <row r="85" spans="2:43">
      <c r="B85" s="302" t="s">
        <v>154</v>
      </c>
      <c r="C85" s="270"/>
      <c r="D85" s="270"/>
      <c r="E85" s="270" t="s">
        <v>219</v>
      </c>
      <c r="F85" s="270"/>
      <c r="G85" s="270"/>
      <c r="H85" s="270"/>
      <c r="I85" s="270"/>
      <c r="J85" s="270"/>
      <c r="K85" s="270"/>
      <c r="L85" s="270"/>
      <c r="M85" s="270"/>
      <c r="N85" s="270"/>
      <c r="O85" s="270"/>
      <c r="P85" s="270"/>
      <c r="Q85" s="411"/>
      <c r="S85" s="405"/>
      <c r="T85" s="406"/>
      <c r="U85" s="406"/>
      <c r="V85" s="406"/>
      <c r="W85" s="406"/>
      <c r="X85" s="406"/>
      <c r="Y85" s="406"/>
      <c r="Z85" s="406"/>
      <c r="AA85" s="406"/>
      <c r="AB85" s="415"/>
      <c r="AD85" s="416"/>
      <c r="AE85" s="417"/>
      <c r="AF85" s="417"/>
      <c r="AG85" s="417"/>
      <c r="AH85" s="417"/>
      <c r="AI85" s="417"/>
      <c r="AJ85" s="424"/>
      <c r="AK85" s="417"/>
      <c r="AL85" s="417"/>
      <c r="AM85" s="417"/>
      <c r="AN85" s="417"/>
      <c r="AO85" s="417"/>
      <c r="AP85" s="417"/>
      <c r="AQ85" s="431"/>
    </row>
    <row r="86" spans="2:43">
      <c r="B86" s="302" t="s">
        <v>220</v>
      </c>
      <c r="C86" s="270"/>
      <c r="D86" s="270"/>
      <c r="E86" s="270" t="s">
        <v>221</v>
      </c>
      <c r="F86" s="270"/>
      <c r="G86" s="270"/>
      <c r="H86" s="270"/>
      <c r="I86" s="270"/>
      <c r="J86" s="270"/>
      <c r="K86" s="270"/>
      <c r="L86" s="270"/>
      <c r="M86" s="270"/>
      <c r="N86" s="270"/>
      <c r="O86" s="270"/>
      <c r="P86" s="270"/>
      <c r="Q86" s="411"/>
      <c r="S86" s="407"/>
      <c r="T86" s="408"/>
      <c r="U86" s="408"/>
      <c r="V86" s="408"/>
      <c r="W86" s="408"/>
      <c r="X86" s="408"/>
      <c r="Y86" s="408"/>
      <c r="Z86" s="408"/>
      <c r="AA86" s="408"/>
      <c r="AB86" s="418"/>
      <c r="AD86" s="419"/>
      <c r="AE86" s="420"/>
      <c r="AF86" s="420"/>
      <c r="AG86" s="420"/>
      <c r="AH86" s="420"/>
      <c r="AI86" s="420"/>
      <c r="AJ86" s="426"/>
      <c r="AK86" s="420"/>
      <c r="AL86" s="420"/>
      <c r="AM86" s="420"/>
      <c r="AN86" s="420"/>
      <c r="AO86" s="420"/>
      <c r="AP86" s="420"/>
      <c r="AQ86" s="432"/>
    </row>
    <row r="87" spans="2:43">
      <c r="B87" s="302" t="s">
        <v>155</v>
      </c>
      <c r="C87" s="270"/>
      <c r="D87" s="270"/>
      <c r="E87" s="262" t="s">
        <v>222</v>
      </c>
      <c r="F87" s="262"/>
      <c r="G87" s="262"/>
      <c r="H87" s="262"/>
      <c r="I87" s="262"/>
      <c r="J87" s="262"/>
      <c r="K87" s="262"/>
      <c r="L87" s="262"/>
      <c r="M87" s="262"/>
      <c r="N87" s="262"/>
      <c r="O87" s="262"/>
      <c r="P87" s="262"/>
      <c r="Q87" s="412"/>
      <c r="S87" s="409"/>
      <c r="T87" s="410"/>
      <c r="U87" s="410"/>
      <c r="V87" s="410"/>
      <c r="W87" s="410"/>
      <c r="X87" s="410"/>
      <c r="Y87" s="410"/>
      <c r="Z87" s="410"/>
      <c r="AA87" s="410"/>
      <c r="AB87" s="421"/>
      <c r="AD87" s="416"/>
      <c r="AE87" s="417"/>
      <c r="AF87" s="417"/>
      <c r="AG87" s="417"/>
      <c r="AH87" s="417"/>
      <c r="AI87" s="417"/>
      <c r="AJ87" s="424"/>
      <c r="AK87" s="417"/>
      <c r="AL87" s="417"/>
      <c r="AM87" s="417"/>
      <c r="AN87" s="417"/>
      <c r="AO87" s="417"/>
      <c r="AP87" s="417"/>
      <c r="AQ87" s="431"/>
    </row>
    <row r="88" spans="2:43">
      <c r="B88" s="302"/>
      <c r="C88" s="270"/>
      <c r="D88" s="270"/>
      <c r="E88" s="262"/>
      <c r="F88" s="262"/>
      <c r="G88" s="262"/>
      <c r="H88" s="262"/>
      <c r="I88" s="262"/>
      <c r="J88" s="262"/>
      <c r="K88" s="262"/>
      <c r="L88" s="262"/>
      <c r="M88" s="262"/>
      <c r="N88" s="262"/>
      <c r="O88" s="262"/>
      <c r="P88" s="262"/>
      <c r="Q88" s="412"/>
      <c r="S88" s="402"/>
      <c r="T88" s="403"/>
      <c r="U88" s="403"/>
      <c r="V88" s="403"/>
      <c r="W88" s="403"/>
      <c r="X88" s="403"/>
      <c r="Y88" s="403"/>
      <c r="Z88" s="403"/>
      <c r="AA88" s="403"/>
      <c r="AB88" s="414"/>
      <c r="AD88" s="419"/>
      <c r="AE88" s="420"/>
      <c r="AF88" s="420"/>
      <c r="AG88" s="420"/>
      <c r="AH88" s="420"/>
      <c r="AI88" s="420"/>
      <c r="AJ88" s="426"/>
      <c r="AK88" s="420"/>
      <c r="AL88" s="420"/>
      <c r="AM88" s="420"/>
      <c r="AN88" s="420"/>
      <c r="AO88" s="420"/>
      <c r="AP88" s="420"/>
      <c r="AQ88" s="432"/>
    </row>
    <row r="89" ht="17.25" spans="2:43">
      <c r="B89" s="395" t="s">
        <v>223</v>
      </c>
      <c r="C89" s="396"/>
      <c r="D89" s="396"/>
      <c r="E89" s="396"/>
      <c r="F89" s="396"/>
      <c r="G89" s="396"/>
      <c r="H89" s="396"/>
      <c r="I89" s="396"/>
      <c r="J89" s="396" t="s">
        <v>224</v>
      </c>
      <c r="K89" s="396"/>
      <c r="L89" s="396"/>
      <c r="M89" s="396"/>
      <c r="N89" s="396"/>
      <c r="O89" s="396"/>
      <c r="P89" s="396"/>
      <c r="Q89" s="413"/>
      <c r="S89" s="393"/>
      <c r="T89" s="394"/>
      <c r="U89" s="394"/>
      <c r="V89" s="394"/>
      <c r="W89" s="394"/>
      <c r="X89" s="394"/>
      <c r="Y89" s="394"/>
      <c r="Z89" s="394"/>
      <c r="AA89" s="394"/>
      <c r="AB89" s="404"/>
      <c r="AD89" s="422"/>
      <c r="AE89" s="423"/>
      <c r="AF89" s="423"/>
      <c r="AG89" s="423"/>
      <c r="AH89" s="423"/>
      <c r="AI89" s="423"/>
      <c r="AJ89" s="427"/>
      <c r="AK89" s="428"/>
      <c r="AL89" s="423"/>
      <c r="AM89" s="423"/>
      <c r="AN89" s="423"/>
      <c r="AO89" s="423"/>
      <c r="AP89" s="423"/>
      <c r="AQ89" s="433"/>
    </row>
  </sheetData>
  <sheetProtection algorithmName="SHA-512" hashValue="g1G93hORUMrCWNJjUslT0XsCR9pUxqwE+Km18D3JhwxvFis0waEOJvZt3S4vbIXl9WuttNuiShOTUUyISrMpdw==" saltValue="7lWCT0C8BPqTOvjSF/pHHg==" spinCount="100000" sheet="1" selectLockedCells="1"/>
  <mergeCells count="496">
    <mergeCell ref="B2:N2"/>
    <mergeCell ref="P2:AG2"/>
    <mergeCell ref="B3:C3"/>
    <mergeCell ref="D3:N3"/>
    <mergeCell ref="T3:U3"/>
    <mergeCell ref="Z3:AA3"/>
    <mergeCell ref="AF3:AG3"/>
    <mergeCell ref="B4:C4"/>
    <mergeCell ref="D4:N4"/>
    <mergeCell ref="T4:U4"/>
    <mergeCell ref="Z4:AA4"/>
    <mergeCell ref="AF4:AG4"/>
    <mergeCell ref="B5:C5"/>
    <mergeCell ref="D5:N5"/>
    <mergeCell ref="T5:U5"/>
    <mergeCell ref="Z5:AA5"/>
    <mergeCell ref="AF5:AG5"/>
    <mergeCell ref="B6:C6"/>
    <mergeCell ref="D6:H6"/>
    <mergeCell ref="I6:J6"/>
    <mergeCell ref="K6:N6"/>
    <mergeCell ref="T6:U6"/>
    <mergeCell ref="Z6:AA6"/>
    <mergeCell ref="AF6:AG6"/>
    <mergeCell ref="B7:C7"/>
    <mergeCell ref="D7:N7"/>
    <mergeCell ref="T7:U7"/>
    <mergeCell ref="Z7:AA7"/>
    <mergeCell ref="AF7:AG7"/>
    <mergeCell ref="B8:C8"/>
    <mergeCell ref="D8:N8"/>
    <mergeCell ref="T8:U8"/>
    <mergeCell ref="Z8:AA8"/>
    <mergeCell ref="AF8:AG8"/>
    <mergeCell ref="F12:G12"/>
    <mergeCell ref="I12:J12"/>
    <mergeCell ref="O12:P12"/>
    <mergeCell ref="R12:S12"/>
    <mergeCell ref="B14:AQ14"/>
    <mergeCell ref="C15:G15"/>
    <mergeCell ref="H15:I15"/>
    <mergeCell ref="J15:K15"/>
    <mergeCell ref="L15:O15"/>
    <mergeCell ref="Q15:U15"/>
    <mergeCell ref="V15:W15"/>
    <mergeCell ref="X15:Y15"/>
    <mergeCell ref="Z15:AC15"/>
    <mergeCell ref="AE15:AI15"/>
    <mergeCell ref="AJ15:AK15"/>
    <mergeCell ref="AL15:AM15"/>
    <mergeCell ref="AN15:AQ15"/>
    <mergeCell ref="C16:G16"/>
    <mergeCell ref="H16:I16"/>
    <mergeCell ref="J16:K16"/>
    <mergeCell ref="L16:O16"/>
    <mergeCell ref="Q16:U16"/>
    <mergeCell ref="V16:W16"/>
    <mergeCell ref="X16:Y16"/>
    <mergeCell ref="Z16:AC16"/>
    <mergeCell ref="AE16:AI16"/>
    <mergeCell ref="AJ16:AK16"/>
    <mergeCell ref="AL16:AM16"/>
    <mergeCell ref="AN16:AQ16"/>
    <mergeCell ref="C17:G17"/>
    <mergeCell ref="H17:I17"/>
    <mergeCell ref="J17:K17"/>
    <mergeCell ref="L17:O17"/>
    <mergeCell ref="Q17:U17"/>
    <mergeCell ref="V17:W17"/>
    <mergeCell ref="X17:Y17"/>
    <mergeCell ref="Z17:AC17"/>
    <mergeCell ref="AE17:AI17"/>
    <mergeCell ref="AJ17:AK17"/>
    <mergeCell ref="AL17:AM17"/>
    <mergeCell ref="AN17:AQ17"/>
    <mergeCell ref="C18:G18"/>
    <mergeCell ref="H18:I18"/>
    <mergeCell ref="J18:K18"/>
    <mergeCell ref="L18:O18"/>
    <mergeCell ref="Q18:U18"/>
    <mergeCell ref="V18:W18"/>
    <mergeCell ref="X18:Y18"/>
    <mergeCell ref="Z18:AC18"/>
    <mergeCell ref="AE18:AI18"/>
    <mergeCell ref="AJ18:AK18"/>
    <mergeCell ref="AL18:AM18"/>
    <mergeCell ref="AN18:AQ18"/>
    <mergeCell ref="C19:G19"/>
    <mergeCell ref="H19:I19"/>
    <mergeCell ref="J19:K19"/>
    <mergeCell ref="L19:O19"/>
    <mergeCell ref="Q19:U19"/>
    <mergeCell ref="V19:W19"/>
    <mergeCell ref="X19:Y19"/>
    <mergeCell ref="Z19:AC19"/>
    <mergeCell ref="AE19:AI19"/>
    <mergeCell ref="AJ19:AK19"/>
    <mergeCell ref="AL19:AM19"/>
    <mergeCell ref="AN19:AQ19"/>
    <mergeCell ref="C20:G20"/>
    <mergeCell ref="H20:I20"/>
    <mergeCell ref="J20:K20"/>
    <mergeCell ref="L20:O20"/>
    <mergeCell ref="Q20:U20"/>
    <mergeCell ref="V20:W20"/>
    <mergeCell ref="X20:Y20"/>
    <mergeCell ref="Z20:AC20"/>
    <mergeCell ref="AE20:AI20"/>
    <mergeCell ref="AJ20:AK20"/>
    <mergeCell ref="AL20:AM20"/>
    <mergeCell ref="AN20:AQ20"/>
    <mergeCell ref="C21:G21"/>
    <mergeCell ref="H21:I21"/>
    <mergeCell ref="J21:K21"/>
    <mergeCell ref="L21:O21"/>
    <mergeCell ref="Q21:U21"/>
    <mergeCell ref="V21:W21"/>
    <mergeCell ref="X21:Y21"/>
    <mergeCell ref="Z21:AC21"/>
    <mergeCell ref="AE21:AI21"/>
    <mergeCell ref="AJ21:AK21"/>
    <mergeCell ref="AL21:AM21"/>
    <mergeCell ref="AN21:AQ21"/>
    <mergeCell ref="C22:G22"/>
    <mergeCell ref="H22:I22"/>
    <mergeCell ref="J22:K22"/>
    <mergeCell ref="L22:O22"/>
    <mergeCell ref="Q22:U22"/>
    <mergeCell ref="V22:W22"/>
    <mergeCell ref="X22:Y22"/>
    <mergeCell ref="Z22:AC22"/>
    <mergeCell ref="AE22:AI22"/>
    <mergeCell ref="AJ22:AK22"/>
    <mergeCell ref="AL22:AM22"/>
    <mergeCell ref="AN22:AQ22"/>
    <mergeCell ref="C23:G23"/>
    <mergeCell ref="H23:I23"/>
    <mergeCell ref="J23:K23"/>
    <mergeCell ref="L23:O23"/>
    <mergeCell ref="Q23:U23"/>
    <mergeCell ref="V23:W23"/>
    <mergeCell ref="X23:Y23"/>
    <mergeCell ref="Z23:AC23"/>
    <mergeCell ref="AE23:AI23"/>
    <mergeCell ref="AJ23:AK23"/>
    <mergeCell ref="AL23:AM23"/>
    <mergeCell ref="AN23:AQ23"/>
    <mergeCell ref="C24:G24"/>
    <mergeCell ref="H24:I24"/>
    <mergeCell ref="J24:K24"/>
    <mergeCell ref="L24:O24"/>
    <mergeCell ref="Q24:U24"/>
    <mergeCell ref="V24:W24"/>
    <mergeCell ref="X24:Y24"/>
    <mergeCell ref="Z24:AC24"/>
    <mergeCell ref="AE24:AI24"/>
    <mergeCell ref="AJ24:AK24"/>
    <mergeCell ref="AL24:AM24"/>
    <mergeCell ref="AN24:AQ24"/>
    <mergeCell ref="C25:G25"/>
    <mergeCell ref="H25:I25"/>
    <mergeCell ref="J25:K25"/>
    <mergeCell ref="L25:O25"/>
    <mergeCell ref="Q25:U25"/>
    <mergeCell ref="V25:W25"/>
    <mergeCell ref="X25:Y25"/>
    <mergeCell ref="Z25:AC25"/>
    <mergeCell ref="AE25:AI25"/>
    <mergeCell ref="AJ25:AK25"/>
    <mergeCell ref="AL25:AM25"/>
    <mergeCell ref="AN25:AQ25"/>
    <mergeCell ref="C26:G26"/>
    <mergeCell ref="H26:I26"/>
    <mergeCell ref="J26:K26"/>
    <mergeCell ref="L26:O26"/>
    <mergeCell ref="Q26:U26"/>
    <mergeCell ref="V26:W26"/>
    <mergeCell ref="X26:Y26"/>
    <mergeCell ref="Z26:AC26"/>
    <mergeCell ref="AE26:AI26"/>
    <mergeCell ref="AJ26:AK26"/>
    <mergeCell ref="AL26:AM26"/>
    <mergeCell ref="AN26:AQ26"/>
    <mergeCell ref="C27:G27"/>
    <mergeCell ref="H27:I27"/>
    <mergeCell ref="J27:K27"/>
    <mergeCell ref="L27:O27"/>
    <mergeCell ref="Q27:U27"/>
    <mergeCell ref="V27:W27"/>
    <mergeCell ref="X27:Y27"/>
    <mergeCell ref="Z27:AC27"/>
    <mergeCell ref="AE27:AI27"/>
    <mergeCell ref="AJ27:AK27"/>
    <mergeCell ref="AL27:AM27"/>
    <mergeCell ref="AN27:AQ27"/>
    <mergeCell ref="C28:G28"/>
    <mergeCell ref="H28:I28"/>
    <mergeCell ref="J28:K28"/>
    <mergeCell ref="L28:O28"/>
    <mergeCell ref="Q28:U28"/>
    <mergeCell ref="V28:W28"/>
    <mergeCell ref="X28:Y28"/>
    <mergeCell ref="Z28:AC28"/>
    <mergeCell ref="AE28:AI28"/>
    <mergeCell ref="AJ28:AK28"/>
    <mergeCell ref="AL28:AM28"/>
    <mergeCell ref="AN28:AQ28"/>
    <mergeCell ref="C29:G29"/>
    <mergeCell ref="H29:I29"/>
    <mergeCell ref="J29:K29"/>
    <mergeCell ref="L29:O29"/>
    <mergeCell ref="Q29:U29"/>
    <mergeCell ref="V29:W29"/>
    <mergeCell ref="X29:Y29"/>
    <mergeCell ref="Z29:AC29"/>
    <mergeCell ref="AE29:AI29"/>
    <mergeCell ref="AJ29:AK29"/>
    <mergeCell ref="AL29:AM29"/>
    <mergeCell ref="AN29:AQ29"/>
    <mergeCell ref="C30:G30"/>
    <mergeCell ref="H30:I30"/>
    <mergeCell ref="J30:K30"/>
    <mergeCell ref="L30:O30"/>
    <mergeCell ref="Q30:U30"/>
    <mergeCell ref="V30:W30"/>
    <mergeCell ref="X30:Y30"/>
    <mergeCell ref="Z30:AC30"/>
    <mergeCell ref="AE30:AI30"/>
    <mergeCell ref="AJ30:AK30"/>
    <mergeCell ref="AL30:AM30"/>
    <mergeCell ref="AN30:AQ30"/>
    <mergeCell ref="C31:G31"/>
    <mergeCell ref="H31:I31"/>
    <mergeCell ref="J31:K31"/>
    <mergeCell ref="L31:O31"/>
    <mergeCell ref="Q31:U31"/>
    <mergeCell ref="V31:W31"/>
    <mergeCell ref="X31:Y31"/>
    <mergeCell ref="Z31:AC31"/>
    <mergeCell ref="AE31:AI31"/>
    <mergeCell ref="AJ31:AK31"/>
    <mergeCell ref="AL31:AM31"/>
    <mergeCell ref="AN31:AQ31"/>
    <mergeCell ref="C32:G32"/>
    <mergeCell ref="H32:I32"/>
    <mergeCell ref="J32:K32"/>
    <mergeCell ref="L32:O32"/>
    <mergeCell ref="Q32:U32"/>
    <mergeCell ref="V32:W32"/>
    <mergeCell ref="X32:Y32"/>
    <mergeCell ref="Z32:AC32"/>
    <mergeCell ref="AE32:AI32"/>
    <mergeCell ref="AJ32:AK32"/>
    <mergeCell ref="AL32:AM32"/>
    <mergeCell ref="AN32:AQ32"/>
    <mergeCell ref="C33:G33"/>
    <mergeCell ref="H33:I33"/>
    <mergeCell ref="J33:K33"/>
    <mergeCell ref="L33:O33"/>
    <mergeCell ref="Q33:U33"/>
    <mergeCell ref="V33:W33"/>
    <mergeCell ref="X33:Y33"/>
    <mergeCell ref="Z33:AC33"/>
    <mergeCell ref="AE33:AI33"/>
    <mergeCell ref="AJ33:AK33"/>
    <mergeCell ref="AL33:AM33"/>
    <mergeCell ref="AN33:AQ33"/>
    <mergeCell ref="C34:G34"/>
    <mergeCell ref="H34:I34"/>
    <mergeCell ref="J34:K34"/>
    <mergeCell ref="L34:O34"/>
    <mergeCell ref="Q34:U34"/>
    <mergeCell ref="V34:W34"/>
    <mergeCell ref="X34:Y34"/>
    <mergeCell ref="Z34:AC34"/>
    <mergeCell ref="AE34:AI34"/>
    <mergeCell ref="AJ34:AK34"/>
    <mergeCell ref="AL34:AM34"/>
    <mergeCell ref="AN34:AQ34"/>
    <mergeCell ref="C35:G35"/>
    <mergeCell ref="H35:I35"/>
    <mergeCell ref="J35:K35"/>
    <mergeCell ref="L35:O35"/>
    <mergeCell ref="Q35:U35"/>
    <mergeCell ref="V35:W35"/>
    <mergeCell ref="X35:Y35"/>
    <mergeCell ref="Z35:AC35"/>
    <mergeCell ref="AE35:AI35"/>
    <mergeCell ref="AJ35:AK35"/>
    <mergeCell ref="AL35:AM35"/>
    <mergeCell ref="AN35:AQ35"/>
    <mergeCell ref="C36:G36"/>
    <mergeCell ref="H36:I36"/>
    <mergeCell ref="J36:K36"/>
    <mergeCell ref="L36:O36"/>
    <mergeCell ref="Q36:U36"/>
    <mergeCell ref="V36:W36"/>
    <mergeCell ref="X36:Y36"/>
    <mergeCell ref="Z36:AC36"/>
    <mergeCell ref="AE36:AI36"/>
    <mergeCell ref="AJ36:AK36"/>
    <mergeCell ref="AL36:AM36"/>
    <mergeCell ref="AN36:AQ36"/>
    <mergeCell ref="B38:AH38"/>
    <mergeCell ref="AJ38:AQ38"/>
    <mergeCell ref="B39:J39"/>
    <mergeCell ref="K39:P39"/>
    <mergeCell ref="R39:W39"/>
    <mergeCell ref="X39:AA39"/>
    <mergeCell ref="AB39:AD39"/>
    <mergeCell ref="AE39:AF39"/>
    <mergeCell ref="AG39:AH39"/>
    <mergeCell ref="B40:J40"/>
    <mergeCell ref="K40:L40"/>
    <mergeCell ref="M40:N40"/>
    <mergeCell ref="O40:P40"/>
    <mergeCell ref="R40:W40"/>
    <mergeCell ref="X40:AA40"/>
    <mergeCell ref="AB40:AD40"/>
    <mergeCell ref="AE40:AF40"/>
    <mergeCell ref="AG40:AH40"/>
    <mergeCell ref="B41:J41"/>
    <mergeCell ref="K41:L41"/>
    <mergeCell ref="M41:N41"/>
    <mergeCell ref="O41:P41"/>
    <mergeCell ref="R41:W41"/>
    <mergeCell ref="X41:AA41"/>
    <mergeCell ref="AB41:AD41"/>
    <mergeCell ref="AE41:AF41"/>
    <mergeCell ref="AG41:AH41"/>
    <mergeCell ref="B42:J42"/>
    <mergeCell ref="K42:L42"/>
    <mergeCell ref="M42:N42"/>
    <mergeCell ref="O42:P42"/>
    <mergeCell ref="R42:W42"/>
    <mergeCell ref="X42:AA42"/>
    <mergeCell ref="AB42:AD42"/>
    <mergeCell ref="AE42:AF42"/>
    <mergeCell ref="AG42:AH42"/>
    <mergeCell ref="B43:J43"/>
    <mergeCell ref="K43:L43"/>
    <mergeCell ref="M43:N43"/>
    <mergeCell ref="O43:P43"/>
    <mergeCell ref="R43:W43"/>
    <mergeCell ref="X43:AA43"/>
    <mergeCell ref="AB43:AD43"/>
    <mergeCell ref="AE43:AF43"/>
    <mergeCell ref="AG43:AH43"/>
    <mergeCell ref="AP43:AQ43"/>
    <mergeCell ref="B44:J44"/>
    <mergeCell ref="K44:L44"/>
    <mergeCell ref="M44:N44"/>
    <mergeCell ref="O44:P44"/>
    <mergeCell ref="R44:W44"/>
    <mergeCell ref="X44:AA44"/>
    <mergeCell ref="AB44:AD44"/>
    <mergeCell ref="AE44:AF44"/>
    <mergeCell ref="AG44:AH44"/>
    <mergeCell ref="AP44:AQ44"/>
    <mergeCell ref="B47:Q47"/>
    <mergeCell ref="S47:AQ47"/>
    <mergeCell ref="B48:J48"/>
    <mergeCell ref="K48:Q48"/>
    <mergeCell ref="B49:C49"/>
    <mergeCell ref="D49:J49"/>
    <mergeCell ref="K49:M49"/>
    <mergeCell ref="N49:Q49"/>
    <mergeCell ref="B55:Q55"/>
    <mergeCell ref="B56:Q56"/>
    <mergeCell ref="B57:Q57"/>
    <mergeCell ref="B58:Q58"/>
    <mergeCell ref="B59:Q59"/>
    <mergeCell ref="B60:Q60"/>
    <mergeCell ref="B61:Q61"/>
    <mergeCell ref="B62:Q62"/>
    <mergeCell ref="B63:Q63"/>
    <mergeCell ref="B64:Q64"/>
    <mergeCell ref="B66:Q66"/>
    <mergeCell ref="S75:AB75"/>
    <mergeCell ref="AD75:AQ75"/>
    <mergeCell ref="AD76:AJ76"/>
    <mergeCell ref="AK76:AQ76"/>
    <mergeCell ref="AD77:AJ77"/>
    <mergeCell ref="AK77:AQ77"/>
    <mergeCell ref="AD78:AJ78"/>
    <mergeCell ref="AK78:AQ78"/>
    <mergeCell ref="B79:Q79"/>
    <mergeCell ref="AD79:AJ79"/>
    <mergeCell ref="AK79:AQ79"/>
    <mergeCell ref="F80:G80"/>
    <mergeCell ref="H80:I80"/>
    <mergeCell ref="J80:K80"/>
    <mergeCell ref="L80:M80"/>
    <mergeCell ref="N80:O80"/>
    <mergeCell ref="P80:Q80"/>
    <mergeCell ref="AD80:AJ80"/>
    <mergeCell ref="AK80:AQ80"/>
    <mergeCell ref="F81:G81"/>
    <mergeCell ref="H81:I81"/>
    <mergeCell ref="J81:K81"/>
    <mergeCell ref="L81:M81"/>
    <mergeCell ref="N81:O81"/>
    <mergeCell ref="P81:Q81"/>
    <mergeCell ref="AD81:AJ81"/>
    <mergeCell ref="AK81:AQ81"/>
    <mergeCell ref="AD82:AJ82"/>
    <mergeCell ref="AK82:AQ82"/>
    <mergeCell ref="AD83:AJ83"/>
    <mergeCell ref="AK83:AQ83"/>
    <mergeCell ref="B84:I84"/>
    <mergeCell ref="J84:Q84"/>
    <mergeCell ref="AD84:AJ84"/>
    <mergeCell ref="AK84:AQ84"/>
    <mergeCell ref="B85:D85"/>
    <mergeCell ref="E85:Q85"/>
    <mergeCell ref="AD85:AJ85"/>
    <mergeCell ref="AK85:AQ85"/>
    <mergeCell ref="B86:D86"/>
    <mergeCell ref="E86:Q86"/>
    <mergeCell ref="AD86:AJ86"/>
    <mergeCell ref="AK86:AQ86"/>
    <mergeCell ref="AD87:AJ87"/>
    <mergeCell ref="AK87:AQ87"/>
    <mergeCell ref="AD88:AJ88"/>
    <mergeCell ref="AK88:AQ88"/>
    <mergeCell ref="B89:I89"/>
    <mergeCell ref="J89:Q89"/>
    <mergeCell ref="AD89:AJ89"/>
    <mergeCell ref="AK89:AQ89"/>
    <mergeCell ref="AJ39:AM40"/>
    <mergeCell ref="AN39:AQ40"/>
    <mergeCell ref="AJ41:AM42"/>
    <mergeCell ref="AN41:AQ42"/>
    <mergeCell ref="AJ43:AM44"/>
    <mergeCell ref="AN43:AO44"/>
    <mergeCell ref="S88:AB89"/>
    <mergeCell ref="S84:AB85"/>
    <mergeCell ref="S86:AB87"/>
    <mergeCell ref="B67:Q77"/>
    <mergeCell ref="B87:D88"/>
    <mergeCell ref="E87:Q88"/>
    <mergeCell ref="B80:E81"/>
    <mergeCell ref="P3:Q4"/>
    <mergeCell ref="R3:S4"/>
    <mergeCell ref="V3:W4"/>
    <mergeCell ref="X3:Y4"/>
    <mergeCell ref="AB3:AC4"/>
    <mergeCell ref="AD3:AE4"/>
    <mergeCell ref="P5:Q6"/>
    <mergeCell ref="R5:S6"/>
    <mergeCell ref="V5:W6"/>
    <mergeCell ref="X5:Y6"/>
    <mergeCell ref="AB5:AC6"/>
    <mergeCell ref="AD5:AE6"/>
    <mergeCell ref="P7:Q8"/>
    <mergeCell ref="R7:S8"/>
    <mergeCell ref="V7:W8"/>
    <mergeCell ref="X7:Y8"/>
    <mergeCell ref="AB7:AC8"/>
    <mergeCell ref="AD7:AE8"/>
    <mergeCell ref="B82:Q83"/>
    <mergeCell ref="S80:AB81"/>
    <mergeCell ref="S78:AB79"/>
    <mergeCell ref="S82:AB83"/>
    <mergeCell ref="S76:AB77"/>
    <mergeCell ref="S50:V51"/>
    <mergeCell ref="S52:V53"/>
    <mergeCell ref="S54:V55"/>
    <mergeCell ref="AD10:AE12"/>
    <mergeCell ref="AF10:AG12"/>
    <mergeCell ref="B10:D12"/>
    <mergeCell ref="K10:M12"/>
    <mergeCell ref="T10:V12"/>
    <mergeCell ref="E10:G11"/>
    <mergeCell ref="H10:J11"/>
    <mergeCell ref="N10:P11"/>
    <mergeCell ref="Q10:S11"/>
    <mergeCell ref="AA10:AC12"/>
    <mergeCell ref="W10:X12"/>
    <mergeCell ref="Y10:Z12"/>
    <mergeCell ref="AI2:AQ12"/>
    <mergeCell ref="S48:V49"/>
    <mergeCell ref="B50:Q53"/>
    <mergeCell ref="S56:V57"/>
    <mergeCell ref="S58:V59"/>
    <mergeCell ref="W48:AQ49"/>
    <mergeCell ref="W50:AQ51"/>
    <mergeCell ref="W52:AQ53"/>
    <mergeCell ref="W54:AQ55"/>
    <mergeCell ref="W56:AQ57"/>
    <mergeCell ref="W58:AQ59"/>
    <mergeCell ref="W60:AQ61"/>
    <mergeCell ref="W62:AQ63"/>
    <mergeCell ref="S64:AQ73"/>
    <mergeCell ref="S60:V61"/>
    <mergeCell ref="S62:V63"/>
  </mergeCells>
  <conditionalFormatting sqref="AD37:AM37">
    <cfRule type="cellIs" dxfId="0" priority="12" operator="equal">
      <formula>"剩余职业点=0   剩余兴趣点=0"</formula>
    </cfRule>
  </conditionalFormatting>
  <conditionalFormatting sqref="B16:B36">
    <cfRule type="cellIs" dxfId="1" priority="9" operator="equal">
      <formula>"√"</formula>
    </cfRule>
  </conditionalFormatting>
  <conditionalFormatting sqref="E12 H12 N12 Q12">
    <cfRule type="cellIs" dxfId="1" priority="2" operator="equal">
      <formula>"√"</formula>
    </cfRule>
  </conditionalFormatting>
  <conditionalFormatting sqref="B16:B36 P16:P36 AD16:AD36">
    <cfRule type="cellIs" dxfId="1" priority="1" operator="equal">
      <formula>"√"</formula>
    </cfRule>
  </conditionalFormatting>
  <dataValidations count="6">
    <dataValidation type="whole" operator="between" allowBlank="1" showInputMessage="1" showErrorMessage="1" errorTitle="年龄" error="只能输入整数，且范围应在15-89之间。" sqref="D6:H6" errorStyle="information">
      <formula1>15</formula1>
      <formula2>89</formula2>
    </dataValidation>
    <dataValidation type="list" allowBlank="1" showInputMessage="1" showErrorMessage="1" sqref="E12 H12 N12 Q12">
      <formula1>"☐,√"</formula1>
    </dataValidation>
    <dataValidation type="list" allowBlank="1" showInputMessage="1" sqref="B16:B36 P16:P36 AD16:AD36">
      <formula1>"☐,√"</formula1>
    </dataValidation>
    <dataValidation allowBlank="1" showInputMessage="1" showErrorMessage="1" prompt="这是你立即可以取用、支配的现金。&#10;包括带在身上的和存在银行的。" sqref="B49"/>
    <dataValidation allowBlank="1" showInputMessage="1" sqref="C16:C36 L16:L36 Q16:Q36 Z16:Z36 AE16:AE36 AK16:AK36 AM16:AQ36"/>
    <dataValidation type="list" allowBlank="1" showInputMessage="1" showErrorMessage="1" sqref="Q40:Q44">
      <formula1>"√,×"</formula1>
    </dataValidation>
  </dataValidations>
  <pageMargins left="0.25" right="0.25" top="0.75" bottom="0.75" header="0.3" footer="0.3"/>
  <pageSetup paperSize="9" scale="69" fitToHeight="0"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
  <sheetViews>
    <sheetView showGridLines="0" workbookViewId="0">
      <selection activeCell="H16" sqref="H16:L16"/>
    </sheetView>
  </sheetViews>
  <sheetFormatPr defaultColWidth="8.25" defaultRowHeight="16.5"/>
  <cols>
    <col min="1" max="1" width="8.25" style="93"/>
    <col min="2" max="2" width="13" style="93" customWidth="1"/>
    <col min="3" max="10" width="8.25" style="93"/>
    <col min="11" max="11" width="11.25" style="93" customWidth="1"/>
    <col min="12" max="16384" width="8.25" style="93"/>
  </cols>
  <sheetData>
    <row r="2" s="92" customFormat="1" spans="2:15">
      <c r="B2" s="94" t="s">
        <v>225</v>
      </c>
      <c r="C2" s="95"/>
      <c r="E2" s="94" t="s">
        <v>226</v>
      </c>
      <c r="F2" s="95"/>
      <c r="H2" s="94" t="s">
        <v>161</v>
      </c>
      <c r="I2" s="95"/>
      <c r="K2" s="94" t="s">
        <v>227</v>
      </c>
      <c r="L2" s="95"/>
      <c r="N2" s="94" t="s">
        <v>228</v>
      </c>
      <c r="O2" s="95"/>
    </row>
    <row r="3" spans="2:15">
      <c r="B3" s="96" t="s">
        <v>229</v>
      </c>
      <c r="C3" s="97" t="s">
        <v>230</v>
      </c>
      <c r="E3" s="96" t="s">
        <v>229</v>
      </c>
      <c r="F3" s="97" t="s">
        <v>230</v>
      </c>
      <c r="H3" s="96" t="s">
        <v>229</v>
      </c>
      <c r="I3" s="97" t="s">
        <v>230</v>
      </c>
      <c r="K3" s="96" t="s">
        <v>229</v>
      </c>
      <c r="L3" s="97" t="s">
        <v>230</v>
      </c>
      <c r="N3" s="96" t="s">
        <v>229</v>
      </c>
      <c r="O3" s="97" t="s">
        <v>230</v>
      </c>
    </row>
    <row r="4" spans="2:15">
      <c r="B4" s="98" t="s">
        <v>231</v>
      </c>
      <c r="C4" s="99">
        <v>5</v>
      </c>
      <c r="E4" s="98" t="s">
        <v>232</v>
      </c>
      <c r="F4" s="99">
        <v>1</v>
      </c>
      <c r="H4" s="98" t="s">
        <v>233</v>
      </c>
      <c r="I4" s="99">
        <v>5</v>
      </c>
      <c r="K4" s="98" t="s">
        <v>110</v>
      </c>
      <c r="L4" s="99">
        <v>25</v>
      </c>
      <c r="N4" s="105" t="s">
        <v>234</v>
      </c>
      <c r="O4" s="106">
        <v>1</v>
      </c>
    </row>
    <row r="5" spans="2:15">
      <c r="B5" s="100" t="s">
        <v>235</v>
      </c>
      <c r="C5" s="101">
        <v>5</v>
      </c>
      <c r="E5" s="100" t="s">
        <v>236</v>
      </c>
      <c r="F5" s="101">
        <v>1</v>
      </c>
      <c r="H5" s="100" t="s">
        <v>237</v>
      </c>
      <c r="I5" s="101">
        <v>10</v>
      </c>
      <c r="K5" s="100" t="s">
        <v>238</v>
      </c>
      <c r="L5" s="101">
        <v>15</v>
      </c>
      <c r="N5" s="107" t="s">
        <v>239</v>
      </c>
      <c r="O5" s="108">
        <v>1</v>
      </c>
    </row>
    <row r="6" spans="2:15">
      <c r="B6" s="98" t="s">
        <v>240</v>
      </c>
      <c r="C6" s="99">
        <v>5</v>
      </c>
      <c r="E6" s="98" t="s">
        <v>241</v>
      </c>
      <c r="F6" s="99">
        <v>1</v>
      </c>
      <c r="H6" s="98" t="s">
        <v>102</v>
      </c>
      <c r="I6" s="99">
        <v>25</v>
      </c>
      <c r="K6" s="98" t="s">
        <v>242</v>
      </c>
      <c r="L6" s="99">
        <v>15</v>
      </c>
      <c r="N6" s="105" t="s">
        <v>243</v>
      </c>
      <c r="O6" s="106">
        <v>1</v>
      </c>
    </row>
    <row r="7" spans="2:15">
      <c r="B7" s="100" t="s">
        <v>244</v>
      </c>
      <c r="C7" s="101">
        <v>5</v>
      </c>
      <c r="E7" s="100" t="s">
        <v>245</v>
      </c>
      <c r="F7" s="101">
        <v>1</v>
      </c>
      <c r="H7" s="100" t="s">
        <v>246</v>
      </c>
      <c r="I7" s="101">
        <v>15</v>
      </c>
      <c r="K7" s="100" t="s">
        <v>247</v>
      </c>
      <c r="L7" s="101">
        <v>10</v>
      </c>
      <c r="N7" s="107" t="s">
        <v>248</v>
      </c>
      <c r="O7" s="108">
        <v>1</v>
      </c>
    </row>
    <row r="8" spans="2:15">
      <c r="B8" s="98" t="s">
        <v>249</v>
      </c>
      <c r="C8" s="99">
        <v>5</v>
      </c>
      <c r="E8" s="98" t="s">
        <v>250</v>
      </c>
      <c r="F8" s="99">
        <v>1</v>
      </c>
      <c r="H8" s="98" t="s">
        <v>104</v>
      </c>
      <c r="I8" s="99">
        <v>20</v>
      </c>
      <c r="K8" s="98" t="s">
        <v>251</v>
      </c>
      <c r="L8" s="99">
        <v>10</v>
      </c>
      <c r="N8" s="105" t="s">
        <v>116</v>
      </c>
      <c r="O8" s="106">
        <v>1</v>
      </c>
    </row>
    <row r="9" ht="17.25" spans="2:15">
      <c r="B9" s="100" t="s">
        <v>252</v>
      </c>
      <c r="C9" s="101">
        <v>5</v>
      </c>
      <c r="E9" s="100" t="s">
        <v>253</v>
      </c>
      <c r="F9" s="101">
        <v>1</v>
      </c>
      <c r="H9" s="100" t="s">
        <v>254</v>
      </c>
      <c r="I9" s="101">
        <v>15</v>
      </c>
      <c r="K9" s="100" t="s">
        <v>108</v>
      </c>
      <c r="L9" s="101">
        <v>20</v>
      </c>
      <c r="N9" s="109" t="s">
        <v>255</v>
      </c>
      <c r="O9" s="110">
        <v>5</v>
      </c>
    </row>
    <row r="10" ht="17.25" spans="2:12">
      <c r="B10" s="98" t="s">
        <v>256</v>
      </c>
      <c r="C10" s="99">
        <v>5</v>
      </c>
      <c r="E10" s="98" t="s">
        <v>99</v>
      </c>
      <c r="F10" s="99">
        <v>1</v>
      </c>
      <c r="H10" s="98" t="s">
        <v>257</v>
      </c>
      <c r="I10" s="99">
        <v>10</v>
      </c>
      <c r="K10" s="103" t="s">
        <v>258</v>
      </c>
      <c r="L10" s="104">
        <v>10</v>
      </c>
    </row>
    <row r="11" ht="17.25" spans="2:9">
      <c r="B11" s="100" t="s">
        <v>259</v>
      </c>
      <c r="C11" s="101">
        <v>5</v>
      </c>
      <c r="E11" s="100" t="s">
        <v>260</v>
      </c>
      <c r="F11" s="101">
        <v>1</v>
      </c>
      <c r="H11" s="102" t="s">
        <v>261</v>
      </c>
      <c r="I11" s="111">
        <v>20</v>
      </c>
    </row>
    <row r="12" spans="2:6">
      <c r="B12" s="98" t="s">
        <v>231</v>
      </c>
      <c r="C12" s="99">
        <v>5</v>
      </c>
      <c r="E12" s="98" t="s">
        <v>262</v>
      </c>
      <c r="F12" s="99">
        <v>1</v>
      </c>
    </row>
    <row r="13" spans="2:6">
      <c r="B13" s="100" t="s">
        <v>263</v>
      </c>
      <c r="C13" s="101">
        <v>5</v>
      </c>
      <c r="E13" s="100" t="s">
        <v>264</v>
      </c>
      <c r="F13" s="101">
        <v>1</v>
      </c>
    </row>
    <row r="14" spans="2:6">
      <c r="B14" s="98" t="s">
        <v>265</v>
      </c>
      <c r="C14" s="99">
        <v>5</v>
      </c>
      <c r="E14" s="98" t="s">
        <v>266</v>
      </c>
      <c r="F14" s="99">
        <v>1</v>
      </c>
    </row>
    <row r="15" spans="2:6">
      <c r="B15" s="100" t="s">
        <v>267</v>
      </c>
      <c r="C15" s="101">
        <v>5</v>
      </c>
      <c r="E15" s="100" t="s">
        <v>268</v>
      </c>
      <c r="F15" s="101">
        <v>1</v>
      </c>
    </row>
    <row r="16" ht="17.25" spans="2:12">
      <c r="B16" s="98" t="s">
        <v>269</v>
      </c>
      <c r="C16" s="99">
        <v>5</v>
      </c>
      <c r="E16" s="103" t="s">
        <v>270</v>
      </c>
      <c r="F16" s="104">
        <v>1</v>
      </c>
      <c r="H16" s="57" t="s">
        <v>271</v>
      </c>
      <c r="I16" s="57"/>
      <c r="J16" s="57"/>
      <c r="K16" s="57"/>
      <c r="L16" s="57"/>
    </row>
    <row r="17" spans="2:3">
      <c r="B17" s="100" t="s">
        <v>272</v>
      </c>
      <c r="C17" s="101">
        <v>5</v>
      </c>
    </row>
    <row r="18" spans="2:3">
      <c r="B18" s="98" t="s">
        <v>273</v>
      </c>
      <c r="C18" s="99">
        <v>5</v>
      </c>
    </row>
    <row r="19" spans="2:3">
      <c r="B19" s="100" t="s">
        <v>274</v>
      </c>
      <c r="C19" s="101">
        <v>5</v>
      </c>
    </row>
    <row r="20" ht="17.25" spans="2:3">
      <c r="B20" s="103" t="s">
        <v>275</v>
      </c>
      <c r="C20" s="104">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hyperlinks>
    <hyperlink ref="H16:L16" location="建卡!O80" display="点击这里返回“建卡”标签。"/>
  </hyperlink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16"/>
  <sheetViews>
    <sheetView showGridLines="0" showRowColHeaders="0" workbookViewId="0">
      <pane ySplit="1" topLeftCell="A50" activePane="bottomLeft" state="frozen"/>
      <selection/>
      <selection pane="bottomLeft" activeCell="B62" sqref="B62"/>
    </sheetView>
  </sheetViews>
  <sheetFormatPr defaultColWidth="9" defaultRowHeight="16.5" outlineLevelCol="5"/>
  <cols>
    <col min="1" max="1" width="9" style="63"/>
    <col min="2" max="2" width="22.5" style="64" customWidth="1"/>
    <col min="3" max="3" width="9" style="65"/>
    <col min="4" max="4" width="21.25" style="66" customWidth="1"/>
    <col min="5" max="5" width="8.125" style="63" customWidth="1"/>
    <col min="6" max="6" width="140" style="67" customWidth="1"/>
    <col min="7" max="16384" width="9" style="63"/>
  </cols>
  <sheetData>
    <row r="1" spans="1:6">
      <c r="A1" s="68" t="s">
        <v>276</v>
      </c>
      <c r="B1" s="69" t="s">
        <v>37</v>
      </c>
      <c r="C1" s="70" t="s">
        <v>277</v>
      </c>
      <c r="D1" s="71" t="s">
        <v>278</v>
      </c>
      <c r="E1" s="69" t="s">
        <v>279</v>
      </c>
      <c r="F1" s="72" t="s">
        <v>280</v>
      </c>
    </row>
    <row r="2" spans="1:6">
      <c r="A2" s="73">
        <v>0</v>
      </c>
      <c r="B2" s="74" t="s">
        <v>281</v>
      </c>
      <c r="C2" s="75" t="s">
        <v>282</v>
      </c>
      <c r="D2" s="76" t="s">
        <v>283</v>
      </c>
      <c r="E2" s="77">
        <f>LOOKUP(D2,附表!E26:E30,附表!F26:F30)</f>
        <v>300</v>
      </c>
      <c r="F2" s="78" t="s">
        <v>284</v>
      </c>
    </row>
    <row r="3" ht="17.25" spans="1:6">
      <c r="A3" s="79">
        <v>1</v>
      </c>
      <c r="B3" s="80" t="s">
        <v>285</v>
      </c>
      <c r="C3" s="81" t="s">
        <v>286</v>
      </c>
      <c r="D3" s="82" t="s">
        <v>287</v>
      </c>
      <c r="E3" s="81">
        <f>EDU*4</f>
        <v>300</v>
      </c>
      <c r="F3" s="83" t="s">
        <v>288</v>
      </c>
    </row>
    <row r="4" ht="17.25" spans="1:6">
      <c r="A4" s="73">
        <v>2</v>
      </c>
      <c r="B4" s="84" t="s">
        <v>289</v>
      </c>
      <c r="C4" s="75" t="s">
        <v>290</v>
      </c>
      <c r="D4" s="85" t="s">
        <v>291</v>
      </c>
      <c r="E4" s="77">
        <f>EDU*2+DEX*2</f>
        <v>280</v>
      </c>
      <c r="F4" s="78" t="s">
        <v>292</v>
      </c>
    </row>
    <row r="5" spans="1:6">
      <c r="A5" s="79">
        <v>3</v>
      </c>
      <c r="B5" s="80" t="s">
        <v>293</v>
      </c>
      <c r="C5" s="81" t="s">
        <v>294</v>
      </c>
      <c r="D5" s="82" t="s">
        <v>295</v>
      </c>
      <c r="E5" s="81">
        <f>EDU*2+APP*2</f>
        <v>270</v>
      </c>
      <c r="F5" s="83" t="s">
        <v>296</v>
      </c>
    </row>
    <row r="6" spans="1:6">
      <c r="A6" s="73">
        <v>4</v>
      </c>
      <c r="B6" s="84" t="s">
        <v>297</v>
      </c>
      <c r="C6" s="75" t="s">
        <v>298</v>
      </c>
      <c r="D6" s="85" t="s">
        <v>295</v>
      </c>
      <c r="E6" s="77">
        <f>EDU*2+APP*2</f>
        <v>270</v>
      </c>
      <c r="F6" s="78" t="s">
        <v>299</v>
      </c>
    </row>
    <row r="7" spans="1:6">
      <c r="A7" s="79">
        <v>5</v>
      </c>
      <c r="B7" s="80" t="s">
        <v>300</v>
      </c>
      <c r="C7" s="81" t="s">
        <v>301</v>
      </c>
      <c r="D7" s="82" t="s">
        <v>302</v>
      </c>
      <c r="E7" s="81">
        <f>EDU*2+MAX(STR,DEX)*2</f>
        <v>280</v>
      </c>
      <c r="F7" s="83" t="s">
        <v>303</v>
      </c>
    </row>
    <row r="8" spans="1:6">
      <c r="A8" s="73">
        <v>6</v>
      </c>
      <c r="B8" s="84" t="s">
        <v>304</v>
      </c>
      <c r="C8" s="75" t="s">
        <v>305</v>
      </c>
      <c r="D8" s="85" t="s">
        <v>283</v>
      </c>
      <c r="E8" s="77">
        <f>EDU*4</f>
        <v>300</v>
      </c>
      <c r="F8" s="78" t="s">
        <v>306</v>
      </c>
    </row>
    <row r="9" spans="1:6">
      <c r="A9" s="79">
        <v>7</v>
      </c>
      <c r="B9" s="80" t="s">
        <v>307</v>
      </c>
      <c r="C9" s="81" t="s">
        <v>308</v>
      </c>
      <c r="D9" s="82" t="s">
        <v>309</v>
      </c>
      <c r="E9" s="81">
        <f>EDU*2+MAX(APP,POW)*2</f>
        <v>280</v>
      </c>
      <c r="F9" s="83" t="s">
        <v>310</v>
      </c>
    </row>
    <row r="10" spans="1:6">
      <c r="A10" s="73">
        <v>8</v>
      </c>
      <c r="B10" s="84" t="s">
        <v>311</v>
      </c>
      <c r="C10" s="75" t="s">
        <v>286</v>
      </c>
      <c r="D10" s="85" t="s">
        <v>283</v>
      </c>
      <c r="E10" s="77">
        <f>EDU*4</f>
        <v>300</v>
      </c>
      <c r="F10" s="78" t="s">
        <v>312</v>
      </c>
    </row>
    <row r="11" spans="1:6">
      <c r="A11" s="79">
        <v>9</v>
      </c>
      <c r="B11" s="80" t="s">
        <v>313</v>
      </c>
      <c r="C11" s="81" t="s">
        <v>314</v>
      </c>
      <c r="D11" s="82" t="s">
        <v>283</v>
      </c>
      <c r="E11" s="81">
        <f>EDU*4</f>
        <v>300</v>
      </c>
      <c r="F11" s="83" t="s">
        <v>315</v>
      </c>
    </row>
    <row r="12" spans="1:6">
      <c r="A12" s="73">
        <v>10</v>
      </c>
      <c r="B12" s="84" t="s">
        <v>316</v>
      </c>
      <c r="C12" s="75" t="s">
        <v>308</v>
      </c>
      <c r="D12" s="85" t="s">
        <v>283</v>
      </c>
      <c r="E12" s="77">
        <f>EDU*4</f>
        <v>300</v>
      </c>
      <c r="F12" s="78" t="s">
        <v>317</v>
      </c>
    </row>
    <row r="13" spans="1:6">
      <c r="A13" s="79">
        <v>11</v>
      </c>
      <c r="B13" s="80" t="s">
        <v>318</v>
      </c>
      <c r="C13" s="81" t="s">
        <v>286</v>
      </c>
      <c r="D13" s="82" t="s">
        <v>283</v>
      </c>
      <c r="E13" s="81">
        <f>EDU*4</f>
        <v>300</v>
      </c>
      <c r="F13" s="83" t="s">
        <v>319</v>
      </c>
    </row>
    <row r="14" spans="1:6">
      <c r="A14" s="73">
        <v>12</v>
      </c>
      <c r="B14" s="84" t="s">
        <v>320</v>
      </c>
      <c r="C14" s="75" t="s">
        <v>321</v>
      </c>
      <c r="D14" s="85" t="s">
        <v>322</v>
      </c>
      <c r="E14" s="77">
        <f>EDU*2+MAX(DEX,POW)*2</f>
        <v>280</v>
      </c>
      <c r="F14" s="78" t="s">
        <v>323</v>
      </c>
    </row>
    <row r="15" ht="17.25" customHeight="1" spans="1:6">
      <c r="A15" s="79">
        <v>13</v>
      </c>
      <c r="B15" s="80" t="s">
        <v>324</v>
      </c>
      <c r="C15" s="81" t="s">
        <v>325</v>
      </c>
      <c r="D15" s="82" t="s">
        <v>302</v>
      </c>
      <c r="E15" s="81">
        <f>EDU*2+MAX(STR,DEX)*2</f>
        <v>280</v>
      </c>
      <c r="F15" s="83" t="s">
        <v>326</v>
      </c>
    </row>
    <row r="16" ht="17.25" customHeight="1" spans="1:6">
      <c r="A16" s="73">
        <v>14</v>
      </c>
      <c r="B16" s="84" t="s">
        <v>327</v>
      </c>
      <c r="C16" s="75" t="s">
        <v>328</v>
      </c>
      <c r="D16" s="85" t="s">
        <v>302</v>
      </c>
      <c r="E16" s="77">
        <f>EDU*2+MAX(STR,DEX)*2</f>
        <v>280</v>
      </c>
      <c r="F16" s="78" t="s">
        <v>329</v>
      </c>
    </row>
    <row r="17" customHeight="1" spans="1:6">
      <c r="A17" s="79">
        <v>15</v>
      </c>
      <c r="B17" s="80" t="s">
        <v>330</v>
      </c>
      <c r="C17" s="81" t="s">
        <v>331</v>
      </c>
      <c r="D17" s="82" t="s">
        <v>283</v>
      </c>
      <c r="E17" s="81">
        <f>EDU*4</f>
        <v>300</v>
      </c>
      <c r="F17" s="83" t="s">
        <v>332</v>
      </c>
    </row>
    <row r="18" spans="1:6">
      <c r="A18" s="73">
        <v>16</v>
      </c>
      <c r="B18" s="84" t="s">
        <v>333</v>
      </c>
      <c r="C18" s="75" t="s">
        <v>334</v>
      </c>
      <c r="D18" s="85" t="s">
        <v>295</v>
      </c>
      <c r="E18" s="77">
        <f>EDU*2+APP*2</f>
        <v>270</v>
      </c>
      <c r="F18" s="78" t="s">
        <v>335</v>
      </c>
    </row>
    <row r="19" customHeight="1" spans="1:6">
      <c r="A19" s="79">
        <v>17</v>
      </c>
      <c r="B19" s="80" t="s">
        <v>336</v>
      </c>
      <c r="C19" s="81" t="s">
        <v>337</v>
      </c>
      <c r="D19" s="82" t="s">
        <v>302</v>
      </c>
      <c r="E19" s="81">
        <f>EDU*2+MAX(STR,DEX)*2</f>
        <v>280</v>
      </c>
      <c r="F19" s="83" t="s">
        <v>338</v>
      </c>
    </row>
    <row r="20" customHeight="1" spans="1:6">
      <c r="A20" s="73">
        <v>18</v>
      </c>
      <c r="B20" s="84" t="s">
        <v>339</v>
      </c>
      <c r="C20" s="75" t="s">
        <v>340</v>
      </c>
      <c r="D20" s="85" t="s">
        <v>283</v>
      </c>
      <c r="E20" s="77">
        <f>EDU*4</f>
        <v>300</v>
      </c>
      <c r="F20" s="78" t="s">
        <v>341</v>
      </c>
    </row>
    <row r="21" spans="1:6">
      <c r="A21" s="79">
        <v>19</v>
      </c>
      <c r="B21" s="80" t="s">
        <v>342</v>
      </c>
      <c r="C21" s="81" t="s">
        <v>331</v>
      </c>
      <c r="D21" s="82" t="s">
        <v>302</v>
      </c>
      <c r="E21" s="81">
        <f>EDU*2+MAX(STR,DEX)*2</f>
        <v>280</v>
      </c>
      <c r="F21" s="83" t="s">
        <v>343</v>
      </c>
    </row>
    <row r="22" customHeight="1" spans="1:6">
      <c r="A22" s="73">
        <v>20</v>
      </c>
      <c r="B22" s="84" t="s">
        <v>344</v>
      </c>
      <c r="C22" s="75" t="s">
        <v>345</v>
      </c>
      <c r="D22" s="85" t="s">
        <v>346</v>
      </c>
      <c r="E22" s="77">
        <f>EDU*2+STR*2</f>
        <v>280</v>
      </c>
      <c r="F22" s="78" t="s">
        <v>347</v>
      </c>
    </row>
    <row r="23" customHeight="1" spans="1:6">
      <c r="A23" s="79">
        <v>21</v>
      </c>
      <c r="B23" s="80" t="s">
        <v>348</v>
      </c>
      <c r="C23" s="81" t="s">
        <v>294</v>
      </c>
      <c r="D23" s="82" t="s">
        <v>283</v>
      </c>
      <c r="E23" s="81">
        <f>EDU*4</f>
        <v>300</v>
      </c>
      <c r="F23" s="83" t="s">
        <v>349</v>
      </c>
    </row>
    <row r="24" spans="1:6">
      <c r="A24" s="73">
        <v>22</v>
      </c>
      <c r="B24" s="84" t="s">
        <v>350</v>
      </c>
      <c r="C24" s="75" t="s">
        <v>345</v>
      </c>
      <c r="D24" s="85" t="s">
        <v>283</v>
      </c>
      <c r="E24" s="77">
        <f>EDU*4</f>
        <v>300</v>
      </c>
      <c r="F24" s="78" t="s">
        <v>351</v>
      </c>
    </row>
    <row r="25" spans="1:6">
      <c r="A25" s="79">
        <v>23</v>
      </c>
      <c r="B25" s="80" t="s">
        <v>352</v>
      </c>
      <c r="C25" s="81" t="s">
        <v>353</v>
      </c>
      <c r="D25" s="82" t="s">
        <v>283</v>
      </c>
      <c r="E25" s="81">
        <f>EDU*4</f>
        <v>300</v>
      </c>
      <c r="F25" s="83" t="s">
        <v>354</v>
      </c>
    </row>
    <row r="26" spans="1:6">
      <c r="A26" s="73">
        <v>24</v>
      </c>
      <c r="B26" s="84" t="s">
        <v>355</v>
      </c>
      <c r="C26" s="75" t="s">
        <v>353</v>
      </c>
      <c r="D26" s="85" t="s">
        <v>283</v>
      </c>
      <c r="E26" s="77">
        <f>EDU*4</f>
        <v>300</v>
      </c>
      <c r="F26" s="78" t="s">
        <v>356</v>
      </c>
    </row>
    <row r="27" spans="1:6">
      <c r="A27" s="79">
        <v>25</v>
      </c>
      <c r="B27" s="80" t="s">
        <v>357</v>
      </c>
      <c r="C27" s="81" t="s">
        <v>290</v>
      </c>
      <c r="D27" s="82" t="s">
        <v>302</v>
      </c>
      <c r="E27" s="81">
        <f>EDU*2+MAX(STR,DEX)*2</f>
        <v>280</v>
      </c>
      <c r="F27" s="83" t="s">
        <v>358</v>
      </c>
    </row>
    <row r="28" ht="17.25" customHeight="1" spans="1:6">
      <c r="A28" s="73">
        <v>26</v>
      </c>
      <c r="B28" s="84" t="s">
        <v>359</v>
      </c>
      <c r="C28" s="75" t="s">
        <v>308</v>
      </c>
      <c r="D28" s="85" t="s">
        <v>360</v>
      </c>
      <c r="E28" s="77">
        <f>EDU*2+DEX*2</f>
        <v>280</v>
      </c>
      <c r="F28" s="78" t="s">
        <v>361</v>
      </c>
    </row>
    <row r="29" customHeight="1" spans="1:6">
      <c r="A29" s="79">
        <v>27</v>
      </c>
      <c r="B29" s="80" t="s">
        <v>362</v>
      </c>
      <c r="C29" s="81" t="s">
        <v>363</v>
      </c>
      <c r="D29" s="82" t="s">
        <v>302</v>
      </c>
      <c r="E29" s="81">
        <f>EDU*2+MAX(STR,DEX)*2</f>
        <v>280</v>
      </c>
      <c r="F29" s="83" t="s">
        <v>364</v>
      </c>
    </row>
    <row r="30" ht="17.25" customHeight="1" spans="1:6">
      <c r="A30" s="73">
        <v>28</v>
      </c>
      <c r="B30" s="84" t="s">
        <v>365</v>
      </c>
      <c r="C30" s="75" t="s">
        <v>366</v>
      </c>
      <c r="D30" s="85" t="s">
        <v>302</v>
      </c>
      <c r="E30" s="77">
        <f>EDU*2+MAX(STR,DEX)*2</f>
        <v>280</v>
      </c>
      <c r="F30" s="78" t="s">
        <v>367</v>
      </c>
    </row>
    <row r="31" ht="17.25" customHeight="1" spans="1:6">
      <c r="A31" s="79">
        <v>29</v>
      </c>
      <c r="B31" s="80" t="s">
        <v>368</v>
      </c>
      <c r="C31" s="81" t="s">
        <v>369</v>
      </c>
      <c r="D31" s="82" t="s">
        <v>370</v>
      </c>
      <c r="E31" s="81">
        <f>EDU*2+STR*2</f>
        <v>280</v>
      </c>
      <c r="F31" s="83" t="s">
        <v>371</v>
      </c>
    </row>
    <row r="32" ht="17.25" customHeight="1" spans="1:6">
      <c r="A32" s="73">
        <v>30</v>
      </c>
      <c r="B32" s="84" t="s">
        <v>372</v>
      </c>
      <c r="C32" s="75" t="s">
        <v>373</v>
      </c>
      <c r="D32" s="85" t="s">
        <v>291</v>
      </c>
      <c r="E32" s="77">
        <f>EDU*2+DEX*2</f>
        <v>280</v>
      </c>
      <c r="F32" s="78" t="s">
        <v>374</v>
      </c>
    </row>
    <row r="33" ht="17.25" customHeight="1" spans="1:6">
      <c r="A33" s="79">
        <v>31</v>
      </c>
      <c r="B33" s="80" t="s">
        <v>375</v>
      </c>
      <c r="C33" s="81" t="s">
        <v>376</v>
      </c>
      <c r="D33" s="82" t="s">
        <v>377</v>
      </c>
      <c r="E33" s="81">
        <f>EDU*2+APP*2</f>
        <v>270</v>
      </c>
      <c r="F33" s="83" t="s">
        <v>378</v>
      </c>
    </row>
    <row r="34" ht="17.25" customHeight="1" spans="1:6">
      <c r="A34" s="73">
        <v>32</v>
      </c>
      <c r="B34" s="84" t="s">
        <v>379</v>
      </c>
      <c r="C34" s="75" t="s">
        <v>380</v>
      </c>
      <c r="D34" s="85" t="s">
        <v>381</v>
      </c>
      <c r="E34" s="77">
        <f>EDU*2+MAX(DEX,APP)*2</f>
        <v>280</v>
      </c>
      <c r="F34" s="78" t="s">
        <v>382</v>
      </c>
    </row>
    <row r="35" ht="17.25" customHeight="1" spans="1:6">
      <c r="A35" s="79">
        <v>33</v>
      </c>
      <c r="B35" s="80" t="s">
        <v>383</v>
      </c>
      <c r="C35" s="81" t="s">
        <v>384</v>
      </c>
      <c r="D35" s="82" t="s">
        <v>377</v>
      </c>
      <c r="E35" s="81">
        <f>EDU*2+APP*2</f>
        <v>270</v>
      </c>
      <c r="F35" s="83" t="s">
        <v>385</v>
      </c>
    </row>
    <row r="36" ht="17.25" customHeight="1" spans="1:6">
      <c r="A36" s="73">
        <v>34</v>
      </c>
      <c r="B36" s="84" t="s">
        <v>386</v>
      </c>
      <c r="C36" s="75" t="s">
        <v>340</v>
      </c>
      <c r="D36" s="85" t="s">
        <v>377</v>
      </c>
      <c r="E36" s="77">
        <f>EDU*2+APP*2</f>
        <v>270</v>
      </c>
      <c r="F36" s="78" t="s">
        <v>387</v>
      </c>
    </row>
    <row r="37" ht="17.25" customHeight="1" spans="1:6">
      <c r="A37" s="79">
        <v>35</v>
      </c>
      <c r="B37" s="80" t="s">
        <v>388</v>
      </c>
      <c r="C37" s="81" t="s">
        <v>389</v>
      </c>
      <c r="D37" s="82" t="s">
        <v>283</v>
      </c>
      <c r="E37" s="81">
        <f>EDU*4</f>
        <v>300</v>
      </c>
      <c r="F37" s="83" t="s">
        <v>390</v>
      </c>
    </row>
    <row r="38" spans="1:6">
      <c r="A38" s="73">
        <v>36</v>
      </c>
      <c r="B38" s="84" t="s">
        <v>391</v>
      </c>
      <c r="C38" s="75" t="s">
        <v>389</v>
      </c>
      <c r="D38" s="85" t="s">
        <v>381</v>
      </c>
      <c r="E38" s="77">
        <f>EDU*2+MAX(DEX,APP)*2</f>
        <v>280</v>
      </c>
      <c r="F38" s="78" t="s">
        <v>392</v>
      </c>
    </row>
    <row r="39" ht="17.25" customHeight="1" spans="1:6">
      <c r="A39" s="79">
        <v>37</v>
      </c>
      <c r="B39" s="80" t="s">
        <v>393</v>
      </c>
      <c r="C39" s="81" t="s">
        <v>394</v>
      </c>
      <c r="D39" s="82" t="s">
        <v>302</v>
      </c>
      <c r="E39" s="81">
        <f>EDU*2+MAX(STR,DEX)*2</f>
        <v>280</v>
      </c>
      <c r="F39" s="83" t="s">
        <v>395</v>
      </c>
    </row>
    <row r="40" ht="17.25" customHeight="1" spans="1:6">
      <c r="A40" s="73">
        <v>38</v>
      </c>
      <c r="B40" s="84" t="s">
        <v>396</v>
      </c>
      <c r="C40" s="75" t="s">
        <v>363</v>
      </c>
      <c r="D40" s="85" t="s">
        <v>283</v>
      </c>
      <c r="E40" s="77">
        <f>EDU*4</f>
        <v>300</v>
      </c>
      <c r="F40" s="78" t="s">
        <v>397</v>
      </c>
    </row>
    <row r="41" spans="1:6">
      <c r="A41" s="79">
        <v>39</v>
      </c>
      <c r="B41" s="80" t="s">
        <v>398</v>
      </c>
      <c r="C41" s="81" t="s">
        <v>337</v>
      </c>
      <c r="D41" s="82" t="s">
        <v>283</v>
      </c>
      <c r="E41" s="81">
        <f>EDU*4</f>
        <v>300</v>
      </c>
      <c r="F41" s="83" t="s">
        <v>399</v>
      </c>
    </row>
    <row r="42" spans="1:6">
      <c r="A42" s="73">
        <v>40</v>
      </c>
      <c r="B42" s="84" t="s">
        <v>400</v>
      </c>
      <c r="C42" s="75" t="s">
        <v>389</v>
      </c>
      <c r="D42" s="85" t="s">
        <v>283</v>
      </c>
      <c r="E42" s="77">
        <f>EDU*4</f>
        <v>300</v>
      </c>
      <c r="F42" s="78" t="s">
        <v>401</v>
      </c>
    </row>
    <row r="43" spans="1:6">
      <c r="A43" s="79">
        <v>41</v>
      </c>
      <c r="B43" s="80" t="s">
        <v>402</v>
      </c>
      <c r="C43" s="81" t="s">
        <v>403</v>
      </c>
      <c r="D43" s="82" t="s">
        <v>295</v>
      </c>
      <c r="E43" s="81">
        <f>EDU*2+APP*2</f>
        <v>270</v>
      </c>
      <c r="F43" s="83" t="s">
        <v>404</v>
      </c>
    </row>
    <row r="44" ht="17.25" customHeight="1" spans="1:6">
      <c r="A44" s="73">
        <v>42</v>
      </c>
      <c r="B44" s="84" t="s">
        <v>405</v>
      </c>
      <c r="C44" s="75" t="s">
        <v>331</v>
      </c>
      <c r="D44" s="85" t="s">
        <v>291</v>
      </c>
      <c r="E44" s="77">
        <f>EDU*2+DEX*2</f>
        <v>280</v>
      </c>
      <c r="F44" s="78" t="s">
        <v>406</v>
      </c>
    </row>
    <row r="45" ht="17.25" customHeight="1" spans="1:6">
      <c r="A45" s="79">
        <v>43</v>
      </c>
      <c r="B45" s="80" t="s">
        <v>407</v>
      </c>
      <c r="C45" s="81" t="s">
        <v>408</v>
      </c>
      <c r="D45" s="82" t="s">
        <v>283</v>
      </c>
      <c r="E45" s="81">
        <f>EDU*4</f>
        <v>300</v>
      </c>
      <c r="F45" s="83" t="s">
        <v>409</v>
      </c>
    </row>
    <row r="46" ht="33" spans="1:6">
      <c r="A46" s="73">
        <v>44</v>
      </c>
      <c r="B46" s="84" t="s">
        <v>410</v>
      </c>
      <c r="C46" s="75" t="s">
        <v>411</v>
      </c>
      <c r="D46" s="85" t="s">
        <v>412</v>
      </c>
      <c r="E46" s="77">
        <f>MAX(APP,DEX,STR)*2+EDU*2</f>
        <v>280</v>
      </c>
      <c r="F46" s="78" t="s">
        <v>413</v>
      </c>
    </row>
    <row r="47" ht="33" customHeight="1" spans="1:6">
      <c r="A47" s="79">
        <v>45</v>
      </c>
      <c r="B47" s="80" t="s">
        <v>414</v>
      </c>
      <c r="C47" s="81" t="s">
        <v>308</v>
      </c>
      <c r="D47" s="82" t="s">
        <v>291</v>
      </c>
      <c r="E47" s="81">
        <f>EDU*2+DEX*2</f>
        <v>280</v>
      </c>
      <c r="F47" s="83" t="s">
        <v>415</v>
      </c>
    </row>
    <row r="48" ht="17.25" customHeight="1" spans="1:6">
      <c r="A48" s="73">
        <v>46</v>
      </c>
      <c r="B48" s="84" t="s">
        <v>416</v>
      </c>
      <c r="C48" s="75" t="s">
        <v>290</v>
      </c>
      <c r="D48" s="85" t="s">
        <v>302</v>
      </c>
      <c r="E48" s="77">
        <f>EDU*2+MAX(STR,DEX)*2</f>
        <v>280</v>
      </c>
      <c r="F48" s="78" t="s">
        <v>417</v>
      </c>
    </row>
    <row r="49" ht="17.25" customHeight="1" spans="1:6">
      <c r="A49" s="79">
        <v>47</v>
      </c>
      <c r="B49" s="80" t="s">
        <v>418</v>
      </c>
      <c r="C49" s="81" t="s">
        <v>331</v>
      </c>
      <c r="D49" s="82" t="s">
        <v>291</v>
      </c>
      <c r="E49" s="81">
        <f>EDU*2+DEX*2</f>
        <v>280</v>
      </c>
      <c r="F49" s="83" t="s">
        <v>419</v>
      </c>
    </row>
    <row r="50" ht="17.25" customHeight="1" spans="1:6">
      <c r="A50" s="73">
        <v>48</v>
      </c>
      <c r="B50" s="84" t="s">
        <v>420</v>
      </c>
      <c r="C50" s="75" t="s">
        <v>421</v>
      </c>
      <c r="D50" s="85" t="s">
        <v>283</v>
      </c>
      <c r="E50" s="77">
        <f>EDU*4</f>
        <v>300</v>
      </c>
      <c r="F50" s="78" t="s">
        <v>422</v>
      </c>
    </row>
    <row r="51" ht="17.25" spans="1:6">
      <c r="A51" s="79">
        <v>49</v>
      </c>
      <c r="B51" s="80" t="s">
        <v>423</v>
      </c>
      <c r="C51" s="81" t="s">
        <v>424</v>
      </c>
      <c r="D51" s="82" t="s">
        <v>377</v>
      </c>
      <c r="E51" s="81">
        <f>EDU*2+APP*2</f>
        <v>270</v>
      </c>
      <c r="F51" s="83" t="s">
        <v>425</v>
      </c>
    </row>
    <row r="52" ht="17.25" customHeight="1" spans="1:6">
      <c r="A52" s="73">
        <v>50</v>
      </c>
      <c r="B52" s="84" t="s">
        <v>426</v>
      </c>
      <c r="C52" s="75" t="s">
        <v>363</v>
      </c>
      <c r="D52" s="85" t="s">
        <v>283</v>
      </c>
      <c r="E52" s="77">
        <f>EDU*4</f>
        <v>300</v>
      </c>
      <c r="F52" s="78" t="s">
        <v>427</v>
      </c>
    </row>
    <row r="53" spans="1:6">
      <c r="A53" s="79">
        <v>51</v>
      </c>
      <c r="B53" s="80" t="s">
        <v>428</v>
      </c>
      <c r="C53" s="81" t="s">
        <v>328</v>
      </c>
      <c r="D53" s="82" t="s">
        <v>295</v>
      </c>
      <c r="E53" s="81">
        <f>EDU*2+APP*2</f>
        <v>270</v>
      </c>
      <c r="F53" s="83" t="s">
        <v>429</v>
      </c>
    </row>
    <row r="54" customHeight="1" spans="1:6">
      <c r="A54" s="73">
        <v>52</v>
      </c>
      <c r="B54" s="84" t="s">
        <v>430</v>
      </c>
      <c r="C54" s="75" t="s">
        <v>431</v>
      </c>
      <c r="D54" s="85" t="s">
        <v>412</v>
      </c>
      <c r="E54" s="77">
        <f>MAX(APP,DEX,STR)*2+EDU*2</f>
        <v>280</v>
      </c>
      <c r="F54" s="78" t="s">
        <v>432</v>
      </c>
    </row>
    <row r="55" ht="33" customHeight="1" spans="1:6">
      <c r="A55" s="79">
        <v>53</v>
      </c>
      <c r="B55" s="80" t="s">
        <v>433</v>
      </c>
      <c r="C55" s="81" t="s">
        <v>331</v>
      </c>
      <c r="D55" s="82" t="s">
        <v>302</v>
      </c>
      <c r="E55" s="81">
        <f>EDU*2+MAX(STR,DEX)*2</f>
        <v>280</v>
      </c>
      <c r="F55" s="83" t="s">
        <v>434</v>
      </c>
    </row>
    <row r="56" customHeight="1" spans="1:6">
      <c r="A56" s="73">
        <v>54</v>
      </c>
      <c r="B56" s="84" t="s">
        <v>435</v>
      </c>
      <c r="C56" s="75" t="s">
        <v>340</v>
      </c>
      <c r="D56" s="85" t="s">
        <v>283</v>
      </c>
      <c r="E56" s="77">
        <f>EDU*4</f>
        <v>300</v>
      </c>
      <c r="F56" s="78" t="s">
        <v>436</v>
      </c>
    </row>
    <row r="57" spans="1:6">
      <c r="A57" s="79">
        <v>55</v>
      </c>
      <c r="B57" s="80" t="s">
        <v>437</v>
      </c>
      <c r="C57" s="81" t="s">
        <v>331</v>
      </c>
      <c r="D57" s="82" t="s">
        <v>302</v>
      </c>
      <c r="E57" s="81">
        <f>EDU*2+MAX(STR,DEX)*2</f>
        <v>280</v>
      </c>
      <c r="F57" s="83" t="s">
        <v>438</v>
      </c>
    </row>
    <row r="58" customHeight="1" spans="1:6">
      <c r="A58" s="73">
        <v>56</v>
      </c>
      <c r="B58" s="84" t="s">
        <v>439</v>
      </c>
      <c r="C58" s="75" t="s">
        <v>308</v>
      </c>
      <c r="D58" s="85" t="s">
        <v>283</v>
      </c>
      <c r="E58" s="77">
        <f>EDU*4</f>
        <v>300</v>
      </c>
      <c r="F58" s="78" t="s">
        <v>440</v>
      </c>
    </row>
    <row r="59" spans="1:6">
      <c r="A59" s="79">
        <v>57</v>
      </c>
      <c r="B59" s="80" t="s">
        <v>441</v>
      </c>
      <c r="C59" s="81" t="s">
        <v>442</v>
      </c>
      <c r="D59" s="82" t="s">
        <v>283</v>
      </c>
      <c r="E59" s="81">
        <f>EDU*4</f>
        <v>300</v>
      </c>
      <c r="F59" s="83" t="s">
        <v>443</v>
      </c>
    </row>
    <row r="60" spans="1:6">
      <c r="A60" s="73">
        <v>58</v>
      </c>
      <c r="B60" s="84" t="s">
        <v>444</v>
      </c>
      <c r="C60" s="75" t="s">
        <v>445</v>
      </c>
      <c r="D60" s="85" t="s">
        <v>381</v>
      </c>
      <c r="E60" s="77">
        <f>EDU*2+MAX(DEX,APP)*2</f>
        <v>280</v>
      </c>
      <c r="F60" s="78" t="s">
        <v>446</v>
      </c>
    </row>
    <row r="61" spans="1:6">
      <c r="A61" s="79">
        <v>59</v>
      </c>
      <c r="B61" s="80" t="s">
        <v>447</v>
      </c>
      <c r="C61" s="81" t="s">
        <v>448</v>
      </c>
      <c r="D61" s="82" t="s">
        <v>295</v>
      </c>
      <c r="E61" s="81">
        <f>EDU*2+APP*2</f>
        <v>270</v>
      </c>
      <c r="F61" s="83" t="s">
        <v>449</v>
      </c>
    </row>
    <row r="62" spans="1:6">
      <c r="A62" s="73">
        <v>60</v>
      </c>
      <c r="B62" s="84" t="s">
        <v>450</v>
      </c>
      <c r="C62" s="75" t="s">
        <v>290</v>
      </c>
      <c r="D62" s="85" t="s">
        <v>302</v>
      </c>
      <c r="E62" s="77">
        <f>EDU*2+MAX(STR,DEX)*2</f>
        <v>280</v>
      </c>
      <c r="F62" s="78" t="s">
        <v>451</v>
      </c>
    </row>
    <row r="63" ht="17.25" spans="1:6">
      <c r="A63" s="79">
        <v>61</v>
      </c>
      <c r="B63" s="80" t="s">
        <v>452</v>
      </c>
      <c r="C63" s="81" t="s">
        <v>453</v>
      </c>
      <c r="D63" s="82" t="s">
        <v>377</v>
      </c>
      <c r="E63" s="81">
        <f>EDU*2+APP*2</f>
        <v>270</v>
      </c>
      <c r="F63" s="83" t="s">
        <v>454</v>
      </c>
    </row>
    <row r="64" spans="1:6">
      <c r="A64" s="73">
        <v>62</v>
      </c>
      <c r="B64" s="84" t="s">
        <v>455</v>
      </c>
      <c r="C64" s="75" t="s">
        <v>411</v>
      </c>
      <c r="D64" s="85" t="s">
        <v>381</v>
      </c>
      <c r="E64" s="77">
        <f>EDU*2+MAX(DEX,APP)*2</f>
        <v>280</v>
      </c>
      <c r="F64" s="78" t="s">
        <v>456</v>
      </c>
    </row>
    <row r="65" ht="17.25" spans="1:6">
      <c r="A65" s="79">
        <v>63</v>
      </c>
      <c r="B65" s="80" t="s">
        <v>457</v>
      </c>
      <c r="C65" s="81" t="s">
        <v>458</v>
      </c>
      <c r="D65" s="82" t="s">
        <v>370</v>
      </c>
      <c r="E65" s="81">
        <f>EDU*2+STR*2</f>
        <v>280</v>
      </c>
      <c r="F65" s="83" t="s">
        <v>459</v>
      </c>
    </row>
    <row r="66" spans="1:6">
      <c r="A66" s="73">
        <v>64</v>
      </c>
      <c r="B66" s="84" t="s">
        <v>460</v>
      </c>
      <c r="C66" s="75" t="s">
        <v>331</v>
      </c>
      <c r="D66" s="85" t="s">
        <v>283</v>
      </c>
      <c r="E66" s="77">
        <f>EDU*4</f>
        <v>300</v>
      </c>
      <c r="F66" s="78" t="s">
        <v>461</v>
      </c>
    </row>
    <row r="67" spans="1:6">
      <c r="A67" s="79">
        <v>65</v>
      </c>
      <c r="B67" s="80" t="s">
        <v>462</v>
      </c>
      <c r="C67" s="81" t="s">
        <v>331</v>
      </c>
      <c r="D67" s="82" t="s">
        <v>283</v>
      </c>
      <c r="E67" s="81">
        <f>EDU*4</f>
        <v>300</v>
      </c>
      <c r="F67" s="83" t="s">
        <v>463</v>
      </c>
    </row>
    <row r="68" spans="1:6">
      <c r="A68" s="73">
        <v>66</v>
      </c>
      <c r="B68" s="84" t="s">
        <v>464</v>
      </c>
      <c r="C68" s="75" t="s">
        <v>465</v>
      </c>
      <c r="D68" s="85" t="s">
        <v>283</v>
      </c>
      <c r="E68" s="77">
        <f>EDU*4</f>
        <v>300</v>
      </c>
      <c r="F68" s="78" t="s">
        <v>466</v>
      </c>
    </row>
    <row r="69" spans="1:6">
      <c r="A69" s="79">
        <v>67</v>
      </c>
      <c r="B69" s="80" t="s">
        <v>467</v>
      </c>
      <c r="C69" s="81" t="s">
        <v>421</v>
      </c>
      <c r="D69" s="82" t="s">
        <v>283</v>
      </c>
      <c r="E69" s="81">
        <f>EDU*4</f>
        <v>300</v>
      </c>
      <c r="F69" s="83" t="s">
        <v>468</v>
      </c>
    </row>
    <row r="70" spans="1:6">
      <c r="A70" s="73">
        <v>68</v>
      </c>
      <c r="B70" s="84" t="s">
        <v>469</v>
      </c>
      <c r="C70" s="75">
        <v>43373</v>
      </c>
      <c r="D70" s="85" t="s">
        <v>302</v>
      </c>
      <c r="E70" s="77">
        <f>EDU*2+MAX(STR,DEX)*2</f>
        <v>280</v>
      </c>
      <c r="F70" s="78" t="s">
        <v>470</v>
      </c>
    </row>
    <row r="71" customHeight="1" spans="1:6">
      <c r="A71" s="79">
        <v>69</v>
      </c>
      <c r="B71" s="80" t="s">
        <v>471</v>
      </c>
      <c r="C71" s="81" t="s">
        <v>331</v>
      </c>
      <c r="D71" s="82" t="s">
        <v>302</v>
      </c>
      <c r="E71" s="81">
        <f>EDU*2+MAX(STR,DEX)*2</f>
        <v>280</v>
      </c>
      <c r="F71" s="83" t="s">
        <v>472</v>
      </c>
    </row>
    <row r="72" customHeight="1" spans="1:6">
      <c r="A72" s="73">
        <v>70</v>
      </c>
      <c r="B72" s="84" t="s">
        <v>473</v>
      </c>
      <c r="C72" s="75" t="s">
        <v>331</v>
      </c>
      <c r="D72" s="85" t="s">
        <v>302</v>
      </c>
      <c r="E72" s="77">
        <f>EDU*2+MAX(STR,DEX)*2</f>
        <v>280</v>
      </c>
      <c r="F72" s="78" t="s">
        <v>474</v>
      </c>
    </row>
    <row r="73" spans="1:6">
      <c r="A73" s="79">
        <v>71</v>
      </c>
      <c r="B73" s="80" t="s">
        <v>475</v>
      </c>
      <c r="C73" s="81" t="s">
        <v>408</v>
      </c>
      <c r="D73" s="82" t="s">
        <v>283</v>
      </c>
      <c r="E73" s="81">
        <f>EDU*4</f>
        <v>300</v>
      </c>
      <c r="F73" s="83" t="s">
        <v>476</v>
      </c>
    </row>
    <row r="74" spans="1:6">
      <c r="A74" s="73">
        <v>72</v>
      </c>
      <c r="B74" s="84" t="s">
        <v>477</v>
      </c>
      <c r="C74" s="75" t="s">
        <v>478</v>
      </c>
      <c r="D74" s="85" t="s">
        <v>283</v>
      </c>
      <c r="E74" s="77">
        <f>EDU*4</f>
        <v>300</v>
      </c>
      <c r="F74" s="78" t="s">
        <v>479</v>
      </c>
    </row>
    <row r="75" spans="1:6">
      <c r="A75" s="79">
        <v>73</v>
      </c>
      <c r="B75" s="80" t="s">
        <v>480</v>
      </c>
      <c r="C75" s="81" t="s">
        <v>294</v>
      </c>
      <c r="D75" s="82" t="s">
        <v>283</v>
      </c>
      <c r="E75" s="81">
        <f>EDU*4</f>
        <v>300</v>
      </c>
      <c r="F75" s="83" t="s">
        <v>481</v>
      </c>
    </row>
    <row r="76" customHeight="1" spans="1:6">
      <c r="A76" s="73">
        <v>74</v>
      </c>
      <c r="B76" s="84" t="s">
        <v>482</v>
      </c>
      <c r="C76" s="75" t="s">
        <v>483</v>
      </c>
      <c r="D76" s="85" t="s">
        <v>302</v>
      </c>
      <c r="E76" s="77">
        <f>EDU*2+MAX(STR,DEX)*2</f>
        <v>280</v>
      </c>
      <c r="F76" s="78" t="s">
        <v>484</v>
      </c>
    </row>
    <row r="77" ht="17.25" customHeight="1" spans="1:6">
      <c r="A77" s="79">
        <v>75</v>
      </c>
      <c r="B77" s="80" t="s">
        <v>485</v>
      </c>
      <c r="C77" s="81" t="s">
        <v>486</v>
      </c>
      <c r="D77" s="82" t="s">
        <v>295</v>
      </c>
      <c r="E77" s="81">
        <f>EDU*2+APP*2</f>
        <v>270</v>
      </c>
      <c r="F77" s="83" t="s">
        <v>487</v>
      </c>
    </row>
    <row r="78" ht="17.25" customHeight="1" spans="1:6">
      <c r="A78" s="73">
        <v>76</v>
      </c>
      <c r="B78" s="84" t="s">
        <v>488</v>
      </c>
      <c r="C78" s="75" t="s">
        <v>363</v>
      </c>
      <c r="D78" s="85" t="s">
        <v>302</v>
      </c>
      <c r="E78" s="77">
        <f>EDU*2+MAX(STR,DEX)*2</f>
        <v>280</v>
      </c>
      <c r="F78" s="78" t="s">
        <v>489</v>
      </c>
    </row>
    <row r="79" spans="1:6">
      <c r="A79" s="79">
        <v>77</v>
      </c>
      <c r="B79" s="80" t="s">
        <v>490</v>
      </c>
      <c r="C79" s="81" t="s">
        <v>421</v>
      </c>
      <c r="D79" s="82" t="s">
        <v>283</v>
      </c>
      <c r="E79" s="81">
        <f>EDU*4</f>
        <v>300</v>
      </c>
      <c r="F79" s="83" t="s">
        <v>491</v>
      </c>
    </row>
    <row r="80" customHeight="1" spans="1:6">
      <c r="A80" s="73">
        <v>78</v>
      </c>
      <c r="B80" s="84" t="s">
        <v>492</v>
      </c>
      <c r="C80" s="75" t="s">
        <v>331</v>
      </c>
      <c r="D80" s="85" t="s">
        <v>322</v>
      </c>
      <c r="E80" s="77">
        <f>EDU*2+MAX(DEX,POW)*2</f>
        <v>280</v>
      </c>
      <c r="F80" s="78" t="s">
        <v>493</v>
      </c>
    </row>
    <row r="81" spans="1:6">
      <c r="A81" s="79">
        <v>79</v>
      </c>
      <c r="B81" s="80" t="s">
        <v>494</v>
      </c>
      <c r="C81" s="81" t="s">
        <v>331</v>
      </c>
      <c r="D81" s="82" t="s">
        <v>283</v>
      </c>
      <c r="E81" s="81">
        <f>EDU*4</f>
        <v>300</v>
      </c>
      <c r="F81" s="83" t="s">
        <v>495</v>
      </c>
    </row>
    <row r="82" spans="1:6">
      <c r="A82" s="73">
        <v>80</v>
      </c>
      <c r="B82" s="84" t="s">
        <v>496</v>
      </c>
      <c r="C82" s="75" t="s">
        <v>497</v>
      </c>
      <c r="D82" s="85" t="s">
        <v>283</v>
      </c>
      <c r="E82" s="77">
        <f>EDU*4</f>
        <v>300</v>
      </c>
      <c r="F82" s="78" t="s">
        <v>498</v>
      </c>
    </row>
    <row r="83" customHeight="1" spans="1:6">
      <c r="A83" s="79">
        <v>81</v>
      </c>
      <c r="B83" s="80" t="s">
        <v>499</v>
      </c>
      <c r="C83" s="81" t="s">
        <v>500</v>
      </c>
      <c r="D83" s="82" t="s">
        <v>302</v>
      </c>
      <c r="E83" s="81">
        <f>EDU*2+MAX(STR,DEX)*2</f>
        <v>280</v>
      </c>
      <c r="F83" s="83" t="s">
        <v>501</v>
      </c>
    </row>
    <row r="84" spans="1:6">
      <c r="A84" s="73">
        <v>82</v>
      </c>
      <c r="B84" s="84" t="s">
        <v>502</v>
      </c>
      <c r="C84" s="75" t="s">
        <v>331</v>
      </c>
      <c r="D84" s="85" t="s">
        <v>283</v>
      </c>
      <c r="E84" s="77">
        <f>EDU*4</f>
        <v>300</v>
      </c>
      <c r="F84" s="78" t="s">
        <v>503</v>
      </c>
    </row>
    <row r="85" spans="1:6">
      <c r="A85" s="79">
        <v>83</v>
      </c>
      <c r="B85" s="80" t="s">
        <v>504</v>
      </c>
      <c r="C85" s="81" t="s">
        <v>505</v>
      </c>
      <c r="D85" s="82" t="s">
        <v>283</v>
      </c>
      <c r="E85" s="81">
        <f>EDU*4</f>
        <v>300</v>
      </c>
      <c r="F85" s="83" t="s">
        <v>506</v>
      </c>
    </row>
    <row r="86" spans="1:6">
      <c r="A86" s="73">
        <v>84</v>
      </c>
      <c r="B86" s="84" t="s">
        <v>507</v>
      </c>
      <c r="C86" s="75" t="s">
        <v>331</v>
      </c>
      <c r="D86" s="85" t="s">
        <v>283</v>
      </c>
      <c r="E86" s="77">
        <f>EDU*4</f>
        <v>300</v>
      </c>
      <c r="F86" s="78" t="s">
        <v>508</v>
      </c>
    </row>
    <row r="87" spans="1:6">
      <c r="A87" s="79">
        <v>85</v>
      </c>
      <c r="B87" s="80" t="s">
        <v>509</v>
      </c>
      <c r="C87" s="81" t="s">
        <v>421</v>
      </c>
      <c r="D87" s="82" t="s">
        <v>283</v>
      </c>
      <c r="E87" s="81">
        <f>EDU*4</f>
        <v>300</v>
      </c>
      <c r="F87" s="83" t="s">
        <v>510</v>
      </c>
    </row>
    <row r="88" customHeight="1" spans="1:6">
      <c r="A88" s="73">
        <v>86</v>
      </c>
      <c r="B88" s="84" t="s">
        <v>511</v>
      </c>
      <c r="C88" s="75" t="s">
        <v>483</v>
      </c>
      <c r="D88" s="85" t="s">
        <v>360</v>
      </c>
      <c r="E88" s="77">
        <f>EDU*2+DEX*2</f>
        <v>280</v>
      </c>
      <c r="F88" s="78" t="s">
        <v>512</v>
      </c>
    </row>
    <row r="89" spans="1:6">
      <c r="A89" s="79">
        <v>87</v>
      </c>
      <c r="B89" s="80" t="s">
        <v>513</v>
      </c>
      <c r="C89" s="81" t="s">
        <v>363</v>
      </c>
      <c r="D89" s="82" t="s">
        <v>283</v>
      </c>
      <c r="E89" s="81">
        <f>EDU*4</f>
        <v>300</v>
      </c>
      <c r="F89" s="83" t="s">
        <v>514</v>
      </c>
    </row>
    <row r="90" customHeight="1" spans="1:6">
      <c r="A90" s="73">
        <v>88</v>
      </c>
      <c r="B90" s="84" t="s">
        <v>515</v>
      </c>
      <c r="C90" s="75" t="s">
        <v>337</v>
      </c>
      <c r="D90" s="85" t="s">
        <v>302</v>
      </c>
      <c r="E90" s="77">
        <f>EDU*2+MAX(STR,DEX)*2</f>
        <v>280</v>
      </c>
      <c r="F90" s="78" t="s">
        <v>516</v>
      </c>
    </row>
    <row r="91" customHeight="1" spans="1:6">
      <c r="A91" s="79">
        <v>89</v>
      </c>
      <c r="B91" s="80" t="s">
        <v>517</v>
      </c>
      <c r="C91" s="81" t="s">
        <v>331</v>
      </c>
      <c r="D91" s="82" t="s">
        <v>302</v>
      </c>
      <c r="E91" s="81">
        <f>EDU*2+MAX(STR,DEX)*2</f>
        <v>280</v>
      </c>
      <c r="F91" s="83" t="s">
        <v>518</v>
      </c>
    </row>
    <row r="92" customHeight="1" spans="1:6">
      <c r="A92" s="73">
        <v>90</v>
      </c>
      <c r="B92" s="84" t="s">
        <v>519</v>
      </c>
      <c r="C92" s="75" t="s">
        <v>331</v>
      </c>
      <c r="D92" s="85" t="s">
        <v>302</v>
      </c>
      <c r="E92" s="77">
        <f>EDU*2+MAX(STR,DEX)*2</f>
        <v>280</v>
      </c>
      <c r="F92" s="78" t="s">
        <v>520</v>
      </c>
    </row>
    <row r="93" spans="1:6">
      <c r="A93" s="79">
        <v>91</v>
      </c>
      <c r="B93" s="80" t="s">
        <v>521</v>
      </c>
      <c r="C93" s="81" t="s">
        <v>483</v>
      </c>
      <c r="D93" s="82" t="s">
        <v>283</v>
      </c>
      <c r="E93" s="81">
        <f>EDU*4</f>
        <v>300</v>
      </c>
      <c r="F93" s="83" t="s">
        <v>522</v>
      </c>
    </row>
    <row r="94" customHeight="1" spans="1:6">
      <c r="A94" s="73">
        <v>92</v>
      </c>
      <c r="B94" s="84" t="s">
        <v>523</v>
      </c>
      <c r="C94" s="75" t="s">
        <v>524</v>
      </c>
      <c r="D94" s="85" t="s">
        <v>302</v>
      </c>
      <c r="E94" s="77">
        <f>EDU*2+MAX(STR,DEX)*2</f>
        <v>280</v>
      </c>
      <c r="F94" s="78" t="s">
        <v>525</v>
      </c>
    </row>
    <row r="95" ht="17.25" customHeight="1" spans="1:6">
      <c r="A95" s="79">
        <v>93</v>
      </c>
      <c r="B95" s="80" t="s">
        <v>526</v>
      </c>
      <c r="C95" s="81" t="s">
        <v>527</v>
      </c>
      <c r="D95" s="82" t="s">
        <v>295</v>
      </c>
      <c r="E95" s="81">
        <f>EDU*2+APP*2</f>
        <v>270</v>
      </c>
      <c r="F95" s="83" t="s">
        <v>528</v>
      </c>
    </row>
    <row r="96" spans="1:6">
      <c r="A96" s="73">
        <v>94</v>
      </c>
      <c r="B96" s="84" t="s">
        <v>529</v>
      </c>
      <c r="C96" s="75" t="s">
        <v>408</v>
      </c>
      <c r="D96" s="85" t="s">
        <v>283</v>
      </c>
      <c r="E96" s="77">
        <f>EDU*4</f>
        <v>300</v>
      </c>
      <c r="F96" s="78" t="s">
        <v>530</v>
      </c>
    </row>
    <row r="97" spans="1:6">
      <c r="A97" s="79">
        <v>95</v>
      </c>
      <c r="B97" s="80" t="s">
        <v>531</v>
      </c>
      <c r="C97" s="81" t="s">
        <v>308</v>
      </c>
      <c r="D97" s="82" t="s">
        <v>283</v>
      </c>
      <c r="E97" s="81">
        <f>EDU*4</f>
        <v>300</v>
      </c>
      <c r="F97" s="83" t="s">
        <v>532</v>
      </c>
    </row>
    <row r="98" spans="1:6">
      <c r="A98" s="73">
        <v>96</v>
      </c>
      <c r="B98" s="84" t="s">
        <v>533</v>
      </c>
      <c r="C98" s="75" t="s">
        <v>331</v>
      </c>
      <c r="D98" s="85" t="s">
        <v>283</v>
      </c>
      <c r="E98" s="77">
        <f>EDU*4</f>
        <v>300</v>
      </c>
      <c r="F98" s="78" t="s">
        <v>534</v>
      </c>
    </row>
    <row r="99" spans="1:6">
      <c r="A99" s="79">
        <v>97</v>
      </c>
      <c r="B99" s="80" t="s">
        <v>535</v>
      </c>
      <c r="C99" s="81" t="s">
        <v>331</v>
      </c>
      <c r="D99" s="82" t="s">
        <v>283</v>
      </c>
      <c r="E99" s="81">
        <f>EDU*4</f>
        <v>300</v>
      </c>
      <c r="F99" s="83" t="s">
        <v>536</v>
      </c>
    </row>
    <row r="100" spans="1:6">
      <c r="A100" s="73">
        <v>98</v>
      </c>
      <c r="B100" s="84" t="s">
        <v>537</v>
      </c>
      <c r="C100" s="75" t="s">
        <v>340</v>
      </c>
      <c r="D100" s="85" t="s">
        <v>283</v>
      </c>
      <c r="E100" s="77">
        <f>EDU*4</f>
        <v>300</v>
      </c>
      <c r="F100" s="78" t="s">
        <v>538</v>
      </c>
    </row>
    <row r="101" ht="17.25" customHeight="1" spans="1:6">
      <c r="A101" s="79">
        <v>99</v>
      </c>
      <c r="B101" s="80" t="s">
        <v>539</v>
      </c>
      <c r="C101" s="81" t="s">
        <v>294</v>
      </c>
      <c r="D101" s="82" t="s">
        <v>377</v>
      </c>
      <c r="E101" s="81">
        <f>EDU*2+APP*2</f>
        <v>270</v>
      </c>
      <c r="F101" s="83" t="s">
        <v>540</v>
      </c>
    </row>
    <row r="102" spans="1:6">
      <c r="A102" s="73">
        <v>100</v>
      </c>
      <c r="B102" s="84" t="s">
        <v>541</v>
      </c>
      <c r="C102" s="75" t="s">
        <v>321</v>
      </c>
      <c r="D102" s="85" t="s">
        <v>283</v>
      </c>
      <c r="E102" s="77">
        <f>EDU*4</f>
        <v>300</v>
      </c>
      <c r="F102" s="78" t="s">
        <v>542</v>
      </c>
    </row>
    <row r="103" ht="17.25" customHeight="1" spans="1:6">
      <c r="A103" s="79">
        <v>101</v>
      </c>
      <c r="B103" s="80" t="s">
        <v>543</v>
      </c>
      <c r="C103" s="81" t="s">
        <v>331</v>
      </c>
      <c r="D103" s="82" t="s">
        <v>381</v>
      </c>
      <c r="E103" s="81">
        <f>EDU*2+MAX(DEX,APP)*2</f>
        <v>280</v>
      </c>
      <c r="F103" s="83" t="s">
        <v>544</v>
      </c>
    </row>
    <row r="104" ht="17.25" customHeight="1" spans="1:6">
      <c r="A104" s="73">
        <v>102</v>
      </c>
      <c r="B104" s="84" t="s">
        <v>545</v>
      </c>
      <c r="C104" s="75" t="s">
        <v>340</v>
      </c>
      <c r="D104" s="85" t="s">
        <v>381</v>
      </c>
      <c r="E104" s="77">
        <f>EDU*2+MAX(DEX,APP)*2</f>
        <v>280</v>
      </c>
      <c r="F104" s="78" t="s">
        <v>546</v>
      </c>
    </row>
    <row r="105" customHeight="1" spans="1:6">
      <c r="A105" s="79">
        <v>103</v>
      </c>
      <c r="B105" s="80" t="s">
        <v>547</v>
      </c>
      <c r="C105" s="81" t="s">
        <v>331</v>
      </c>
      <c r="D105" s="82" t="s">
        <v>302</v>
      </c>
      <c r="E105" s="81">
        <f>EDU*2+MAX(STR,DEX)*2</f>
        <v>280</v>
      </c>
      <c r="F105" s="83" t="s">
        <v>548</v>
      </c>
    </row>
    <row r="106" ht="17.25" customHeight="1" spans="1:6">
      <c r="A106" s="73">
        <v>104</v>
      </c>
      <c r="B106" s="84" t="s">
        <v>549</v>
      </c>
      <c r="C106" s="75" t="s">
        <v>389</v>
      </c>
      <c r="D106" s="85" t="s">
        <v>381</v>
      </c>
      <c r="E106" s="77">
        <f>EDU*2+MAX(DEX,APP)*2</f>
        <v>280</v>
      </c>
      <c r="F106" s="78" t="s">
        <v>550</v>
      </c>
    </row>
    <row r="107" spans="1:6">
      <c r="A107" s="79">
        <v>105</v>
      </c>
      <c r="B107" s="80" t="s">
        <v>551</v>
      </c>
      <c r="C107" s="81" t="s">
        <v>552</v>
      </c>
      <c r="D107" s="82" t="s">
        <v>283</v>
      </c>
      <c r="E107" s="81">
        <f>EDU*4</f>
        <v>300</v>
      </c>
      <c r="F107" s="83" t="s">
        <v>553</v>
      </c>
    </row>
    <row r="108" customHeight="1" spans="1:6">
      <c r="A108" s="73">
        <v>106</v>
      </c>
      <c r="B108" s="84" t="s">
        <v>554</v>
      </c>
      <c r="C108" s="75" t="s">
        <v>555</v>
      </c>
      <c r="D108" s="85" t="s">
        <v>302</v>
      </c>
      <c r="E108" s="77">
        <f>EDU*2+MAX(STR,DEX)*2</f>
        <v>280</v>
      </c>
      <c r="F108" s="78" t="s">
        <v>556</v>
      </c>
    </row>
    <row r="109" customHeight="1" spans="1:6">
      <c r="A109" s="79">
        <v>107</v>
      </c>
      <c r="B109" s="80" t="s">
        <v>557</v>
      </c>
      <c r="C109" s="81" t="s">
        <v>558</v>
      </c>
      <c r="D109" s="82" t="s">
        <v>302</v>
      </c>
      <c r="E109" s="81">
        <f>EDU*2+MAX(STR,DEX)*2</f>
        <v>280</v>
      </c>
      <c r="F109" s="83" t="s">
        <v>559</v>
      </c>
    </row>
    <row r="110" spans="1:6">
      <c r="A110" s="73">
        <v>108</v>
      </c>
      <c r="B110" s="84" t="s">
        <v>560</v>
      </c>
      <c r="C110" s="75" t="s">
        <v>340</v>
      </c>
      <c r="D110" s="85" t="s">
        <v>283</v>
      </c>
      <c r="E110" s="77">
        <f>EDU*4</f>
        <v>300</v>
      </c>
      <c r="F110" s="78" t="s">
        <v>561</v>
      </c>
    </row>
    <row r="111" spans="1:6">
      <c r="A111" s="79">
        <v>109</v>
      </c>
      <c r="B111" s="80" t="s">
        <v>562</v>
      </c>
      <c r="C111" s="81" t="s">
        <v>527</v>
      </c>
      <c r="D111" s="82" t="s">
        <v>283</v>
      </c>
      <c r="E111" s="81">
        <f>EDU*4</f>
        <v>300</v>
      </c>
      <c r="F111" s="83" t="s">
        <v>563</v>
      </c>
    </row>
    <row r="112" ht="17.25" customHeight="1" spans="1:6">
      <c r="A112" s="73">
        <v>110</v>
      </c>
      <c r="B112" s="84" t="s">
        <v>564</v>
      </c>
      <c r="C112" s="75" t="s">
        <v>290</v>
      </c>
      <c r="D112" s="85" t="s">
        <v>381</v>
      </c>
      <c r="E112" s="77">
        <f>EDU*2+MAX(DEX,APP)*2</f>
        <v>280</v>
      </c>
      <c r="F112" s="78" t="s">
        <v>565</v>
      </c>
    </row>
    <row r="113" spans="1:6">
      <c r="A113" s="79">
        <v>111</v>
      </c>
      <c r="B113" s="80" t="s">
        <v>566</v>
      </c>
      <c r="C113" s="81" t="s">
        <v>290</v>
      </c>
      <c r="D113" s="82" t="s">
        <v>283</v>
      </c>
      <c r="E113" s="81">
        <f>EDU*4</f>
        <v>300</v>
      </c>
      <c r="F113" s="83" t="s">
        <v>567</v>
      </c>
    </row>
    <row r="114" spans="1:6">
      <c r="A114" s="73">
        <v>112</v>
      </c>
      <c r="B114" s="84" t="s">
        <v>568</v>
      </c>
      <c r="C114" s="75" t="s">
        <v>569</v>
      </c>
      <c r="D114" s="85" t="s">
        <v>283</v>
      </c>
      <c r="E114" s="77">
        <f>EDU*4</f>
        <v>300</v>
      </c>
      <c r="F114" s="78" t="s">
        <v>570</v>
      </c>
    </row>
    <row r="115" customHeight="1" spans="1:6">
      <c r="A115" s="79">
        <v>113</v>
      </c>
      <c r="B115" s="80" t="s">
        <v>571</v>
      </c>
      <c r="C115" s="81" t="s">
        <v>486</v>
      </c>
      <c r="D115" s="82" t="s">
        <v>309</v>
      </c>
      <c r="E115" s="81">
        <f>EDU*2+MAX(APP,POW)*2</f>
        <v>280</v>
      </c>
      <c r="F115" s="83" t="s">
        <v>572</v>
      </c>
    </row>
    <row r="116" ht="17.25" spans="1:6">
      <c r="A116" s="86">
        <v>114</v>
      </c>
      <c r="B116" s="87" t="s">
        <v>573</v>
      </c>
      <c r="C116" s="88" t="s">
        <v>294</v>
      </c>
      <c r="D116" s="89" t="s">
        <v>283</v>
      </c>
      <c r="E116" s="90">
        <f>EDU*4</f>
        <v>300</v>
      </c>
      <c r="F116" s="91" t="s">
        <v>574</v>
      </c>
    </row>
  </sheetData>
  <sheetProtection algorithmName="SHA-512" hashValue="f+PNsn5SVdLa6goShchy424xKyhdPw2X05NoJMGs0f9tCpAbq4bcayMikI/ds0pdTcsrkj3eQhtvgMwp0m80+w==" saltValue="3e9bFlC9vx6OIhgI8vh3Ew==" spinCount="100000" sheet="1" objects="1" scenarios="1"/>
  <dataValidations count="1">
    <dataValidation type="list" allowBlank="1" showInputMessage="1" showErrorMessage="1" sqref="D2">
      <formula1>附表!$E$26:$E$30</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L33"/>
  <sheetViews>
    <sheetView showGridLines="0" workbookViewId="0">
      <selection activeCell="H14" sqref="H14:L14"/>
    </sheetView>
  </sheetViews>
  <sheetFormatPr defaultColWidth="9" defaultRowHeight="16.5"/>
  <cols>
    <col min="1" max="1" width="3.5" style="38" customWidth="1"/>
    <col min="2" max="3" width="9.25" style="38" customWidth="1"/>
    <col min="4" max="5" width="11.25" style="38" customWidth="1"/>
    <col min="6" max="6" width="10.75" style="38" customWidth="1"/>
    <col min="7" max="7" width="3.5" style="38" customWidth="1"/>
    <col min="8" max="9" width="9.25" style="38" customWidth="1"/>
    <col min="10" max="10" width="10.125" style="38" customWidth="1"/>
    <col min="11" max="11" width="12.625" style="38" customWidth="1"/>
    <col min="12" max="12" width="9.25" style="38" customWidth="1"/>
    <col min="13" max="16384" width="9" style="38"/>
  </cols>
  <sheetData>
    <row r="2" spans="2:12">
      <c r="B2" s="39" t="s">
        <v>575</v>
      </c>
      <c r="C2" s="40"/>
      <c r="D2" s="40"/>
      <c r="E2" s="40"/>
      <c r="F2" s="41"/>
      <c r="H2" s="39" t="s">
        <v>576</v>
      </c>
      <c r="I2" s="40"/>
      <c r="J2" s="40"/>
      <c r="K2" s="40"/>
      <c r="L2" s="41"/>
    </row>
    <row r="3" spans="2:12">
      <c r="B3" s="42" t="s">
        <v>577</v>
      </c>
      <c r="C3" s="43" t="s">
        <v>86</v>
      </c>
      <c r="D3" s="43" t="s">
        <v>578</v>
      </c>
      <c r="E3" s="43" t="s">
        <v>579</v>
      </c>
      <c r="F3" s="44" t="s">
        <v>580</v>
      </c>
      <c r="H3" s="42" t="s">
        <v>577</v>
      </c>
      <c r="I3" s="43" t="s">
        <v>86</v>
      </c>
      <c r="J3" s="43" t="s">
        <v>578</v>
      </c>
      <c r="K3" s="43" t="s">
        <v>579</v>
      </c>
      <c r="L3" s="44" t="s">
        <v>580</v>
      </c>
    </row>
    <row r="4" spans="2:12">
      <c r="B4" s="45" t="s">
        <v>581</v>
      </c>
      <c r="C4" s="46" t="s">
        <v>582</v>
      </c>
      <c r="D4" s="46" t="s">
        <v>583</v>
      </c>
      <c r="E4" s="46" t="s">
        <v>89</v>
      </c>
      <c r="F4" s="47" t="s">
        <v>583</v>
      </c>
      <c r="H4" s="45" t="s">
        <v>581</v>
      </c>
      <c r="I4" s="46" t="s">
        <v>582</v>
      </c>
      <c r="J4" s="46" t="s">
        <v>584</v>
      </c>
      <c r="K4" s="46" t="s">
        <v>89</v>
      </c>
      <c r="L4" s="47" t="s">
        <v>584</v>
      </c>
    </row>
    <row r="5" spans="2:12">
      <c r="B5" s="48" t="s">
        <v>585</v>
      </c>
      <c r="C5" s="49" t="s">
        <v>586</v>
      </c>
      <c r="D5" s="50" t="s">
        <v>587</v>
      </c>
      <c r="E5" s="50" t="s">
        <v>588</v>
      </c>
      <c r="F5" s="51" t="s">
        <v>589</v>
      </c>
      <c r="H5" s="48" t="s">
        <v>585</v>
      </c>
      <c r="I5" s="49" t="s">
        <v>586</v>
      </c>
      <c r="J5" s="50" t="s">
        <v>590</v>
      </c>
      <c r="K5" s="50" t="s">
        <v>591</v>
      </c>
      <c r="L5" s="51" t="s">
        <v>592</v>
      </c>
    </row>
    <row r="6" spans="2:12">
      <c r="B6" s="45" t="s">
        <v>593</v>
      </c>
      <c r="C6" s="46" t="s">
        <v>594</v>
      </c>
      <c r="D6" s="46" t="s">
        <v>595</v>
      </c>
      <c r="E6" s="52" t="s">
        <v>596</v>
      </c>
      <c r="F6" s="53" t="s">
        <v>584</v>
      </c>
      <c r="H6" s="45" t="s">
        <v>593</v>
      </c>
      <c r="I6" s="46" t="s">
        <v>594</v>
      </c>
      <c r="J6" s="46" t="s">
        <v>597</v>
      </c>
      <c r="K6" s="52" t="s">
        <v>598</v>
      </c>
      <c r="L6" s="53" t="s">
        <v>599</v>
      </c>
    </row>
    <row r="7" spans="2:12">
      <c r="B7" s="48" t="s">
        <v>600</v>
      </c>
      <c r="C7" s="49" t="s">
        <v>601</v>
      </c>
      <c r="D7" s="49" t="s">
        <v>602</v>
      </c>
      <c r="E7" s="50" t="s">
        <v>603</v>
      </c>
      <c r="F7" s="51" t="s">
        <v>604</v>
      </c>
      <c r="H7" s="48" t="s">
        <v>600</v>
      </c>
      <c r="I7" s="49" t="s">
        <v>601</v>
      </c>
      <c r="J7" s="49" t="s">
        <v>605</v>
      </c>
      <c r="K7" s="50" t="s">
        <v>606</v>
      </c>
      <c r="L7" s="51" t="s">
        <v>607</v>
      </c>
    </row>
    <row r="8" spans="2:12">
      <c r="B8" s="45" t="s">
        <v>608</v>
      </c>
      <c r="C8" s="46" t="s">
        <v>609</v>
      </c>
      <c r="D8" s="46" t="s">
        <v>590</v>
      </c>
      <c r="E8" s="52" t="s">
        <v>610</v>
      </c>
      <c r="F8" s="53" t="s">
        <v>611</v>
      </c>
      <c r="H8" s="45" t="s">
        <v>608</v>
      </c>
      <c r="I8" s="46" t="s">
        <v>609</v>
      </c>
      <c r="J8" s="46" t="s">
        <v>591</v>
      </c>
      <c r="K8" s="52" t="s">
        <v>612</v>
      </c>
      <c r="L8" s="53" t="s">
        <v>613</v>
      </c>
    </row>
    <row r="9" spans="2:12">
      <c r="B9" s="48" t="s">
        <v>614</v>
      </c>
      <c r="C9" s="49" t="s">
        <v>615</v>
      </c>
      <c r="D9" s="49" t="s">
        <v>616</v>
      </c>
      <c r="E9" s="50" t="s">
        <v>617</v>
      </c>
      <c r="F9" s="51" t="s">
        <v>613</v>
      </c>
      <c r="H9" s="48" t="s">
        <v>614</v>
      </c>
      <c r="I9" s="49" t="s">
        <v>615</v>
      </c>
      <c r="J9" s="49" t="s">
        <v>618</v>
      </c>
      <c r="K9" s="50" t="s">
        <v>619</v>
      </c>
      <c r="L9" s="51" t="s">
        <v>620</v>
      </c>
    </row>
    <row r="10" ht="17.25" spans="2:12">
      <c r="B10" s="54" t="s">
        <v>621</v>
      </c>
      <c r="C10" s="55"/>
      <c r="D10" s="55"/>
      <c r="E10" s="55"/>
      <c r="F10" s="56"/>
      <c r="H10" s="54" t="s">
        <v>621</v>
      </c>
      <c r="I10" s="55"/>
      <c r="J10" s="55"/>
      <c r="K10" s="55"/>
      <c r="L10" s="56"/>
    </row>
    <row r="12" spans="2:6">
      <c r="B12" s="39" t="s">
        <v>622</v>
      </c>
      <c r="C12" s="40"/>
      <c r="D12" s="40"/>
      <c r="E12" s="40"/>
      <c r="F12" s="41"/>
    </row>
    <row r="13" spans="2:6">
      <c r="B13" s="42" t="s">
        <v>577</v>
      </c>
      <c r="C13" s="43" t="s">
        <v>86</v>
      </c>
      <c r="D13" s="43" t="s">
        <v>578</v>
      </c>
      <c r="E13" s="43" t="s">
        <v>579</v>
      </c>
      <c r="F13" s="44" t="s">
        <v>580</v>
      </c>
    </row>
    <row r="14" spans="2:12">
      <c r="B14" s="45" t="s">
        <v>581</v>
      </c>
      <c r="C14" s="46" t="s">
        <v>582</v>
      </c>
      <c r="D14" s="46" t="s">
        <v>623</v>
      </c>
      <c r="E14" s="46" t="s">
        <v>89</v>
      </c>
      <c r="F14" s="47" t="s">
        <v>624</v>
      </c>
      <c r="H14" s="57" t="s">
        <v>271</v>
      </c>
      <c r="I14" s="57"/>
      <c r="J14" s="57"/>
      <c r="K14" s="57"/>
      <c r="L14" s="57"/>
    </row>
    <row r="15" spans="2:6">
      <c r="B15" s="48" t="s">
        <v>585</v>
      </c>
      <c r="C15" s="49" t="s">
        <v>586</v>
      </c>
      <c r="D15" s="50" t="s">
        <v>587</v>
      </c>
      <c r="E15" s="50" t="s">
        <v>588</v>
      </c>
      <c r="F15" s="51" t="s">
        <v>625</v>
      </c>
    </row>
    <row r="16" spans="2:6">
      <c r="B16" s="45" t="s">
        <v>593</v>
      </c>
      <c r="C16" s="46" t="s">
        <v>594</v>
      </c>
      <c r="D16" s="46" t="s">
        <v>588</v>
      </c>
      <c r="E16" s="52" t="s">
        <v>590</v>
      </c>
      <c r="F16" s="53" t="s">
        <v>626</v>
      </c>
    </row>
    <row r="17" spans="2:6">
      <c r="B17" s="48" t="s">
        <v>600</v>
      </c>
      <c r="C17" s="49" t="s">
        <v>601</v>
      </c>
      <c r="D17" s="49" t="s">
        <v>627</v>
      </c>
      <c r="E17" s="50" t="s">
        <v>591</v>
      </c>
      <c r="F17" s="51" t="s">
        <v>628</v>
      </c>
    </row>
    <row r="18" spans="2:6">
      <c r="B18" s="45" t="s">
        <v>608</v>
      </c>
      <c r="C18" s="46" t="s">
        <v>609</v>
      </c>
      <c r="D18" s="46" t="s">
        <v>596</v>
      </c>
      <c r="E18" s="52" t="s">
        <v>603</v>
      </c>
      <c r="F18" s="53" t="s">
        <v>604</v>
      </c>
    </row>
    <row r="19" spans="2:6">
      <c r="B19" s="48" t="s">
        <v>614</v>
      </c>
      <c r="C19" s="49" t="s">
        <v>615</v>
      </c>
      <c r="D19" s="49" t="s">
        <v>629</v>
      </c>
      <c r="E19" s="50" t="s">
        <v>630</v>
      </c>
      <c r="F19" s="51" t="s">
        <v>611</v>
      </c>
    </row>
    <row r="20" spans="2:6">
      <c r="B20" s="58" t="s">
        <v>631</v>
      </c>
      <c r="C20" s="52"/>
      <c r="D20" s="52"/>
      <c r="E20" s="52"/>
      <c r="F20" s="59"/>
    </row>
    <row r="21" spans="2:6">
      <c r="B21" s="60"/>
      <c r="C21" s="61"/>
      <c r="D21" s="61"/>
      <c r="E21" s="61"/>
      <c r="F21" s="62"/>
    </row>
    <row r="25" spans="2:12">
      <c r="B25" s="39" t="s">
        <v>632</v>
      </c>
      <c r="C25" s="40"/>
      <c r="D25" s="40"/>
      <c r="E25" s="40"/>
      <c r="F25" s="41"/>
      <c r="H25" s="39" t="s">
        <v>633</v>
      </c>
      <c r="I25" s="40"/>
      <c r="J25" s="40"/>
      <c r="K25" s="40"/>
      <c r="L25" s="41"/>
    </row>
    <row r="26" spans="2:12">
      <c r="B26" s="42" t="s">
        <v>577</v>
      </c>
      <c r="C26" s="43" t="s">
        <v>86</v>
      </c>
      <c r="D26" s="43" t="s">
        <v>578</v>
      </c>
      <c r="E26" s="43" t="s">
        <v>579</v>
      </c>
      <c r="F26" s="44" t="s">
        <v>580</v>
      </c>
      <c r="H26" s="42" t="s">
        <v>577</v>
      </c>
      <c r="I26" s="43" t="s">
        <v>86</v>
      </c>
      <c r="J26" s="43" t="s">
        <v>578</v>
      </c>
      <c r="K26" s="43" t="s">
        <v>579</v>
      </c>
      <c r="L26" s="44" t="s">
        <v>580</v>
      </c>
    </row>
    <row r="27" spans="2:12">
      <c r="B27" s="45" t="s">
        <v>581</v>
      </c>
      <c r="C27" s="46" t="s">
        <v>582</v>
      </c>
      <c r="D27" s="46" t="s">
        <v>634</v>
      </c>
      <c r="E27" s="46" t="s">
        <v>89</v>
      </c>
      <c r="F27" s="47" t="s">
        <v>604</v>
      </c>
      <c r="H27" s="45" t="s">
        <v>581</v>
      </c>
      <c r="I27" s="46" t="s">
        <v>582</v>
      </c>
      <c r="J27" s="46" t="s">
        <v>607</v>
      </c>
      <c r="K27" s="46" t="s">
        <v>89</v>
      </c>
      <c r="L27" s="47" t="s">
        <v>635</v>
      </c>
    </row>
    <row r="28" spans="2:12">
      <c r="B28" s="48" t="s">
        <v>585</v>
      </c>
      <c r="C28" s="49" t="s">
        <v>586</v>
      </c>
      <c r="D28" s="50" t="s">
        <v>605</v>
      </c>
      <c r="E28" s="50" t="s">
        <v>598</v>
      </c>
      <c r="F28" s="51" t="s">
        <v>634</v>
      </c>
      <c r="H28" s="48" t="s">
        <v>585</v>
      </c>
      <c r="I28" s="49" t="s">
        <v>586</v>
      </c>
      <c r="J28" s="50" t="s">
        <v>636</v>
      </c>
      <c r="K28" s="50" t="s">
        <v>637</v>
      </c>
      <c r="L28" s="51" t="s">
        <v>638</v>
      </c>
    </row>
    <row r="29" spans="2:12">
      <c r="B29" s="45" t="s">
        <v>593</v>
      </c>
      <c r="C29" s="46" t="s">
        <v>594</v>
      </c>
      <c r="D29" s="46" t="s">
        <v>591</v>
      </c>
      <c r="E29" s="52" t="s">
        <v>639</v>
      </c>
      <c r="F29" s="53" t="s">
        <v>607</v>
      </c>
      <c r="H29" s="45" t="s">
        <v>593</v>
      </c>
      <c r="I29" s="46" t="s">
        <v>594</v>
      </c>
      <c r="J29" s="46" t="s">
        <v>640</v>
      </c>
      <c r="K29" s="52" t="s">
        <v>641</v>
      </c>
      <c r="L29" s="53" t="s">
        <v>642</v>
      </c>
    </row>
    <row r="30" spans="2:12">
      <c r="B30" s="48" t="s">
        <v>600</v>
      </c>
      <c r="C30" s="49" t="s">
        <v>601</v>
      </c>
      <c r="D30" s="49" t="s">
        <v>603</v>
      </c>
      <c r="E30" s="50" t="s">
        <v>643</v>
      </c>
      <c r="F30" s="51" t="s">
        <v>613</v>
      </c>
      <c r="H30" s="48" t="s">
        <v>600</v>
      </c>
      <c r="I30" s="49" t="s">
        <v>601</v>
      </c>
      <c r="J30" s="49" t="s">
        <v>644</v>
      </c>
      <c r="K30" s="50" t="s">
        <v>645</v>
      </c>
      <c r="L30" s="51" t="s">
        <v>646</v>
      </c>
    </row>
    <row r="31" spans="2:12">
      <c r="B31" s="45" t="s">
        <v>608</v>
      </c>
      <c r="C31" s="46" t="s">
        <v>609</v>
      </c>
      <c r="D31" s="46" t="s">
        <v>647</v>
      </c>
      <c r="E31" s="52" t="s">
        <v>648</v>
      </c>
      <c r="F31" s="53" t="s">
        <v>649</v>
      </c>
      <c r="H31" s="45" t="s">
        <v>608</v>
      </c>
      <c r="I31" s="46" t="s">
        <v>609</v>
      </c>
      <c r="J31" s="46" t="s">
        <v>650</v>
      </c>
      <c r="K31" s="52" t="s">
        <v>651</v>
      </c>
      <c r="L31" s="53" t="s">
        <v>652</v>
      </c>
    </row>
    <row r="32" spans="2:12">
      <c r="B32" s="48" t="s">
        <v>614</v>
      </c>
      <c r="C32" s="49" t="s">
        <v>615</v>
      </c>
      <c r="D32" s="49" t="s">
        <v>653</v>
      </c>
      <c r="E32" s="50" t="s">
        <v>654</v>
      </c>
      <c r="F32" s="51" t="s">
        <v>655</v>
      </c>
      <c r="H32" s="48" t="s">
        <v>614</v>
      </c>
      <c r="I32" s="49" t="s">
        <v>615</v>
      </c>
      <c r="J32" s="49" t="s">
        <v>656</v>
      </c>
      <c r="K32" s="50" t="s">
        <v>657</v>
      </c>
      <c r="L32" s="51" t="s">
        <v>658</v>
      </c>
    </row>
    <row r="33" ht="17.25" spans="2:12">
      <c r="B33" s="54" t="s">
        <v>659</v>
      </c>
      <c r="C33" s="55"/>
      <c r="D33" s="55"/>
      <c r="E33" s="55"/>
      <c r="F33" s="56"/>
      <c r="H33" s="54" t="s">
        <v>659</v>
      </c>
      <c r="I33" s="55"/>
      <c r="J33" s="55"/>
      <c r="K33" s="55"/>
      <c r="L33" s="56"/>
    </row>
  </sheetData>
  <sheetProtection algorithmName="SHA-512" hashValue="+Dzfz/p1VGlOcS7xtd03DAwIaWdVv763uzT6pHVGIl/iC51dVBIZBH0b1WeBCui4mJ18nMibVzI/qEu9ty3Lag==" saltValue="8ZAozf22ime3PvuXP7IipQ==" spinCount="100000" sheet="1" objects="1" scenarios="1"/>
  <mergeCells count="11">
    <mergeCell ref="B2:F2"/>
    <mergeCell ref="H2:L2"/>
    <mergeCell ref="B10:F10"/>
    <mergeCell ref="H10:L10"/>
    <mergeCell ref="B12:F12"/>
    <mergeCell ref="H14:L14"/>
    <mergeCell ref="B25:F25"/>
    <mergeCell ref="H25:L25"/>
    <mergeCell ref="B33:F33"/>
    <mergeCell ref="H33:L33"/>
    <mergeCell ref="B20:F21"/>
  </mergeCells>
  <hyperlinks>
    <hyperlink ref="H14:L14" location="建卡!O88" display="点击这里返回“建卡”标签。"/>
  </hyperlink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V7"/>
  <sheetViews>
    <sheetView showGridLines="0" showRowColHeaders="0" workbookViewId="0">
      <selection activeCell="B4" sqref="B4:D5"/>
    </sheetView>
  </sheetViews>
  <sheetFormatPr defaultColWidth="4" defaultRowHeight="17.25" outlineLevelRow="6"/>
  <cols>
    <col min="1" max="1" width="4" style="21"/>
    <col min="2" max="16384" width="4" style="22"/>
  </cols>
  <sheetData>
    <row r="2" spans="2:22">
      <c r="B2" s="23" t="s">
        <v>660</v>
      </c>
      <c r="C2" s="24"/>
      <c r="D2" s="24"/>
      <c r="E2" s="24"/>
      <c r="F2" s="24"/>
      <c r="G2" s="24"/>
      <c r="H2" s="24"/>
      <c r="I2" s="24"/>
      <c r="J2" s="24"/>
      <c r="K2" s="24"/>
      <c r="L2" s="24"/>
      <c r="M2" s="24"/>
      <c r="N2" s="24"/>
      <c r="O2" s="24"/>
      <c r="P2" s="24"/>
      <c r="Q2" s="24"/>
      <c r="R2" s="24"/>
      <c r="S2" s="24"/>
      <c r="T2" s="24"/>
      <c r="U2" s="24"/>
      <c r="V2" s="33"/>
    </row>
    <row r="3" spans="2:22">
      <c r="B3" s="25" t="s">
        <v>661</v>
      </c>
      <c r="C3" s="26"/>
      <c r="D3" s="26"/>
      <c r="E3" s="26" t="s">
        <v>662</v>
      </c>
      <c r="F3" s="26"/>
      <c r="G3" s="26"/>
      <c r="H3" s="26" t="s">
        <v>663</v>
      </c>
      <c r="I3" s="26"/>
      <c r="J3" s="26"/>
      <c r="K3" s="26" t="s">
        <v>664</v>
      </c>
      <c r="L3" s="26"/>
      <c r="M3" s="26"/>
      <c r="N3" s="26" t="s">
        <v>665</v>
      </c>
      <c r="O3" s="26"/>
      <c r="P3" s="26"/>
      <c r="Q3" s="26" t="s">
        <v>666</v>
      </c>
      <c r="R3" s="26"/>
      <c r="S3" s="26"/>
      <c r="T3" s="26" t="s">
        <v>667</v>
      </c>
      <c r="U3" s="26"/>
      <c r="V3" s="34"/>
    </row>
    <row r="4" spans="2:22">
      <c r="B4" s="27">
        <f ca="1">RANDBETWEEN(1,2)</f>
        <v>1</v>
      </c>
      <c r="C4" s="28"/>
      <c r="D4" s="28"/>
      <c r="E4" s="28">
        <f ca="1">RANDBETWEEN(1,4)</f>
        <v>3</v>
      </c>
      <c r="F4" s="28"/>
      <c r="G4" s="28"/>
      <c r="H4" s="28">
        <f ca="1">RANDBETWEEN(1,6)</f>
        <v>4</v>
      </c>
      <c r="I4" s="28"/>
      <c r="J4" s="28"/>
      <c r="K4" s="28">
        <f ca="1">RANDBETWEEN(1,8)</f>
        <v>6</v>
      </c>
      <c r="L4" s="28"/>
      <c r="M4" s="28"/>
      <c r="N4" s="28">
        <f ca="1">RANDBETWEEN(1,10)</f>
        <v>7</v>
      </c>
      <c r="O4" s="28"/>
      <c r="P4" s="28"/>
      <c r="Q4" s="28">
        <f ca="1">RANDBETWEEN(1,20)</f>
        <v>15</v>
      </c>
      <c r="R4" s="28"/>
      <c r="S4" s="28"/>
      <c r="T4" s="28">
        <f ca="1">RANDBETWEEN(0,99)</f>
        <v>24</v>
      </c>
      <c r="U4" s="28"/>
      <c r="V4" s="35"/>
    </row>
    <row r="5" spans="2:22">
      <c r="B5" s="29"/>
      <c r="C5" s="30"/>
      <c r="D5" s="30"/>
      <c r="E5" s="30"/>
      <c r="F5" s="30"/>
      <c r="G5" s="30"/>
      <c r="H5" s="30"/>
      <c r="I5" s="30"/>
      <c r="J5" s="30"/>
      <c r="K5" s="30"/>
      <c r="L5" s="30"/>
      <c r="M5" s="30"/>
      <c r="N5" s="30"/>
      <c r="O5" s="30"/>
      <c r="P5" s="30"/>
      <c r="Q5" s="30"/>
      <c r="R5" s="30"/>
      <c r="S5" s="30"/>
      <c r="T5" s="30"/>
      <c r="U5" s="30"/>
      <c r="V5" s="36"/>
    </row>
    <row r="7" ht="18" spans="2:22">
      <c r="B7" s="31" t="s">
        <v>668</v>
      </c>
      <c r="C7" s="32"/>
      <c r="D7" s="32"/>
      <c r="E7" s="32"/>
      <c r="F7" s="32"/>
      <c r="G7" s="32"/>
      <c r="H7" s="32"/>
      <c r="I7" s="32"/>
      <c r="J7" s="32"/>
      <c r="K7" s="32"/>
      <c r="L7" s="32"/>
      <c r="M7" s="32"/>
      <c r="N7" s="32"/>
      <c r="O7" s="32"/>
      <c r="P7" s="32"/>
      <c r="Q7" s="32"/>
      <c r="R7" s="32"/>
      <c r="S7" s="32"/>
      <c r="T7" s="32"/>
      <c r="U7" s="32"/>
      <c r="V7" s="37"/>
    </row>
  </sheetData>
  <sheetProtection sheet="1" objects="1" scenarios="1"/>
  <mergeCells count="16">
    <mergeCell ref="B2:V2"/>
    <mergeCell ref="B3:D3"/>
    <mergeCell ref="E3:G3"/>
    <mergeCell ref="H3:J3"/>
    <mergeCell ref="K3:M3"/>
    <mergeCell ref="N3:P3"/>
    <mergeCell ref="Q3:S3"/>
    <mergeCell ref="T3:V3"/>
    <mergeCell ref="B7:V7"/>
    <mergeCell ref="B4:D5"/>
    <mergeCell ref="E4:G5"/>
    <mergeCell ref="H4:J5"/>
    <mergeCell ref="K4:M5"/>
    <mergeCell ref="N4:P5"/>
    <mergeCell ref="Q4:S5"/>
    <mergeCell ref="T4:V5"/>
  </mergeCells>
  <pageMargins left="0.699305555555556" right="0.699305555555556" top="0.75" bottom="0.75" header="0.3" footer="0.3"/>
  <pageSetup paperSize="9" orientation="portrait" horizontalDpi="1200" verticalDpi="12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E103"/>
  <sheetViews>
    <sheetView showGridLines="0" workbookViewId="0">
      <selection activeCell="D7" sqref="D7:E7"/>
    </sheetView>
  </sheetViews>
  <sheetFormatPr defaultColWidth="9" defaultRowHeight="17.25" outlineLevelCol="4"/>
  <cols>
    <col min="1" max="1" width="9" style="12"/>
    <col min="2" max="2" width="43.75" style="13" customWidth="1"/>
    <col min="3" max="3" width="9" style="12"/>
    <col min="4" max="4" width="16" style="12" customWidth="1"/>
    <col min="5" max="5" width="16.125" style="12" customWidth="1"/>
    <col min="6" max="16384" width="9" style="12"/>
  </cols>
  <sheetData>
    <row r="1" ht="18" spans="2:3">
      <c r="B1" s="14" t="str">
        <f>人物卡!D3&amp;"，"&amp;人物卡!D5&amp;"，"&amp;人物卡!K6&amp;"，"&amp;人物卡!D6&amp;"岁"</f>
        <v>托德，黑帮马仔，男，27岁</v>
      </c>
      <c r="C1" s="12" t="s">
        <v>669</v>
      </c>
    </row>
    <row r="2" spans="2:4">
      <c r="B2" s="15" t="str">
        <f>"出身"&amp;人物卡!D8&amp;"，现居"&amp;人物卡!D7</f>
        <v>出身 ，现居美国马萨诸塞州</v>
      </c>
      <c r="D2" s="12" t="s">
        <v>670</v>
      </c>
    </row>
    <row r="3" spans="2:2">
      <c r="B3" s="15" t="str">
        <f>"时代: "&amp;建卡!E8&amp;"   玩家: "&amp;人物卡!D4</f>
        <v>时代: 1920s   玩家: 吃枣药丸</v>
      </c>
    </row>
    <row r="4" spans="2:4">
      <c r="B4" s="15" t="str">
        <f>"STR "&amp;STR&amp;"  CON "&amp;CON&amp;"  SIZ "&amp;SIZ&amp;"  DEX "&amp;DEX</f>
        <v>STR 65  CON 45  SIZ 80  DEX 65</v>
      </c>
      <c r="D4" s="12" t="s">
        <v>671</v>
      </c>
    </row>
    <row r="5" ht="18" spans="2:2">
      <c r="B5" s="15" t="str">
        <f>"APP "&amp;APP&amp;"  INT "&amp;INT&amp;"  POW "&amp;POW&amp;"  EDU "&amp;EDU</f>
        <v>APP 60  INT 85  POW 65  EDU 75</v>
      </c>
    </row>
    <row r="6" spans="2:5">
      <c r="B6" s="15" t="str">
        <f>"DB:"&amp;DB&amp;"  Build:"&amp;Build&amp;"  MOV:"&amp;MOV&amp;"  Luck:"&amp;Luck</f>
        <v>DB:+1D4  Build:1  MOV:7  Luck:45</v>
      </c>
      <c r="D6" s="16" t="s">
        <v>672</v>
      </c>
      <c r="E6" s="17"/>
    </row>
    <row r="7" ht="18" spans="2:5">
      <c r="B7" s="15" t="str">
        <f>"HP:"&amp;HP&amp;"/"&amp;HPmax&amp;"   San:"&amp;SAN&amp;"/"&amp;SANmax&amp;"   MP:"&amp;MP&amp;"/"&amp;MPmax</f>
        <v>HP:12/12   San:65/99   MP:13/13</v>
      </c>
      <c r="D7" s="18" t="s">
        <v>673</v>
      </c>
      <c r="E7" s="19"/>
    </row>
    <row r="8" spans="2:2">
      <c r="B8" s="15" t="s">
        <v>674</v>
      </c>
    </row>
    <row r="9" spans="2:2">
      <c r="B9" s="15" t="str">
        <f>"斗殴 "&amp;人物卡!K40&amp;"% ("&amp;人物卡!M40&amp;"/"&amp;人物卡!O40&amp;"), 伤害"&amp;人物卡!R40</f>
        <v>斗殴 80% (40/16), 伤害1D3+DB</v>
      </c>
    </row>
    <row r="10" spans="2:2">
      <c r="B10" s="15" t="str">
        <f>IF(ISBLANK(weapon),"",weapon&amp;" "&amp;人物卡!K41&amp;"% ("&amp;人物卡!M41&amp;"/"&amp;人物卡!O41&amp;"), 伤害"&amp;人物卡!R41)</f>
        <v>短棍 80% (40/16), 伤害1D6+DB</v>
      </c>
    </row>
    <row r="11" spans="2:2">
      <c r="B11" s="15" t="str">
        <f>IF(ISBLANK(weapon),"",weapon&amp;" "&amp;人物卡!K42&amp;"% ("&amp;人物卡!M42&amp;"/"&amp;人物卡!O42&amp;"), 伤害"&amp;人物卡!R42)</f>
        <v>短棍 80% (40/16), 伤害1D4+DB</v>
      </c>
    </row>
    <row r="12" spans="2:2">
      <c r="B12" s="15" t="str">
        <f>IF(ISBLANK(weapon),"",weapon&amp;" "&amp;人物卡!K43&amp;"% ("&amp;人物卡!M43&amp;"/"&amp;人物卡!O43&amp;"), 伤害"&amp;人物卡!R43)</f>
        <v>短棍 % (0/0), 伤害</v>
      </c>
    </row>
    <row r="13" spans="2:2">
      <c r="B13" s="15" t="str">
        <f>IF(ISBLANK(weapon),"",weapon&amp;" "&amp;人物卡!K44&amp;"% ("&amp;人物卡!M44&amp;"/"&amp;人物卡!O44&amp;"), 伤害"&amp;人物卡!R44)</f>
        <v>短棍 % (0/0), 伤害</v>
      </c>
    </row>
    <row r="14" spans="2:2">
      <c r="B14" s="15" t="str">
        <f>IF(D7&lt;&gt;"输出到技能一栏","闪避 "&amp;Dodge&amp;"% ("&amp;人物卡!AP43&amp;"/"&amp;人物卡!AP44&amp;")","")</f>
        <v>闪避 62% (31/12)</v>
      </c>
    </row>
    <row r="15" spans="2:2">
      <c r="B15" s="15" t="s">
        <v>675</v>
      </c>
    </row>
    <row r="16" spans="2:2">
      <c r="B16" s="15" t="str">
        <f>IF(AND(ISBLANK(建卡!I48),ISBLANK(建卡!J48),ISBLANK(人物卡!J16)),"",人物卡!C16&amp;" "&amp;人物卡!L16)</f>
        <v/>
      </c>
    </row>
    <row r="17" spans="2:2">
      <c r="B17" s="15" t="str">
        <f>IF(AND(ISBLANK(建卡!I49),ISBLANK(建卡!J49),ISBLANK(人物卡!J17)),"",人物卡!C17&amp;" "&amp;人物卡!L17)</f>
        <v/>
      </c>
    </row>
    <row r="18" spans="2:2">
      <c r="B18" s="15" t="str">
        <f>IF(AND(ISBLANK(建卡!I50),ISBLANK(建卡!J50),ISBLANK(人物卡!J18)),"",人物卡!C18&amp;" "&amp;人物卡!L18)</f>
        <v/>
      </c>
    </row>
    <row r="19" spans="2:2">
      <c r="B19" s="15" t="str">
        <f>IF(AND(ISBLANK(建卡!I51),ISBLANK(建卡!J51),ISBLANK(人物卡!J19)),"",人物卡!C19&amp;" "&amp;人物卡!L19)</f>
        <v/>
      </c>
    </row>
    <row r="20" spans="2:2">
      <c r="B20" s="15" t="str">
        <f>IF(AND(ISBLANK(建卡!I52),ISBLANK(建卡!J52),ISBLANK(人物卡!J20)),"",人物卡!C20&amp;" "&amp;人物卡!L20)</f>
        <v/>
      </c>
    </row>
    <row r="21" spans="2:2">
      <c r="B21" s="15" t="str">
        <f>IF(AND(ISBLANK(建卡!I53),ISBLANK(建卡!J53),ISBLANK(人物卡!J21)),"",人物卡!C21&amp;" "&amp;人物卡!L21)</f>
        <v/>
      </c>
    </row>
    <row r="22" spans="2:2">
      <c r="B22" s="15" t="str">
        <f>IF(AND(ISBLANK(建卡!I54),ISBLANK(建卡!J54),ISBLANK(人物卡!J22)),"",人物卡!C22&amp;" "&amp;人物卡!L22)</f>
        <v/>
      </c>
    </row>
    <row r="23" spans="2:2">
      <c r="B23" s="15" t="str">
        <f>IF(AND(ISBLANK(建卡!I55),ISBLANK(建卡!J55),ISBLANK(人物卡!J23)),"",人物卡!C23&amp;" "&amp;人物卡!L23)</f>
        <v/>
      </c>
    </row>
    <row r="24" spans="2:2">
      <c r="B24" s="15" t="str">
        <f>IF(AND(ISBLANK(建卡!I56),ISBLANK(建卡!J56),ISBLANK(人物卡!J24)),"",人物卡!C24&amp;" "&amp;人物卡!L24)</f>
        <v/>
      </c>
    </row>
    <row r="25" spans="2:2">
      <c r="B25" s="15" t="str">
        <f>IF(AND(ISBLANK(建卡!I57),ISBLANK(建卡!J57),ISBLANK(人物卡!J25)),"",人物卡!C25&amp;" "&amp;人物卡!L25)</f>
        <v/>
      </c>
    </row>
    <row r="26" spans="2:2">
      <c r="B26" s="15" t="str">
        <f>IF(AND(ISBLANK(建卡!I58),ISBLANK(建卡!J58),ISBLANK(人物卡!J26)),"",人物卡!C26&amp;" "&amp;人物卡!L26)</f>
        <v>信用评级 20% (10/4)</v>
      </c>
    </row>
    <row r="27" spans="2:2">
      <c r="B27" s="15" t="str">
        <f>IF(AND(ISBLANK(建卡!I59),ISBLANK(建卡!J59),ISBLANK(人物卡!J27)),"",人物卡!C27&amp;" "&amp;人物卡!L27)</f>
        <v>克苏鲁神话 0% (0/0)</v>
      </c>
    </row>
    <row r="28" spans="2:2">
      <c r="B28" s="15" t="str">
        <f>IF(AND(ISBLANK(建卡!I60),ISBLANK(建卡!J60),ISBLANK(人物卡!J28)),"",人物卡!C28&amp;" "&amp;人物卡!L28)</f>
        <v/>
      </c>
    </row>
    <row r="29" spans="2:2">
      <c r="B29" s="15" t="str">
        <f>IF(D7&lt;&gt;"输出到战斗一栏","闪避 "&amp;Dodge&amp;"% ("&amp;人物卡!AP43&amp;"/"&amp;人物卡!AP44&amp;")","")</f>
        <v/>
      </c>
    </row>
    <row r="30" spans="2:2">
      <c r="B30" s="15" t="str">
        <f>IF(AND(ISBLANK(建卡!I62),ISBLANK(建卡!J62),ISBLANK(人物卡!J30)),"",人物卡!C30&amp;" "&amp;人物卡!L30)</f>
        <v/>
      </c>
    </row>
    <row r="31" spans="2:2">
      <c r="B31" s="15" t="str">
        <f>IF(AND(ISBLANK(建卡!I63),ISBLANK(建卡!J63),ISBLANK(人物卡!J31)),"",人物卡!C31&amp;" "&amp;人物卡!L31)</f>
        <v/>
      </c>
    </row>
    <row r="32" spans="2:2">
      <c r="B32" s="15" t="str">
        <f>IF(AND(ISBLANK(建卡!I64),ISBLANK(建卡!J64),ISBLANK(人物卡!J32)),"",人物卡!C32&amp;" "&amp;人物卡!L32)</f>
        <v/>
      </c>
    </row>
    <row r="33" spans="2:2">
      <c r="B33" s="15" t="str">
        <f>IF(AND(ISBLANK(建卡!I65),ISBLANK(建卡!J65),ISBLANK(人物卡!J33)),"",人物卡!C33&amp;" "&amp;人物卡!L33)</f>
        <v>话术 50% (25/10)</v>
      </c>
    </row>
    <row r="34" spans="2:2">
      <c r="B34" s="15" t="str">
        <f>IF(AND(ISBLANK(建卡!I66),ISBLANK(建卡!J66),ISBLANK(人物卡!J34)),"",人物卡!C34&amp;" "&amp;人物卡!L34)</f>
        <v>格斗:斗殴 80% (40/16)</v>
      </c>
    </row>
    <row r="35" spans="2:2">
      <c r="B35" s="15" t="str">
        <f>IF(AND(ISBLANK(建卡!I67),ISBLANK(建卡!J67),ISBLANK(人物卡!J35)),"",人物卡!C35&amp;" "&amp;人物卡!L35)</f>
        <v/>
      </c>
    </row>
    <row r="36" spans="2:2">
      <c r="B36" s="15" t="str">
        <f>IF(AND(ISBLANK(建卡!I68),ISBLANK(建卡!J68),ISBLANK(人物卡!J36)),"",人物卡!C36&amp;" "&amp;人物卡!L36)</f>
        <v/>
      </c>
    </row>
    <row r="37" spans="2:2">
      <c r="B37" s="15" t="str">
        <f>IF(AND(ISBLANK(建卡!I69),ISBLANK(建卡!J69),ISBLANK(人物卡!X16)),"",人物卡!Q16&amp;" "&amp;人物卡!Z16)</f>
        <v/>
      </c>
    </row>
    <row r="38" spans="2:2">
      <c r="B38" s="15" t="str">
        <f>IF(AND(ISBLANK(建卡!I70),ISBLANK(建卡!J70),ISBLANK(人物卡!X17)),"",人物卡!Q17&amp;" "&amp;人物卡!Z17)</f>
        <v/>
      </c>
    </row>
    <row r="39" spans="2:2">
      <c r="B39" s="15" t="str">
        <f>IF(AND(ISBLANK(建卡!I71),ISBLANK(建卡!J71),ISBLANK(人物卡!X18)),"",人物卡!Q18&amp;" "&amp;人物卡!Z18)</f>
        <v/>
      </c>
    </row>
    <row r="40" spans="2:2">
      <c r="B40" s="15" t="str">
        <f>IF(AND(ISBLANK(建卡!I72),ISBLANK(建卡!J72),ISBLANK(人物卡!X19)),"",人物卡!Q19&amp;" "&amp;人物卡!Z19)</f>
        <v/>
      </c>
    </row>
    <row r="41" spans="2:2">
      <c r="B41" s="15" t="str">
        <f>IF(AND(ISBLANK(建卡!I73),ISBLANK(建卡!J73),ISBLANK(人物卡!X20)),"",人物卡!Q20&amp;" "&amp;人物卡!Z20)</f>
        <v/>
      </c>
    </row>
    <row r="42" spans="2:2">
      <c r="B42" s="15" t="str">
        <f>IF(AND(ISBLANK(建卡!I74),ISBLANK(建卡!J74),ISBLANK(人物卡!X21)),"",人物卡!Q21&amp;" "&amp;人物卡!Z21)</f>
        <v>恐吓 75% (37/15)</v>
      </c>
    </row>
    <row r="43" spans="2:2">
      <c r="B43" s="15" t="str">
        <f>IF(AND(ISBLANK(建卡!I75),ISBLANK(建卡!J75),ISBLANK(人物卡!X22)),"",人物卡!Q22&amp;" "&amp;人物卡!Z22)</f>
        <v/>
      </c>
    </row>
    <row r="44" spans="2:2">
      <c r="B44" s="15" t="str">
        <f>IF(AND(ISBLANK(建卡!I76),ISBLANK(建卡!J76),ISBLANK(人物卡!X23)),"",人物卡!Q23&amp;" "&amp;人物卡!Z23)</f>
        <v/>
      </c>
    </row>
    <row r="45" spans="2:2">
      <c r="B45" s="15" t="str">
        <f>IF(AND(ISBLANK(建卡!I77),ISBLANK(建卡!J77),ISBLANK(人物卡!X24)),"",人物卡!Q24&amp;" "&amp;人物卡!Z24)</f>
        <v/>
      </c>
    </row>
    <row r="46" spans="2:2">
      <c r="B46" s="15" t="str">
        <f>IF(AND(ISBLANK(建卡!I78),ISBLANK(建卡!J78),ISBLANK(人物卡!X25)),"",人物卡!Q25&amp;" "&amp;人物卡!Z25)</f>
        <v/>
      </c>
    </row>
    <row r="47" spans="2:2">
      <c r="B47" s="15" t="str">
        <f>IF(AND(ISBLANK(建卡!I79),ISBLANK(建卡!J79),ISBLANK(人物卡!X26)),"",人物卡!Q26&amp;" "&amp;人物卡!Z26)</f>
        <v/>
      </c>
    </row>
    <row r="48" spans="2:2">
      <c r="B48" s="15" t="str">
        <f>IF(AND(ISBLANK(建卡!Z48),ISBLANK(建卡!AB48),ISBLANK(人物卡!X27)),"",人物卡!Q27&amp;" "&amp;人物卡!Z27)</f>
        <v>法律 20% (10/4)</v>
      </c>
    </row>
    <row r="49" spans="2:2">
      <c r="B49" s="15" t="str">
        <f>IF(AND(ISBLANK(建卡!Z49),ISBLANK(建卡!AB49),ISBLANK(人物卡!X28)),"",人物卡!Q28&amp;" "&amp;人物卡!Z28)</f>
        <v/>
      </c>
    </row>
    <row r="50" spans="2:2">
      <c r="B50" s="15" t="str">
        <f>IF(AND(ISBLANK(建卡!Z50),ISBLANK(建卡!AB50),ISBLANK(人物卡!X29)),"",人物卡!Q29&amp;" "&amp;人物卡!Z29)</f>
        <v/>
      </c>
    </row>
    <row r="51" spans="2:2">
      <c r="B51" s="15" t="str">
        <f>IF(AND(ISBLANK(建卡!Z51),ISBLANK(建卡!AB51),ISBLANK(人物卡!X30)),"",人物卡!Q30&amp;" "&amp;人物卡!Z30)</f>
        <v>锁匠 46% (23/9)</v>
      </c>
    </row>
    <row r="52" spans="2:2">
      <c r="B52" s="15" t="str">
        <f>IF(AND(ISBLANK(建卡!Z52),ISBLANK(建卡!AB52),ISBLANK(人物卡!X31)),"",人物卡!Q31&amp;" "&amp;人物卡!Z31)</f>
        <v/>
      </c>
    </row>
    <row r="53" spans="2:2">
      <c r="B53" s="15" t="str">
        <f>IF(AND(ISBLANK(建卡!Z53),ISBLANK(建卡!AB53),ISBLANK(人物卡!X32)),"",人物卡!Q32&amp;" "&amp;人物卡!Z32)</f>
        <v/>
      </c>
    </row>
    <row r="54" spans="2:2">
      <c r="B54" s="15" t="str">
        <f>IF(AND(ISBLANK(建卡!Z54),ISBLANK(建卡!AB54),ISBLANK(人物卡!X33)),"",人物卡!Q33&amp;" "&amp;人物卡!Z33)</f>
        <v/>
      </c>
    </row>
    <row r="55" spans="2:2">
      <c r="B55" s="15" t="str">
        <f>IF(AND(ISBLANK(建卡!Z55),ISBLANK(建卡!AB55),ISBLANK(人物卡!X34)),"",人物卡!Q34&amp;" "&amp;人物卡!Z34)</f>
        <v/>
      </c>
    </row>
    <row r="56" spans="2:2">
      <c r="B56" s="15" t="str">
        <f>IF(AND(ISBLANK(建卡!Z56),ISBLANK(建卡!AB56),ISBLANK(人物卡!X35)),"",人物卡!Q35&amp;" "&amp;人物卡!Z35)</f>
        <v/>
      </c>
    </row>
    <row r="57" spans="2:2">
      <c r="B57" s="15" t="str">
        <f>IF(AND(ISBLANK(建卡!Z57),ISBLANK(建卡!AB57),ISBLANK(人物卡!X36)),"",人物卡!Q36&amp;" "&amp;人物卡!Z36)</f>
        <v/>
      </c>
    </row>
    <row r="58" spans="2:2">
      <c r="B58" s="15" t="str">
        <f>IF(AND(ISBLANK(建卡!Z58),ISBLANK(建卡!AB58),ISBLANK(人物卡!AL16)),"",人物卡!AE16&amp;" "&amp;人物卡!AN16)</f>
        <v/>
      </c>
    </row>
    <row r="59" spans="2:2">
      <c r="B59" s="15" t="str">
        <f>IF(AND(ISBLANK(建卡!Z59),ISBLANK(建卡!AB59),ISBLANK(人物卡!AL17)),"",人物卡!AE17&amp;" "&amp;人物卡!AN17)</f>
        <v/>
      </c>
    </row>
    <row r="60" spans="2:2">
      <c r="B60" s="15" t="str">
        <f>IF(AND(ISBLANK(建卡!Z60),ISBLANK(建卡!AB60),ISBLANK(人物卡!AL18)),"",人物卡!AE18&amp;" "&amp;人物卡!AN18)</f>
        <v/>
      </c>
    </row>
    <row r="61" spans="2:2">
      <c r="B61" s="15" t="str">
        <f>IF(AND(ISBLANK(建卡!Z61),ISBLANK(建卡!AB61),ISBLANK(人物卡!AL19)),"",人物卡!AE19&amp;" "&amp;人物卡!AN19)</f>
        <v>心理学 60% (30/12)</v>
      </c>
    </row>
    <row r="62" spans="2:2">
      <c r="B62" s="15" t="str">
        <f>IF(AND(ISBLANK(建卡!Z62),ISBLANK(建卡!AB62),ISBLANK(人物卡!AL20)),"",人物卡!AE20&amp;" "&amp;人物卡!AN20)</f>
        <v/>
      </c>
    </row>
    <row r="63" spans="2:2">
      <c r="B63" s="15" t="str">
        <f>IF(AND(ISBLANK(建卡!Z63),ISBLANK(建卡!AB63),ISBLANK(人物卡!AL21)),"",人物卡!AE21&amp;" "&amp;人物卡!AN21)</f>
        <v/>
      </c>
    </row>
    <row r="64" spans="2:2">
      <c r="B64" s="15" t="str">
        <f>IF(AND(ISBLANK(建卡!Z64),ISBLANK(建卡!AB64),ISBLANK(人物卡!AL22)),"",人物卡!AE22&amp;" "&amp;人物卡!AN22)</f>
        <v/>
      </c>
    </row>
    <row r="65" spans="2:2">
      <c r="B65" s="15" t="str">
        <f>IF(AND(ISBLANK(建卡!Z65),ISBLANK(建卡!AB65),ISBLANK(人物卡!AL23)),"",人物卡!AE23&amp;" "&amp;人物卡!AN23)</f>
        <v/>
      </c>
    </row>
    <row r="66" spans="2:2">
      <c r="B66" s="15" t="str">
        <f>IF(AND(ISBLANK(建卡!Z66),ISBLANK(建卡!AB66),ISBLANK(人物卡!AL24)),"",人物卡!AE24&amp;" "&amp;人物卡!AN24)</f>
        <v/>
      </c>
    </row>
    <row r="67" spans="2:2">
      <c r="B67" s="15" t="str">
        <f>IF(AND(ISBLANK(建卡!Z67),ISBLANK(建卡!AB67),ISBLANK(人物卡!AL25)),"",人物卡!AE25&amp;" "&amp;人物卡!AN25)</f>
        <v>侦察 60% (30/12)</v>
      </c>
    </row>
    <row r="68" spans="2:2">
      <c r="B68" s="15" t="str">
        <f>IF(AND(ISBLANK(建卡!Z68),ISBLANK(建卡!AB68),ISBLANK(人物卡!AL26)),"",人物卡!AE26&amp;" "&amp;人物卡!AN26)</f>
        <v>潜行 70% (35/14)</v>
      </c>
    </row>
    <row r="69" spans="2:2">
      <c r="B69" s="15" t="str">
        <f>IF(AND(ISBLANK(建卡!Z69),ISBLANK(建卡!AB69),ISBLANK(人物卡!AL27)),"",人物卡!AE27&amp;" "&amp;人物卡!AN27)</f>
        <v/>
      </c>
    </row>
    <row r="70" spans="2:2">
      <c r="B70" s="15" t="str">
        <f>IF(AND(ISBLANK(建卡!Z70),ISBLANK(建卡!AB70),ISBLANK(人物卡!AL28)),"",人物卡!AE28&amp;" "&amp;人物卡!AN28)</f>
        <v/>
      </c>
    </row>
    <row r="71" spans="2:2">
      <c r="B71" s="15" t="str">
        <f>IF(AND(ISBLANK(建卡!Z71),ISBLANK(建卡!AB71),ISBLANK(人物卡!AL29)),"",人物卡!AE29&amp;" "&amp;人物卡!AN29)</f>
        <v/>
      </c>
    </row>
    <row r="72" spans="2:2">
      <c r="B72" s="15" t="str">
        <f>IF(AND(ISBLANK(建卡!Z72),ISBLANK(建卡!AB72),ISBLANK(人物卡!AL30)),"",人物卡!AE30&amp;" "&amp;人物卡!AN30)</f>
        <v/>
      </c>
    </row>
    <row r="73" spans="2:2">
      <c r="B73" s="15" t="str">
        <f>IF(AND(ISBLANK(建卡!Z73),ISBLANK(建卡!AB73),ISBLANK(人物卡!AL31)),"",人物卡!AE31&amp;" "&amp;人物卡!AN31)</f>
        <v/>
      </c>
    </row>
    <row r="74" spans="2:2">
      <c r="B74" s="15" t="str">
        <f>IF(AND(ISBLANK(建卡!Z74),ISBLANK(建卡!AB74),ISBLANK(人物卡!AL32)),"",人物卡!AE32&amp;" "&amp;人物卡!AN32)</f>
        <v/>
      </c>
    </row>
    <row r="75" spans="2:2">
      <c r="B75" s="15" t="str">
        <f>IF(AND(ISBLANK(建卡!Z75),ISBLANK(建卡!AB75),ISBLANK(人物卡!AL33)),"",人物卡!AE33&amp;" "&amp;人物卡!AN33)</f>
        <v/>
      </c>
    </row>
    <row r="76" spans="2:2">
      <c r="B76" s="15" t="str">
        <f>IF(AND(ISBLANK(建卡!Z76),ISBLANK(建卡!AB76),ISBLANK(人物卡!AL34)),"",人物卡!AE34&amp;" "&amp;人物卡!AN34)</f>
        <v/>
      </c>
    </row>
    <row r="77" spans="2:2">
      <c r="B77" s="15" t="str">
        <f>IF(AND(ISBLANK(建卡!Z77),ISBLANK(建卡!AB77),ISBLANK(人物卡!AL35)),"",人物卡!AE35&amp;" "&amp;人物卡!AN35)</f>
        <v/>
      </c>
    </row>
    <row r="78" spans="2:2">
      <c r="B78" s="15" t="str">
        <f>IF(AND(ISBLANK(建卡!Z78),ISBLANK(建卡!AB78),ISBLANK(人物卡!AL36)),"",人物卡!AE36&amp;" "&amp;人物卡!AN36)</f>
        <v/>
      </c>
    </row>
    <row r="79" spans="2:2">
      <c r="B79" s="15" t="s">
        <v>676</v>
      </c>
    </row>
    <row r="80" spans="2:2">
      <c r="B80" s="15" t="str">
        <f>人物卡!S48&amp;"："&amp;IF(ISBLANK(人物卡!W48),"（空）",人物卡!W48)</f>
        <v>形象描述：一个看上去比较大众脸的壮汉</v>
      </c>
    </row>
    <row r="81" spans="2:2">
      <c r="B81" s="15" t="str">
        <f>人物卡!S50&amp;"："&amp;IF(ISBLANK(人物卡!W50),"（空）",人物卡!W50)</f>
        <v>思想与信念：命最重要，其次是钱</v>
      </c>
    </row>
    <row r="82" spans="2:2">
      <c r="B82" s="15" t="str">
        <f>人物卡!S52&amp;"："&amp;IF(ISBLANK(人物卡!W52),"（空）",人物卡!W52)</f>
        <v>重要之人：（空）</v>
      </c>
    </row>
    <row r="83" spans="2:2">
      <c r="B83" s="15" t="str">
        <f>人物卡!S54&amp;"："&amp;IF(ISBLANK(人物卡!W54),"（空）",人物卡!W54)</f>
        <v>意义非凡之地：（空）</v>
      </c>
    </row>
    <row r="84" spans="2:2">
      <c r="B84" s="15" t="str">
        <f>人物卡!S56&amp;"："&amp;IF(ISBLANK(人物卡!W56),"（空）",人物卡!W56)</f>
        <v>宝贵之物：（空）</v>
      </c>
    </row>
    <row r="85" spans="2:2">
      <c r="B85" s="15" t="str">
        <f>人物卡!S58&amp;"："&amp;IF(ISBLANK(人物卡!W58),"（空）",人物卡!W58)</f>
        <v>特质：低调</v>
      </c>
    </row>
    <row r="86" spans="2:2">
      <c r="B86" s="15" t="str">
        <f>人物卡!S60&amp;"："&amp;IF(ISBLANK(人物卡!W60),"（空）",人物卡!W60)</f>
        <v>伤口和疤痕：（空）</v>
      </c>
    </row>
    <row r="87" spans="2:2">
      <c r="B87" s="15" t="str">
        <f>人物卡!S62&amp;"："&amp;IF(ISBLANK(人物卡!W62),"（空）",人物卡!W62)</f>
        <v>恐惧症和狂躁症：（空）</v>
      </c>
    </row>
    <row r="88" spans="2:2">
      <c r="B88" s="15" t="str">
        <f>IF(ISBLANK(人物卡!S64),"（没有填写更多背景）",人物卡!S64)</f>
        <v>凭借着自己的低调和高于常人的智商，托德游刃有余地混迹于灰色地带。由于在帮派中地位不高，托德并没有太多的机会接触到枪械，但这同时也使得他几乎没有什么仇家。在混战中，闷棍最大的好处就在于既不会暴露自己也不会弄出太大的动静，而托德正精于此道。因为帮派的一些生意，托德和私酒贩子德克兰·麦克布莱德有一定的来往——某种程度上来说算是“拿人钱财，替人消灾”。</v>
      </c>
    </row>
    <row r="89" spans="2:2">
      <c r="B89" s="15" t="s">
        <v>677</v>
      </c>
    </row>
    <row r="90" spans="2:2">
      <c r="B90" s="15" t="str">
        <f>IF(ISBLANK(人物卡!B56),"（没有携带任何物品）",人物卡!B56)</f>
        <v>袖子里藏着一把弹簧折叠刀</v>
      </c>
    </row>
    <row r="91" spans="2:2">
      <c r="B91" s="15" t="str">
        <f>IF(ISBLANK(人物卡!B57),"",人物卡!B57)</f>
        <v>短棍</v>
      </c>
    </row>
    <row r="92" spans="2:2">
      <c r="B92" s="15" t="str">
        <f>IF(ISBLANK(人物卡!B58),"",人物卡!B58)</f>
        <v/>
      </c>
    </row>
    <row r="93" spans="2:2">
      <c r="B93" s="15" t="str">
        <f>IF(ISBLANK(人物卡!B59),"",人物卡!B59)</f>
        <v/>
      </c>
    </row>
    <row r="94" spans="2:2">
      <c r="B94" s="15" t="str">
        <f>IF(ISBLANK(人物卡!B60),"",人物卡!B60)</f>
        <v/>
      </c>
    </row>
    <row r="95" spans="2:2">
      <c r="B95" s="15" t="str">
        <f>IF(ISBLANK(人物卡!B61),"",人物卡!B61)</f>
        <v/>
      </c>
    </row>
    <row r="96" spans="2:2">
      <c r="B96" s="15" t="str">
        <f>IF(ISBLANK(人物卡!B62),"",人物卡!B62)</f>
        <v/>
      </c>
    </row>
    <row r="97" spans="2:2">
      <c r="B97" s="15" t="str">
        <f>IF(ISBLANK(人物卡!B63),"",人物卡!B63)</f>
        <v/>
      </c>
    </row>
    <row r="98" spans="2:2">
      <c r="B98" s="15" t="str">
        <f>IF(ISBLANK(人物卡!B64),"",人物卡!B64)</f>
        <v/>
      </c>
    </row>
    <row r="99" spans="2:2">
      <c r="B99" s="15" t="s">
        <v>678</v>
      </c>
    </row>
    <row r="100" spans="2:2">
      <c r="B100" s="15" t="str">
        <f>"消费水平："&amp;IF(ISBLANK(人物卡!N49),"(未填写)",人物卡!N49)</f>
        <v>消费水平：(未填写)</v>
      </c>
    </row>
    <row r="101" spans="2:2">
      <c r="B101" s="15" t="str">
        <f>"现金："&amp;IF(ISBLANK(人物卡!D49),"(未填写)",人物卡!D49)</f>
        <v>现金：(未填写)</v>
      </c>
    </row>
    <row r="102" spans="2:2">
      <c r="B102" s="15" t="str">
        <f>IF(ISBLANK(人物卡!B50),"（未设定其他资产）",人物卡!B50)</f>
        <v>（未设定其他资产）</v>
      </c>
    </row>
    <row r="103" ht="18" spans="2:2">
      <c r="B103" s="20" t="s">
        <v>679</v>
      </c>
    </row>
  </sheetData>
  <sheetProtection algorithmName="SHA-512" hashValue="X1xLfEE1FqlRaJnSVpMOKwHyE+zMDzKlyCgMdIR+EuLnwaGIuZmU/zoaCvK02eovtVeopcTT2A3mf7CKXeANSg==" saltValue="BFQrlWMmzOamgYW6h0zG5Q==" spinCount="100000" sheet="1" autoFilter="0" objects="1" scenarios="1"/>
  <autoFilter ref="B1:B103"/>
  <mergeCells count="2">
    <mergeCell ref="D6:E6"/>
    <mergeCell ref="D7:E7"/>
  </mergeCells>
  <dataValidations count="1">
    <dataValidation type="list" allowBlank="1" showErrorMessage="1" sqref="D7:E7">
      <formula1>"输出到战斗一栏,输出到技能一栏,同时输出到战斗和技能栏"</formula1>
    </dataValidation>
  </dataValidation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2"/>
  <sheetViews>
    <sheetView showGridLines="0" workbookViewId="0">
      <selection activeCell="F19" sqref="F19"/>
    </sheetView>
  </sheetViews>
  <sheetFormatPr defaultColWidth="9.875" defaultRowHeight="17.25"/>
  <cols>
    <col min="1" max="1" width="9.5" style="1" customWidth="1"/>
    <col min="2" max="2" width="8" style="2" customWidth="1"/>
    <col min="3" max="3" width="6.25" style="2" customWidth="1"/>
    <col min="4" max="4" width="9.875" style="1"/>
    <col min="5" max="5" width="11.25" style="1" customWidth="1"/>
    <col min="6" max="6" width="10.375" style="1" customWidth="1"/>
    <col min="7" max="16384" width="9.875" style="1"/>
  </cols>
  <sheetData>
    <row r="1" spans="1:10">
      <c r="A1" s="3" t="s">
        <v>680</v>
      </c>
      <c r="B1" s="3" t="s">
        <v>681</v>
      </c>
      <c r="C1" s="3" t="s">
        <v>682</v>
      </c>
      <c r="E1" s="3" t="s">
        <v>40</v>
      </c>
      <c r="F1" s="3" t="s">
        <v>683</v>
      </c>
      <c r="J1" s="11"/>
    </row>
    <row r="2" spans="1:6">
      <c r="A2" s="4">
        <v>0</v>
      </c>
      <c r="B2" s="5" t="s">
        <v>684</v>
      </c>
      <c r="C2" s="4" t="s">
        <v>684</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685</v>
      </c>
      <c r="C6" s="4">
        <v>1</v>
      </c>
      <c r="E6" s="5">
        <v>70</v>
      </c>
      <c r="F6" s="4">
        <v>4</v>
      </c>
    </row>
    <row r="7" spans="1:6">
      <c r="A7" s="6">
        <v>165</v>
      </c>
      <c r="B7" s="6" t="s">
        <v>686</v>
      </c>
      <c r="C7" s="6">
        <v>2</v>
      </c>
      <c r="E7" s="6">
        <v>80</v>
      </c>
      <c r="F7" s="6">
        <v>5</v>
      </c>
    </row>
    <row r="8" spans="1:3">
      <c r="A8" s="4">
        <v>205</v>
      </c>
      <c r="B8" s="5" t="s">
        <v>687</v>
      </c>
      <c r="C8" s="4">
        <v>3</v>
      </c>
    </row>
    <row r="9" spans="1:6">
      <c r="A9" s="6">
        <v>285</v>
      </c>
      <c r="B9" s="6" t="s">
        <v>688</v>
      </c>
      <c r="C9" s="6">
        <v>4</v>
      </c>
      <c r="E9" s="7" t="s">
        <v>689</v>
      </c>
      <c r="F9" s="8"/>
    </row>
    <row r="10" spans="1:6">
      <c r="A10" s="4">
        <v>365</v>
      </c>
      <c r="B10" s="5" t="s">
        <v>690</v>
      </c>
      <c r="C10" s="4">
        <v>5</v>
      </c>
      <c r="E10" s="5" t="s">
        <v>691</v>
      </c>
      <c r="F10" s="4">
        <f>STR</f>
        <v>65</v>
      </c>
    </row>
    <row r="11" spans="1:6">
      <c r="A11" s="6">
        <v>445</v>
      </c>
      <c r="B11" s="6" t="s">
        <v>692</v>
      </c>
      <c r="C11" s="6">
        <v>6</v>
      </c>
      <c r="E11" s="6" t="s">
        <v>693</v>
      </c>
      <c r="F11" s="6">
        <f>DEX</f>
        <v>65</v>
      </c>
    </row>
    <row r="12" spans="1:6">
      <c r="A12" s="4">
        <v>525</v>
      </c>
      <c r="B12" s="5" t="s">
        <v>694</v>
      </c>
      <c r="C12" s="4">
        <v>7</v>
      </c>
      <c r="E12" s="5" t="s">
        <v>695</v>
      </c>
      <c r="F12" s="4">
        <f>SIZ</f>
        <v>80</v>
      </c>
    </row>
    <row r="13" spans="1:6">
      <c r="A13" s="6">
        <v>605</v>
      </c>
      <c r="B13" s="6" t="s">
        <v>696</v>
      </c>
      <c r="C13" s="6">
        <v>8</v>
      </c>
      <c r="E13" s="6" t="s">
        <v>697</v>
      </c>
      <c r="F13" s="6" t="b">
        <f>IF(STR&gt;SIZ,TRUE())</f>
        <v>0</v>
      </c>
    </row>
    <row r="14" spans="1:6">
      <c r="A14" s="4">
        <v>685</v>
      </c>
      <c r="B14" s="5" t="s">
        <v>698</v>
      </c>
      <c r="C14" s="4">
        <v>9</v>
      </c>
      <c r="E14" s="5" t="s">
        <v>699</v>
      </c>
      <c r="F14" s="4" t="b">
        <f>IF(DEX&gt;SIZ,TRUE())</f>
        <v>0</v>
      </c>
    </row>
    <row r="15" spans="1:6">
      <c r="A15" s="6">
        <v>765</v>
      </c>
      <c r="B15" s="6" t="s">
        <v>700</v>
      </c>
      <c r="C15" s="6">
        <v>10</v>
      </c>
      <c r="E15" s="6" t="s">
        <v>701</v>
      </c>
      <c r="F15" s="6" t="b">
        <f>IF(STR&lt;SIZ,TRUE())</f>
        <v>1</v>
      </c>
    </row>
    <row r="16" spans="1:6">
      <c r="A16" s="4">
        <v>845</v>
      </c>
      <c r="B16" s="5" t="s">
        <v>702</v>
      </c>
      <c r="C16" s="4">
        <v>11</v>
      </c>
      <c r="E16" s="5" t="s">
        <v>703</v>
      </c>
      <c r="F16" s="4" t="b">
        <f>IF(DEX&lt;SIZ,TRUE())</f>
        <v>1</v>
      </c>
    </row>
    <row r="17" spans="1:6">
      <c r="A17" s="6">
        <v>925</v>
      </c>
      <c r="B17" s="6" t="s">
        <v>704</v>
      </c>
      <c r="C17" s="6">
        <v>12</v>
      </c>
      <c r="E17" s="6" t="s">
        <v>705</v>
      </c>
      <c r="F17" s="6" t="b">
        <f>AND(F13:F14)</f>
        <v>0</v>
      </c>
    </row>
    <row r="18" spans="1:6">
      <c r="A18" s="4">
        <v>1005</v>
      </c>
      <c r="B18" s="5" t="s">
        <v>706</v>
      </c>
      <c r="C18" s="4">
        <v>13</v>
      </c>
      <c r="E18" s="5" t="s">
        <v>707</v>
      </c>
      <c r="F18" s="4" t="b">
        <f>AND(F15:F16)</f>
        <v>1</v>
      </c>
    </row>
    <row r="19" spans="1:6">
      <c r="A19" s="6">
        <v>1085</v>
      </c>
      <c r="B19" s="6" t="s">
        <v>708</v>
      </c>
      <c r="C19" s="6">
        <v>14</v>
      </c>
      <c r="E19" s="6" t="s">
        <v>709</v>
      </c>
      <c r="F19" s="6" t="b">
        <f>AND(NOT(F17),NOT(F18))</f>
        <v>0</v>
      </c>
    </row>
    <row r="20" spans="1:6">
      <c r="A20" s="4">
        <v>1165</v>
      </c>
      <c r="B20" s="5" t="s">
        <v>710</v>
      </c>
      <c r="C20" s="4">
        <v>15</v>
      </c>
      <c r="E20" s="5" t="s">
        <v>711</v>
      </c>
      <c r="F20" s="4">
        <f>IF(F17,9,0)</f>
        <v>0</v>
      </c>
    </row>
    <row r="21" spans="1:6">
      <c r="A21" s="6">
        <v>1245</v>
      </c>
      <c r="B21" s="6" t="s">
        <v>712</v>
      </c>
      <c r="C21" s="6">
        <v>16</v>
      </c>
      <c r="E21" s="6" t="s">
        <v>713</v>
      </c>
      <c r="F21" s="6">
        <f>IF(F18,7,0)</f>
        <v>7</v>
      </c>
    </row>
    <row r="22" spans="1:6">
      <c r="A22" s="4">
        <v>1325</v>
      </c>
      <c r="B22" s="5" t="s">
        <v>714</v>
      </c>
      <c r="C22" s="4">
        <v>17</v>
      </c>
      <c r="E22" s="5" t="s">
        <v>715</v>
      </c>
      <c r="F22" s="4">
        <f>IF(F19,8,0)</f>
        <v>0</v>
      </c>
    </row>
    <row r="23" spans="1:6">
      <c r="A23" s="6">
        <v>1405</v>
      </c>
      <c r="B23" s="6" t="s">
        <v>716</v>
      </c>
      <c r="C23" s="6">
        <v>18</v>
      </c>
      <c r="E23" s="6" t="s">
        <v>717</v>
      </c>
      <c r="F23" s="6">
        <f>MAX(F20:F22)</f>
        <v>7</v>
      </c>
    </row>
    <row r="24" spans="1:3">
      <c r="A24" s="4">
        <v>1485</v>
      </c>
      <c r="B24" s="5" t="s">
        <v>718</v>
      </c>
      <c r="C24" s="4">
        <v>19</v>
      </c>
    </row>
    <row r="25" spans="1:6">
      <c r="A25" s="6">
        <v>1565</v>
      </c>
      <c r="B25" s="6" t="s">
        <v>719</v>
      </c>
      <c r="C25" s="6">
        <v>20</v>
      </c>
      <c r="E25" s="7" t="s">
        <v>281</v>
      </c>
      <c r="F25" s="8"/>
    </row>
    <row r="26" spans="1:6">
      <c r="A26" s="4">
        <v>1645</v>
      </c>
      <c r="B26" s="5" t="s">
        <v>720</v>
      </c>
      <c r="C26" s="4">
        <v>21</v>
      </c>
      <c r="E26" s="9" t="s">
        <v>346</v>
      </c>
      <c r="F26" s="6">
        <f>(EDU+STR)*2</f>
        <v>280</v>
      </c>
    </row>
    <row r="27" spans="1:6">
      <c r="A27" s="6">
        <v>1725</v>
      </c>
      <c r="B27" s="6" t="s">
        <v>721</v>
      </c>
      <c r="C27" s="6">
        <v>22</v>
      </c>
      <c r="E27" s="10" t="s">
        <v>360</v>
      </c>
      <c r="F27" s="4">
        <f>(EDU+DEX)*2</f>
        <v>280</v>
      </c>
    </row>
    <row r="28" spans="1:6">
      <c r="A28" s="4">
        <v>1805</v>
      </c>
      <c r="B28" s="5" t="s">
        <v>722</v>
      </c>
      <c r="C28" s="4">
        <v>23</v>
      </c>
      <c r="E28" s="9" t="s">
        <v>295</v>
      </c>
      <c r="F28" s="6">
        <f>(EDU+APP)*2</f>
        <v>270</v>
      </c>
    </row>
    <row r="29" spans="1:6">
      <c r="A29" s="6">
        <v>1885</v>
      </c>
      <c r="B29" s="6" t="s">
        <v>723</v>
      </c>
      <c r="C29" s="6">
        <v>24</v>
      </c>
      <c r="E29" s="10" t="s">
        <v>724</v>
      </c>
      <c r="F29" s="4">
        <f>(EDU+POW)*2</f>
        <v>280</v>
      </c>
    </row>
    <row r="30" spans="1:6">
      <c r="A30" s="4">
        <v>1965</v>
      </c>
      <c r="B30" s="5" t="s">
        <v>725</v>
      </c>
      <c r="C30" s="4">
        <v>25</v>
      </c>
      <c r="E30" s="6" t="s">
        <v>283</v>
      </c>
      <c r="F30" s="6">
        <f>EDU*4</f>
        <v>300</v>
      </c>
    </row>
    <row r="31" spans="1:3">
      <c r="A31" s="6">
        <v>2045</v>
      </c>
      <c r="B31" s="6" t="s">
        <v>726</v>
      </c>
      <c r="C31" s="6">
        <v>26</v>
      </c>
    </row>
    <row r="32" spans="1:3">
      <c r="A32" s="4">
        <v>2125</v>
      </c>
      <c r="B32" s="5" t="s">
        <v>727</v>
      </c>
      <c r="C32" s="4">
        <v>27</v>
      </c>
    </row>
  </sheetData>
  <sheetProtection algorithmName="SHA-512" hashValue="XB+r7oEIsVbllwA7qwgOf+Qby1zuSk51z6wPfdHL27PD0cHjzVLXM6MCJBIjJPAKPFvtxTsv18259u150pgiKw==" saltValue="Iun6yI5b48ShpuCRCSXhmg==" spinCount="100000" sheet="1" selectLockedCells="1" selectUnlockedCells="1" objects="1" scenarios="1"/>
  <mergeCells count="2">
    <mergeCell ref="E9:F9"/>
    <mergeCell ref="E25:F25"/>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建卡</vt:lpstr>
      <vt:lpstr>人物卡</vt:lpstr>
      <vt:lpstr>技能专攻</vt:lpstr>
      <vt:lpstr>职业列表</vt:lpstr>
      <vt:lpstr>资产对照表</vt:lpstr>
      <vt:lpstr>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莫亦</cp:lastModifiedBy>
  <dcterms:created xsi:type="dcterms:W3CDTF">2015-07-06T01:28:00Z</dcterms:created>
  <cp:lastPrinted>2018-09-19T08:55:00Z</cp:lastPrinted>
  <dcterms:modified xsi:type="dcterms:W3CDTF">2019-11-29T14:12:59Z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