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8735" windowHeight="8340" tabRatio="873"/>
  </bookViews>
  <sheets>
    <sheet name="Targets" sheetId="15" r:id="rId1"/>
    <sheet name="Overview" sheetId="13" r:id="rId2"/>
    <sheet name="Consumption Control" sheetId="14" r:id="rId3"/>
    <sheet name="December" sheetId="12" r:id="rId4"/>
    <sheet name="November" sheetId="11" r:id="rId5"/>
    <sheet name="October" sheetId="10" r:id="rId6"/>
    <sheet name="September" sheetId="9" r:id="rId7"/>
    <sheet name="August" sheetId="8" r:id="rId8"/>
    <sheet name="July" sheetId="7" r:id="rId9"/>
    <sheet name="June" sheetId="6" r:id="rId10"/>
    <sheet name="May" sheetId="5" r:id="rId11"/>
    <sheet name="April" sheetId="4" r:id="rId12"/>
    <sheet name="March" sheetId="3" r:id="rId13"/>
    <sheet name="February" sheetId="2" r:id="rId14"/>
    <sheet name="January" sheetId="1" r:id="rId15"/>
  </sheets>
  <definedNames>
    <definedName name="_xlnm.Print_Area" localSheetId="1">Overview!$A$1:$H$39</definedName>
  </definedNames>
  <calcPr calcId="125725"/>
</workbook>
</file>

<file path=xl/calcChain.xml><?xml version="1.0" encoding="utf-8"?>
<calcChain xmlns="http://schemas.openxmlformats.org/spreadsheetml/2006/main">
  <c r="H47" i="14"/>
  <c r="H46"/>
  <c r="H45"/>
  <c r="H44"/>
  <c r="H43"/>
  <c r="H42"/>
  <c r="H41"/>
  <c r="H40"/>
  <c r="H39"/>
  <c r="H38"/>
  <c r="H37"/>
  <c r="H36"/>
  <c r="L12"/>
  <c r="L13" s="1"/>
  <c r="L14" s="1"/>
  <c r="L15" s="1"/>
  <c r="L16" s="1"/>
  <c r="L17" s="1"/>
  <c r="L18" s="1"/>
  <c r="L19" s="1"/>
  <c r="L20" s="1"/>
  <c r="L21" s="1"/>
  <c r="L22" s="1"/>
  <c r="L11"/>
  <c r="T11"/>
  <c r="T12" s="1"/>
  <c r="T13" s="1"/>
  <c r="T14" s="1"/>
  <c r="T15" s="1"/>
  <c r="T16" s="1"/>
  <c r="T17" s="1"/>
  <c r="T18" s="1"/>
  <c r="T19" s="1"/>
  <c r="T20" s="1"/>
  <c r="T21" s="1"/>
  <c r="T22" s="1"/>
  <c r="S13"/>
  <c r="S14" s="1"/>
  <c r="S15" s="1"/>
  <c r="S16" s="1"/>
  <c r="S17" s="1"/>
  <c r="S18" s="1"/>
  <c r="S19" s="1"/>
  <c r="S20" s="1"/>
  <c r="S21" s="1"/>
  <c r="S22" s="1"/>
  <c r="S12"/>
  <c r="S11"/>
  <c r="R12"/>
  <c r="R13" s="1"/>
  <c r="R14" s="1"/>
  <c r="R15" s="1"/>
  <c r="R16" s="1"/>
  <c r="R17" s="1"/>
  <c r="R18" s="1"/>
  <c r="R19" s="1"/>
  <c r="R20" s="1"/>
  <c r="R21" s="1"/>
  <c r="R22" s="1"/>
  <c r="R11"/>
  <c r="Q12"/>
  <c r="Q13" s="1"/>
  <c r="Q14" s="1"/>
  <c r="Q15" s="1"/>
  <c r="Q16" s="1"/>
  <c r="Q17" s="1"/>
  <c r="Q18" s="1"/>
  <c r="Q19" s="1"/>
  <c r="Q20" s="1"/>
  <c r="Q21" s="1"/>
  <c r="Q22" s="1"/>
  <c r="Q11"/>
  <c r="E11"/>
  <c r="E12" s="1"/>
  <c r="E13" s="1"/>
  <c r="E14" s="1"/>
  <c r="E15" s="1"/>
  <c r="E16" s="1"/>
  <c r="E17" s="1"/>
  <c r="E18" s="1"/>
  <c r="E19" s="1"/>
  <c r="E20" s="1"/>
  <c r="E21" s="1"/>
  <c r="E22" s="1"/>
  <c r="D11"/>
  <c r="D12" s="1"/>
  <c r="D13" s="1"/>
  <c r="D14" s="1"/>
  <c r="D15" s="1"/>
  <c r="D16" s="1"/>
  <c r="D17" s="1"/>
  <c r="D18" s="1"/>
  <c r="D19" s="1"/>
  <c r="D20" s="1"/>
  <c r="D21" s="1"/>
  <c r="D22" s="1"/>
  <c r="E37"/>
  <c r="E38" s="1"/>
  <c r="E39" s="1"/>
  <c r="E40" s="1"/>
  <c r="E41" s="1"/>
  <c r="E42" s="1"/>
  <c r="E43" s="1"/>
  <c r="E44" s="1"/>
  <c r="E45" s="1"/>
  <c r="E46" s="1"/>
  <c r="E47" s="1"/>
  <c r="E36"/>
  <c r="D37"/>
  <c r="D38" s="1"/>
  <c r="D39" s="1"/>
  <c r="D40" s="1"/>
  <c r="D41" s="1"/>
  <c r="D42" s="1"/>
  <c r="D43" s="1"/>
  <c r="D44" s="1"/>
  <c r="D45" s="1"/>
  <c r="D46" s="1"/>
  <c r="D47" s="1"/>
  <c r="D36"/>
  <c r="R17" i="15"/>
  <c r="F30" i="14"/>
  <c r="F35"/>
  <c r="G35" s="1"/>
  <c r="F31"/>
  <c r="W10"/>
  <c r="H35" l="1"/>
  <c r="F37"/>
  <c r="F36"/>
  <c r="G36" s="1"/>
  <c r="R18" i="15"/>
  <c r="N12" i="14"/>
  <c r="N13" s="1"/>
  <c r="N14" s="1"/>
  <c r="N15" s="1"/>
  <c r="N16" s="1"/>
  <c r="N11"/>
  <c r="M11"/>
  <c r="M12" s="1"/>
  <c r="M13" s="1"/>
  <c r="M14" s="1"/>
  <c r="M15" s="1"/>
  <c r="M16" s="1"/>
  <c r="R19" i="15" l="1"/>
  <c r="R20" s="1"/>
  <c r="R21" s="1"/>
  <c r="R22" s="1"/>
  <c r="R23" s="1"/>
  <c r="F38" i="14"/>
  <c r="G37"/>
  <c r="M27"/>
  <c r="U16" i="15"/>
  <c r="T16"/>
  <c r="S16"/>
  <c r="R24" l="1"/>
  <c r="R25" s="1"/>
  <c r="R26" s="1"/>
  <c r="R27" s="1"/>
  <c r="F39" i="14"/>
  <c r="G38"/>
  <c r="U18" i="15"/>
  <c r="U17"/>
  <c r="N17" i="14"/>
  <c r="N18" s="1"/>
  <c r="N19" s="1"/>
  <c r="N20" s="1"/>
  <c r="N21" s="1"/>
  <c r="N22" s="1"/>
  <c r="M17"/>
  <c r="M18" s="1"/>
  <c r="M19" s="1"/>
  <c r="M20" s="1"/>
  <c r="M21" s="1"/>
  <c r="M22" s="1"/>
  <c r="F22"/>
  <c r="F40" l="1"/>
  <c r="G40" s="1"/>
  <c r="G39"/>
  <c r="U19" i="15"/>
  <c r="U20"/>
  <c r="G22" i="14"/>
  <c r="S28" i="15"/>
  <c r="Q28"/>
  <c r="T28" s="1"/>
  <c r="F41" i="14" l="1"/>
  <c r="G41" s="1"/>
  <c r="U21" i="15"/>
  <c r="O21" i="14"/>
  <c r="P21"/>
  <c r="F42" l="1"/>
  <c r="U22" i="15"/>
  <c r="P22" i="14"/>
  <c r="O22"/>
  <c r="H22"/>
  <c r="P17" i="15"/>
  <c r="S17" s="1"/>
  <c r="P11" i="14"/>
  <c r="O11"/>
  <c r="O12"/>
  <c r="F43" l="1"/>
  <c r="G42"/>
  <c r="U23" i="15"/>
  <c r="P18"/>
  <c r="S18" s="1"/>
  <c r="O14" i="14"/>
  <c r="O13"/>
  <c r="P13"/>
  <c r="P12"/>
  <c r="F11"/>
  <c r="F12"/>
  <c r="H12" s="1"/>
  <c r="F13"/>
  <c r="H13" s="1"/>
  <c r="F44" l="1"/>
  <c r="G43"/>
  <c r="R28" i="15"/>
  <c r="U24"/>
  <c r="G11" i="14"/>
  <c r="H11"/>
  <c r="G12"/>
  <c r="G13"/>
  <c r="P19" i="15"/>
  <c r="S19" s="1"/>
  <c r="O20" i="14"/>
  <c r="P14"/>
  <c r="N31"/>
  <c r="N28"/>
  <c r="N26"/>
  <c r="F45" l="1"/>
  <c r="G44"/>
  <c r="U25" i="15"/>
  <c r="P20" i="14"/>
  <c r="P19"/>
  <c r="F14"/>
  <c r="P20" i="15"/>
  <c r="S20" s="1"/>
  <c r="P18" i="14"/>
  <c r="N27"/>
  <c r="F47" l="1"/>
  <c r="F46"/>
  <c r="G45"/>
  <c r="U26" i="15"/>
  <c r="G14" i="14"/>
  <c r="H14"/>
  <c r="F15"/>
  <c r="H15" s="1"/>
  <c r="P21" i="15"/>
  <c r="S21" s="1"/>
  <c r="O15" i="14"/>
  <c r="M25"/>
  <c r="M29" s="1"/>
  <c r="N29" s="1"/>
  <c r="G46" l="1"/>
  <c r="U28" i="15"/>
  <c r="U27"/>
  <c r="F16" i="14"/>
  <c r="H16" s="1"/>
  <c r="P22" i="15"/>
  <c r="S22" s="1"/>
  <c r="P17" i="14"/>
  <c r="N25"/>
  <c r="N30" s="1"/>
  <c r="N32" s="1"/>
  <c r="G15"/>
  <c r="F6"/>
  <c r="F10"/>
  <c r="H10" s="1"/>
  <c r="G47" l="1"/>
  <c r="F32"/>
  <c r="G10"/>
  <c r="F17"/>
  <c r="H17" s="1"/>
  <c r="P23" i="15"/>
  <c r="S23" s="1"/>
  <c r="P15" i="14"/>
  <c r="P16"/>
  <c r="O17"/>
  <c r="O16"/>
  <c r="D10" i="12"/>
  <c r="D9"/>
  <c r="H13" i="13" s="1"/>
  <c r="D8" i="12"/>
  <c r="H12" i="13" s="1"/>
  <c r="D7" i="12"/>
  <c r="H11" i="13" s="1"/>
  <c r="D10" i="11"/>
  <c r="G14" i="13" s="1"/>
  <c r="D9" i="11"/>
  <c r="G13" i="13" s="1"/>
  <c r="D8" i="11"/>
  <c r="G12" i="13" s="1"/>
  <c r="D7" i="11"/>
  <c r="G11" i="13" s="1"/>
  <c r="D10" i="10"/>
  <c r="F14" i="13" s="1"/>
  <c r="D9" i="10"/>
  <c r="F13" i="13" s="1"/>
  <c r="D8" i="10"/>
  <c r="F12" i="13" s="1"/>
  <c r="D7" i="10"/>
  <c r="F11" i="13" s="1"/>
  <c r="D10" i="9"/>
  <c r="D9"/>
  <c r="E13" i="13" s="1"/>
  <c r="D8" i="9"/>
  <c r="E12" i="13" s="1"/>
  <c r="D7" i="9"/>
  <c r="E11" i="13" s="1"/>
  <c r="D10" i="8"/>
  <c r="D9"/>
  <c r="D13" i="13" s="1"/>
  <c r="D10" i="7"/>
  <c r="D9"/>
  <c r="C13" i="13" s="1"/>
  <c r="D8" i="7"/>
  <c r="C12" i="13" s="1"/>
  <c r="D7" i="7"/>
  <c r="C11" i="13" s="1"/>
  <c r="D10" i="6"/>
  <c r="D9"/>
  <c r="D8"/>
  <c r="H5" i="13" s="1"/>
  <c r="D7" i="6"/>
  <c r="H4" i="13" s="1"/>
  <c r="D10" i="5"/>
  <c r="D9"/>
  <c r="D8"/>
  <c r="G5" i="13" s="1"/>
  <c r="D7" i="5"/>
  <c r="G4" i="13" s="1"/>
  <c r="D10" i="4"/>
  <c r="D9"/>
  <c r="F6" i="13" s="1"/>
  <c r="D8" i="4"/>
  <c r="F5" i="13" s="1"/>
  <c r="D7" i="4"/>
  <c r="F4" i="13" s="1"/>
  <c r="D10" i="3"/>
  <c r="E7" i="13" s="1"/>
  <c r="D9" i="3"/>
  <c r="E6" i="13" s="1"/>
  <c r="D8" i="3"/>
  <c r="E5" i="13" s="1"/>
  <c r="D7" i="3"/>
  <c r="E4" i="13" s="1"/>
  <c r="D10" i="2"/>
  <c r="D9"/>
  <c r="D6" i="13" s="1"/>
  <c r="D8" i="2"/>
  <c r="D5" i="13" s="1"/>
  <c r="D7" i="2"/>
  <c r="D4" i="13" s="1"/>
  <c r="D10" i="1"/>
  <c r="D12" s="1"/>
  <c r="D9"/>
  <c r="D11" s="1"/>
  <c r="D8"/>
  <c r="C5" i="13" s="1"/>
  <c r="D7" i="1"/>
  <c r="C4" i="13" s="1"/>
  <c r="L14" l="1"/>
  <c r="K14"/>
  <c r="K11"/>
  <c r="K6"/>
  <c r="K13"/>
  <c r="K5"/>
  <c r="K7"/>
  <c r="L7"/>
  <c r="K8"/>
  <c r="K10"/>
  <c r="H14"/>
  <c r="L16" s="1"/>
  <c r="K16"/>
  <c r="L15"/>
  <c r="K15"/>
  <c r="K9"/>
  <c r="E14"/>
  <c r="L13" s="1"/>
  <c r="C14"/>
  <c r="L11" s="1"/>
  <c r="H7"/>
  <c r="G6"/>
  <c r="G7"/>
  <c r="F7"/>
  <c r="L8" s="1"/>
  <c r="F18" i="14"/>
  <c r="H18" s="1"/>
  <c r="D7" i="13"/>
  <c r="L6" s="1"/>
  <c r="P24" i="15"/>
  <c r="S24" s="1"/>
  <c r="H6" i="13"/>
  <c r="D14"/>
  <c r="L12" s="1"/>
  <c r="O18" i="14"/>
  <c r="C7" i="13"/>
  <c r="C6"/>
  <c r="M14" l="1"/>
  <c r="M11"/>
  <c r="M8"/>
  <c r="M13"/>
  <c r="M7"/>
  <c r="M6"/>
  <c r="L5"/>
  <c r="M5" s="1"/>
  <c r="L10"/>
  <c r="M10" s="1"/>
  <c r="M16"/>
  <c r="M15"/>
  <c r="L9"/>
  <c r="F19" i="14"/>
  <c r="H19" s="1"/>
  <c r="P25" i="15"/>
  <c r="S25" s="1"/>
  <c r="O19" i="14"/>
  <c r="C9" i="13"/>
  <c r="D5" i="2"/>
  <c r="D12" s="1"/>
  <c r="C8" i="13"/>
  <c r="D6" i="2"/>
  <c r="D11" s="1"/>
  <c r="D19" i="13" l="1"/>
  <c r="M9"/>
  <c r="F20" i="14"/>
  <c r="H20" s="1"/>
  <c r="P26" i="15"/>
  <c r="S26" s="1"/>
  <c r="G16" i="14"/>
  <c r="D5" i="3"/>
  <c r="D12" s="1"/>
  <c r="D9" i="13"/>
  <c r="D6" i="3"/>
  <c r="D11" s="1"/>
  <c r="D8" i="13"/>
  <c r="F21" i="14" l="1"/>
  <c r="H21" s="1"/>
  <c r="P27" i="15"/>
  <c r="S27" s="1"/>
  <c r="G17" i="14"/>
  <c r="D5" i="4"/>
  <c r="D12" s="1"/>
  <c r="E9" i="13"/>
  <c r="D6" i="4"/>
  <c r="D11" s="1"/>
  <c r="E8" i="13"/>
  <c r="G18" i="14" l="1"/>
  <c r="D5" i="5"/>
  <c r="D12" s="1"/>
  <c r="F9" i="13"/>
  <c r="D6" i="5"/>
  <c r="F8" i="13"/>
  <c r="D11" i="5" l="1"/>
  <c r="G19" i="14"/>
  <c r="D5" i="6"/>
  <c r="D12" s="1"/>
  <c r="G9" i="13"/>
  <c r="G8" l="1"/>
  <c r="D6" i="6"/>
  <c r="D11" s="1"/>
  <c r="G20" i="14"/>
  <c r="D5" i="7"/>
  <c r="D12" s="1"/>
  <c r="H9" i="13"/>
  <c r="H8" l="1"/>
  <c r="D6" i="7"/>
  <c r="D11" s="1"/>
  <c r="G21" i="14"/>
  <c r="D5" i="8"/>
  <c r="D12" s="1"/>
  <c r="C16" i="13"/>
  <c r="D6" i="8" l="1"/>
  <c r="D11" s="1"/>
  <c r="C15" i="13"/>
  <c r="D8" i="8"/>
  <c r="D12" i="13" s="1"/>
  <c r="D7" i="8"/>
  <c r="D11" i="13" s="1"/>
  <c r="K12" l="1"/>
  <c r="D18" s="1"/>
  <c r="D15"/>
  <c r="D5" i="9"/>
  <c r="D12" s="1"/>
  <c r="D16" i="13"/>
  <c r="D6" i="9"/>
  <c r="D11" s="1"/>
  <c r="M12" i="13" l="1"/>
  <c r="M17" s="1"/>
  <c r="D5" i="10"/>
  <c r="D12" s="1"/>
  <c r="E16" i="13"/>
  <c r="E15"/>
  <c r="D6" i="10"/>
  <c r="D11" s="1"/>
  <c r="D5" i="11" l="1"/>
  <c r="F16" i="13"/>
  <c r="D6" i="11"/>
  <c r="D11" s="1"/>
  <c r="F15" i="13"/>
  <c r="D12" i="11" l="1"/>
  <c r="G15" i="13"/>
  <c r="D6" i="12"/>
  <c r="D11" s="1"/>
  <c r="G16" i="13" l="1"/>
  <c r="D5" i="12"/>
  <c r="H15" i="13"/>
  <c r="Q17" i="15"/>
  <c r="T17" s="1"/>
  <c r="D12" i="12" l="1"/>
  <c r="Q18" i="15"/>
  <c r="T18" s="1"/>
  <c r="H16" i="13" l="1"/>
  <c r="Q19" i="15"/>
  <c r="T19" s="1"/>
  <c r="Q20" l="1"/>
  <c r="T20" s="1"/>
  <c r="Q21" l="1"/>
  <c r="T21" s="1"/>
  <c r="Q22" l="1"/>
  <c r="T22" s="1"/>
  <c r="Q23" l="1"/>
  <c r="T23" s="1"/>
  <c r="Q24" l="1"/>
  <c r="T24" s="1"/>
  <c r="Q25" l="1"/>
  <c r="T25" s="1"/>
  <c r="Q26" l="1"/>
  <c r="T26" s="1"/>
  <c r="Q27" l="1"/>
  <c r="T27" s="1"/>
  <c r="F7" i="14"/>
</calcChain>
</file>

<file path=xl/sharedStrings.xml><?xml version="1.0" encoding="utf-8"?>
<sst xmlns="http://schemas.openxmlformats.org/spreadsheetml/2006/main" count="783" uniqueCount="116">
  <si>
    <t>Date</t>
  </si>
  <si>
    <t>Place</t>
  </si>
  <si>
    <t>Description</t>
  </si>
  <si>
    <t>Value</t>
  </si>
  <si>
    <t>Type</t>
  </si>
  <si>
    <t>-</t>
  </si>
  <si>
    <t>Withdraw</t>
  </si>
  <si>
    <t>Electronic</t>
  </si>
  <si>
    <t>Summary</t>
  </si>
  <si>
    <t>Last Month Cash</t>
  </si>
  <si>
    <t>Total Money Expenses</t>
  </si>
  <si>
    <t>Total Electronic Expenses</t>
  </si>
  <si>
    <t>J</t>
  </si>
  <si>
    <t>A</t>
  </si>
  <si>
    <t>N</t>
  </si>
  <si>
    <t>U</t>
  </si>
  <si>
    <t>R</t>
  </si>
  <si>
    <t>Y</t>
  </si>
  <si>
    <t>Cash</t>
  </si>
  <si>
    <t>TME</t>
  </si>
  <si>
    <t>TEE</t>
  </si>
  <si>
    <t>Total Money Income</t>
  </si>
  <si>
    <t>Total Electronic Income</t>
  </si>
  <si>
    <t>Money in Cash</t>
  </si>
  <si>
    <t>Received</t>
  </si>
  <si>
    <t>Credit</t>
  </si>
  <si>
    <t>TMI</t>
  </si>
  <si>
    <t>TEI</t>
  </si>
  <si>
    <t>MiB</t>
  </si>
  <si>
    <t>Deposit</t>
  </si>
  <si>
    <t>MiC</t>
  </si>
  <si>
    <t>Heating</t>
  </si>
  <si>
    <t>Money in Bank Accounts</t>
  </si>
  <si>
    <t>Last Month Bank Accounts Cash</t>
  </si>
  <si>
    <t>F</t>
  </si>
  <si>
    <t>E</t>
  </si>
  <si>
    <t>B</t>
  </si>
  <si>
    <t>C</t>
  </si>
  <si>
    <t>M</t>
  </si>
  <si>
    <t>H</t>
  </si>
  <si>
    <t>P</t>
  </si>
  <si>
    <t>I</t>
  </si>
  <si>
    <t>L</t>
  </si>
  <si>
    <t>G</t>
  </si>
  <si>
    <t>S</t>
  </si>
  <si>
    <t>T</t>
  </si>
  <si>
    <t>O</t>
  </si>
  <si>
    <t>V</t>
  </si>
  <si>
    <t>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</si>
  <si>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</si>
  <si>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</si>
  <si>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</si>
  <si>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</si>
  <si>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</si>
  <si>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</si>
  <si>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</si>
  <si>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</si>
  <si>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</si>
  <si>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</si>
  <si>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</si>
  <si>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</si>
  <si>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Payment</t>
  </si>
  <si>
    <t>Reading</t>
  </si>
  <si>
    <t>Cost per kWh</t>
  </si>
  <si>
    <t>Cost</t>
  </si>
  <si>
    <t>Read Date</t>
  </si>
  <si>
    <t>Total Cost</t>
  </si>
  <si>
    <t>Last Year's reading</t>
  </si>
  <si>
    <t>Total Payment</t>
  </si>
  <si>
    <t>Per Day</t>
  </si>
  <si>
    <t>Warm Water</t>
  </si>
  <si>
    <t>Initial</t>
  </si>
  <si>
    <t>Reading Date</t>
  </si>
  <si>
    <t>Consumption</t>
  </si>
  <si>
    <t>Total</t>
  </si>
  <si>
    <t>WZ</t>
  </si>
  <si>
    <t>Heizgradtage</t>
  </si>
  <si>
    <t>Warm Water Cost</t>
  </si>
  <si>
    <t>Heating Cost</t>
  </si>
  <si>
    <t>Cold Water Cost</t>
  </si>
  <si>
    <t>Base Cost</t>
  </si>
  <si>
    <t>Need Cost</t>
  </si>
  <si>
    <t>Cold Water</t>
  </si>
  <si>
    <t>Usage</t>
  </si>
  <si>
    <t>Total Paid</t>
  </si>
  <si>
    <t>Needed</t>
  </si>
  <si>
    <t>Base</t>
  </si>
  <si>
    <t>Target</t>
  </si>
  <si>
    <t>Minimum</t>
  </si>
  <si>
    <t>Actual</t>
  </si>
  <si>
    <t>Total:</t>
  </si>
  <si>
    <t>Saving</t>
  </si>
  <si>
    <t>Average Monthly expenses:</t>
  </si>
  <si>
    <t>Average  Monthly Netto Income:</t>
  </si>
  <si>
    <t>Expenses</t>
  </si>
  <si>
    <t>Income</t>
  </si>
  <si>
    <t>Estimate saved</t>
  </si>
  <si>
    <t>Working Cost per year</t>
  </si>
  <si>
    <t>Warm/day</t>
  </si>
  <si>
    <t>Cold/day</t>
  </si>
  <si>
    <t>Rough Estimations</t>
  </si>
  <si>
    <t>Financial Transactions</t>
  </si>
  <si>
    <t>SZ</t>
  </si>
  <si>
    <t>BZ</t>
  </si>
  <si>
    <t>K</t>
  </si>
  <si>
    <t>Schornsteinfeger</t>
  </si>
  <si>
    <t>Heizungsstrom</t>
  </si>
  <si>
    <t>Gasheizung</t>
  </si>
  <si>
    <t>Heizkostenmessgeräte</t>
  </si>
  <si>
    <t>Service HKMG</t>
  </si>
  <si>
    <t>Plan</t>
  </si>
  <si>
    <t>Room</t>
  </si>
  <si>
    <t>Brennwert</t>
  </si>
  <si>
    <t>Zustandzahl</t>
  </si>
  <si>
    <t>Cost per m³</t>
  </si>
  <si>
    <t>Financial Targets for 2019</t>
  </si>
</sst>
</file>

<file path=xl/styles.xml><?xml version="1.0" encoding="utf-8"?>
<styleSheet xmlns="http://schemas.openxmlformats.org/spreadsheetml/2006/main">
  <numFmts count="17">
    <numFmt numFmtId="7" formatCode="#,##0.00\ &quot;€&quot;;\-#,##0.0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\ \k\W&quot;h&quot;"/>
    <numFmt numFmtId="165" formatCode="#,##0.00\ \L\ "/>
    <numFmt numFmtId="166" formatCode="#,##0.0000"/>
    <numFmt numFmtId="167" formatCode="_-* #,##0.00\ [$€-407]_-;\-* #,##0.00\ [$€-407]_-;_-* &quot;-&quot;??\ [$€-407]_-;_-@_-"/>
    <numFmt numFmtId="168" formatCode="#,##0.00\ &quot;€&quot;&quot;/m²&quot;;\-#,##0.00\ &quot;€&quot;&quot;/m²&quot;"/>
    <numFmt numFmtId="169" formatCode="#,##0.00\ &quot;€&quot;&quot;/m³&quot;;\-#,##0.00\ &quot;€&quot;&quot;/m³&quot;"/>
    <numFmt numFmtId="170" formatCode="#,##0.00\ &quot;m&quot;\³"/>
    <numFmt numFmtId="171" formatCode="#,##0.00\ &quot;m&quot;\²"/>
    <numFmt numFmtId="172" formatCode="#,##0.000000\ \k\W&quot;h&quot;"/>
    <numFmt numFmtId="173" formatCode="#,##0.000\ &quot;m&quot;\³"/>
    <numFmt numFmtId="174" formatCode="_-[$€-2]\ * #,##0.00_-;\-[$€-2]\ * #,##0.00_-;_-[$€-2]\ * &quot;-&quot;??_-;_-@_-"/>
    <numFmt numFmtId="175" formatCode="_-[$€-2]\ * #,##0_-;\-[$€-2]\ * #,##0_-;_-[$€-2]\ * &quot;-&quot;??_-;_-@_-"/>
    <numFmt numFmtId="176" formatCode="_-* #,##0.0000\ &quot;€&quot;_-;\-* #,##0.0000\ &quot;€&quot;_-;_-* &quot;-&quot;??\ &quot;€&quot;_-;_-@_-"/>
    <numFmt numFmtId="177" formatCode="#,##0.0\ \k\W&quot;h/m³&quot;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20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3" borderId="4" xfId="2" applyFill="1" applyBorder="1" applyAlignment="1">
      <alignment horizontal="right"/>
    </xf>
    <xf numFmtId="0" fontId="2" fillId="5" borderId="6" xfId="2" applyFont="1" applyFill="1" applyBorder="1" applyAlignment="1">
      <alignment horizontal="right"/>
    </xf>
    <xf numFmtId="0" fontId="3" fillId="3" borderId="6" xfId="2" applyFill="1" applyBorder="1" applyAlignment="1">
      <alignment horizontal="right"/>
    </xf>
    <xf numFmtId="0" fontId="0" fillId="0" borderId="0" xfId="0" applyAlignment="1">
      <alignment horizontal="center"/>
    </xf>
    <xf numFmtId="44" fontId="3" fillId="4" borderId="5" xfId="1" applyFont="1" applyFill="1" applyBorder="1" applyAlignment="1">
      <alignment horizontal="left"/>
    </xf>
    <xf numFmtId="44" fontId="2" fillId="6" borderId="7" xfId="1" applyFont="1" applyFill="1" applyBorder="1" applyAlignment="1">
      <alignment horizontal="left"/>
    </xf>
    <xf numFmtId="44" fontId="3" fillId="4" borderId="7" xfId="1" applyFont="1" applyFill="1" applyBorder="1" applyAlignment="1">
      <alignment horizontal="left"/>
    </xf>
    <xf numFmtId="0" fontId="3" fillId="0" borderId="0" xfId="0" applyFont="1" applyAlignment="1"/>
    <xf numFmtId="0" fontId="2" fillId="5" borderId="8" xfId="2" applyFont="1" applyFill="1" applyBorder="1" applyAlignment="1">
      <alignment horizontal="right"/>
    </xf>
    <xf numFmtId="44" fontId="2" fillId="6" borderId="9" xfId="1" applyFont="1" applyFill="1" applyBorder="1" applyAlignment="1">
      <alignment horizontal="left"/>
    </xf>
    <xf numFmtId="44" fontId="0" fillId="0" borderId="5" xfId="0" applyNumberFormat="1" applyBorder="1"/>
    <xf numFmtId="44" fontId="0" fillId="0" borderId="7" xfId="0" applyNumberFormat="1" applyBorder="1"/>
    <xf numFmtId="44" fontId="0" fillId="0" borderId="9" xfId="0" applyNumberFormat="1" applyBorder="1"/>
    <xf numFmtId="0" fontId="6" fillId="7" borderId="6" xfId="0" applyFont="1" applyFill="1" applyBorder="1"/>
    <xf numFmtId="0" fontId="6" fillId="7" borderId="0" xfId="0" applyFont="1" applyFill="1" applyBorder="1"/>
    <xf numFmtId="44" fontId="0" fillId="9" borderId="4" xfId="0" applyNumberFormat="1" applyFill="1" applyBorder="1"/>
    <xf numFmtId="44" fontId="0" fillId="9" borderId="11" xfId="0" applyNumberFormat="1" applyFill="1" applyBorder="1"/>
    <xf numFmtId="44" fontId="0" fillId="9" borderId="5" xfId="0" applyNumberFormat="1" applyFill="1" applyBorder="1"/>
    <xf numFmtId="44" fontId="0" fillId="9" borderId="6" xfId="0" applyNumberFormat="1" applyFill="1" applyBorder="1"/>
    <xf numFmtId="44" fontId="0" fillId="9" borderId="0" xfId="0" applyNumberFormat="1" applyFill="1" applyBorder="1"/>
    <xf numFmtId="44" fontId="0" fillId="9" borderId="7" xfId="0" applyNumberFormat="1" applyFill="1" applyBorder="1"/>
    <xf numFmtId="44" fontId="0" fillId="8" borderId="8" xfId="0" applyNumberFormat="1" applyFill="1" applyBorder="1"/>
    <xf numFmtId="44" fontId="0" fillId="8" borderId="6" xfId="0" applyNumberFormat="1" applyFill="1" applyBorder="1"/>
    <xf numFmtId="44" fontId="0" fillId="8" borderId="0" xfId="0" applyNumberFormat="1" applyFill="1" applyBorder="1"/>
    <xf numFmtId="44" fontId="0" fillId="8" borderId="7" xfId="0" applyNumberFormat="1" applyFill="1" applyBorder="1"/>
    <xf numFmtId="44" fontId="0" fillId="8" borderId="12" xfId="0" applyNumberFormat="1" applyFill="1" applyBorder="1"/>
    <xf numFmtId="44" fontId="0" fillId="8" borderId="9" xfId="0" applyNumberFormat="1" applyFill="1" applyBorder="1"/>
    <xf numFmtId="0" fontId="6" fillId="7" borderId="4" xfId="0" applyFont="1" applyFill="1" applyBorder="1"/>
    <xf numFmtId="44" fontId="0" fillId="0" borderId="4" xfId="1" applyFont="1" applyBorder="1"/>
    <xf numFmtId="14" fontId="0" fillId="0" borderId="11" xfId="1" applyNumberFormat="1" applyFont="1" applyBorder="1"/>
    <xf numFmtId="164" fontId="0" fillId="0" borderId="11" xfId="0" applyNumberFormat="1" applyBorder="1"/>
    <xf numFmtId="44" fontId="0" fillId="0" borderId="6" xfId="1" applyFont="1" applyBorder="1"/>
    <xf numFmtId="14" fontId="0" fillId="0" borderId="0" xfId="1" applyNumberFormat="1" applyFont="1" applyBorder="1"/>
    <xf numFmtId="164" fontId="0" fillId="0" borderId="0" xfId="0" applyNumberFormat="1" applyBorder="1"/>
    <xf numFmtId="44" fontId="0" fillId="0" borderId="8" xfId="1" applyFont="1" applyBorder="1"/>
    <xf numFmtId="14" fontId="0" fillId="0" borderId="12" xfId="1" applyNumberFormat="1" applyFont="1" applyBorder="1"/>
    <xf numFmtId="164" fontId="0" fillId="0" borderId="12" xfId="0" applyNumberFormat="1" applyBorder="1"/>
    <xf numFmtId="0" fontId="6" fillId="7" borderId="6" xfId="0" applyFont="1" applyFill="1" applyBorder="1" applyAlignment="1">
      <alignment horizontal="right"/>
    </xf>
    <xf numFmtId="0" fontId="6" fillId="7" borderId="7" xfId="0" applyFont="1" applyFill="1" applyBorder="1" applyAlignment="1">
      <alignment horizontal="right"/>
    </xf>
    <xf numFmtId="0" fontId="6" fillId="7" borderId="8" xfId="0" applyFont="1" applyFill="1" applyBorder="1" applyAlignment="1">
      <alignment horizontal="right"/>
    </xf>
    <xf numFmtId="0" fontId="6" fillId="7" borderId="9" xfId="0" applyFont="1" applyFill="1" applyBorder="1" applyAlignment="1">
      <alignment horizontal="right"/>
    </xf>
    <xf numFmtId="0" fontId="6" fillId="7" borderId="13" xfId="0" applyFont="1" applyFill="1" applyBorder="1" applyAlignment="1">
      <alignment horizontal="right"/>
    </xf>
    <xf numFmtId="0" fontId="6" fillId="7" borderId="14" xfId="0" applyFont="1" applyFill="1" applyBorder="1" applyAlignment="1">
      <alignment horizontal="right"/>
    </xf>
    <xf numFmtId="44" fontId="0" fillId="0" borderId="0" xfId="0" applyNumberFormat="1"/>
    <xf numFmtId="0" fontId="0" fillId="0" borderId="6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3" fontId="0" fillId="0" borderId="0" xfId="0" applyNumberFormat="1"/>
    <xf numFmtId="165" fontId="0" fillId="0" borderId="15" xfId="0" applyNumberFormat="1" applyBorder="1" applyAlignment="1">
      <alignment horizontal="center"/>
    </xf>
    <xf numFmtId="0" fontId="6" fillId="7" borderId="11" xfId="0" applyFont="1" applyFill="1" applyBorder="1"/>
    <xf numFmtId="0" fontId="6" fillId="7" borderId="12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166" fontId="0" fillId="0" borderId="0" xfId="0" applyNumberFormat="1"/>
    <xf numFmtId="0" fontId="6" fillId="7" borderId="6" xfId="0" applyFont="1" applyFill="1" applyBorder="1" applyAlignment="1">
      <alignment horizontal="right"/>
    </xf>
    <xf numFmtId="0" fontId="6" fillId="7" borderId="7" xfId="0" applyFont="1" applyFill="1" applyBorder="1" applyAlignment="1">
      <alignment horizontal="right"/>
    </xf>
    <xf numFmtId="0" fontId="6" fillId="7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164" fontId="0" fillId="0" borderId="15" xfId="0" applyNumberFormat="1" applyBorder="1"/>
    <xf numFmtId="14" fontId="0" fillId="0" borderId="13" xfId="1" applyNumberFormat="1" applyFont="1" applyBorder="1"/>
    <xf numFmtId="44" fontId="0" fillId="0" borderId="13" xfId="1" applyFont="1" applyBorder="1"/>
    <xf numFmtId="44" fontId="0" fillId="0" borderId="14" xfId="1" applyFont="1" applyBorder="1"/>
    <xf numFmtId="167" fontId="0" fillId="0" borderId="4" xfId="0" applyNumberFormat="1" applyBorder="1" applyAlignment="1">
      <alignment horizontal="center"/>
    </xf>
    <xf numFmtId="164" fontId="0" fillId="0" borderId="11" xfId="0" applyNumberFormat="1" applyBorder="1" applyAlignment="1">
      <alignment horizontal="right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8" fontId="0" fillId="0" borderId="3" xfId="0" applyNumberFormat="1" applyBorder="1"/>
    <xf numFmtId="0" fontId="0" fillId="2" borderId="4" xfId="0" applyFill="1" applyBorder="1"/>
    <xf numFmtId="0" fontId="0" fillId="2" borderId="8" xfId="0" applyFill="1" applyBorder="1"/>
    <xf numFmtId="7" fontId="0" fillId="0" borderId="7" xfId="0" applyNumberFormat="1" applyBorder="1"/>
    <xf numFmtId="171" fontId="0" fillId="0" borderId="16" xfId="0" applyNumberFormat="1" applyFon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9" xfId="0" applyBorder="1"/>
    <xf numFmtId="170" fontId="0" fillId="0" borderId="20" xfId="0" applyNumberFormat="1" applyFont="1" applyBorder="1" applyAlignment="1">
      <alignment horizontal="right"/>
    </xf>
    <xf numFmtId="7" fontId="0" fillId="0" borderId="21" xfId="0" applyNumberFormat="1" applyBorder="1" applyAlignment="1">
      <alignment horizontal="right"/>
    </xf>
    <xf numFmtId="0" fontId="0" fillId="0" borderId="22" xfId="0" applyBorder="1"/>
    <xf numFmtId="7" fontId="0" fillId="0" borderId="18" xfId="0" applyNumberFormat="1" applyBorder="1" applyAlignment="1">
      <alignment horizontal="right"/>
    </xf>
    <xf numFmtId="0" fontId="0" fillId="0" borderId="23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11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12" xfId="0" applyFill="1" applyBorder="1"/>
    <xf numFmtId="0" fontId="2" fillId="2" borderId="2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10" xfId="0" applyFont="1" applyFill="1" applyBorder="1"/>
    <xf numFmtId="0" fontId="2" fillId="2" borderId="3" xfId="0" applyFont="1" applyFill="1" applyBorder="1"/>
    <xf numFmtId="168" fontId="0" fillId="0" borderId="0" xfId="0" applyNumberFormat="1" applyBorder="1" applyAlignment="1">
      <alignment horizontal="right"/>
    </xf>
    <xf numFmtId="169" fontId="0" fillId="0" borderId="7" xfId="0" applyNumberFormat="1" applyBorder="1" applyAlignment="1">
      <alignment horizontal="right"/>
    </xf>
    <xf numFmtId="168" fontId="0" fillId="0" borderId="12" xfId="0" applyNumberFormat="1" applyBorder="1" applyAlignment="1">
      <alignment horizontal="right"/>
    </xf>
    <xf numFmtId="44" fontId="0" fillId="0" borderId="9" xfId="1" applyFont="1" applyBorder="1" applyAlignment="1">
      <alignment horizontal="right"/>
    </xf>
    <xf numFmtId="168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9" fontId="0" fillId="0" borderId="0" xfId="0" applyNumberFormat="1" applyBorder="1" applyAlignment="1">
      <alignment horizontal="right"/>
    </xf>
    <xf numFmtId="44" fontId="0" fillId="0" borderId="0" xfId="1" applyFont="1" applyBorder="1" applyAlignment="1">
      <alignment horizontal="right"/>
    </xf>
    <xf numFmtId="167" fontId="0" fillId="0" borderId="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72" fontId="0" fillId="0" borderId="0" xfId="0" applyNumberFormat="1"/>
    <xf numFmtId="7" fontId="0" fillId="0" borderId="25" xfId="0" applyNumberFormat="1" applyBorder="1" applyAlignment="1">
      <alignment horizontal="right"/>
    </xf>
    <xf numFmtId="170" fontId="0" fillId="0" borderId="24" xfId="0" applyNumberFormat="1" applyBorder="1" applyAlignment="1">
      <alignment horizontal="right"/>
    </xf>
    <xf numFmtId="10" fontId="0" fillId="0" borderId="0" xfId="3" applyNumberFormat="1" applyFont="1"/>
    <xf numFmtId="0" fontId="0" fillId="0" borderId="0" xfId="0" applyAlignment="1">
      <alignment horizontal="center"/>
    </xf>
    <xf numFmtId="0" fontId="6" fillId="7" borderId="1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13" xfId="0" applyNumberFormat="1" applyFont="1" applyBorder="1" applyAlignment="1">
      <alignment horizontal="center"/>
    </xf>
    <xf numFmtId="165" fontId="0" fillId="0" borderId="14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4" fontId="0" fillId="0" borderId="15" xfId="0" applyNumberFormat="1" applyFont="1" applyBorder="1" applyAlignment="1">
      <alignment horizontal="center"/>
    </xf>
    <xf numFmtId="14" fontId="0" fillId="0" borderId="13" xfId="0" applyNumberFormat="1" applyFont="1" applyBorder="1" applyAlignment="1">
      <alignment horizontal="center"/>
    </xf>
    <xf numFmtId="14" fontId="0" fillId="0" borderId="1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4" fontId="0" fillId="8" borderId="15" xfId="0" applyNumberFormat="1" applyFill="1" applyBorder="1"/>
    <xf numFmtId="44" fontId="0" fillId="9" borderId="14" xfId="0" applyNumberFormat="1" applyFill="1" applyBorder="1"/>
    <xf numFmtId="0" fontId="6" fillId="7" borderId="8" xfId="0" applyFont="1" applyFill="1" applyBorder="1" applyAlignment="1">
      <alignment horizontal="right"/>
    </xf>
    <xf numFmtId="0" fontId="6" fillId="7" borderId="11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right"/>
    </xf>
    <xf numFmtId="0" fontId="6" fillId="7" borderId="1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44" fontId="0" fillId="0" borderId="0" xfId="0" applyNumberFormat="1" applyBorder="1"/>
    <xf numFmtId="0" fontId="0" fillId="0" borderId="8" xfId="0" applyBorder="1"/>
    <xf numFmtId="0" fontId="0" fillId="0" borderId="12" xfId="0" applyBorder="1"/>
    <xf numFmtId="0" fontId="0" fillId="0" borderId="0" xfId="0" applyAlignment="1"/>
    <xf numFmtId="173" fontId="0" fillId="0" borderId="5" xfId="0" applyNumberFormat="1" applyFont="1" applyBorder="1" applyAlignment="1">
      <alignment horizontal="center"/>
    </xf>
    <xf numFmtId="173" fontId="0" fillId="0" borderId="7" xfId="0" applyNumberFormat="1" applyFont="1" applyBorder="1" applyAlignment="1">
      <alignment horizontal="center"/>
    </xf>
    <xf numFmtId="173" fontId="0" fillId="0" borderId="9" xfId="0" applyNumberFormat="1" applyFont="1" applyBorder="1" applyAlignment="1">
      <alignment horizontal="center"/>
    </xf>
    <xf numFmtId="44" fontId="0" fillId="0" borderId="0" xfId="0" applyNumberFormat="1" applyFill="1"/>
    <xf numFmtId="0" fontId="6" fillId="7" borderId="8" xfId="0" applyFont="1" applyFill="1" applyBorder="1" applyAlignment="1">
      <alignment horizontal="right"/>
    </xf>
    <xf numFmtId="0" fontId="6" fillId="7" borderId="9" xfId="0" applyFont="1" applyFill="1" applyBorder="1" applyAlignment="1">
      <alignment horizontal="right"/>
    </xf>
    <xf numFmtId="0" fontId="6" fillId="7" borderId="11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right"/>
    </xf>
    <xf numFmtId="0" fontId="6" fillId="7" borderId="7" xfId="0" applyFont="1" applyFill="1" applyBorder="1" applyAlignment="1">
      <alignment horizontal="right"/>
    </xf>
    <xf numFmtId="0" fontId="2" fillId="2" borderId="4" xfId="0" applyFont="1" applyFill="1" applyBorder="1"/>
    <xf numFmtId="175" fontId="0" fillId="0" borderId="2" xfId="0" applyNumberFormat="1" applyBorder="1"/>
    <xf numFmtId="0" fontId="0" fillId="0" borderId="3" xfId="0" applyBorder="1"/>
    <xf numFmtId="0" fontId="2" fillId="2" borderId="5" xfId="0" applyFont="1" applyFill="1" applyBorder="1"/>
    <xf numFmtId="174" fontId="0" fillId="0" borderId="6" xfId="0" applyNumberFormat="1" applyBorder="1"/>
    <xf numFmtId="0" fontId="0" fillId="0" borderId="7" xfId="0" applyBorder="1"/>
    <xf numFmtId="0" fontId="2" fillId="2" borderId="15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177" fontId="0" fillId="0" borderId="13" xfId="0" applyNumberFormat="1" applyBorder="1"/>
    <xf numFmtId="0" fontId="0" fillId="0" borderId="13" xfId="0" applyBorder="1"/>
    <xf numFmtId="176" fontId="0" fillId="0" borderId="13" xfId="0" applyNumberFormat="1" applyBorder="1"/>
    <xf numFmtId="170" fontId="0" fillId="0" borderId="15" xfId="0" applyNumberFormat="1" applyBorder="1"/>
    <xf numFmtId="173" fontId="0" fillId="0" borderId="11" xfId="0" applyNumberFormat="1" applyBorder="1"/>
    <xf numFmtId="173" fontId="0" fillId="0" borderId="11" xfId="0" applyNumberFormat="1" applyBorder="1" applyAlignment="1">
      <alignment horizontal="right"/>
    </xf>
    <xf numFmtId="173" fontId="0" fillId="0" borderId="0" xfId="0" applyNumberFormat="1" applyBorder="1"/>
    <xf numFmtId="173" fontId="0" fillId="0" borderId="0" xfId="0" applyNumberFormat="1" applyBorder="1" applyAlignment="1">
      <alignment horizontal="right"/>
    </xf>
    <xf numFmtId="173" fontId="0" fillId="0" borderId="12" xfId="0" applyNumberFormat="1" applyBorder="1"/>
    <xf numFmtId="173" fontId="0" fillId="0" borderId="12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6" fillId="7" borderId="8" xfId="0" applyFont="1" applyFill="1" applyBorder="1" applyAlignment="1">
      <alignment horizontal="right"/>
    </xf>
    <xf numFmtId="0" fontId="6" fillId="7" borderId="9" xfId="0" applyFont="1" applyFill="1" applyBorder="1" applyAlignment="1">
      <alignment horizontal="right"/>
    </xf>
    <xf numFmtId="0" fontId="6" fillId="7" borderId="4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right"/>
    </xf>
    <xf numFmtId="0" fontId="6" fillId="7" borderId="11" xfId="0" applyFont="1" applyFill="1" applyBorder="1" applyAlignment="1">
      <alignment horizontal="right"/>
    </xf>
    <xf numFmtId="0" fontId="6" fillId="7" borderId="5" xfId="0" applyFont="1" applyFill="1" applyBorder="1" applyAlignment="1">
      <alignment horizontal="right"/>
    </xf>
    <xf numFmtId="0" fontId="6" fillId="7" borderId="12" xfId="0" applyFont="1" applyFill="1" applyBorder="1" applyAlignment="1">
      <alignment horizontal="right"/>
    </xf>
    <xf numFmtId="0" fontId="6" fillId="7" borderId="6" xfId="0" applyFont="1" applyFill="1" applyBorder="1" applyAlignment="1">
      <alignment horizontal="right"/>
    </xf>
    <xf numFmtId="0" fontId="6" fillId="7" borderId="7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0" fillId="0" borderId="1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Percent" xfId="3" builtinId="5"/>
    <cellStyle name="Total" xfId="2" builtinId="25"/>
  </cellStyles>
  <dxfs count="14"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3"/>
      <tableStyleElement type="headerRow" dxfId="12"/>
    </tableStyle>
  </tableStyles>
  <colors>
    <mruColors>
      <color rgb="FFFFFF91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3"/>
          <c:order val="0"/>
          <c:tx>
            <c:strRef>
              <c:f>Targets!$V$15</c:f>
              <c:strCache>
                <c:ptCount val="1"/>
                <c:pt idx="0">
                  <c:v>2012</c:v>
                </c:pt>
              </c:strCache>
            </c:strRef>
          </c:tx>
          <c:spPr>
            <a:ln w="28575">
              <a:solidFill>
                <a:schemeClr val="bg1">
                  <a:lumMod val="75000"/>
                </a:schemeClr>
              </a:solidFill>
              <a:prstDash val="solid"/>
            </a:ln>
          </c:spPr>
          <c:marker>
            <c:symbol val="none"/>
          </c:marker>
          <c:cat>
            <c:strRef>
              <c:f>Targets!$O$17:$O$28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Targets!$V$17:$V$28</c:f>
              <c:numCache>
                <c:formatCode>0.00%</c:formatCode>
                <c:ptCount val="12"/>
                <c:pt idx="0">
                  <c:v>-1.6185142857142856E-2</c:v>
                </c:pt>
                <c:pt idx="1">
                  <c:v>-9.3450666666666668E-2</c:v>
                </c:pt>
                <c:pt idx="2">
                  <c:v>-8.8358095238095236E-3</c:v>
                </c:pt>
                <c:pt idx="3">
                  <c:v>0.19047619047619047</c:v>
                </c:pt>
                <c:pt idx="4">
                  <c:v>0.2857142857142857</c:v>
                </c:pt>
                <c:pt idx="5">
                  <c:v>0.3619047619047619</c:v>
                </c:pt>
                <c:pt idx="6">
                  <c:v>0.45714285714285713</c:v>
                </c:pt>
                <c:pt idx="7">
                  <c:v>0.5714285714285714</c:v>
                </c:pt>
                <c:pt idx="8">
                  <c:v>0.66666666666666663</c:v>
                </c:pt>
                <c:pt idx="9">
                  <c:v>0.8</c:v>
                </c:pt>
                <c:pt idx="10">
                  <c:v>0.91428571428571426</c:v>
                </c:pt>
                <c:pt idx="11">
                  <c:v>1.0285714285714285</c:v>
                </c:pt>
              </c:numCache>
            </c:numRef>
          </c:val>
        </c:ser>
        <c:ser>
          <c:idx val="5"/>
          <c:order val="1"/>
          <c:tx>
            <c:strRef>
              <c:f>Targets!$W$15</c:f>
              <c:strCache>
                <c:ptCount val="1"/>
                <c:pt idx="0">
                  <c:v>2013</c:v>
                </c:pt>
              </c:strCache>
            </c:strRef>
          </c:tx>
          <c:marker>
            <c:symbol val="none"/>
          </c:marker>
          <c:val>
            <c:numRef>
              <c:f>Targets!$W$17:$W$28</c:f>
              <c:numCache>
                <c:formatCode>0.00%</c:formatCode>
                <c:ptCount val="12"/>
                <c:pt idx="0">
                  <c:v>8.7619047619047624E-2</c:v>
                </c:pt>
                <c:pt idx="1">
                  <c:v>0.17523809523809525</c:v>
                </c:pt>
                <c:pt idx="2">
                  <c:v>0.21333333333333335</c:v>
                </c:pt>
                <c:pt idx="3">
                  <c:v>0.28190476190476188</c:v>
                </c:pt>
                <c:pt idx="4">
                  <c:v>0.37333333333333335</c:v>
                </c:pt>
                <c:pt idx="5">
                  <c:v>0.45714285714285713</c:v>
                </c:pt>
                <c:pt idx="6">
                  <c:v>0.70095238095238099</c:v>
                </c:pt>
                <c:pt idx="7">
                  <c:v>0.78476190476190477</c:v>
                </c:pt>
                <c:pt idx="8">
                  <c:v>0.86857142857142855</c:v>
                </c:pt>
                <c:pt idx="9">
                  <c:v>0.95238095238095233</c:v>
                </c:pt>
                <c:pt idx="10">
                  <c:v>1.0361904761904761</c:v>
                </c:pt>
                <c:pt idx="11">
                  <c:v>1.1200000000000001</c:v>
                </c:pt>
              </c:numCache>
            </c:numRef>
          </c:val>
        </c:ser>
        <c:ser>
          <c:idx val="6"/>
          <c:order val="2"/>
          <c:tx>
            <c:strRef>
              <c:f>Targets!$X$15</c:f>
              <c:strCache>
                <c:ptCount val="1"/>
                <c:pt idx="0">
                  <c:v>2014</c:v>
                </c:pt>
              </c:strCache>
            </c:strRef>
          </c:tx>
          <c:marker>
            <c:symbol val="none"/>
          </c:marker>
          <c:val>
            <c:numRef>
              <c:f>Targets!$X$17:$X$28</c:f>
              <c:numCache>
                <c:formatCode>0.00%</c:formatCode>
                <c:ptCount val="12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0.42</c:v>
                </c:pt>
                <c:pt idx="4">
                  <c:v>0.42</c:v>
                </c:pt>
                <c:pt idx="5">
                  <c:v>0.34499999999999997</c:v>
                </c:pt>
                <c:pt idx="6">
                  <c:v>0.23499999999999999</c:v>
                </c:pt>
                <c:pt idx="7">
                  <c:v>7.4999999999999997E-2</c:v>
                </c:pt>
                <c:pt idx="8">
                  <c:v>0</c:v>
                </c:pt>
                <c:pt idx="9">
                  <c:v>-0.105</c:v>
                </c:pt>
                <c:pt idx="10">
                  <c:v>0</c:v>
                </c:pt>
                <c:pt idx="11">
                  <c:v>7.0000000000000007E-2</c:v>
                </c:pt>
              </c:numCache>
            </c:numRef>
          </c:val>
        </c:ser>
        <c:ser>
          <c:idx val="4"/>
          <c:order val="3"/>
          <c:tx>
            <c:strRef>
              <c:f>Targets!$Y$15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strRef>
              <c:f>Targets!$O$17:$O$28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Targets!$Y$17:$Y$28</c:f>
              <c:numCache>
                <c:formatCode>0.00%</c:formatCode>
                <c:ptCount val="12"/>
                <c:pt idx="0">
                  <c:v>0.05</c:v>
                </c:pt>
                <c:pt idx="1">
                  <c:v>0.12</c:v>
                </c:pt>
                <c:pt idx="2">
                  <c:v>0.12</c:v>
                </c:pt>
                <c:pt idx="3">
                  <c:v>0.32</c:v>
                </c:pt>
                <c:pt idx="4">
                  <c:v>0.32</c:v>
                </c:pt>
                <c:pt idx="5">
                  <c:v>0.38500000000000001</c:v>
                </c:pt>
                <c:pt idx="6">
                  <c:v>0.22500000000000001</c:v>
                </c:pt>
                <c:pt idx="7">
                  <c:v>0.15</c:v>
                </c:pt>
                <c:pt idx="8">
                  <c:v>-0.01</c:v>
                </c:pt>
                <c:pt idx="9">
                  <c:v>-0.06</c:v>
                </c:pt>
                <c:pt idx="10">
                  <c:v>-0.245</c:v>
                </c:pt>
                <c:pt idx="11">
                  <c:v>4.4999999999999998E-2</c:v>
                </c:pt>
              </c:numCache>
            </c:numRef>
          </c:val>
        </c:ser>
        <c:ser>
          <c:idx val="8"/>
          <c:order val="4"/>
          <c:tx>
            <c:strRef>
              <c:f>Targets!$Z$15</c:f>
              <c:strCache>
                <c:ptCount val="1"/>
                <c:pt idx="0">
                  <c:v>2016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Targets!$Z$17:$Z$28</c:f>
              <c:numCache>
                <c:formatCode>0.00%</c:formatCode>
                <c:ptCount val="12"/>
                <c:pt idx="0">
                  <c:v>1.4999999999999999E-2</c:v>
                </c:pt>
                <c:pt idx="1">
                  <c:v>-5.5E-2</c:v>
                </c:pt>
                <c:pt idx="2">
                  <c:v>0</c:v>
                </c:pt>
                <c:pt idx="3">
                  <c:v>3.7999999999999999E-2</c:v>
                </c:pt>
                <c:pt idx="4">
                  <c:v>0.183</c:v>
                </c:pt>
                <c:pt idx="5">
                  <c:v>0.27300000000000002</c:v>
                </c:pt>
                <c:pt idx="6">
                  <c:v>0.24299999999999999</c:v>
                </c:pt>
                <c:pt idx="7">
                  <c:v>0.28949999999999998</c:v>
                </c:pt>
                <c:pt idx="8">
                  <c:v>0.33450000000000002</c:v>
                </c:pt>
                <c:pt idx="9">
                  <c:v>0.54949999999999999</c:v>
                </c:pt>
                <c:pt idx="10">
                  <c:v>0.59950000000000003</c:v>
                </c:pt>
                <c:pt idx="11">
                  <c:v>0.76449999999999996</c:v>
                </c:pt>
              </c:numCache>
            </c:numRef>
          </c:val>
        </c:ser>
        <c:ser>
          <c:idx val="7"/>
          <c:order val="5"/>
          <c:tx>
            <c:strRef>
              <c:f>Targets!$AA$15</c:f>
              <c:strCache>
                <c:ptCount val="1"/>
                <c:pt idx="0">
                  <c:v>2017</c:v>
                </c:pt>
              </c:strCache>
            </c:strRef>
          </c:tx>
          <c:marker>
            <c:symbol val="none"/>
          </c:marker>
          <c:val>
            <c:numRef>
              <c:f>Targets!$AA$17:$AA$28</c:f>
              <c:numCache>
                <c:formatCode>0.00%</c:formatCode>
                <c:ptCount val="12"/>
                <c:pt idx="0">
                  <c:v>-0.02</c:v>
                </c:pt>
                <c:pt idx="1">
                  <c:v>5.5E-2</c:v>
                </c:pt>
                <c:pt idx="2">
                  <c:v>0.09</c:v>
                </c:pt>
                <c:pt idx="3">
                  <c:v>0.21</c:v>
                </c:pt>
                <c:pt idx="4">
                  <c:v>0.245</c:v>
                </c:pt>
                <c:pt idx="5">
                  <c:v>0.35499999999999998</c:v>
                </c:pt>
                <c:pt idx="6">
                  <c:v>0.31</c:v>
                </c:pt>
              </c:numCache>
            </c:numRef>
          </c:val>
        </c:ser>
        <c:ser>
          <c:idx val="9"/>
          <c:order val="6"/>
          <c:tx>
            <c:strRef>
              <c:f>Targets!$AC$15</c:f>
              <c:strCache>
                <c:ptCount val="1"/>
                <c:pt idx="0">
                  <c:v>2018</c:v>
                </c:pt>
              </c:strCache>
            </c:strRef>
          </c:tx>
          <c:marker>
            <c:symbol val="none"/>
          </c:marker>
          <c:val>
            <c:numRef>
              <c:f>Targets!$AC$17:$AC$28</c:f>
              <c:numCache>
                <c:formatCode>0.00%</c:formatCode>
                <c:ptCount val="12"/>
                <c:pt idx="0">
                  <c:v>-4.3140376266280749E-2</c:v>
                </c:pt>
                <c:pt idx="1">
                  <c:v>-0.11355282199710565</c:v>
                </c:pt>
                <c:pt idx="2">
                  <c:v>-0.12440665701881332</c:v>
                </c:pt>
                <c:pt idx="3">
                  <c:v>4.5911722141823458E-2</c:v>
                </c:pt>
                <c:pt idx="4">
                  <c:v>7.3183791606367593E-2</c:v>
                </c:pt>
                <c:pt idx="5">
                  <c:v>-2.8118668596237323E-2</c:v>
                </c:pt>
                <c:pt idx="6">
                  <c:v>0.12266280752532563</c:v>
                </c:pt>
                <c:pt idx="7">
                  <c:v>0.1557235890014472</c:v>
                </c:pt>
                <c:pt idx="8">
                  <c:v>0.17598408104196819</c:v>
                </c:pt>
                <c:pt idx="9">
                  <c:v>0.1639580318379161</c:v>
                </c:pt>
                <c:pt idx="10">
                  <c:v>0.24093125904486257</c:v>
                </c:pt>
                <c:pt idx="11">
                  <c:v>0.29425253256150513</c:v>
                </c:pt>
              </c:numCache>
            </c:numRef>
          </c:val>
        </c:ser>
        <c:ser>
          <c:idx val="1"/>
          <c:order val="7"/>
          <c:tx>
            <c:strRef>
              <c:f>Targets!$T$15</c:f>
              <c:strCache>
                <c:ptCount val="1"/>
                <c:pt idx="0">
                  <c:v>Minimum</c:v>
                </c:pt>
              </c:strCache>
            </c:strRef>
          </c:tx>
          <c:marker>
            <c:symbol val="none"/>
          </c:marker>
          <c:cat>
            <c:strRef>
              <c:f>Targets!$O$17:$O$28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Targets!$T$17:$T$28</c:f>
              <c:numCache>
                <c:formatCode>0.00%</c:formatCode>
                <c:ptCount val="12"/>
                <c:pt idx="0">
                  <c:v>6.25E-2</c:v>
                </c:pt>
                <c:pt idx="1">
                  <c:v>0.125</c:v>
                </c:pt>
                <c:pt idx="2">
                  <c:v>0.1875</c:v>
                </c:pt>
                <c:pt idx="3">
                  <c:v>0.25</c:v>
                </c:pt>
                <c:pt idx="4">
                  <c:v>0.3125</c:v>
                </c:pt>
                <c:pt idx="5">
                  <c:v>0.375</c:v>
                </c:pt>
                <c:pt idx="6">
                  <c:v>0.4375</c:v>
                </c:pt>
                <c:pt idx="7">
                  <c:v>0.5</c:v>
                </c:pt>
                <c:pt idx="8">
                  <c:v>0.5625</c:v>
                </c:pt>
                <c:pt idx="9">
                  <c:v>0.625</c:v>
                </c:pt>
                <c:pt idx="10">
                  <c:v>0.6875</c:v>
                </c:pt>
                <c:pt idx="11">
                  <c:v>0.75</c:v>
                </c:pt>
              </c:numCache>
            </c:numRef>
          </c:val>
        </c:ser>
        <c:ser>
          <c:idx val="0"/>
          <c:order val="8"/>
          <c:tx>
            <c:strRef>
              <c:f>Targets!$S$15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cat>
            <c:strRef>
              <c:f>Targets!$O$17:$O$28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Targets!$S$17:$S$28</c:f>
              <c:numCache>
                <c:formatCode>0.00%</c:formatCode>
                <c:ptCount val="12"/>
                <c:pt idx="0">
                  <c:v>8.3333333333333343E-2</c:v>
                </c:pt>
                <c:pt idx="1">
                  <c:v>0.16666666666666669</c:v>
                </c:pt>
                <c:pt idx="2">
                  <c:v>0.25</c:v>
                </c:pt>
                <c:pt idx="3">
                  <c:v>0.33333333333333337</c:v>
                </c:pt>
                <c:pt idx="4">
                  <c:v>0.41666666666666669</c:v>
                </c:pt>
                <c:pt idx="5">
                  <c:v>0.50000000000000011</c:v>
                </c:pt>
                <c:pt idx="6">
                  <c:v>0.58333333333333337</c:v>
                </c:pt>
                <c:pt idx="7">
                  <c:v>0.66666666666666674</c:v>
                </c:pt>
                <c:pt idx="8">
                  <c:v>0.75</c:v>
                </c:pt>
                <c:pt idx="9">
                  <c:v>0.83333333333333326</c:v>
                </c:pt>
                <c:pt idx="10">
                  <c:v>0.91666666666666663</c:v>
                </c:pt>
                <c:pt idx="11">
                  <c:v>1</c:v>
                </c:pt>
              </c:numCache>
            </c:numRef>
          </c:val>
        </c:ser>
        <c:ser>
          <c:idx val="2"/>
          <c:order val="9"/>
          <c:tx>
            <c:strRef>
              <c:f>Targets!$U$15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Targets!$O$17:$O$28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Targets!$U$17:$U$28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161809920"/>
        <c:axId val="161811456"/>
      </c:lineChart>
      <c:catAx>
        <c:axId val="161809920"/>
        <c:scaling>
          <c:orientation val="minMax"/>
        </c:scaling>
        <c:axPos val="b"/>
        <c:tickLblPos val="nextTo"/>
        <c:crossAx val="161811456"/>
        <c:crosses val="autoZero"/>
        <c:auto val="1"/>
        <c:lblAlgn val="ctr"/>
        <c:lblOffset val="100"/>
      </c:catAx>
      <c:valAx>
        <c:axId val="161811456"/>
        <c:scaling>
          <c:orientation val="minMax"/>
        </c:scaling>
        <c:axPos val="l"/>
        <c:majorGridlines/>
        <c:minorGridlines/>
        <c:numFmt formatCode="0.00%" sourceLinked="1"/>
        <c:tickLblPos val="nextTo"/>
        <c:crossAx val="161809920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Overview!$K$4</c:f>
              <c:strCache>
                <c:ptCount val="1"/>
                <c:pt idx="0">
                  <c:v>Expenses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Overview!$J$5:$J$16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Overview!$K$5:$K$16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Overview!$L$4</c:f>
              <c:strCache>
                <c:ptCount val="1"/>
                <c:pt idx="0">
                  <c:v>Income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Overview!$J$5:$J$16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Overview!$L$5:$L$16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161873280"/>
        <c:axId val="163284096"/>
      </c:lineChart>
      <c:catAx>
        <c:axId val="161873280"/>
        <c:scaling>
          <c:orientation val="minMax"/>
        </c:scaling>
        <c:axPos val="b"/>
        <c:tickLblPos val="nextTo"/>
        <c:crossAx val="163284096"/>
        <c:crosses val="autoZero"/>
        <c:auto val="1"/>
        <c:lblAlgn val="ctr"/>
        <c:lblOffset val="100"/>
      </c:catAx>
      <c:valAx>
        <c:axId val="163284096"/>
        <c:scaling>
          <c:orientation val="minMax"/>
        </c:scaling>
        <c:axPos val="l"/>
        <c:majorGridlines/>
        <c:numFmt formatCode="_(&quot;$&quot;* #,##0.00_);_(&quot;$&quot;* \(#,##0.00\);_(&quot;$&quot;* &quot;-&quot;??_);_(@_)" sourceLinked="1"/>
        <c:tickLblPos val="nextTo"/>
        <c:crossAx val="1618732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266" l="0.70000000000000062" r="0.70000000000000062" t="0.750000000000012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190499</xdr:rowOff>
    </xdr:from>
    <xdr:to>
      <xdr:col>14</xdr:col>
      <xdr:colOff>0</xdr:colOff>
      <xdr:row>35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7</xdr:col>
      <xdr:colOff>723899</xdr:colOff>
      <xdr:row>37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2" name="Table2245678910111213" displayName="Table2245678910111213" ref="A15:E17" totalsRowShown="0">
  <autoFilter ref="A15:E17"/>
  <tableColumns count="5">
    <tableColumn id="1" name="Date" dataDxfId="11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1" name="Table22456789101112" displayName="Table22456789101112" ref="A15:E17" totalsRowShown="0">
  <autoFilter ref="A15:E17"/>
  <tableColumns count="5">
    <tableColumn id="1" name="Date" dataDxfId="10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10" name="Table224567891011" displayName="Table224567891011" ref="A15:E17" totalsRowShown="0">
  <autoFilter ref="A15:E17"/>
  <tableColumns count="5">
    <tableColumn id="1" name="Date" dataDxfId="9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9" name="Table2245678910" displayName="Table2245678910" ref="A15:E17" totalsRowShown="0">
  <autoFilter ref="A15:E17"/>
  <tableColumns count="5">
    <tableColumn id="1" name="Date" dataDxfId="8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8" name="Table22456789" displayName="Table22456789" ref="A15:E17" totalsRowShown="0">
  <autoFilter ref="A15:E17"/>
  <tableColumns count="5">
    <tableColumn id="1" name="Date" dataDxfId="7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7" name="Table2245678" displayName="Table2245678" ref="A15:E17" totalsRowShown="0">
  <autoFilter ref="A15:E17"/>
  <tableColumns count="5">
    <tableColumn id="1" name="Date" dataDxfId="6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6" name="Table224567" displayName="Table224567" ref="A15:E17" totalsRowShown="0">
  <autoFilter ref="A15:E17"/>
  <tableColumns count="5">
    <tableColumn id="1" name="Date" dataDxfId="5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5" name="Table22456" displayName="Table22456" ref="A15:E17" totalsRowShown="0">
  <autoFilter ref="A15:E17"/>
  <tableColumns count="5">
    <tableColumn id="1" name="Date" dataDxfId="4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4" name="Table2245" displayName="Table2245" ref="A15:E17" totalsRowShown="0">
  <autoFilter ref="A15:E17"/>
  <tableColumns count="5">
    <tableColumn id="1" name="Date" dataDxfId="3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3" name="Table224" displayName="Table224" ref="A15:E17" totalsRowShown="0">
  <autoFilter ref="A15:E17"/>
  <tableColumns count="5">
    <tableColumn id="1" name="Date" dataDxfId="2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" name="Table22" displayName="Table22" ref="A15:E17" totalsRowShown="0">
  <autoFilter ref="A15:E17"/>
  <tableColumns count="5">
    <tableColumn id="1" name="Date" dataDxfId="1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2" name="Table2" displayName="Table2" ref="A15:E17" totalsRowShown="0">
  <autoFilter ref="A15:E17"/>
  <tableColumns count="5">
    <tableColumn id="1" name="Date" dataDxfId="0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topLeftCell="A7" zoomScaleNormal="100" workbookViewId="0">
      <selection activeCell="O8" sqref="O8"/>
    </sheetView>
  </sheetViews>
  <sheetFormatPr defaultRowHeight="15"/>
  <cols>
    <col min="13" max="13" width="10.85546875" bestFit="1" customWidth="1"/>
    <col min="15" max="15" width="10.85546875" bestFit="1" customWidth="1"/>
    <col min="16" max="18" width="12" bestFit="1" customWidth="1"/>
    <col min="28" max="28" width="9.140625" hidden="1" customWidth="1"/>
  </cols>
  <sheetData>
    <row r="1" spans="1:29">
      <c r="A1" s="169" t="s">
        <v>115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</row>
    <row r="9" spans="1:29">
      <c r="P9" s="139"/>
      <c r="Q9" s="139"/>
      <c r="R9" s="3"/>
    </row>
    <row r="10" spans="1:29">
      <c r="P10" s="139"/>
      <c r="Q10" s="139"/>
      <c r="R10" s="3"/>
      <c r="AB10" t="s">
        <v>4</v>
      </c>
    </row>
    <row r="11" spans="1:29">
      <c r="P11" s="139"/>
      <c r="Q11" s="139"/>
      <c r="R11" s="3"/>
      <c r="AB11" t="s">
        <v>91</v>
      </c>
    </row>
    <row r="12" spans="1:29">
      <c r="P12" s="139"/>
      <c r="Q12" s="139"/>
      <c r="R12" s="49"/>
    </row>
    <row r="15" spans="1:29">
      <c r="P15" s="131" t="s">
        <v>87</v>
      </c>
      <c r="Q15" s="131" t="s">
        <v>88</v>
      </c>
      <c r="R15" s="131" t="s">
        <v>89</v>
      </c>
      <c r="S15" s="131" t="s">
        <v>87</v>
      </c>
      <c r="T15" s="131" t="s">
        <v>88</v>
      </c>
      <c r="U15" s="131" t="s">
        <v>89</v>
      </c>
      <c r="V15" s="131">
        <v>2012</v>
      </c>
      <c r="W15">
        <v>2013</v>
      </c>
      <c r="X15">
        <v>2014</v>
      </c>
      <c r="Y15">
        <v>2015</v>
      </c>
      <c r="Z15">
        <v>2016</v>
      </c>
      <c r="AA15">
        <v>2017</v>
      </c>
      <c r="AC15">
        <v>2018</v>
      </c>
    </row>
    <row r="16" spans="1:29">
      <c r="P16" s="3">
        <v>0</v>
      </c>
      <c r="Q16" s="3">
        <v>0</v>
      </c>
      <c r="R16" s="3"/>
      <c r="S16" s="110">
        <f>P16/$P$28</f>
        <v>0</v>
      </c>
      <c r="T16" s="110">
        <f>Q16/$P$28</f>
        <v>0</v>
      </c>
      <c r="U16" s="110">
        <f>R16/$P$28</f>
        <v>0</v>
      </c>
      <c r="V16" s="110">
        <v>0</v>
      </c>
      <c r="W16" s="110">
        <v>0</v>
      </c>
      <c r="X16" s="110">
        <v>0</v>
      </c>
      <c r="Y16" s="110">
        <v>0</v>
      </c>
      <c r="Z16" s="110">
        <v>0</v>
      </c>
      <c r="AA16" s="110">
        <v>0</v>
      </c>
      <c r="AC16" s="110">
        <v>0</v>
      </c>
    </row>
    <row r="17" spans="15:29">
      <c r="O17" s="130" t="s">
        <v>49</v>
      </c>
      <c r="P17" s="3">
        <f>(P28-P16)/12</f>
        <v>1151.6666666666667</v>
      </c>
      <c r="Q17" s="3">
        <f>(Q28-Q16)/12</f>
        <v>863.75</v>
      </c>
      <c r="R17" s="3">
        <f>0+DSUM(Table2[#All],"Value",$AB$10:$AB$11)</f>
        <v>0</v>
      </c>
      <c r="S17" s="110">
        <f t="shared" ref="S17:S28" si="0">P17/$P$28</f>
        <v>8.3333333333333343E-2</v>
      </c>
      <c r="T17" s="110">
        <f t="shared" ref="T17:U28" si="1">Q17/$P$28</f>
        <v>6.25E-2</v>
      </c>
      <c r="U17" s="110">
        <f t="shared" si="1"/>
        <v>0</v>
      </c>
      <c r="V17" s="110">
        <v>-1.6185142857142856E-2</v>
      </c>
      <c r="W17" s="110">
        <v>8.7619047619047624E-2</v>
      </c>
      <c r="X17" s="110">
        <v>0</v>
      </c>
      <c r="Y17" s="110">
        <v>0.05</v>
      </c>
      <c r="Z17" s="110">
        <v>1.4999999999999999E-2</v>
      </c>
      <c r="AA17" s="110">
        <v>-0.02</v>
      </c>
      <c r="AC17" s="110">
        <v>-4.3140376266280749E-2</v>
      </c>
    </row>
    <row r="18" spans="15:29">
      <c r="O18" s="130" t="s">
        <v>50</v>
      </c>
      <c r="P18" s="3">
        <f t="shared" ref="P18:P27" si="2">P17+$P$17</f>
        <v>2303.3333333333335</v>
      </c>
      <c r="Q18" s="3">
        <f t="shared" ref="Q18:Q27" si="3">Q17+$Q$17</f>
        <v>1727.5</v>
      </c>
      <c r="R18" s="3">
        <f>R17+DSUM(Table22[#All],"Value",$AB$10:$AB$11)</f>
        <v>0</v>
      </c>
      <c r="S18" s="110">
        <f t="shared" si="0"/>
        <v>0.16666666666666669</v>
      </c>
      <c r="T18" s="110">
        <f t="shared" si="1"/>
        <v>0.125</v>
      </c>
      <c r="U18" s="110">
        <f t="shared" si="1"/>
        <v>0</v>
      </c>
      <c r="V18" s="110">
        <v>-9.3450666666666668E-2</v>
      </c>
      <c r="W18" s="110">
        <v>0.17523809523809525</v>
      </c>
      <c r="X18" s="110">
        <v>0.15</v>
      </c>
      <c r="Y18" s="110">
        <v>0.12</v>
      </c>
      <c r="Z18" s="110">
        <v>-5.5E-2</v>
      </c>
      <c r="AA18" s="110">
        <v>5.5E-2</v>
      </c>
      <c r="AC18" s="110">
        <v>-0.11355282199710565</v>
      </c>
    </row>
    <row r="19" spans="15:29">
      <c r="O19" s="130" t="s">
        <v>51</v>
      </c>
      <c r="P19" s="3">
        <f t="shared" si="2"/>
        <v>3455</v>
      </c>
      <c r="Q19" s="3">
        <f t="shared" si="3"/>
        <v>2591.25</v>
      </c>
      <c r="R19" s="3">
        <f>R18+DSUM(Table224[#All],"Value",$AB$10:$AB$11)</f>
        <v>0</v>
      </c>
      <c r="S19" s="110">
        <f t="shared" si="0"/>
        <v>0.25</v>
      </c>
      <c r="T19" s="110">
        <f t="shared" si="1"/>
        <v>0.1875</v>
      </c>
      <c r="U19" s="110">
        <f t="shared" si="1"/>
        <v>0</v>
      </c>
      <c r="V19" s="110">
        <v>-8.8358095238095236E-3</v>
      </c>
      <c r="W19" s="110">
        <v>0.21333333333333335</v>
      </c>
      <c r="X19" s="110">
        <v>0.3</v>
      </c>
      <c r="Y19" s="110">
        <v>0.12</v>
      </c>
      <c r="Z19" s="110">
        <v>0</v>
      </c>
      <c r="AA19" s="110">
        <v>0.09</v>
      </c>
      <c r="AC19" s="110">
        <v>-0.12440665701881332</v>
      </c>
    </row>
    <row r="20" spans="15:29">
      <c r="O20" s="130" t="s">
        <v>52</v>
      </c>
      <c r="P20" s="3">
        <f t="shared" si="2"/>
        <v>4606.666666666667</v>
      </c>
      <c r="Q20" s="3">
        <f t="shared" si="3"/>
        <v>3455</v>
      </c>
      <c r="R20" s="3">
        <f>R19+DSUM(Table2245[#All],"Value",$AB$10:$AB$11)</f>
        <v>0</v>
      </c>
      <c r="S20" s="110">
        <f t="shared" si="0"/>
        <v>0.33333333333333337</v>
      </c>
      <c r="T20" s="110">
        <f t="shared" si="1"/>
        <v>0.25</v>
      </c>
      <c r="U20" s="110">
        <f t="shared" si="1"/>
        <v>0</v>
      </c>
      <c r="V20" s="110">
        <v>0.19047619047619047</v>
      </c>
      <c r="W20" s="110">
        <v>0.28190476190476188</v>
      </c>
      <c r="X20" s="110">
        <v>0.42</v>
      </c>
      <c r="Y20" s="110">
        <v>0.32</v>
      </c>
      <c r="Z20" s="110">
        <v>3.7999999999999999E-2</v>
      </c>
      <c r="AA20" s="110">
        <v>0.21</v>
      </c>
      <c r="AC20" s="110">
        <v>4.5911722141823458E-2</v>
      </c>
    </row>
    <row r="21" spans="15:29">
      <c r="O21" s="130" t="s">
        <v>53</v>
      </c>
      <c r="P21" s="3">
        <f t="shared" si="2"/>
        <v>5758.3333333333339</v>
      </c>
      <c r="Q21" s="3">
        <f t="shared" si="3"/>
        <v>4318.75</v>
      </c>
      <c r="R21" s="3">
        <f>R20+DSUM(Table22456[#All],"Value",$AB$10:$AB$11)</f>
        <v>0</v>
      </c>
      <c r="S21" s="110">
        <f t="shared" si="0"/>
        <v>0.41666666666666669</v>
      </c>
      <c r="T21" s="110">
        <f t="shared" si="1"/>
        <v>0.3125</v>
      </c>
      <c r="U21" s="110">
        <f t="shared" si="1"/>
        <v>0</v>
      </c>
      <c r="V21" s="110">
        <v>0.2857142857142857</v>
      </c>
      <c r="W21" s="110">
        <v>0.37333333333333335</v>
      </c>
      <c r="X21" s="110">
        <v>0.42</v>
      </c>
      <c r="Y21" s="110">
        <v>0.32</v>
      </c>
      <c r="Z21" s="110">
        <v>0.183</v>
      </c>
      <c r="AA21" s="110">
        <v>0.245</v>
      </c>
      <c r="AC21" s="110">
        <v>7.3183791606367593E-2</v>
      </c>
    </row>
    <row r="22" spans="15:29">
      <c r="O22" s="130" t="s">
        <v>54</v>
      </c>
      <c r="P22" s="3">
        <f t="shared" si="2"/>
        <v>6910.0000000000009</v>
      </c>
      <c r="Q22" s="3">
        <f t="shared" si="3"/>
        <v>5182.5</v>
      </c>
      <c r="R22" s="3">
        <f>R21+DSUM(Table224567[#All],"Value",$AB$10:$AB$11)</f>
        <v>0</v>
      </c>
      <c r="S22" s="110">
        <f t="shared" si="0"/>
        <v>0.50000000000000011</v>
      </c>
      <c r="T22" s="110">
        <f t="shared" si="1"/>
        <v>0.375</v>
      </c>
      <c r="U22" s="110">
        <f t="shared" si="1"/>
        <v>0</v>
      </c>
      <c r="V22" s="110">
        <v>0.3619047619047619</v>
      </c>
      <c r="W22" s="110">
        <v>0.45714285714285713</v>
      </c>
      <c r="X22" s="110">
        <v>0.34499999999999997</v>
      </c>
      <c r="Y22" s="110">
        <v>0.38500000000000001</v>
      </c>
      <c r="Z22" s="110">
        <v>0.27300000000000002</v>
      </c>
      <c r="AA22" s="110">
        <v>0.35499999999999998</v>
      </c>
      <c r="AC22" s="110">
        <v>-2.8118668596237323E-2</v>
      </c>
    </row>
    <row r="23" spans="15:29">
      <c r="O23" s="130" t="s">
        <v>55</v>
      </c>
      <c r="P23" s="3">
        <f t="shared" si="2"/>
        <v>8061.6666666666679</v>
      </c>
      <c r="Q23" s="3">
        <f t="shared" si="3"/>
        <v>6046.25</v>
      </c>
      <c r="R23" s="3">
        <f>R22+DSUM(Table2245678[#All],"Value",$AB$10:$AB$11)</f>
        <v>0</v>
      </c>
      <c r="S23" s="110">
        <f t="shared" si="0"/>
        <v>0.58333333333333337</v>
      </c>
      <c r="T23" s="110">
        <f t="shared" si="1"/>
        <v>0.4375</v>
      </c>
      <c r="U23" s="110">
        <f t="shared" si="1"/>
        <v>0</v>
      </c>
      <c r="V23" s="110">
        <v>0.45714285714285713</v>
      </c>
      <c r="W23" s="110">
        <v>0.70095238095238099</v>
      </c>
      <c r="X23" s="110">
        <v>0.23499999999999999</v>
      </c>
      <c r="Y23" s="110">
        <v>0.22500000000000001</v>
      </c>
      <c r="Z23" s="110">
        <v>0.24299999999999999</v>
      </c>
      <c r="AA23" s="110">
        <v>0.31</v>
      </c>
      <c r="AC23" s="110">
        <v>0.12266280752532563</v>
      </c>
    </row>
    <row r="24" spans="15:29">
      <c r="O24" s="130" t="s">
        <v>56</v>
      </c>
      <c r="P24" s="3">
        <f t="shared" si="2"/>
        <v>9213.3333333333339</v>
      </c>
      <c r="Q24" s="3">
        <f t="shared" si="3"/>
        <v>6910</v>
      </c>
      <c r="R24" s="3">
        <f>R23+DSUM(Table22456789[#All],"Value",$AB$10:$AB$11)</f>
        <v>0</v>
      </c>
      <c r="S24" s="110">
        <f t="shared" si="0"/>
        <v>0.66666666666666674</v>
      </c>
      <c r="T24" s="110">
        <f t="shared" si="1"/>
        <v>0.5</v>
      </c>
      <c r="U24" s="110">
        <f t="shared" si="1"/>
        <v>0</v>
      </c>
      <c r="V24" s="110">
        <v>0.5714285714285714</v>
      </c>
      <c r="W24" s="110">
        <v>0.78476190476190477</v>
      </c>
      <c r="X24" s="110">
        <v>7.4999999999999997E-2</v>
      </c>
      <c r="Y24" s="110">
        <v>0.15</v>
      </c>
      <c r="Z24" s="110">
        <v>0.28949999999999998</v>
      </c>
      <c r="AA24" s="110"/>
      <c r="AC24" s="110">
        <v>0.1557235890014472</v>
      </c>
    </row>
    <row r="25" spans="15:29">
      <c r="O25" s="130" t="s">
        <v>57</v>
      </c>
      <c r="P25" s="3">
        <f t="shared" si="2"/>
        <v>10365</v>
      </c>
      <c r="Q25" s="3">
        <f t="shared" si="3"/>
        <v>7773.75</v>
      </c>
      <c r="R25" s="3">
        <f>R24+DSUM(Table2245678910[#All],"Value",$AB$10:$AB$11)</f>
        <v>0</v>
      </c>
      <c r="S25" s="110">
        <f t="shared" si="0"/>
        <v>0.75</v>
      </c>
      <c r="T25" s="110">
        <f t="shared" si="1"/>
        <v>0.5625</v>
      </c>
      <c r="U25" s="110">
        <f t="shared" si="1"/>
        <v>0</v>
      </c>
      <c r="V25" s="110">
        <v>0.66666666666666663</v>
      </c>
      <c r="W25" s="110">
        <v>0.86857142857142855</v>
      </c>
      <c r="X25" s="110">
        <v>0</v>
      </c>
      <c r="Y25" s="110">
        <v>-0.01</v>
      </c>
      <c r="Z25" s="110">
        <v>0.33450000000000002</v>
      </c>
      <c r="AA25" s="110"/>
      <c r="AC25" s="110">
        <v>0.17598408104196819</v>
      </c>
    </row>
    <row r="26" spans="15:29">
      <c r="O26" s="130" t="s">
        <v>58</v>
      </c>
      <c r="P26" s="3">
        <f t="shared" si="2"/>
        <v>11516.666666666666</v>
      </c>
      <c r="Q26" s="3">
        <f t="shared" si="3"/>
        <v>8637.5</v>
      </c>
      <c r="R26" s="3">
        <f>R25+DSUM(Table224567891011[#All],"Value",$AB$10:$AB$11)</f>
        <v>0</v>
      </c>
      <c r="S26" s="110">
        <f t="shared" si="0"/>
        <v>0.83333333333333326</v>
      </c>
      <c r="T26" s="110">
        <f t="shared" si="1"/>
        <v>0.625</v>
      </c>
      <c r="U26" s="110">
        <f t="shared" si="1"/>
        <v>0</v>
      </c>
      <c r="V26" s="110">
        <v>0.8</v>
      </c>
      <c r="W26" s="110">
        <v>0.95238095238095233</v>
      </c>
      <c r="X26" s="110">
        <v>-0.105</v>
      </c>
      <c r="Y26" s="110">
        <v>-0.06</v>
      </c>
      <c r="Z26" s="110">
        <v>0.54949999999999999</v>
      </c>
      <c r="AA26" s="110"/>
      <c r="AC26" s="110">
        <v>0.1639580318379161</v>
      </c>
    </row>
    <row r="27" spans="15:29">
      <c r="O27" s="130" t="s">
        <v>59</v>
      </c>
      <c r="P27" s="3">
        <f t="shared" si="2"/>
        <v>12668.333333333332</v>
      </c>
      <c r="Q27" s="3">
        <f t="shared" si="3"/>
        <v>9501.25</v>
      </c>
      <c r="R27" s="3">
        <f>R26+DSUM(Table22456789101112[#All],"Value",$AB$10:$AB$11)</f>
        <v>0</v>
      </c>
      <c r="S27" s="110">
        <f t="shared" si="0"/>
        <v>0.91666666666666663</v>
      </c>
      <c r="T27" s="110">
        <f t="shared" si="1"/>
        <v>0.6875</v>
      </c>
      <c r="U27" s="110">
        <f t="shared" si="1"/>
        <v>0</v>
      </c>
      <c r="V27" s="110">
        <v>0.91428571428571426</v>
      </c>
      <c r="W27" s="110">
        <v>1.0361904761904761</v>
      </c>
      <c r="X27" s="110">
        <v>0</v>
      </c>
      <c r="Y27" s="110">
        <v>-0.245</v>
      </c>
      <c r="Z27" s="110">
        <v>0.59950000000000003</v>
      </c>
      <c r="AA27" s="110"/>
      <c r="AC27" s="110">
        <v>0.24093125904486257</v>
      </c>
    </row>
    <row r="28" spans="15:29">
      <c r="O28" s="130" t="s">
        <v>60</v>
      </c>
      <c r="P28" s="3">
        <v>13820</v>
      </c>
      <c r="Q28" s="3">
        <f>P28*0.75</f>
        <v>10365</v>
      </c>
      <c r="R28" s="3">
        <f>R27+DSUM(Table2245678910111213[#All],"Value",$AB$10:$AB$11)</f>
        <v>0</v>
      </c>
      <c r="S28" s="110">
        <f t="shared" si="0"/>
        <v>1</v>
      </c>
      <c r="T28" s="110">
        <f t="shared" si="1"/>
        <v>0.75</v>
      </c>
      <c r="U28" s="110">
        <f t="shared" si="1"/>
        <v>0</v>
      </c>
      <c r="V28" s="110">
        <v>1.0285714285714285</v>
      </c>
      <c r="W28" s="110">
        <v>1.1200000000000001</v>
      </c>
      <c r="X28" s="110">
        <v>7.0000000000000007E-2</v>
      </c>
      <c r="Y28" s="110">
        <v>4.4999999999999998E-2</v>
      </c>
      <c r="Z28" s="110">
        <v>0.76449999999999996</v>
      </c>
      <c r="AA28" s="110"/>
      <c r="AC28" s="110">
        <v>0.29425253256150513</v>
      </c>
    </row>
  </sheetData>
  <mergeCells count="1">
    <mergeCell ref="A1:N1"/>
  </mergeCells>
  <pageMargins left="0.41338582677165353" right="0.41338582677165353" top="0.41338582677165353" bottom="0.4133858267716535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topLeftCell="A16" workbookViewId="0">
      <selection activeCell="A38" sqref="A38"/>
    </sheetView>
  </sheetViews>
  <sheetFormatPr defaultRowHeight="15"/>
  <cols>
    <col min="1" max="1" width="11.28515625" customWidth="1"/>
    <col min="2" max="2" width="11.7109375" customWidth="1"/>
    <col min="3" max="5" width="11" bestFit="1" customWidth="1"/>
    <col min="6" max="6" width="12" bestFit="1" customWidth="1"/>
    <col min="7" max="7" width="11" customWidth="1"/>
    <col min="8" max="8" width="11" bestFit="1" customWidth="1"/>
    <col min="10" max="10" width="10.85546875" bestFit="1" customWidth="1"/>
    <col min="11" max="11" width="11" bestFit="1" customWidth="1"/>
    <col min="12" max="12" width="12" bestFit="1" customWidth="1"/>
    <col min="13" max="13" width="14.42578125" bestFit="1" customWidth="1"/>
  </cols>
  <sheetData>
    <row r="1" spans="1:13" ht="15.75" thickBot="1"/>
    <row r="2" spans="1:13">
      <c r="A2" s="173">
        <v>2016</v>
      </c>
      <c r="B2" s="174"/>
      <c r="C2" s="174"/>
      <c r="D2" s="174"/>
      <c r="E2" s="174"/>
      <c r="F2" s="174"/>
      <c r="G2" s="174"/>
      <c r="H2" s="175"/>
    </row>
    <row r="3" spans="1:13" ht="15.75" thickBot="1">
      <c r="A3" s="19"/>
      <c r="B3" s="20"/>
      <c r="C3" s="55" t="s">
        <v>49</v>
      </c>
      <c r="D3" s="55" t="s">
        <v>50</v>
      </c>
      <c r="E3" s="55" t="s">
        <v>51</v>
      </c>
      <c r="F3" s="55" t="s">
        <v>52</v>
      </c>
      <c r="G3" s="55" t="s">
        <v>53</v>
      </c>
      <c r="H3" s="56" t="s">
        <v>54</v>
      </c>
      <c r="J3" s="170" t="s">
        <v>100</v>
      </c>
      <c r="K3" s="170"/>
      <c r="L3" s="170"/>
      <c r="M3" s="170"/>
    </row>
    <row r="4" spans="1:13">
      <c r="A4" s="180" t="s">
        <v>10</v>
      </c>
      <c r="B4" s="181"/>
      <c r="C4" s="21">
        <f>January!$D7</f>
        <v>0</v>
      </c>
      <c r="D4" s="22">
        <f>February!$D7</f>
        <v>0</v>
      </c>
      <c r="E4" s="22">
        <f>March!$D7</f>
        <v>0</v>
      </c>
      <c r="F4" s="22">
        <f>April!$D7</f>
        <v>0</v>
      </c>
      <c r="G4" s="22">
        <f>May!$D7</f>
        <v>0</v>
      </c>
      <c r="H4" s="23">
        <f>June!$D7</f>
        <v>0</v>
      </c>
      <c r="J4" s="132"/>
      <c r="K4" s="133" t="s">
        <v>94</v>
      </c>
      <c r="L4" s="133" t="s">
        <v>95</v>
      </c>
      <c r="M4" s="134" t="s">
        <v>96</v>
      </c>
    </row>
    <row r="5" spans="1:13">
      <c r="A5" s="180" t="s">
        <v>11</v>
      </c>
      <c r="B5" s="181"/>
      <c r="C5" s="28">
        <f>January!$D8</f>
        <v>0</v>
      </c>
      <c r="D5" s="29">
        <f>February!$D8</f>
        <v>0</v>
      </c>
      <c r="E5" s="29">
        <f>March!$D8</f>
        <v>0</v>
      </c>
      <c r="F5" s="29">
        <f>April!$D8</f>
        <v>0</v>
      </c>
      <c r="G5" s="29">
        <f>May!$D8</f>
        <v>0</v>
      </c>
      <c r="H5" s="30">
        <f>June!$D8</f>
        <v>0</v>
      </c>
      <c r="J5" s="135" t="s">
        <v>49</v>
      </c>
      <c r="K5" s="136">
        <f>C$4+C$5</f>
        <v>0</v>
      </c>
      <c r="L5" s="136">
        <f>C$6+C$7</f>
        <v>0</v>
      </c>
      <c r="M5" s="17">
        <f t="shared" ref="M5:M16" si="0">L5-K5</f>
        <v>0</v>
      </c>
    </row>
    <row r="6" spans="1:13">
      <c r="A6" s="180" t="s">
        <v>21</v>
      </c>
      <c r="B6" s="181"/>
      <c r="C6" s="24">
        <f>January!$D9</f>
        <v>0</v>
      </c>
      <c r="D6" s="25">
        <f>February!$D9</f>
        <v>0</v>
      </c>
      <c r="E6" s="25">
        <f>March!$D9</f>
        <v>0</v>
      </c>
      <c r="F6" s="25">
        <f>April!$D9</f>
        <v>0</v>
      </c>
      <c r="G6" s="25">
        <f>May!$D9</f>
        <v>0</v>
      </c>
      <c r="H6" s="26">
        <f>June!$D9</f>
        <v>0</v>
      </c>
      <c r="J6" s="135" t="s">
        <v>50</v>
      </c>
      <c r="K6" s="136">
        <f>D$4+D$5</f>
        <v>0</v>
      </c>
      <c r="L6" s="136">
        <f>D$6+D$7</f>
        <v>0</v>
      </c>
      <c r="M6" s="17">
        <f t="shared" si="0"/>
        <v>0</v>
      </c>
    </row>
    <row r="7" spans="1:13">
      <c r="A7" s="180" t="s">
        <v>22</v>
      </c>
      <c r="B7" s="181"/>
      <c r="C7" s="28">
        <f>January!$D10</f>
        <v>0</v>
      </c>
      <c r="D7" s="29">
        <f>February!$D10</f>
        <v>0</v>
      </c>
      <c r="E7" s="29">
        <f>March!$D10</f>
        <v>0</v>
      </c>
      <c r="F7" s="29">
        <f>April!$D10</f>
        <v>0</v>
      </c>
      <c r="G7" s="29">
        <f>May!$D10</f>
        <v>0</v>
      </c>
      <c r="H7" s="30">
        <f>June!$D10</f>
        <v>0</v>
      </c>
      <c r="J7" s="135" t="s">
        <v>51</v>
      </c>
      <c r="K7" s="136">
        <f>E$4+E$5</f>
        <v>0</v>
      </c>
      <c r="L7" s="136">
        <f>E$6+E$7</f>
        <v>0</v>
      </c>
      <c r="M7" s="17">
        <f t="shared" si="0"/>
        <v>0</v>
      </c>
    </row>
    <row r="8" spans="1:13">
      <c r="A8" s="180" t="s">
        <v>23</v>
      </c>
      <c r="B8" s="181"/>
      <c r="C8" s="24">
        <f>January!$D11</f>
        <v>1</v>
      </c>
      <c r="D8" s="25">
        <f>February!$D11</f>
        <v>1</v>
      </c>
      <c r="E8" s="25">
        <f>March!$D11</f>
        <v>1</v>
      </c>
      <c r="F8" s="25">
        <f>April!$D11</f>
        <v>1</v>
      </c>
      <c r="G8" s="25">
        <f>May!$D11</f>
        <v>1</v>
      </c>
      <c r="H8" s="26">
        <f>June!$D11</f>
        <v>1</v>
      </c>
      <c r="J8" s="135" t="s">
        <v>52</v>
      </c>
      <c r="K8" s="136">
        <f>F$4+F$5</f>
        <v>0</v>
      </c>
      <c r="L8" s="136">
        <f>F$6+F$7</f>
        <v>0</v>
      </c>
      <c r="M8" s="17">
        <f t="shared" si="0"/>
        <v>0</v>
      </c>
    </row>
    <row r="9" spans="1:13" ht="15.75" thickBot="1">
      <c r="A9" s="180" t="s">
        <v>32</v>
      </c>
      <c r="B9" s="181"/>
      <c r="C9" s="27">
        <f>January!$D12</f>
        <v>1</v>
      </c>
      <c r="D9" s="31">
        <f>February!$D12</f>
        <v>1</v>
      </c>
      <c r="E9" s="31">
        <f>March!$D12</f>
        <v>1</v>
      </c>
      <c r="F9" s="31">
        <f>April!$D12</f>
        <v>1</v>
      </c>
      <c r="G9" s="31">
        <f>May!$D12</f>
        <v>1</v>
      </c>
      <c r="H9" s="32">
        <f>June!$D12</f>
        <v>1</v>
      </c>
      <c r="J9" s="135" t="s">
        <v>53</v>
      </c>
      <c r="K9" s="136">
        <f>G$4+G$5</f>
        <v>0</v>
      </c>
      <c r="L9" s="136">
        <f>G$6+G$7</f>
        <v>0</v>
      </c>
      <c r="M9" s="17">
        <f t="shared" si="0"/>
        <v>0</v>
      </c>
    </row>
    <row r="10" spans="1:13" ht="15.75" thickBot="1">
      <c r="A10" s="19"/>
      <c r="B10" s="20"/>
      <c r="C10" s="55" t="s">
        <v>55</v>
      </c>
      <c r="D10" s="55" t="s">
        <v>56</v>
      </c>
      <c r="E10" s="55" t="s">
        <v>57</v>
      </c>
      <c r="F10" s="55" t="s">
        <v>58</v>
      </c>
      <c r="G10" s="55" t="s">
        <v>59</v>
      </c>
      <c r="H10" s="56" t="s">
        <v>60</v>
      </c>
      <c r="J10" s="135" t="s">
        <v>54</v>
      </c>
      <c r="K10" s="136">
        <f>H$4+H$5</f>
        <v>0</v>
      </c>
      <c r="L10" s="136">
        <f>H$6+H$7</f>
        <v>0</v>
      </c>
      <c r="M10" s="17">
        <f t="shared" si="0"/>
        <v>0</v>
      </c>
    </row>
    <row r="11" spans="1:13">
      <c r="A11" s="180" t="s">
        <v>10</v>
      </c>
      <c r="B11" s="181"/>
      <c r="C11" s="22">
        <f>July!$D7</f>
        <v>0</v>
      </c>
      <c r="D11" s="22">
        <f>August!$D7</f>
        <v>0</v>
      </c>
      <c r="E11" s="22">
        <f>September!$D7</f>
        <v>0</v>
      </c>
      <c r="F11" s="22">
        <f>October!$D7</f>
        <v>0</v>
      </c>
      <c r="G11" s="22">
        <f>November!$D7</f>
        <v>0</v>
      </c>
      <c r="H11" s="23">
        <f>December!$D7</f>
        <v>0</v>
      </c>
      <c r="J11" s="135" t="s">
        <v>55</v>
      </c>
      <c r="K11" s="136">
        <f>C$11+C$12</f>
        <v>0</v>
      </c>
      <c r="L11" s="136">
        <f>C$13+C$14</f>
        <v>0</v>
      </c>
      <c r="M11" s="17">
        <f t="shared" si="0"/>
        <v>0</v>
      </c>
    </row>
    <row r="12" spans="1:13">
      <c r="A12" s="180" t="s">
        <v>11</v>
      </c>
      <c r="B12" s="181"/>
      <c r="C12" s="29">
        <f>July!$D8</f>
        <v>0</v>
      </c>
      <c r="D12" s="29">
        <f>August!$D8</f>
        <v>0</v>
      </c>
      <c r="E12" s="29">
        <f>September!$D8</f>
        <v>0</v>
      </c>
      <c r="F12" s="29">
        <f>October!$D8</f>
        <v>0</v>
      </c>
      <c r="G12" s="29">
        <f>November!$D8</f>
        <v>0</v>
      </c>
      <c r="H12" s="30">
        <f>December!$D8</f>
        <v>0</v>
      </c>
      <c r="J12" s="135" t="s">
        <v>56</v>
      </c>
      <c r="K12" s="136">
        <f>D$11+D$12</f>
        <v>0</v>
      </c>
      <c r="L12" s="136">
        <f>D$13+D$14</f>
        <v>0</v>
      </c>
      <c r="M12" s="17">
        <f t="shared" si="0"/>
        <v>0</v>
      </c>
    </row>
    <row r="13" spans="1:13">
      <c r="A13" s="180" t="s">
        <v>21</v>
      </c>
      <c r="B13" s="181"/>
      <c r="C13" s="25">
        <f>July!$D9</f>
        <v>0</v>
      </c>
      <c r="D13" s="25">
        <f>August!$D9</f>
        <v>0</v>
      </c>
      <c r="E13" s="25">
        <f>September!$D9</f>
        <v>0</v>
      </c>
      <c r="F13" s="25">
        <f>October!$D9</f>
        <v>0</v>
      </c>
      <c r="G13" s="25">
        <f>November!$D9</f>
        <v>0</v>
      </c>
      <c r="H13" s="26">
        <f>December!$D9</f>
        <v>0</v>
      </c>
      <c r="J13" s="135" t="s">
        <v>57</v>
      </c>
      <c r="K13" s="136">
        <f>E$11+E$12</f>
        <v>0</v>
      </c>
      <c r="L13" s="136">
        <f>E$13+E$14</f>
        <v>0</v>
      </c>
      <c r="M13" s="17">
        <f t="shared" si="0"/>
        <v>0</v>
      </c>
    </row>
    <row r="14" spans="1:13">
      <c r="A14" s="180" t="s">
        <v>22</v>
      </c>
      <c r="B14" s="181"/>
      <c r="C14" s="29">
        <f>July!$D10</f>
        <v>0</v>
      </c>
      <c r="D14" s="29">
        <f>August!$D10</f>
        <v>0</v>
      </c>
      <c r="E14" s="29">
        <f>September!$D10</f>
        <v>0</v>
      </c>
      <c r="F14" s="29">
        <f>October!$D10</f>
        <v>0</v>
      </c>
      <c r="G14" s="29">
        <f>November!$D10</f>
        <v>0</v>
      </c>
      <c r="H14" s="30">
        <f>December!$D10</f>
        <v>0</v>
      </c>
      <c r="J14" s="135" t="s">
        <v>58</v>
      </c>
      <c r="K14" s="136">
        <f>F$11+F$12</f>
        <v>0</v>
      </c>
      <c r="L14" s="136">
        <f>F$13+F$14</f>
        <v>0</v>
      </c>
      <c r="M14" s="17">
        <f t="shared" si="0"/>
        <v>0</v>
      </c>
    </row>
    <row r="15" spans="1:13">
      <c r="A15" s="180" t="s">
        <v>23</v>
      </c>
      <c r="B15" s="181"/>
      <c r="C15" s="25">
        <f>July!$D11</f>
        <v>1</v>
      </c>
      <c r="D15" s="25">
        <f>August!$D11</f>
        <v>1</v>
      </c>
      <c r="E15" s="25">
        <f>September!$D11</f>
        <v>1</v>
      </c>
      <c r="F15" s="25">
        <f>October!$D11</f>
        <v>1</v>
      </c>
      <c r="G15" s="25">
        <f>November!$D11</f>
        <v>1</v>
      </c>
      <c r="H15" s="26">
        <f>December!$D11</f>
        <v>1</v>
      </c>
      <c r="J15" s="135" t="s">
        <v>59</v>
      </c>
      <c r="K15" s="136">
        <f>G$11+G$12</f>
        <v>0</v>
      </c>
      <c r="L15" s="136">
        <f>G$13+G$14</f>
        <v>0</v>
      </c>
      <c r="M15" s="17">
        <f t="shared" si="0"/>
        <v>0</v>
      </c>
    </row>
    <row r="16" spans="1:13" ht="15.75" thickBot="1">
      <c r="A16" s="171" t="s">
        <v>32</v>
      </c>
      <c r="B16" s="172"/>
      <c r="C16" s="31">
        <f>July!$D12</f>
        <v>1</v>
      </c>
      <c r="D16" s="31">
        <f>August!$D12</f>
        <v>1</v>
      </c>
      <c r="E16" s="31">
        <f>September!$D12</f>
        <v>1</v>
      </c>
      <c r="F16" s="31">
        <f>October!$D12</f>
        <v>1</v>
      </c>
      <c r="G16" s="31">
        <f>November!$D12</f>
        <v>1</v>
      </c>
      <c r="H16" s="32">
        <f>December!$D12</f>
        <v>1</v>
      </c>
      <c r="J16" s="135" t="s">
        <v>60</v>
      </c>
      <c r="K16" s="136">
        <f>H$11+H$12</f>
        <v>0</v>
      </c>
      <c r="L16" s="136">
        <f>H$13+H$14</f>
        <v>0</v>
      </c>
      <c r="M16" s="17">
        <f t="shared" si="0"/>
        <v>0</v>
      </c>
    </row>
    <row r="17" spans="1:13" ht="15.75" thickBot="1">
      <c r="J17" s="137"/>
      <c r="K17" s="138"/>
      <c r="L17" s="138" t="s">
        <v>90</v>
      </c>
      <c r="M17" s="18">
        <f>SUM(M5:M16)</f>
        <v>0</v>
      </c>
    </row>
    <row r="18" spans="1:13">
      <c r="A18" s="176" t="s">
        <v>92</v>
      </c>
      <c r="B18" s="177"/>
      <c r="C18" s="178"/>
      <c r="D18" s="123" t="e">
        <f>AVERAGEIF(K5:K16,"&gt;0")</f>
        <v>#DIV/0!</v>
      </c>
    </row>
    <row r="19" spans="1:13" ht="15.75" thickBot="1">
      <c r="A19" s="171" t="s">
        <v>93</v>
      </c>
      <c r="B19" s="179"/>
      <c r="C19" s="172"/>
      <c r="D19" s="124" t="e">
        <f>AVERAGEIF(L5:L16,"&gt;0")</f>
        <v>#DIV/0!</v>
      </c>
      <c r="F19" s="49"/>
      <c r="G19" s="49"/>
    </row>
  </sheetData>
  <mergeCells count="16">
    <mergeCell ref="J3:M3"/>
    <mergeCell ref="A16:B16"/>
    <mergeCell ref="A2:H2"/>
    <mergeCell ref="A18:C18"/>
    <mergeCell ref="A19:C19"/>
    <mergeCell ref="A11:B11"/>
    <mergeCell ref="A12:B12"/>
    <mergeCell ref="A13:B13"/>
    <mergeCell ref="A14:B14"/>
    <mergeCell ref="A15:B15"/>
    <mergeCell ref="A8:B8"/>
    <mergeCell ref="A9:B9"/>
    <mergeCell ref="A4:B4"/>
    <mergeCell ref="A5:B5"/>
    <mergeCell ref="A6:B6"/>
    <mergeCell ref="A7:B7"/>
  </mergeCells>
  <pageMargins left="0.41338582677165353" right="0.41338582677165353" top="0.41338582677165353" bottom="0.4133858267716535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X47"/>
  <sheetViews>
    <sheetView topLeftCell="A26" zoomScaleNormal="100" workbookViewId="0">
      <selection activeCell="H48" sqref="H48"/>
    </sheetView>
  </sheetViews>
  <sheetFormatPr defaultRowHeight="15"/>
  <cols>
    <col min="1" max="1" width="5.7109375" customWidth="1"/>
    <col min="2" max="2" width="13.7109375" customWidth="1"/>
    <col min="3" max="3" width="10.85546875" customWidth="1"/>
    <col min="4" max="4" width="12" customWidth="1"/>
    <col min="5" max="5" width="11.42578125" customWidth="1"/>
    <col min="6" max="6" width="12.85546875" bestFit="1" customWidth="1"/>
    <col min="7" max="7" width="8.42578125" bestFit="1" customWidth="1"/>
    <col min="8" max="8" width="11.140625" bestFit="1" customWidth="1"/>
    <col min="9" max="9" width="5.7109375" customWidth="1"/>
    <col min="10" max="10" width="10.85546875" bestFit="1" customWidth="1"/>
    <col min="11" max="11" width="10.5703125" customWidth="1"/>
    <col min="12" max="12" width="10.85546875" customWidth="1"/>
    <col min="13" max="13" width="12.140625" bestFit="1" customWidth="1"/>
    <col min="14" max="14" width="10.85546875" bestFit="1" customWidth="1"/>
    <col min="15" max="15" width="10.28515625" bestFit="1" customWidth="1"/>
    <col min="16" max="16" width="10.140625" customWidth="1"/>
    <col min="17" max="19" width="6.28515625" bestFit="1" customWidth="1"/>
    <col min="20" max="20" width="5" bestFit="1" customWidth="1"/>
    <col min="22" max="22" width="21.5703125" bestFit="1" customWidth="1"/>
    <col min="23" max="23" width="9.42578125" bestFit="1" customWidth="1"/>
  </cols>
  <sheetData>
    <row r="1" spans="2:24" ht="15.75" thickBot="1">
      <c r="H1" s="49"/>
    </row>
    <row r="2" spans="2:24" ht="15.75" thickBot="1">
      <c r="D2" s="176" t="s">
        <v>67</v>
      </c>
      <c r="E2" s="178"/>
      <c r="F2" s="63">
        <v>1</v>
      </c>
      <c r="J2" s="188" t="s">
        <v>76</v>
      </c>
      <c r="K2" s="189"/>
      <c r="L2" s="192">
        <v>1000</v>
      </c>
      <c r="M2" s="193"/>
      <c r="N2" s="102"/>
    </row>
    <row r="3" spans="2:24" ht="15.75" thickBot="1">
      <c r="D3" s="58"/>
      <c r="E3" s="59" t="s">
        <v>72</v>
      </c>
      <c r="F3" s="64">
        <v>43466</v>
      </c>
      <c r="H3" s="49"/>
      <c r="J3" s="93"/>
      <c r="K3" s="94"/>
      <c r="L3" s="95" t="s">
        <v>80</v>
      </c>
      <c r="M3" s="96" t="s">
        <v>81</v>
      </c>
    </row>
    <row r="4" spans="2:24">
      <c r="D4" s="180" t="s">
        <v>97</v>
      </c>
      <c r="E4" s="181"/>
      <c r="F4" s="65">
        <v>0</v>
      </c>
      <c r="I4" s="49"/>
      <c r="J4" s="190" t="s">
        <v>77</v>
      </c>
      <c r="K4" s="187"/>
      <c r="L4" s="97">
        <v>0</v>
      </c>
      <c r="M4" s="98">
        <v>0</v>
      </c>
      <c r="N4" s="103"/>
      <c r="V4" s="156"/>
      <c r="W4" s="150" t="s">
        <v>110</v>
      </c>
      <c r="X4" s="153" t="s">
        <v>89</v>
      </c>
    </row>
    <row r="5" spans="2:24">
      <c r="D5" s="180" t="s">
        <v>63</v>
      </c>
      <c r="E5" s="181"/>
      <c r="F5" s="65">
        <v>0</v>
      </c>
      <c r="H5" s="107"/>
      <c r="I5" s="49"/>
      <c r="J5" s="190" t="s">
        <v>79</v>
      </c>
      <c r="K5" s="187"/>
      <c r="L5" s="101" t="s">
        <v>5</v>
      </c>
      <c r="M5" s="98">
        <v>0</v>
      </c>
      <c r="N5" s="103"/>
      <c r="V5" s="157" t="s">
        <v>105</v>
      </c>
      <c r="W5" s="154">
        <v>40.6</v>
      </c>
      <c r="X5" s="155"/>
    </row>
    <row r="6" spans="2:24" ht="15.75" thickBot="1">
      <c r="D6" s="43"/>
      <c r="E6" s="44" t="s">
        <v>68</v>
      </c>
      <c r="F6" s="65">
        <f>SUM(C10:C22)</f>
        <v>0</v>
      </c>
      <c r="H6" s="49"/>
      <c r="J6" s="191" t="s">
        <v>78</v>
      </c>
      <c r="K6" s="184"/>
      <c r="L6" s="99">
        <v>0</v>
      </c>
      <c r="M6" s="100">
        <v>0</v>
      </c>
      <c r="N6" s="104"/>
      <c r="V6" s="157" t="s">
        <v>106</v>
      </c>
      <c r="W6" s="154">
        <v>7.67</v>
      </c>
      <c r="X6" s="155"/>
    </row>
    <row r="7" spans="2:24" ht="15.75" thickBot="1">
      <c r="D7" s="45"/>
      <c r="E7" s="46" t="s">
        <v>66</v>
      </c>
      <c r="F7" s="66">
        <f>SUM(H10:H22)</f>
        <v>0</v>
      </c>
      <c r="G7" s="49"/>
      <c r="H7" s="49"/>
      <c r="I7" s="49"/>
      <c r="V7" s="157" t="s">
        <v>107</v>
      </c>
      <c r="W7" s="154">
        <v>360.93</v>
      </c>
      <c r="X7" s="155"/>
    </row>
    <row r="8" spans="2:24" ht="15.75" thickBot="1">
      <c r="N8" s="57"/>
      <c r="O8" s="182" t="s">
        <v>111</v>
      </c>
      <c r="P8" s="183"/>
      <c r="Q8" s="74" t="s">
        <v>103</v>
      </c>
      <c r="R8" s="74" t="s">
        <v>75</v>
      </c>
      <c r="S8" s="71" t="s">
        <v>102</v>
      </c>
      <c r="T8" s="71" t="s">
        <v>104</v>
      </c>
      <c r="V8" s="157" t="s">
        <v>108</v>
      </c>
      <c r="W8" s="154">
        <v>13.53</v>
      </c>
      <c r="X8" s="155"/>
    </row>
    <row r="9" spans="2:24" ht="15.75" thickBot="1">
      <c r="B9" s="33"/>
      <c r="C9" s="126" t="s">
        <v>61</v>
      </c>
      <c r="D9" s="126" t="s">
        <v>65</v>
      </c>
      <c r="E9" s="126" t="s">
        <v>62</v>
      </c>
      <c r="F9" s="126" t="s">
        <v>73</v>
      </c>
      <c r="G9" s="126" t="s">
        <v>69</v>
      </c>
      <c r="H9" s="127" t="s">
        <v>64</v>
      </c>
      <c r="J9" s="33"/>
      <c r="K9" s="54"/>
      <c r="L9" s="60" t="s">
        <v>0</v>
      </c>
      <c r="M9" s="60" t="s">
        <v>70</v>
      </c>
      <c r="N9" s="112" t="s">
        <v>82</v>
      </c>
      <c r="O9" s="129" t="s">
        <v>98</v>
      </c>
      <c r="P9" s="129" t="s">
        <v>99</v>
      </c>
      <c r="Q9" s="61">
        <v>7729</v>
      </c>
      <c r="R9" s="62">
        <v>7731</v>
      </c>
      <c r="S9" s="72">
        <v>7730</v>
      </c>
      <c r="T9" s="73">
        <v>7734</v>
      </c>
      <c r="V9" s="158" t="s">
        <v>109</v>
      </c>
      <c r="W9" s="154">
        <v>18.05</v>
      </c>
      <c r="X9" s="155"/>
    </row>
    <row r="10" spans="2:24" ht="15.75" thickBot="1">
      <c r="B10" s="47" t="s">
        <v>71</v>
      </c>
      <c r="C10" s="67">
        <v>0</v>
      </c>
      <c r="D10" s="35">
        <v>43467</v>
      </c>
      <c r="E10" s="36">
        <v>1</v>
      </c>
      <c r="F10" s="68">
        <f>E10-F2</f>
        <v>0</v>
      </c>
      <c r="G10" s="106">
        <f>F10/(D10-F3)</f>
        <v>0</v>
      </c>
      <c r="H10" s="16">
        <f>((D10-$F$3)/365)*$F$4+F10*($F$5)</f>
        <v>0</v>
      </c>
      <c r="J10" s="47" t="s">
        <v>71</v>
      </c>
      <c r="K10" s="34">
        <v>0</v>
      </c>
      <c r="L10" s="118">
        <v>43466</v>
      </c>
      <c r="M10" s="140">
        <v>0</v>
      </c>
      <c r="N10" s="140">
        <v>0</v>
      </c>
      <c r="O10" s="53" t="s">
        <v>5</v>
      </c>
      <c r="P10" s="53" t="s">
        <v>5</v>
      </c>
      <c r="Q10" s="50">
        <v>0</v>
      </c>
      <c r="R10" s="50">
        <v>0</v>
      </c>
      <c r="S10" s="69">
        <v>0</v>
      </c>
      <c r="T10" s="69">
        <v>0</v>
      </c>
      <c r="W10" s="151">
        <f>SUM(W5:W9)/12</f>
        <v>36.731666666666662</v>
      </c>
      <c r="X10" s="152"/>
    </row>
    <row r="11" spans="2:24">
      <c r="B11" s="128" t="s">
        <v>49</v>
      </c>
      <c r="C11" s="105">
        <v>0</v>
      </c>
      <c r="D11" s="38">
        <f t="shared" ref="D11:D20" si="0">D10+1</f>
        <v>43468</v>
      </c>
      <c r="E11" s="39">
        <f t="shared" ref="E11:E20" si="1">E10</f>
        <v>1</v>
      </c>
      <c r="F11" s="39">
        <f t="shared" ref="F11:F21" si="2">E11-E10</f>
        <v>0</v>
      </c>
      <c r="G11" s="39">
        <f t="shared" ref="G11:G19" si="3">F11/(D11-D10)</f>
        <v>0</v>
      </c>
      <c r="H11" s="17">
        <f t="shared" ref="H11:H22" si="4">IF((D11-D10) &gt; 1, ((D11-D10)/365)*$F$4+F11*$F$5,0)</f>
        <v>0</v>
      </c>
      <c r="J11" s="47" t="s">
        <v>49</v>
      </c>
      <c r="K11" s="37">
        <v>0</v>
      </c>
      <c r="L11" s="119">
        <f t="shared" ref="L11:L20" si="5">L10+1</f>
        <v>43467</v>
      </c>
      <c r="M11" s="141">
        <f t="shared" ref="M11:N22" si="6">M10</f>
        <v>0</v>
      </c>
      <c r="N11" s="141">
        <f t="shared" si="6"/>
        <v>0</v>
      </c>
      <c r="O11" s="115">
        <f>((M11-M10)/(L11-L10))*1000</f>
        <v>0</v>
      </c>
      <c r="P11" s="115">
        <f>((N11-N10)/(L11-L10))*1000</f>
        <v>0</v>
      </c>
      <c r="Q11" s="50">
        <f t="shared" ref="Q11:Q20" si="7">Q10</f>
        <v>0</v>
      </c>
      <c r="R11" s="50">
        <f t="shared" ref="R11:R21" si="8">R10</f>
        <v>0</v>
      </c>
      <c r="S11" s="50">
        <f t="shared" ref="S11:S21" si="9">S10</f>
        <v>0</v>
      </c>
      <c r="T11" s="69">
        <f t="shared" ref="T11:T20" si="10">T10</f>
        <v>0</v>
      </c>
    </row>
    <row r="12" spans="2:24">
      <c r="B12" s="128" t="s">
        <v>50</v>
      </c>
      <c r="C12" s="105">
        <v>0</v>
      </c>
      <c r="D12" s="38">
        <f t="shared" si="0"/>
        <v>43469</v>
      </c>
      <c r="E12" s="39">
        <f t="shared" si="1"/>
        <v>1</v>
      </c>
      <c r="F12" s="39">
        <f t="shared" si="2"/>
        <v>0</v>
      </c>
      <c r="G12" s="39">
        <f t="shared" si="3"/>
        <v>0</v>
      </c>
      <c r="H12" s="17">
        <f t="shared" si="4"/>
        <v>0</v>
      </c>
      <c r="J12" s="47" t="s">
        <v>50</v>
      </c>
      <c r="K12" s="37">
        <v>0</v>
      </c>
      <c r="L12" s="119">
        <f t="shared" si="5"/>
        <v>43468</v>
      </c>
      <c r="M12" s="141">
        <f t="shared" si="6"/>
        <v>0</v>
      </c>
      <c r="N12" s="141">
        <f t="shared" si="6"/>
        <v>0</v>
      </c>
      <c r="O12" s="115">
        <f>((M12-M11)/(L12-L11))*1000</f>
        <v>0</v>
      </c>
      <c r="P12" s="115">
        <f>((N12-N11)/(L12-L11))*1000</f>
        <v>0</v>
      </c>
      <c r="Q12" s="50">
        <f t="shared" si="7"/>
        <v>0</v>
      </c>
      <c r="R12" s="50">
        <f t="shared" si="8"/>
        <v>0</v>
      </c>
      <c r="S12" s="50">
        <f t="shared" si="9"/>
        <v>0</v>
      </c>
      <c r="T12" s="69">
        <f t="shared" si="10"/>
        <v>0</v>
      </c>
    </row>
    <row r="13" spans="2:24">
      <c r="B13" s="128" t="s">
        <v>51</v>
      </c>
      <c r="C13" s="105">
        <v>0</v>
      </c>
      <c r="D13" s="38">
        <f t="shared" si="0"/>
        <v>43470</v>
      </c>
      <c r="E13" s="39">
        <f t="shared" si="1"/>
        <v>1</v>
      </c>
      <c r="F13" s="39">
        <f t="shared" si="2"/>
        <v>0</v>
      </c>
      <c r="G13" s="39">
        <f t="shared" si="3"/>
        <v>0</v>
      </c>
      <c r="H13" s="17">
        <f t="shared" si="4"/>
        <v>0</v>
      </c>
      <c r="J13" s="47" t="s">
        <v>51</v>
      </c>
      <c r="K13" s="37">
        <v>0</v>
      </c>
      <c r="L13" s="119">
        <f t="shared" si="5"/>
        <v>43469</v>
      </c>
      <c r="M13" s="141">
        <f t="shared" si="6"/>
        <v>0</v>
      </c>
      <c r="N13" s="141">
        <f t="shared" si="6"/>
        <v>0</v>
      </c>
      <c r="O13" s="115">
        <f>((M13-M12)/(L13-L12))*1000</f>
        <v>0</v>
      </c>
      <c r="P13" s="115">
        <f t="shared" ref="P13:P21" si="11">((N13-N12)/(L13-L12))*1000</f>
        <v>0</v>
      </c>
      <c r="Q13" s="50">
        <f t="shared" si="7"/>
        <v>0</v>
      </c>
      <c r="R13" s="50">
        <f t="shared" si="8"/>
        <v>0</v>
      </c>
      <c r="S13" s="50">
        <f t="shared" si="9"/>
        <v>0</v>
      </c>
      <c r="T13" s="69">
        <f t="shared" si="10"/>
        <v>0</v>
      </c>
    </row>
    <row r="14" spans="2:24">
      <c r="B14" s="128" t="s">
        <v>52</v>
      </c>
      <c r="C14" s="37">
        <v>0</v>
      </c>
      <c r="D14" s="38">
        <f t="shared" si="0"/>
        <v>43471</v>
      </c>
      <c r="E14" s="39">
        <f t="shared" si="1"/>
        <v>1</v>
      </c>
      <c r="F14" s="39">
        <f t="shared" si="2"/>
        <v>0</v>
      </c>
      <c r="G14" s="39">
        <f t="shared" si="3"/>
        <v>0</v>
      </c>
      <c r="H14" s="17">
        <f t="shared" si="4"/>
        <v>0</v>
      </c>
      <c r="J14" s="47" t="s">
        <v>52</v>
      </c>
      <c r="K14" s="37">
        <v>0</v>
      </c>
      <c r="L14" s="119">
        <f t="shared" si="5"/>
        <v>43470</v>
      </c>
      <c r="M14" s="141">
        <f t="shared" si="6"/>
        <v>0</v>
      </c>
      <c r="N14" s="141">
        <f t="shared" si="6"/>
        <v>0</v>
      </c>
      <c r="O14" s="115">
        <f>((M14-M13)/(L14-L13))*1000</f>
        <v>0</v>
      </c>
      <c r="P14" s="115">
        <f t="shared" si="11"/>
        <v>0</v>
      </c>
      <c r="Q14" s="50">
        <f t="shared" si="7"/>
        <v>0</v>
      </c>
      <c r="R14" s="50">
        <f t="shared" si="8"/>
        <v>0</v>
      </c>
      <c r="S14" s="50">
        <f t="shared" si="9"/>
        <v>0</v>
      </c>
      <c r="T14" s="69">
        <f t="shared" si="10"/>
        <v>0</v>
      </c>
    </row>
    <row r="15" spans="2:24">
      <c r="B15" s="128" t="s">
        <v>53</v>
      </c>
      <c r="C15" s="37">
        <v>0</v>
      </c>
      <c r="D15" s="38">
        <f t="shared" si="0"/>
        <v>43472</v>
      </c>
      <c r="E15" s="39">
        <f t="shared" si="1"/>
        <v>1</v>
      </c>
      <c r="F15" s="39">
        <f t="shared" si="2"/>
        <v>0</v>
      </c>
      <c r="G15" s="39">
        <f t="shared" si="3"/>
        <v>0</v>
      </c>
      <c r="H15" s="17">
        <f t="shared" si="4"/>
        <v>0</v>
      </c>
      <c r="J15" s="47" t="s">
        <v>53</v>
      </c>
      <c r="K15" s="37">
        <v>0</v>
      </c>
      <c r="L15" s="119">
        <f t="shared" si="5"/>
        <v>43471</v>
      </c>
      <c r="M15" s="141">
        <f t="shared" si="6"/>
        <v>0</v>
      </c>
      <c r="N15" s="141">
        <f t="shared" si="6"/>
        <v>0</v>
      </c>
      <c r="O15" s="115">
        <f>((M15-M14)/(L15-L14))*1000</f>
        <v>0</v>
      </c>
      <c r="P15" s="115">
        <f t="shared" si="11"/>
        <v>0</v>
      </c>
      <c r="Q15" s="50">
        <f t="shared" si="7"/>
        <v>0</v>
      </c>
      <c r="R15" s="50">
        <f t="shared" si="8"/>
        <v>0</v>
      </c>
      <c r="S15" s="50">
        <f t="shared" si="9"/>
        <v>0</v>
      </c>
      <c r="T15" s="69">
        <f t="shared" si="10"/>
        <v>0</v>
      </c>
    </row>
    <row r="16" spans="2:24">
      <c r="B16" s="128" t="s">
        <v>54</v>
      </c>
      <c r="C16" s="37">
        <v>0</v>
      </c>
      <c r="D16" s="38">
        <f t="shared" si="0"/>
        <v>43473</v>
      </c>
      <c r="E16" s="39">
        <f t="shared" si="1"/>
        <v>1</v>
      </c>
      <c r="F16" s="39">
        <f t="shared" si="2"/>
        <v>0</v>
      </c>
      <c r="G16" s="39">
        <f>F16/(D16-D15)</f>
        <v>0</v>
      </c>
      <c r="H16" s="17">
        <f>IF((D16-D15) &gt; 1, ((D16-D15)/365)*$F$4+F16*$F$5,0)</f>
        <v>0</v>
      </c>
      <c r="J16" s="47" t="s">
        <v>54</v>
      </c>
      <c r="K16" s="37">
        <v>0</v>
      </c>
      <c r="L16" s="119">
        <f t="shared" si="5"/>
        <v>43472</v>
      </c>
      <c r="M16" s="141">
        <f t="shared" si="6"/>
        <v>0</v>
      </c>
      <c r="N16" s="141">
        <f t="shared" si="6"/>
        <v>0</v>
      </c>
      <c r="O16" s="115">
        <f t="shared" ref="O16:O22" si="12">((M16-M15)/(L16-L15))*1000</f>
        <v>0</v>
      </c>
      <c r="P16" s="115">
        <f t="shared" si="11"/>
        <v>0</v>
      </c>
      <c r="Q16" s="50">
        <f t="shared" si="7"/>
        <v>0</v>
      </c>
      <c r="R16" s="50">
        <f t="shared" si="8"/>
        <v>0</v>
      </c>
      <c r="S16" s="50">
        <f t="shared" si="9"/>
        <v>0</v>
      </c>
      <c r="T16" s="69">
        <f t="shared" si="10"/>
        <v>0</v>
      </c>
    </row>
    <row r="17" spans="2:20">
      <c r="B17" s="128" t="s">
        <v>55</v>
      </c>
      <c r="C17" s="37">
        <v>0</v>
      </c>
      <c r="D17" s="38">
        <f t="shared" si="0"/>
        <v>43474</v>
      </c>
      <c r="E17" s="39">
        <f t="shared" si="1"/>
        <v>1</v>
      </c>
      <c r="F17" s="39">
        <f t="shared" si="2"/>
        <v>0</v>
      </c>
      <c r="G17" s="39">
        <f>F17/(D17-D16)</f>
        <v>0</v>
      </c>
      <c r="H17" s="17">
        <f>IF((D17-D16) &gt; 1, ((D17-D16)/365)*$F$4+F17*$F$5,0)</f>
        <v>0</v>
      </c>
      <c r="J17" s="47" t="s">
        <v>55</v>
      </c>
      <c r="K17" s="37">
        <v>0</v>
      </c>
      <c r="L17" s="119">
        <f t="shared" si="5"/>
        <v>43473</v>
      </c>
      <c r="M17" s="141">
        <f t="shared" si="6"/>
        <v>0</v>
      </c>
      <c r="N17" s="141">
        <f t="shared" ref="N17:N22" si="13">N16</f>
        <v>0</v>
      </c>
      <c r="O17" s="115">
        <f t="shared" si="12"/>
        <v>0</v>
      </c>
      <c r="P17" s="115">
        <f t="shared" si="11"/>
        <v>0</v>
      </c>
      <c r="Q17" s="50">
        <f t="shared" si="7"/>
        <v>0</v>
      </c>
      <c r="R17" s="50">
        <f t="shared" si="8"/>
        <v>0</v>
      </c>
      <c r="S17" s="50">
        <f t="shared" si="9"/>
        <v>0</v>
      </c>
      <c r="T17" s="69">
        <f t="shared" si="10"/>
        <v>0</v>
      </c>
    </row>
    <row r="18" spans="2:20">
      <c r="B18" s="128" t="s">
        <v>56</v>
      </c>
      <c r="C18" s="37">
        <v>0</v>
      </c>
      <c r="D18" s="38">
        <f t="shared" si="0"/>
        <v>43475</v>
      </c>
      <c r="E18" s="39">
        <f t="shared" si="1"/>
        <v>1</v>
      </c>
      <c r="F18" s="39">
        <f t="shared" si="2"/>
        <v>0</v>
      </c>
      <c r="G18" s="39">
        <f t="shared" si="3"/>
        <v>0</v>
      </c>
      <c r="H18" s="17">
        <f t="shared" si="4"/>
        <v>0</v>
      </c>
      <c r="J18" s="47" t="s">
        <v>56</v>
      </c>
      <c r="K18" s="37">
        <v>0</v>
      </c>
      <c r="L18" s="119">
        <f t="shared" si="5"/>
        <v>43474</v>
      </c>
      <c r="M18" s="141">
        <f t="shared" si="6"/>
        <v>0</v>
      </c>
      <c r="N18" s="141">
        <f t="shared" si="13"/>
        <v>0</v>
      </c>
      <c r="O18" s="115">
        <f t="shared" si="12"/>
        <v>0</v>
      </c>
      <c r="P18" s="115">
        <f t="shared" si="11"/>
        <v>0</v>
      </c>
      <c r="Q18" s="50">
        <f t="shared" si="7"/>
        <v>0</v>
      </c>
      <c r="R18" s="50">
        <f t="shared" si="8"/>
        <v>0</v>
      </c>
      <c r="S18" s="50">
        <f t="shared" si="9"/>
        <v>0</v>
      </c>
      <c r="T18" s="69">
        <f t="shared" si="10"/>
        <v>0</v>
      </c>
    </row>
    <row r="19" spans="2:20">
      <c r="B19" s="128" t="s">
        <v>57</v>
      </c>
      <c r="C19" s="37">
        <v>0</v>
      </c>
      <c r="D19" s="38">
        <f t="shared" si="0"/>
        <v>43476</v>
      </c>
      <c r="E19" s="39">
        <f t="shared" si="1"/>
        <v>1</v>
      </c>
      <c r="F19" s="39">
        <f t="shared" si="2"/>
        <v>0</v>
      </c>
      <c r="G19" s="39">
        <f t="shared" si="3"/>
        <v>0</v>
      </c>
      <c r="H19" s="17">
        <f t="shared" si="4"/>
        <v>0</v>
      </c>
      <c r="J19" s="47" t="s">
        <v>57</v>
      </c>
      <c r="K19" s="37">
        <v>0</v>
      </c>
      <c r="L19" s="119">
        <f t="shared" si="5"/>
        <v>43475</v>
      </c>
      <c r="M19" s="141">
        <f t="shared" si="6"/>
        <v>0</v>
      </c>
      <c r="N19" s="141">
        <f t="shared" si="13"/>
        <v>0</v>
      </c>
      <c r="O19" s="115">
        <f t="shared" si="12"/>
        <v>0</v>
      </c>
      <c r="P19" s="115">
        <f t="shared" si="11"/>
        <v>0</v>
      </c>
      <c r="Q19" s="50">
        <f t="shared" si="7"/>
        <v>0</v>
      </c>
      <c r="R19" s="50">
        <f t="shared" si="8"/>
        <v>0</v>
      </c>
      <c r="S19" s="50">
        <f t="shared" si="9"/>
        <v>0</v>
      </c>
      <c r="T19" s="69">
        <f t="shared" si="10"/>
        <v>0</v>
      </c>
    </row>
    <row r="20" spans="2:20">
      <c r="B20" s="128" t="s">
        <v>58</v>
      </c>
      <c r="C20" s="37">
        <v>0</v>
      </c>
      <c r="D20" s="38">
        <f t="shared" si="0"/>
        <v>43477</v>
      </c>
      <c r="E20" s="39">
        <f t="shared" si="1"/>
        <v>1</v>
      </c>
      <c r="F20" s="39">
        <f t="shared" si="2"/>
        <v>0</v>
      </c>
      <c r="G20" s="39">
        <f>F20/(D20-D19)</f>
        <v>0</v>
      </c>
      <c r="H20" s="17">
        <f>IF((D20-D19) &gt; 1, ((D20-D19)/365)*$F$4+F20*$F$5,0)</f>
        <v>0</v>
      </c>
      <c r="J20" s="47" t="s">
        <v>58</v>
      </c>
      <c r="K20" s="37">
        <v>0</v>
      </c>
      <c r="L20" s="119">
        <f t="shared" si="5"/>
        <v>43476</v>
      </c>
      <c r="M20" s="141">
        <f t="shared" si="6"/>
        <v>0</v>
      </c>
      <c r="N20" s="141">
        <f t="shared" si="13"/>
        <v>0</v>
      </c>
      <c r="O20" s="115">
        <f t="shared" si="12"/>
        <v>0</v>
      </c>
      <c r="P20" s="115">
        <f t="shared" si="11"/>
        <v>0</v>
      </c>
      <c r="Q20" s="50">
        <f t="shared" si="7"/>
        <v>0</v>
      </c>
      <c r="R20" s="50">
        <f t="shared" si="8"/>
        <v>0</v>
      </c>
      <c r="S20" s="50">
        <f t="shared" si="9"/>
        <v>0</v>
      </c>
      <c r="T20" s="69">
        <f t="shared" si="10"/>
        <v>0</v>
      </c>
    </row>
    <row r="21" spans="2:20">
      <c r="B21" s="128" t="s">
        <v>59</v>
      </c>
      <c r="C21" s="37">
        <v>0</v>
      </c>
      <c r="D21" s="38">
        <f>D20+1</f>
        <v>43478</v>
      </c>
      <c r="E21" s="39">
        <f>E20</f>
        <v>1</v>
      </c>
      <c r="F21" s="39">
        <f t="shared" si="2"/>
        <v>0</v>
      </c>
      <c r="G21" s="39">
        <f>F21/(D21-D20)</f>
        <v>0</v>
      </c>
      <c r="H21" s="17">
        <f>IF((D21-D20) &gt; 1, ((D21-D20)/365)*$F$4+F21*$F$5,0)</f>
        <v>0</v>
      </c>
      <c r="J21" s="47" t="s">
        <v>59</v>
      </c>
      <c r="K21" s="37">
        <v>0</v>
      </c>
      <c r="L21" s="119">
        <f>L20+1</f>
        <v>43477</v>
      </c>
      <c r="M21" s="141">
        <f t="shared" si="6"/>
        <v>0</v>
      </c>
      <c r="N21" s="141">
        <f t="shared" si="13"/>
        <v>0</v>
      </c>
      <c r="O21" s="115">
        <f t="shared" si="12"/>
        <v>0</v>
      </c>
      <c r="P21" s="115">
        <f t="shared" si="11"/>
        <v>0</v>
      </c>
      <c r="Q21" s="50">
        <f>Q20</f>
        <v>0</v>
      </c>
      <c r="R21" s="50">
        <f t="shared" si="8"/>
        <v>0</v>
      </c>
      <c r="S21" s="50">
        <f t="shared" si="9"/>
        <v>0</v>
      </c>
      <c r="T21" s="69">
        <f>T20</f>
        <v>0</v>
      </c>
    </row>
    <row r="22" spans="2:20" ht="15.75" thickBot="1">
      <c r="B22" s="125" t="s">
        <v>60</v>
      </c>
      <c r="C22" s="40">
        <v>0</v>
      </c>
      <c r="D22" s="41">
        <f>D21+1</f>
        <v>43479</v>
      </c>
      <c r="E22" s="42">
        <f>E21</f>
        <v>1</v>
      </c>
      <c r="F22" s="42">
        <f>E22-E21</f>
        <v>0</v>
      </c>
      <c r="G22" s="42">
        <f>F22/(D22-D21)</f>
        <v>0</v>
      </c>
      <c r="H22" s="18">
        <f t="shared" si="4"/>
        <v>0</v>
      </c>
      <c r="J22" s="48" t="s">
        <v>60</v>
      </c>
      <c r="K22" s="40">
        <v>0</v>
      </c>
      <c r="L22" s="120">
        <f>L21+1</f>
        <v>43478</v>
      </c>
      <c r="M22" s="142">
        <f t="shared" si="6"/>
        <v>0</v>
      </c>
      <c r="N22" s="142">
        <f t="shared" si="13"/>
        <v>0</v>
      </c>
      <c r="O22" s="116">
        <f t="shared" si="12"/>
        <v>0</v>
      </c>
      <c r="P22" s="117">
        <f>((N22-N21)/(L22-L21))*1000</f>
        <v>0</v>
      </c>
      <c r="Q22" s="51">
        <f>Q21</f>
        <v>0</v>
      </c>
      <c r="R22" s="51">
        <f>R21</f>
        <v>0</v>
      </c>
      <c r="S22" s="70">
        <f>S21</f>
        <v>0</v>
      </c>
      <c r="T22" s="70">
        <f>T21</f>
        <v>0</v>
      </c>
    </row>
    <row r="23" spans="2:20" ht="15.75" thickBot="1">
      <c r="M23" s="57"/>
      <c r="N23" s="57"/>
    </row>
    <row r="24" spans="2:20" ht="15.75" thickBot="1">
      <c r="D24" s="176" t="s">
        <v>67</v>
      </c>
      <c r="E24" s="178"/>
      <c r="F24" s="162">
        <v>1</v>
      </c>
      <c r="J24" s="76"/>
      <c r="K24" s="89"/>
      <c r="L24" s="89"/>
      <c r="M24" s="87" t="s">
        <v>83</v>
      </c>
      <c r="N24" s="88" t="s">
        <v>64</v>
      </c>
    </row>
    <row r="25" spans="2:20">
      <c r="D25" s="148"/>
      <c r="E25" s="149" t="s">
        <v>72</v>
      </c>
      <c r="F25" s="64">
        <v>43466</v>
      </c>
      <c r="H25" s="49"/>
      <c r="J25" s="185" t="s">
        <v>70</v>
      </c>
      <c r="K25" s="186"/>
      <c r="L25" s="81" t="s">
        <v>85</v>
      </c>
      <c r="M25" s="82">
        <f>(M22-M10)</f>
        <v>0</v>
      </c>
      <c r="N25" s="83">
        <f>M25*$M$4</f>
        <v>0</v>
      </c>
    </row>
    <row r="26" spans="2:20">
      <c r="D26" s="180" t="s">
        <v>97</v>
      </c>
      <c r="E26" s="181"/>
      <c r="F26" s="65">
        <v>0</v>
      </c>
      <c r="I26" s="52"/>
      <c r="J26" s="185"/>
      <c r="K26" s="186"/>
      <c r="L26" s="84" t="s">
        <v>86</v>
      </c>
      <c r="M26" s="79">
        <v>57</v>
      </c>
      <c r="N26" s="85">
        <f>M26*$L$4</f>
        <v>0</v>
      </c>
    </row>
    <row r="27" spans="2:20">
      <c r="D27" s="180" t="s">
        <v>63</v>
      </c>
      <c r="E27" s="181"/>
      <c r="F27" s="65">
        <v>0</v>
      </c>
      <c r="H27" s="107"/>
      <c r="J27" s="185" t="s">
        <v>31</v>
      </c>
      <c r="K27" s="186"/>
      <c r="L27" s="84" t="s">
        <v>85</v>
      </c>
      <c r="M27" s="80">
        <f>((Q22)+(R22)+(S22)+(T22))*(L2/1000)</f>
        <v>0</v>
      </c>
      <c r="N27" s="85">
        <f>M27*$M$6</f>
        <v>0</v>
      </c>
    </row>
    <row r="28" spans="2:20">
      <c r="D28" s="180" t="s">
        <v>112</v>
      </c>
      <c r="E28" s="181"/>
      <c r="F28" s="159">
        <v>10</v>
      </c>
      <c r="J28" s="185"/>
      <c r="K28" s="186"/>
      <c r="L28" s="84" t="s">
        <v>86</v>
      </c>
      <c r="M28" s="79">
        <v>57</v>
      </c>
      <c r="N28" s="85">
        <f>M28*$L$6</f>
        <v>0</v>
      </c>
    </row>
    <row r="29" spans="2:20" ht="15.75" thickBot="1">
      <c r="D29" s="180" t="s">
        <v>113</v>
      </c>
      <c r="E29" s="181"/>
      <c r="F29" s="160">
        <v>0.95</v>
      </c>
      <c r="J29" s="185" t="s">
        <v>82</v>
      </c>
      <c r="K29" s="186"/>
      <c r="L29" s="86" t="s">
        <v>85</v>
      </c>
      <c r="M29" s="109">
        <f>(N22-N10)+(M25)</f>
        <v>0</v>
      </c>
      <c r="N29" s="108">
        <f>M29*M5</f>
        <v>0</v>
      </c>
    </row>
    <row r="30" spans="2:20">
      <c r="D30" s="180" t="s">
        <v>114</v>
      </c>
      <c r="E30" s="181"/>
      <c r="F30" s="161">
        <f>F27/F28/F29</f>
        <v>0</v>
      </c>
      <c r="J30" s="90"/>
      <c r="K30" s="91"/>
      <c r="L30" s="187" t="s">
        <v>66</v>
      </c>
      <c r="M30" s="187"/>
      <c r="N30" s="78">
        <f>SUM(N25:N29)</f>
        <v>0</v>
      </c>
    </row>
    <row r="31" spans="2:20" ht="15.75" thickBot="1">
      <c r="D31" s="148"/>
      <c r="E31" s="149" t="s">
        <v>68</v>
      </c>
      <c r="F31" s="65">
        <f>SUM(C35:C47)</f>
        <v>0</v>
      </c>
      <c r="H31" s="49"/>
      <c r="J31" s="90"/>
      <c r="K31" s="91"/>
      <c r="L31" s="187" t="s">
        <v>84</v>
      </c>
      <c r="M31" s="187"/>
      <c r="N31" s="18">
        <f>SUM(K10:K22)</f>
        <v>0</v>
      </c>
    </row>
    <row r="32" spans="2:20" ht="15.75" thickBot="1">
      <c r="D32" s="144"/>
      <c r="E32" s="145" t="s">
        <v>66</v>
      </c>
      <c r="F32" s="66">
        <f>SUM(H35:H47)</f>
        <v>0</v>
      </c>
      <c r="G32" s="49"/>
      <c r="H32" s="49"/>
      <c r="J32" s="77"/>
      <c r="K32" s="92"/>
      <c r="L32" s="184" t="s">
        <v>74</v>
      </c>
      <c r="M32" s="184"/>
      <c r="N32" s="75">
        <f>N31-N30</f>
        <v>0</v>
      </c>
    </row>
    <row r="33" spans="2:8" ht="15.75" thickBot="1"/>
    <row r="34" spans="2:8" ht="15.75" thickBot="1">
      <c r="B34" s="33"/>
      <c r="C34" s="146" t="s">
        <v>61</v>
      </c>
      <c r="D34" s="146" t="s">
        <v>65</v>
      </c>
      <c r="E34" s="146" t="s">
        <v>62</v>
      </c>
      <c r="F34" s="146" t="s">
        <v>73</v>
      </c>
      <c r="G34" s="146" t="s">
        <v>69</v>
      </c>
      <c r="H34" s="147" t="s">
        <v>64</v>
      </c>
    </row>
    <row r="35" spans="2:8">
      <c r="B35" s="47" t="s">
        <v>71</v>
      </c>
      <c r="C35" s="67">
        <v>0</v>
      </c>
      <c r="D35" s="35">
        <v>43467</v>
      </c>
      <c r="E35" s="163">
        <v>1</v>
      </c>
      <c r="F35" s="164">
        <f>E35-F24</f>
        <v>0</v>
      </c>
      <c r="G35" s="164">
        <f>F35/(D35-F25)</f>
        <v>0</v>
      </c>
      <c r="H35" s="16">
        <f>((D35-$F$25)/365)*$F$26+F35*($F$30)</f>
        <v>0</v>
      </c>
    </row>
    <row r="36" spans="2:8">
      <c r="B36" s="148" t="s">
        <v>49</v>
      </c>
      <c r="C36" s="105">
        <v>0</v>
      </c>
      <c r="D36" s="38">
        <f t="shared" ref="D36:D45" si="14">D35+1</f>
        <v>43468</v>
      </c>
      <c r="E36" s="165">
        <f t="shared" ref="E36:E45" si="15">E35</f>
        <v>1</v>
      </c>
      <c r="F36" s="165">
        <f t="shared" ref="F36:F46" si="16">E36-E35</f>
        <v>0</v>
      </c>
      <c r="G36" s="166">
        <f t="shared" ref="G36:G40" si="17">F36/(D36-D35)</f>
        <v>0</v>
      </c>
      <c r="H36" s="17">
        <f t="shared" ref="H36:H47" si="18">IF((D36-D35) &gt; 1, ((D36-D35)/365)*$F$26+F36*$F$27,0)</f>
        <v>0</v>
      </c>
    </row>
    <row r="37" spans="2:8">
      <c r="B37" s="148" t="s">
        <v>50</v>
      </c>
      <c r="C37" s="105">
        <v>0</v>
      </c>
      <c r="D37" s="38">
        <f t="shared" si="14"/>
        <v>43469</v>
      </c>
      <c r="E37" s="165">
        <f t="shared" si="15"/>
        <v>1</v>
      </c>
      <c r="F37" s="165">
        <f t="shared" si="16"/>
        <v>0</v>
      </c>
      <c r="G37" s="166">
        <f t="shared" si="17"/>
        <v>0</v>
      </c>
      <c r="H37" s="17">
        <f t="shared" si="18"/>
        <v>0</v>
      </c>
    </row>
    <row r="38" spans="2:8">
      <c r="B38" s="148" t="s">
        <v>51</v>
      </c>
      <c r="C38" s="105">
        <v>0</v>
      </c>
      <c r="D38" s="38">
        <f t="shared" si="14"/>
        <v>43470</v>
      </c>
      <c r="E38" s="165">
        <f t="shared" si="15"/>
        <v>1</v>
      </c>
      <c r="F38" s="165">
        <f t="shared" si="16"/>
        <v>0</v>
      </c>
      <c r="G38" s="166">
        <f t="shared" si="17"/>
        <v>0</v>
      </c>
      <c r="H38" s="17">
        <f t="shared" si="18"/>
        <v>0</v>
      </c>
    </row>
    <row r="39" spans="2:8">
      <c r="B39" s="148" t="s">
        <v>52</v>
      </c>
      <c r="C39" s="37">
        <v>0</v>
      </c>
      <c r="D39" s="38">
        <f t="shared" si="14"/>
        <v>43471</v>
      </c>
      <c r="E39" s="165">
        <f t="shared" si="15"/>
        <v>1</v>
      </c>
      <c r="F39" s="165">
        <f t="shared" si="16"/>
        <v>0</v>
      </c>
      <c r="G39" s="166">
        <f t="shared" si="17"/>
        <v>0</v>
      </c>
      <c r="H39" s="17">
        <f t="shared" si="18"/>
        <v>0</v>
      </c>
    </row>
    <row r="40" spans="2:8">
      <c r="B40" s="148" t="s">
        <v>53</v>
      </c>
      <c r="C40" s="37">
        <v>0</v>
      </c>
      <c r="D40" s="38">
        <f t="shared" si="14"/>
        <v>43472</v>
      </c>
      <c r="E40" s="165">
        <f t="shared" si="15"/>
        <v>1</v>
      </c>
      <c r="F40" s="165">
        <f t="shared" si="16"/>
        <v>0</v>
      </c>
      <c r="G40" s="166">
        <f t="shared" si="17"/>
        <v>0</v>
      </c>
      <c r="H40" s="17">
        <f t="shared" si="18"/>
        <v>0</v>
      </c>
    </row>
    <row r="41" spans="2:8">
      <c r="B41" s="148" t="s">
        <v>54</v>
      </c>
      <c r="C41" s="37">
        <v>0</v>
      </c>
      <c r="D41" s="38">
        <f t="shared" si="14"/>
        <v>43473</v>
      </c>
      <c r="E41" s="165">
        <f t="shared" si="15"/>
        <v>1</v>
      </c>
      <c r="F41" s="165">
        <f t="shared" si="16"/>
        <v>0</v>
      </c>
      <c r="G41" s="166">
        <f>F41/(D41-D40)</f>
        <v>0</v>
      </c>
      <c r="H41" s="17">
        <f t="shared" si="18"/>
        <v>0</v>
      </c>
    </row>
    <row r="42" spans="2:8">
      <c r="B42" s="148" t="s">
        <v>55</v>
      </c>
      <c r="C42" s="37">
        <v>0</v>
      </c>
      <c r="D42" s="38">
        <f t="shared" si="14"/>
        <v>43474</v>
      </c>
      <c r="E42" s="165">
        <f t="shared" si="15"/>
        <v>1</v>
      </c>
      <c r="F42" s="165">
        <f t="shared" si="16"/>
        <v>0</v>
      </c>
      <c r="G42" s="166">
        <f>F42/(D42-D41)</f>
        <v>0</v>
      </c>
      <c r="H42" s="17">
        <f t="shared" si="18"/>
        <v>0</v>
      </c>
    </row>
    <row r="43" spans="2:8">
      <c r="B43" s="148" t="s">
        <v>56</v>
      </c>
      <c r="C43" s="37">
        <v>0</v>
      </c>
      <c r="D43" s="38">
        <f t="shared" si="14"/>
        <v>43475</v>
      </c>
      <c r="E43" s="165">
        <f t="shared" si="15"/>
        <v>1</v>
      </c>
      <c r="F43" s="165">
        <f t="shared" si="16"/>
        <v>0</v>
      </c>
      <c r="G43" s="166">
        <f t="shared" ref="G43:G44" si="19">F43/(D43-D42)</f>
        <v>0</v>
      </c>
      <c r="H43" s="17">
        <f t="shared" si="18"/>
        <v>0</v>
      </c>
    </row>
    <row r="44" spans="2:8">
      <c r="B44" s="148" t="s">
        <v>57</v>
      </c>
      <c r="C44" s="37">
        <v>0</v>
      </c>
      <c r="D44" s="38">
        <f t="shared" si="14"/>
        <v>43476</v>
      </c>
      <c r="E44" s="165">
        <f t="shared" si="15"/>
        <v>1</v>
      </c>
      <c r="F44" s="165">
        <f t="shared" si="16"/>
        <v>0</v>
      </c>
      <c r="G44" s="166">
        <f t="shared" si="19"/>
        <v>0</v>
      </c>
      <c r="H44" s="17">
        <f t="shared" si="18"/>
        <v>0</v>
      </c>
    </row>
    <row r="45" spans="2:8">
      <c r="B45" s="148" t="s">
        <v>58</v>
      </c>
      <c r="C45" s="37">
        <v>0</v>
      </c>
      <c r="D45" s="38">
        <f t="shared" si="14"/>
        <v>43477</v>
      </c>
      <c r="E45" s="165">
        <f t="shared" si="15"/>
        <v>1</v>
      </c>
      <c r="F45" s="165">
        <f t="shared" si="16"/>
        <v>0</v>
      </c>
      <c r="G45" s="166">
        <f>F45/(D45-D44)</f>
        <v>0</v>
      </c>
      <c r="H45" s="17">
        <f t="shared" si="18"/>
        <v>0</v>
      </c>
    </row>
    <row r="46" spans="2:8">
      <c r="B46" s="148" t="s">
        <v>59</v>
      </c>
      <c r="C46" s="37">
        <v>0</v>
      </c>
      <c r="D46" s="38">
        <f>D45+1</f>
        <v>43478</v>
      </c>
      <c r="E46" s="165">
        <f>E45</f>
        <v>1</v>
      </c>
      <c r="F46" s="165">
        <f t="shared" si="16"/>
        <v>0</v>
      </c>
      <c r="G46" s="166">
        <f>F46/(D46-D45)</f>
        <v>0</v>
      </c>
      <c r="H46" s="17">
        <f t="shared" si="18"/>
        <v>0</v>
      </c>
    </row>
    <row r="47" spans="2:8" ht="15.75" thickBot="1">
      <c r="B47" s="144" t="s">
        <v>60</v>
      </c>
      <c r="C47" s="40">
        <v>0</v>
      </c>
      <c r="D47" s="41">
        <f>D46+1</f>
        <v>43479</v>
      </c>
      <c r="E47" s="167">
        <f>E46</f>
        <v>1</v>
      </c>
      <c r="F47" s="167">
        <f>E47-E46</f>
        <v>0</v>
      </c>
      <c r="G47" s="168">
        <f>F47/(D47-D46)</f>
        <v>0</v>
      </c>
      <c r="H47" s="18">
        <f t="shared" si="18"/>
        <v>0</v>
      </c>
    </row>
  </sheetData>
  <mergeCells count="21">
    <mergeCell ref="L32:M32"/>
    <mergeCell ref="J25:K26"/>
    <mergeCell ref="J27:K28"/>
    <mergeCell ref="J29:K29"/>
    <mergeCell ref="D2:E2"/>
    <mergeCell ref="D4:E4"/>
    <mergeCell ref="D5:E5"/>
    <mergeCell ref="L30:M30"/>
    <mergeCell ref="L31:M31"/>
    <mergeCell ref="J2:K2"/>
    <mergeCell ref="J4:K4"/>
    <mergeCell ref="J5:K5"/>
    <mergeCell ref="J6:K6"/>
    <mergeCell ref="L2:M2"/>
    <mergeCell ref="D29:E29"/>
    <mergeCell ref="D30:E30"/>
    <mergeCell ref="O8:P8"/>
    <mergeCell ref="D24:E24"/>
    <mergeCell ref="D26:E26"/>
    <mergeCell ref="D27:E27"/>
    <mergeCell ref="D28:E28"/>
  </mergeCells>
  <pageMargins left="0.41338582677165353" right="0.41338582677165353" top="0.41338582677165353" bottom="0.4133858267716535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O17"/>
  <sheetViews>
    <sheetView zoomScaleNormal="100" workbookViewId="0">
      <selection activeCell="A97" sqref="A17:XFD97"/>
    </sheetView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11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5" max="15" width="9.42578125" bestFit="1" customWidth="1"/>
  </cols>
  <sheetData>
    <row r="2" spans="1:15">
      <c r="G2" t="s">
        <v>19</v>
      </c>
      <c r="H2" t="s">
        <v>20</v>
      </c>
      <c r="I2" t="s">
        <v>26</v>
      </c>
      <c r="J2" t="s">
        <v>27</v>
      </c>
      <c r="K2" s="199" t="s">
        <v>28</v>
      </c>
      <c r="L2" s="199"/>
      <c r="M2" s="199" t="s">
        <v>30</v>
      </c>
      <c r="N2" s="199"/>
    </row>
    <row r="3" spans="1:15" ht="15.75" thickBot="1">
      <c r="A3" s="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 ht="16.5" thickBot="1">
      <c r="A4" s="197" t="s">
        <v>48</v>
      </c>
      <c r="B4" s="198"/>
      <c r="C4" s="200" t="s">
        <v>8</v>
      </c>
      <c r="D4" s="201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5" ht="15.75">
      <c r="A5" s="197" t="s">
        <v>35</v>
      </c>
      <c r="B5" s="198"/>
      <c r="C5" s="6" t="s">
        <v>33</v>
      </c>
      <c r="D5" s="10">
        <f>November!D12</f>
        <v>1</v>
      </c>
      <c r="K5" t="s">
        <v>6</v>
      </c>
      <c r="M5" t="s">
        <v>29</v>
      </c>
    </row>
    <row r="6" spans="1:15" ht="15.75">
      <c r="A6" s="197" t="s">
        <v>37</v>
      </c>
      <c r="B6" s="198"/>
      <c r="C6" s="7" t="s">
        <v>9</v>
      </c>
      <c r="D6" s="11">
        <f>November!D11</f>
        <v>1</v>
      </c>
      <c r="K6" t="s">
        <v>91</v>
      </c>
    </row>
    <row r="7" spans="1:15" ht="15.75">
      <c r="A7" s="197" t="s">
        <v>35</v>
      </c>
      <c r="B7" s="198"/>
      <c r="C7" s="8" t="s">
        <v>10</v>
      </c>
      <c r="D7" s="12">
        <f>DSUM(Table2245678910111213[#All],"Value",G3:G4)</f>
        <v>0</v>
      </c>
    </row>
    <row r="8" spans="1:15" ht="15.75">
      <c r="A8" s="197" t="s">
        <v>38</v>
      </c>
      <c r="B8" s="198"/>
      <c r="C8" s="7" t="s">
        <v>11</v>
      </c>
      <c r="D8" s="11">
        <f>DSUM(Table2245678910111213[#All],"Value",H3:H4)</f>
        <v>0</v>
      </c>
    </row>
    <row r="9" spans="1:15" ht="15.75">
      <c r="A9" s="197" t="s">
        <v>36</v>
      </c>
      <c r="B9" s="198"/>
      <c r="C9" s="8" t="s">
        <v>21</v>
      </c>
      <c r="D9" s="12">
        <f>DSUM(Table2245678910111213[#All],"Value",I3:I4)</f>
        <v>0</v>
      </c>
    </row>
    <row r="10" spans="1:15" ht="15.75">
      <c r="A10" s="197" t="s">
        <v>35</v>
      </c>
      <c r="B10" s="198"/>
      <c r="C10" s="7" t="s">
        <v>22</v>
      </c>
      <c r="D10" s="11">
        <f>DSUM(Table2245678910111213[#All],"Value",J3:J4)</f>
        <v>0</v>
      </c>
    </row>
    <row r="11" spans="1:15" ht="15.75">
      <c r="A11" s="197" t="s">
        <v>16</v>
      </c>
      <c r="B11" s="198"/>
      <c r="C11" s="8" t="s">
        <v>23</v>
      </c>
      <c r="D11" s="12">
        <f>DSUM(Table2245678910111213[#All],"Value",N3:N4)+D9-DSUM(Table2245678910111213[#All],"Value",M3:M5)+D6</f>
        <v>1</v>
      </c>
      <c r="F11" s="49"/>
    </row>
    <row r="12" spans="1:15" ht="16.5" thickBot="1">
      <c r="A12" s="197"/>
      <c r="B12" s="198"/>
      <c r="C12" s="14" t="s">
        <v>32</v>
      </c>
      <c r="D12" s="15">
        <f>DSUM(Table2245678910111213[#All],"Value",L3:L4)+D10-DSUM(Table2245678910111213[#All],"Value",K3:K6)+D5</f>
        <v>1</v>
      </c>
      <c r="F12" s="49"/>
      <c r="O12" s="49"/>
    </row>
    <row r="13" spans="1:15" ht="15.75" thickBot="1"/>
    <row r="14" spans="1:15" ht="15.75" thickBot="1">
      <c r="A14" s="194" t="s">
        <v>101</v>
      </c>
      <c r="B14" s="195"/>
      <c r="C14" s="195"/>
      <c r="D14" s="195"/>
      <c r="E14" s="196"/>
    </row>
    <row r="15" spans="1:15">
      <c r="A15" s="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5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2:O17"/>
  <sheetViews>
    <sheetView zoomScaleNormal="100" workbookViewId="0">
      <selection activeCell="A16" sqref="A16:E16"/>
    </sheetView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6" max="17" width="9.42578125" bestFit="1" customWidth="1"/>
  </cols>
  <sheetData>
    <row r="2" spans="1:15">
      <c r="G2" t="s">
        <v>19</v>
      </c>
      <c r="H2" t="s">
        <v>20</v>
      </c>
      <c r="I2" t="s">
        <v>26</v>
      </c>
      <c r="J2" t="s">
        <v>27</v>
      </c>
      <c r="K2" s="199" t="s">
        <v>28</v>
      </c>
      <c r="L2" s="199"/>
      <c r="M2" s="199" t="s">
        <v>30</v>
      </c>
      <c r="N2" s="199"/>
    </row>
    <row r="3" spans="1:15" ht="15.75" thickBot="1">
      <c r="A3" s="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 ht="16.5" thickBot="1">
      <c r="A4" s="197" t="s">
        <v>14</v>
      </c>
      <c r="B4" s="198"/>
      <c r="C4" s="200" t="s">
        <v>8</v>
      </c>
      <c r="D4" s="201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5" ht="15.75">
      <c r="A5" s="197" t="s">
        <v>46</v>
      </c>
      <c r="B5" s="198"/>
      <c r="C5" s="6" t="s">
        <v>33</v>
      </c>
      <c r="D5" s="10">
        <f>October!D12</f>
        <v>1</v>
      </c>
      <c r="K5" t="s">
        <v>6</v>
      </c>
      <c r="M5" t="s">
        <v>29</v>
      </c>
    </row>
    <row r="6" spans="1:15" ht="15.75">
      <c r="A6" s="197" t="s">
        <v>47</v>
      </c>
      <c r="B6" s="198"/>
      <c r="C6" s="7" t="s">
        <v>9</v>
      </c>
      <c r="D6" s="11">
        <f>October!D11</f>
        <v>1</v>
      </c>
      <c r="K6" t="s">
        <v>91</v>
      </c>
    </row>
    <row r="7" spans="1:15" ht="15.75">
      <c r="A7" s="197" t="s">
        <v>35</v>
      </c>
      <c r="B7" s="198"/>
      <c r="C7" s="8" t="s">
        <v>10</v>
      </c>
      <c r="D7" s="12">
        <f>DSUM(Table22456789101112[#All],"Value",G3:G4)</f>
        <v>0</v>
      </c>
    </row>
    <row r="8" spans="1:15" ht="15.75">
      <c r="A8" s="197" t="s">
        <v>38</v>
      </c>
      <c r="B8" s="198"/>
      <c r="C8" s="7" t="s">
        <v>11</v>
      </c>
      <c r="D8" s="11">
        <f>DSUM(Table22456789101112[#All],"Value",H3:H4)</f>
        <v>0</v>
      </c>
    </row>
    <row r="9" spans="1:15" ht="15.75">
      <c r="A9" s="197" t="s">
        <v>36</v>
      </c>
      <c r="B9" s="198"/>
      <c r="C9" s="8" t="s">
        <v>21</v>
      </c>
      <c r="D9" s="12">
        <f>DSUM(Table22456789101112[#All],"Value",I3:I4)</f>
        <v>0</v>
      </c>
    </row>
    <row r="10" spans="1:15" ht="15.75">
      <c r="A10" s="197" t="s">
        <v>35</v>
      </c>
      <c r="B10" s="198"/>
      <c r="C10" s="7" t="s">
        <v>22</v>
      </c>
      <c r="D10" s="11">
        <f>DSUM(Table22456789101112[#All],"Value",J3:J4)</f>
        <v>0</v>
      </c>
    </row>
    <row r="11" spans="1:15" ht="15.75">
      <c r="A11" s="197" t="s">
        <v>16</v>
      </c>
      <c r="B11" s="198"/>
      <c r="C11" s="8" t="s">
        <v>23</v>
      </c>
      <c r="D11" s="12">
        <f>DSUM(Table22456789101112[#All],"Value",N3:N4)+D9-DSUM(Table22456789101112[#All],"Value",M3:M5)+D6</f>
        <v>1</v>
      </c>
      <c r="F11" s="49"/>
      <c r="O11" s="49"/>
    </row>
    <row r="12" spans="1:15" ht="16.5" thickBot="1">
      <c r="A12" s="197"/>
      <c r="B12" s="198"/>
      <c r="C12" s="14" t="s">
        <v>32</v>
      </c>
      <c r="D12" s="15">
        <f>DSUM(Table22456789101112[#All],"Value",L3:L4)+D10-DSUM(Table22456789101112[#All],"Value",K3:K6)+D5</f>
        <v>1</v>
      </c>
      <c r="F12" s="49"/>
    </row>
    <row r="13" spans="1:15" ht="15.75" thickBot="1"/>
    <row r="14" spans="1:15" ht="15.75" thickBot="1">
      <c r="A14" s="194" t="s">
        <v>101</v>
      </c>
      <c r="B14" s="195"/>
      <c r="C14" s="195"/>
      <c r="D14" s="195"/>
      <c r="E14" s="196"/>
    </row>
    <row r="15" spans="1:15">
      <c r="A15" s="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5">
      <c r="A16" s="1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Q17"/>
  <sheetViews>
    <sheetView workbookViewId="0">
      <selection activeCell="A16" sqref="A16:E16"/>
    </sheetView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11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</cols>
  <sheetData>
    <row r="2" spans="1:17">
      <c r="G2" t="s">
        <v>19</v>
      </c>
      <c r="H2" t="s">
        <v>20</v>
      </c>
      <c r="I2" t="s">
        <v>26</v>
      </c>
      <c r="J2" t="s">
        <v>27</v>
      </c>
      <c r="K2" s="199" t="s">
        <v>28</v>
      </c>
      <c r="L2" s="199"/>
      <c r="M2" s="199" t="s">
        <v>30</v>
      </c>
      <c r="N2" s="199"/>
    </row>
    <row r="3" spans="1:17" ht="15.75" thickBot="1">
      <c r="A3" s="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7" ht="16.5" thickBot="1">
      <c r="A4" s="197"/>
      <c r="B4" s="198"/>
      <c r="C4" s="200" t="s">
        <v>8</v>
      </c>
      <c r="D4" s="201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7" ht="15.75">
      <c r="A5" s="197" t="s">
        <v>46</v>
      </c>
      <c r="B5" s="198"/>
      <c r="C5" s="6" t="s">
        <v>33</v>
      </c>
      <c r="D5" s="10">
        <f>September!D12</f>
        <v>1</v>
      </c>
      <c r="K5" t="s">
        <v>6</v>
      </c>
      <c r="M5" t="s">
        <v>29</v>
      </c>
    </row>
    <row r="6" spans="1:17" ht="15.75">
      <c r="A6" s="197" t="s">
        <v>37</v>
      </c>
      <c r="B6" s="198"/>
      <c r="C6" s="7" t="s">
        <v>9</v>
      </c>
      <c r="D6" s="11">
        <f>September!D11</f>
        <v>1</v>
      </c>
      <c r="K6" t="s">
        <v>91</v>
      </c>
    </row>
    <row r="7" spans="1:17" ht="15.75">
      <c r="A7" s="197" t="s">
        <v>45</v>
      </c>
      <c r="B7" s="198"/>
      <c r="C7" s="8" t="s">
        <v>10</v>
      </c>
      <c r="D7" s="12">
        <f>DSUM(Table224567891011[#All],"Value",G3:G4)</f>
        <v>0</v>
      </c>
    </row>
    <row r="8" spans="1:17" ht="15.75">
      <c r="A8" s="197" t="s">
        <v>46</v>
      </c>
      <c r="B8" s="198"/>
      <c r="C8" s="7" t="s">
        <v>11</v>
      </c>
      <c r="D8" s="11">
        <f>DSUM(Table224567891011[#All],"Value",H3:H4)</f>
        <v>0</v>
      </c>
    </row>
    <row r="9" spans="1:17" ht="15.75">
      <c r="A9" s="197" t="s">
        <v>36</v>
      </c>
      <c r="B9" s="198"/>
      <c r="C9" s="8" t="s">
        <v>21</v>
      </c>
      <c r="D9" s="12">
        <f>DSUM(Table224567891011[#All],"Value",I3:I4)</f>
        <v>0</v>
      </c>
    </row>
    <row r="10" spans="1:17" ht="15.75">
      <c r="A10" s="197" t="s">
        <v>35</v>
      </c>
      <c r="B10" s="198"/>
      <c r="C10" s="7" t="s">
        <v>22</v>
      </c>
      <c r="D10" s="11">
        <f>DSUM(Table224567891011[#All],"Value",J3:J4)</f>
        <v>0</v>
      </c>
    </row>
    <row r="11" spans="1:17" ht="15.75">
      <c r="A11" s="197" t="s">
        <v>16</v>
      </c>
      <c r="B11" s="198"/>
      <c r="C11" s="8" t="s">
        <v>23</v>
      </c>
      <c r="D11" s="12">
        <f>DSUM(Table224567891011[#All],"Value",N3:N4)+D9-DSUM(Table224567891011[#All],"Value",M3:M5)+D6</f>
        <v>1</v>
      </c>
      <c r="E11" s="49"/>
      <c r="F11" s="49"/>
    </row>
    <row r="12" spans="1:17" ht="16.5" thickBot="1">
      <c r="A12" s="197"/>
      <c r="B12" s="198"/>
      <c r="C12" s="14" t="s">
        <v>32</v>
      </c>
      <c r="D12" s="15">
        <f>DSUM(Table224567891011[#All],"Value",L3:L4)+D10-DSUM(Table224567891011[#All],"Value",K3:K6)+D5</f>
        <v>1</v>
      </c>
      <c r="E12" s="49"/>
      <c r="F12" s="49"/>
      <c r="O12" s="49"/>
      <c r="P12" s="49"/>
      <c r="Q12" s="49"/>
    </row>
    <row r="13" spans="1:17" ht="15.75" thickBot="1">
      <c r="F13" s="49"/>
    </row>
    <row r="14" spans="1:17" ht="15.75" thickBot="1">
      <c r="A14" s="194" t="s">
        <v>101</v>
      </c>
      <c r="B14" s="195"/>
      <c r="C14" s="195"/>
      <c r="D14" s="195"/>
      <c r="E14" s="196"/>
    </row>
    <row r="15" spans="1:17">
      <c r="A15" s="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7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2:N17"/>
  <sheetViews>
    <sheetView workbookViewId="0">
      <selection activeCell="E16" sqref="A16:E16"/>
    </sheetView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11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21" max="21" width="15.5703125" bestFit="1" customWidth="1"/>
    <col min="22" max="22" width="33.85546875" bestFit="1" customWidth="1"/>
  </cols>
  <sheetData>
    <row r="2" spans="1:14">
      <c r="G2" t="s">
        <v>19</v>
      </c>
      <c r="H2" t="s">
        <v>20</v>
      </c>
      <c r="I2" t="s">
        <v>26</v>
      </c>
      <c r="J2" t="s">
        <v>27</v>
      </c>
      <c r="K2" s="199" t="s">
        <v>28</v>
      </c>
      <c r="L2" s="199"/>
      <c r="M2" s="199" t="s">
        <v>30</v>
      </c>
      <c r="N2" s="199"/>
    </row>
    <row r="3" spans="1:14" ht="15.75" thickBot="1">
      <c r="A3" s="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4" ht="16.5" thickBot="1">
      <c r="A4" s="197" t="s">
        <v>44</v>
      </c>
      <c r="B4" s="198"/>
      <c r="C4" s="200" t="s">
        <v>8</v>
      </c>
      <c r="D4" s="201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4" ht="15.75">
      <c r="A5" s="197" t="s">
        <v>35</v>
      </c>
      <c r="B5" s="198"/>
      <c r="C5" s="6" t="s">
        <v>33</v>
      </c>
      <c r="D5" s="10">
        <f>August!D12</f>
        <v>1</v>
      </c>
      <c r="K5" t="s">
        <v>6</v>
      </c>
      <c r="M5" t="s">
        <v>29</v>
      </c>
    </row>
    <row r="6" spans="1:14" ht="15.75">
      <c r="A6" s="197" t="s">
        <v>40</v>
      </c>
      <c r="B6" s="198"/>
      <c r="C6" s="7" t="s">
        <v>9</v>
      </c>
      <c r="D6" s="11">
        <f>August!D11</f>
        <v>1</v>
      </c>
      <c r="K6" t="s">
        <v>91</v>
      </c>
    </row>
    <row r="7" spans="1:14" ht="15.75">
      <c r="A7" s="197" t="s">
        <v>45</v>
      </c>
      <c r="B7" s="198"/>
      <c r="C7" s="8" t="s">
        <v>10</v>
      </c>
      <c r="D7" s="12">
        <f>DSUM(Table2245678910[#All],"Value",G3:G4)</f>
        <v>0</v>
      </c>
    </row>
    <row r="8" spans="1:14" ht="15.75">
      <c r="A8" s="197" t="s">
        <v>35</v>
      </c>
      <c r="B8" s="198"/>
      <c r="C8" s="7" t="s">
        <v>11</v>
      </c>
      <c r="D8" s="11">
        <f>DSUM(Table2245678910[#All],"Value",H3:H4)</f>
        <v>0</v>
      </c>
    </row>
    <row r="9" spans="1:14" ht="15.75">
      <c r="A9" s="197" t="s">
        <v>38</v>
      </c>
      <c r="B9" s="198"/>
      <c r="C9" s="8" t="s">
        <v>21</v>
      </c>
      <c r="D9" s="12">
        <f>DSUM(Table2245678910[#All],"Value",I3:I4)</f>
        <v>0</v>
      </c>
    </row>
    <row r="10" spans="1:14" ht="15.75">
      <c r="A10" s="197" t="s">
        <v>36</v>
      </c>
      <c r="B10" s="198"/>
      <c r="C10" s="7" t="s">
        <v>22</v>
      </c>
      <c r="D10" s="11">
        <f>DSUM(Table2245678910[#All],"Value",J3:J4)</f>
        <v>0</v>
      </c>
    </row>
    <row r="11" spans="1:14" ht="15.75">
      <c r="A11" s="197" t="s">
        <v>35</v>
      </c>
      <c r="B11" s="198"/>
      <c r="C11" s="8" t="s">
        <v>23</v>
      </c>
      <c r="D11" s="12">
        <f>DSUM(Table2245678910[#All],"Value",N3:N4)+D9-DSUM(Table2245678910[#All],"Value",M3:M5)+D6</f>
        <v>1</v>
      </c>
      <c r="F11" s="49"/>
    </row>
    <row r="12" spans="1:14" ht="16.5" thickBot="1">
      <c r="A12" s="197" t="s">
        <v>16</v>
      </c>
      <c r="B12" s="198"/>
      <c r="C12" s="14" t="s">
        <v>32</v>
      </c>
      <c r="D12" s="15">
        <f>DSUM(Table2245678910[#All],"Value",L3:L4)+D10-DSUM(Table2245678910[#All],"Value",K3:K6)+D5</f>
        <v>1</v>
      </c>
      <c r="E12" s="49"/>
    </row>
    <row r="13" spans="1:14" ht="15.75" thickBot="1"/>
    <row r="14" spans="1:14" ht="15.75" thickBot="1">
      <c r="A14" s="194" t="s">
        <v>101</v>
      </c>
      <c r="B14" s="195"/>
      <c r="C14" s="195"/>
      <c r="D14" s="195"/>
      <c r="E14" s="196"/>
    </row>
    <row r="15" spans="1:14">
      <c r="A15" s="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4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9" right="0.41338582677165359" top="0.41338582677165359" bottom="0.41338582677165359" header="0.31496062992125984" footer="0.31496062992125984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2:O17"/>
  <sheetViews>
    <sheetView workbookViewId="0">
      <selection activeCell="A16" sqref="A16:E16"/>
    </sheetView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9.42578125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5" max="15" width="11" bestFit="1" customWidth="1"/>
  </cols>
  <sheetData>
    <row r="2" spans="1:15">
      <c r="G2" t="s">
        <v>19</v>
      </c>
      <c r="H2" t="s">
        <v>20</v>
      </c>
      <c r="I2" t="s">
        <v>26</v>
      </c>
      <c r="J2" t="s">
        <v>27</v>
      </c>
      <c r="K2" s="199" t="s">
        <v>28</v>
      </c>
      <c r="L2" s="199"/>
      <c r="M2" s="199" t="s">
        <v>30</v>
      </c>
      <c r="N2" s="199"/>
    </row>
    <row r="3" spans="1:15" ht="15.75" thickBot="1">
      <c r="A3" s="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 ht="16.5" thickBot="1">
      <c r="A4" s="197"/>
      <c r="B4" s="198"/>
      <c r="C4" s="200" t="s">
        <v>8</v>
      </c>
      <c r="D4" s="201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5" ht="15.75">
      <c r="A5" s="197" t="s">
        <v>13</v>
      </c>
      <c r="B5" s="198"/>
      <c r="C5" s="6" t="s">
        <v>33</v>
      </c>
      <c r="D5" s="10">
        <f>July!D12</f>
        <v>1</v>
      </c>
      <c r="K5" t="s">
        <v>6</v>
      </c>
      <c r="M5" t="s">
        <v>29</v>
      </c>
    </row>
    <row r="6" spans="1:15" ht="15.75">
      <c r="A6" s="197" t="s">
        <v>15</v>
      </c>
      <c r="B6" s="198"/>
      <c r="C6" s="7" t="s">
        <v>9</v>
      </c>
      <c r="D6" s="11">
        <f>July!D11</f>
        <v>1</v>
      </c>
      <c r="K6" t="s">
        <v>91</v>
      </c>
    </row>
    <row r="7" spans="1:15" ht="15.75">
      <c r="A7" s="197" t="s">
        <v>43</v>
      </c>
      <c r="B7" s="198"/>
      <c r="C7" s="8" t="s">
        <v>10</v>
      </c>
      <c r="D7" s="12">
        <f>DSUM(Table22456789[#All],"Value",G3:G4)</f>
        <v>0</v>
      </c>
      <c r="F7" s="49"/>
      <c r="O7" s="49"/>
    </row>
    <row r="8" spans="1:15" ht="15.75">
      <c r="A8" s="197" t="s">
        <v>15</v>
      </c>
      <c r="B8" s="198"/>
      <c r="C8" s="7" t="s">
        <v>11</v>
      </c>
      <c r="D8" s="11">
        <f>DSUM(Table22456789[#All],"Value",H3:H4)</f>
        <v>0</v>
      </c>
      <c r="E8" s="49"/>
    </row>
    <row r="9" spans="1:15" ht="15.75">
      <c r="A9" s="197" t="s">
        <v>44</v>
      </c>
      <c r="B9" s="198"/>
      <c r="C9" s="8" t="s">
        <v>21</v>
      </c>
      <c r="D9" s="12">
        <f>DSUM(Table22456789[#All],"Value",I3:I4)</f>
        <v>0</v>
      </c>
    </row>
    <row r="10" spans="1:15" ht="15.75">
      <c r="A10" s="197" t="s">
        <v>45</v>
      </c>
      <c r="B10" s="198"/>
      <c r="C10" s="7" t="s">
        <v>22</v>
      </c>
      <c r="D10" s="11">
        <f>DSUM(Table22456789[#All],"Value",J3:J4)</f>
        <v>0</v>
      </c>
    </row>
    <row r="11" spans="1:15" ht="15.75">
      <c r="A11" s="197"/>
      <c r="B11" s="198"/>
      <c r="C11" s="8" t="s">
        <v>23</v>
      </c>
      <c r="D11" s="12">
        <f>DSUM(Table22456789[#All],"Value",N3:N4)+D9-DSUM(Table22456789[#All],"Value",M3:M5)+D6</f>
        <v>1</v>
      </c>
      <c r="E11" s="49"/>
      <c r="F11" s="49"/>
    </row>
    <row r="12" spans="1:15" ht="16.5" thickBot="1">
      <c r="A12" s="197"/>
      <c r="B12" s="198"/>
      <c r="C12" s="14" t="s">
        <v>32</v>
      </c>
      <c r="D12" s="15">
        <f>DSUM(Table22456789[#All],"Value",L3:L4)+D10-DSUM(Table22456789[#All],"Value",K3:K6)+D5</f>
        <v>1</v>
      </c>
      <c r="E12" s="49"/>
      <c r="F12" s="49"/>
      <c r="O12" s="49"/>
    </row>
    <row r="13" spans="1:15" ht="15.75" thickBot="1"/>
    <row r="14" spans="1:15" ht="15.75" thickBot="1">
      <c r="A14" s="194" t="s">
        <v>101</v>
      </c>
      <c r="B14" s="195"/>
      <c r="C14" s="195"/>
      <c r="D14" s="195"/>
      <c r="E14" s="196"/>
    </row>
    <row r="15" spans="1:15">
      <c r="A15" s="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5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2:N35"/>
  <sheetViews>
    <sheetView workbookViewId="0">
      <selection activeCell="A16" sqref="A16:E16"/>
    </sheetView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9.42578125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</cols>
  <sheetData>
    <row r="2" spans="1:14">
      <c r="G2" t="s">
        <v>19</v>
      </c>
      <c r="H2" t="s">
        <v>20</v>
      </c>
      <c r="I2" t="s">
        <v>26</v>
      </c>
      <c r="J2" t="s">
        <v>27</v>
      </c>
      <c r="K2" s="199" t="s">
        <v>28</v>
      </c>
      <c r="L2" s="199"/>
      <c r="M2" s="199" t="s">
        <v>30</v>
      </c>
      <c r="N2" s="199"/>
    </row>
    <row r="3" spans="1:14" ht="15.75" thickBot="1">
      <c r="A3" s="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4" ht="16.5" thickBot="1">
      <c r="A4" s="197"/>
      <c r="B4" s="198"/>
      <c r="C4" s="200" t="s">
        <v>8</v>
      </c>
      <c r="D4" s="201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4" ht="15.75">
      <c r="A5" s="197"/>
      <c r="B5" s="198"/>
      <c r="C5" s="6" t="s">
        <v>33</v>
      </c>
      <c r="D5" s="10">
        <f>June!D12</f>
        <v>1</v>
      </c>
      <c r="K5" t="s">
        <v>6</v>
      </c>
      <c r="M5" t="s">
        <v>29</v>
      </c>
    </row>
    <row r="6" spans="1:14" ht="15.75">
      <c r="A6" s="197" t="s">
        <v>12</v>
      </c>
      <c r="B6" s="198"/>
      <c r="C6" s="7" t="s">
        <v>9</v>
      </c>
      <c r="D6" s="11">
        <f>June!D11</f>
        <v>1</v>
      </c>
      <c r="K6" t="s">
        <v>91</v>
      </c>
    </row>
    <row r="7" spans="1:14" ht="15.75">
      <c r="A7" s="197" t="s">
        <v>15</v>
      </c>
      <c r="B7" s="198"/>
      <c r="C7" s="8" t="s">
        <v>10</v>
      </c>
      <c r="D7" s="12">
        <f>DSUM(Table2245678[#All],"Value",G3:G4)</f>
        <v>0</v>
      </c>
    </row>
    <row r="8" spans="1:14" ht="15.75">
      <c r="A8" s="197" t="s">
        <v>42</v>
      </c>
      <c r="B8" s="198"/>
      <c r="C8" s="7" t="s">
        <v>11</v>
      </c>
      <c r="D8" s="11">
        <f>DSUM(Table2245678[#All],"Value",H3:H4)</f>
        <v>0</v>
      </c>
    </row>
    <row r="9" spans="1:14" ht="15.75">
      <c r="A9" s="197" t="s">
        <v>17</v>
      </c>
      <c r="B9" s="198"/>
      <c r="C9" s="8" t="s">
        <v>21</v>
      </c>
      <c r="D9" s="12">
        <f>DSUM(Table2245678[#All],"Value",I3:I4)</f>
        <v>0</v>
      </c>
    </row>
    <row r="10" spans="1:14" ht="15.75">
      <c r="A10" s="197"/>
      <c r="B10" s="198"/>
      <c r="C10" s="7" t="s">
        <v>22</v>
      </c>
      <c r="D10" s="11">
        <f>DSUM(Table2245678[#All],"Value",J3:J4)</f>
        <v>0</v>
      </c>
    </row>
    <row r="11" spans="1:14" ht="15.75">
      <c r="A11" s="197"/>
      <c r="B11" s="198"/>
      <c r="C11" s="8" t="s">
        <v>23</v>
      </c>
      <c r="D11" s="12">
        <f>DSUM(Table2245678[#All],"Value",N3:N4)+D9-DSUM(Table2245678[#All],"Value",M3:M5)+D6</f>
        <v>1</v>
      </c>
      <c r="E11" s="49"/>
      <c r="F11" s="49"/>
    </row>
    <row r="12" spans="1:14" ht="16.5" thickBot="1">
      <c r="A12" s="197"/>
      <c r="B12" s="198"/>
      <c r="C12" s="14" t="s">
        <v>32</v>
      </c>
      <c r="D12" s="15">
        <f>DSUM(Table2245678[#All],"Value",L3:L4)+D10-DSUM(Table2245678[#All],"Value",K3:K6)+D5</f>
        <v>1</v>
      </c>
      <c r="E12" s="49"/>
      <c r="F12" s="49"/>
    </row>
    <row r="13" spans="1:14" ht="15.75" thickBot="1"/>
    <row r="14" spans="1:14" ht="15.75" thickBot="1">
      <c r="A14" s="194" t="s">
        <v>101</v>
      </c>
      <c r="B14" s="195"/>
      <c r="C14" s="195"/>
      <c r="D14" s="195"/>
      <c r="E14" s="196"/>
    </row>
    <row r="15" spans="1:14">
      <c r="A15" s="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4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  <row r="35" spans="4:4">
      <c r="D35" s="49"/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2:O17"/>
  <sheetViews>
    <sheetView workbookViewId="0">
      <selection activeCell="A16" sqref="A16:E16"/>
    </sheetView>
  </sheetViews>
  <sheetFormatPr defaultRowHeight="15"/>
  <cols>
    <col min="1" max="1" width="10.7109375" style="122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11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9" max="19" width="11" customWidth="1"/>
  </cols>
  <sheetData>
    <row r="2" spans="1:15">
      <c r="G2" t="s">
        <v>19</v>
      </c>
      <c r="H2" t="s">
        <v>20</v>
      </c>
      <c r="I2" t="s">
        <v>26</v>
      </c>
      <c r="J2" t="s">
        <v>27</v>
      </c>
      <c r="K2" s="199" t="s">
        <v>28</v>
      </c>
      <c r="L2" s="199"/>
      <c r="M2" s="199" t="s">
        <v>30</v>
      </c>
      <c r="N2" s="199"/>
    </row>
    <row r="3" spans="1:15" ht="15.75" thickBot="1">
      <c r="A3" s="1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 ht="16.5" thickBot="1">
      <c r="A4" s="197"/>
      <c r="B4" s="198"/>
      <c r="C4" s="200" t="s">
        <v>8</v>
      </c>
      <c r="D4" s="201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5" ht="15.75">
      <c r="A5" s="197"/>
      <c r="B5" s="198"/>
      <c r="C5" s="6" t="s">
        <v>33</v>
      </c>
      <c r="D5" s="10">
        <f>May!D12</f>
        <v>1</v>
      </c>
      <c r="K5" t="s">
        <v>6</v>
      </c>
      <c r="M5" t="s">
        <v>29</v>
      </c>
    </row>
    <row r="6" spans="1:15" ht="15.75">
      <c r="A6" s="197" t="s">
        <v>12</v>
      </c>
      <c r="B6" s="198"/>
      <c r="C6" s="7" t="s">
        <v>9</v>
      </c>
      <c r="D6" s="11">
        <f>May!D11</f>
        <v>1</v>
      </c>
      <c r="K6" t="s">
        <v>91</v>
      </c>
    </row>
    <row r="7" spans="1:15" ht="15.75">
      <c r="A7" s="197" t="s">
        <v>15</v>
      </c>
      <c r="B7" s="198"/>
      <c r="C7" s="8" t="s">
        <v>10</v>
      </c>
      <c r="D7" s="12">
        <f>DSUM(Table224567[#All],"Value",G3:G4)</f>
        <v>0</v>
      </c>
    </row>
    <row r="8" spans="1:15" ht="15.75">
      <c r="A8" s="197" t="s">
        <v>14</v>
      </c>
      <c r="B8" s="198"/>
      <c r="C8" s="7" t="s">
        <v>11</v>
      </c>
      <c r="D8" s="11">
        <f>DSUM(Table224567[#All],"Value",H3:H4)</f>
        <v>0</v>
      </c>
    </row>
    <row r="9" spans="1:15" ht="15.75">
      <c r="A9" s="197" t="s">
        <v>35</v>
      </c>
      <c r="B9" s="198"/>
      <c r="C9" s="8" t="s">
        <v>21</v>
      </c>
      <c r="D9" s="12">
        <f>DSUM(Table224567[#All],"Value",I3:I4)</f>
        <v>0</v>
      </c>
    </row>
    <row r="10" spans="1:15" ht="15.75">
      <c r="A10" s="197"/>
      <c r="B10" s="198"/>
      <c r="C10" s="7" t="s">
        <v>22</v>
      </c>
      <c r="D10" s="11">
        <f>DSUM(Table224567[#All],"Value",J3:J4)</f>
        <v>0</v>
      </c>
      <c r="F10" s="49"/>
    </row>
    <row r="11" spans="1:15" ht="15.75">
      <c r="A11" s="197"/>
      <c r="B11" s="198"/>
      <c r="C11" s="8" t="s">
        <v>23</v>
      </c>
      <c r="D11" s="12">
        <f>DSUM(Table224567[#All],"Value",N3:N4)+D9-DSUM(Table224567[#All],"Value",M3:M5)+D6</f>
        <v>1</v>
      </c>
      <c r="F11" s="49"/>
    </row>
    <row r="12" spans="1:15" ht="16.5" thickBot="1">
      <c r="A12" s="197"/>
      <c r="B12" s="198"/>
      <c r="C12" s="14" t="s">
        <v>32</v>
      </c>
      <c r="D12" s="15">
        <f>DSUM(Table224567[#All],"Value",L3:L4)+D10-DSUM(Table224567[#All],"Value",K3:K6)+D5</f>
        <v>1</v>
      </c>
      <c r="E12" s="49"/>
      <c r="F12" s="49"/>
      <c r="O12" s="49"/>
    </row>
    <row r="13" spans="1:15" ht="15.75" thickBot="1"/>
    <row r="14" spans="1:15" ht="15.75" thickBot="1">
      <c r="A14" s="194" t="s">
        <v>101</v>
      </c>
      <c r="B14" s="195"/>
      <c r="C14" s="195"/>
      <c r="D14" s="195"/>
      <c r="E14" s="196"/>
    </row>
    <row r="15" spans="1:15">
      <c r="A15" s="114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5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2:O17"/>
  <sheetViews>
    <sheetView workbookViewId="0">
      <selection activeCell="E16" sqref="A16:E16"/>
    </sheetView>
  </sheetViews>
  <sheetFormatPr defaultRowHeight="15"/>
  <cols>
    <col min="1" max="1" width="10.7109375" style="122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11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5" max="15" width="11" bestFit="1" customWidth="1"/>
  </cols>
  <sheetData>
    <row r="2" spans="1:15">
      <c r="G2" t="s">
        <v>19</v>
      </c>
      <c r="H2" t="s">
        <v>20</v>
      </c>
      <c r="I2" t="s">
        <v>26</v>
      </c>
      <c r="J2" t="s">
        <v>27</v>
      </c>
      <c r="K2" s="199" t="s">
        <v>28</v>
      </c>
      <c r="L2" s="199"/>
      <c r="M2" s="199" t="s">
        <v>30</v>
      </c>
      <c r="N2" s="199"/>
    </row>
    <row r="3" spans="1:15" ht="15.75" thickBot="1">
      <c r="A3" s="1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 ht="16.5" thickBot="1">
      <c r="A4" s="197"/>
      <c r="B4" s="198"/>
      <c r="C4" s="200" t="s">
        <v>8</v>
      </c>
      <c r="D4" s="201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5" ht="15.75">
      <c r="A5" s="197"/>
      <c r="B5" s="198"/>
      <c r="C5" s="6" t="s">
        <v>33</v>
      </c>
      <c r="D5" s="10">
        <f>April!D12</f>
        <v>1</v>
      </c>
      <c r="K5" t="s">
        <v>6</v>
      </c>
      <c r="M5" t="s">
        <v>29</v>
      </c>
    </row>
    <row r="6" spans="1:15" ht="15.75">
      <c r="A6" s="197"/>
      <c r="B6" s="198"/>
      <c r="C6" s="7" t="s">
        <v>9</v>
      </c>
      <c r="D6" s="11">
        <f>April!D11</f>
        <v>1</v>
      </c>
      <c r="K6" t="s">
        <v>91</v>
      </c>
    </row>
    <row r="7" spans="1:15" ht="15.75">
      <c r="A7" s="197" t="s">
        <v>38</v>
      </c>
      <c r="B7" s="198"/>
      <c r="C7" s="8" t="s">
        <v>10</v>
      </c>
      <c r="D7" s="12">
        <f>DSUM(Table22456[#All],"Value",G3:G4)</f>
        <v>0</v>
      </c>
      <c r="E7" s="49"/>
    </row>
    <row r="8" spans="1:15" ht="15.75">
      <c r="A8" s="197" t="s">
        <v>13</v>
      </c>
      <c r="B8" s="198"/>
      <c r="C8" s="7" t="s">
        <v>11</v>
      </c>
      <c r="D8" s="11">
        <f>DSUM(Table22456[#All],"Value",H3:H4)</f>
        <v>0</v>
      </c>
    </row>
    <row r="9" spans="1:15" ht="15.75">
      <c r="A9" s="197" t="s">
        <v>17</v>
      </c>
      <c r="B9" s="198"/>
      <c r="C9" s="8" t="s">
        <v>21</v>
      </c>
      <c r="D9" s="12">
        <f>DSUM(Table22456[#All],"Value",I3:I4)</f>
        <v>0</v>
      </c>
    </row>
    <row r="10" spans="1:15" ht="15.75">
      <c r="A10" s="197"/>
      <c r="B10" s="198"/>
      <c r="C10" s="7" t="s">
        <v>22</v>
      </c>
      <c r="D10" s="11">
        <f>DSUM(Table22456[#All],"Value",J3:J4)</f>
        <v>0</v>
      </c>
    </row>
    <row r="11" spans="1:15" ht="15.75">
      <c r="A11" s="197"/>
      <c r="B11" s="198"/>
      <c r="C11" s="8" t="s">
        <v>23</v>
      </c>
      <c r="D11" s="12">
        <f>DSUM(Table22456[#All],"Value",N3:N4)+D9-DSUM(Table22456[#All],"Value",M3:M5)+D6</f>
        <v>1</v>
      </c>
      <c r="E11" s="49"/>
      <c r="F11" s="49"/>
    </row>
    <row r="12" spans="1:15" ht="16.5" thickBot="1">
      <c r="A12" s="197"/>
      <c r="B12" s="198"/>
      <c r="C12" s="14" t="s">
        <v>32</v>
      </c>
      <c r="D12" s="15">
        <f>DSUM(Table22456[#All],"Value",L3:L4)+D10-DSUM(Table22456[#All],"Value",K3:K6)+D5</f>
        <v>1</v>
      </c>
      <c r="F12" s="49"/>
      <c r="O12" s="49"/>
    </row>
    <row r="13" spans="1:15" ht="15.75" thickBot="1"/>
    <row r="14" spans="1:15" ht="15.75" thickBot="1">
      <c r="A14" s="194" t="s">
        <v>101</v>
      </c>
      <c r="B14" s="195"/>
      <c r="C14" s="195"/>
      <c r="D14" s="195"/>
      <c r="E14" s="196"/>
    </row>
    <row r="15" spans="1:15">
      <c r="A15" s="114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5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2:O17"/>
  <sheetViews>
    <sheetView workbookViewId="0">
      <selection activeCell="A16" sqref="A16:E16"/>
    </sheetView>
  </sheetViews>
  <sheetFormatPr defaultRowHeight="15"/>
  <cols>
    <col min="1" max="1" width="10.7109375" style="122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11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5" max="15" width="11" bestFit="1" customWidth="1"/>
    <col min="16" max="16" width="20" bestFit="1" customWidth="1"/>
  </cols>
  <sheetData>
    <row r="2" spans="1:15">
      <c r="G2" t="s">
        <v>19</v>
      </c>
      <c r="H2" t="s">
        <v>20</v>
      </c>
      <c r="I2" t="s">
        <v>26</v>
      </c>
      <c r="J2" t="s">
        <v>27</v>
      </c>
      <c r="K2" s="199" t="s">
        <v>28</v>
      </c>
      <c r="L2" s="199"/>
      <c r="M2" s="199" t="s">
        <v>30</v>
      </c>
      <c r="N2" s="199"/>
    </row>
    <row r="3" spans="1:15" ht="15.75" thickBot="1">
      <c r="A3" s="1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 ht="16.5" thickBot="1">
      <c r="A4" s="197"/>
      <c r="B4" s="198"/>
      <c r="C4" s="200" t="s">
        <v>8</v>
      </c>
      <c r="D4" s="201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5" ht="15.75">
      <c r="A5" s="197"/>
      <c r="B5" s="198"/>
      <c r="C5" s="6" t="s">
        <v>33</v>
      </c>
      <c r="D5" s="10">
        <f>March!D12</f>
        <v>1</v>
      </c>
      <c r="K5" t="s">
        <v>6</v>
      </c>
      <c r="M5" t="s">
        <v>29</v>
      </c>
    </row>
    <row r="6" spans="1:15" ht="15.75">
      <c r="A6" s="197" t="s">
        <v>13</v>
      </c>
      <c r="B6" s="198"/>
      <c r="C6" s="7" t="s">
        <v>9</v>
      </c>
      <c r="D6" s="11">
        <f>March!D11</f>
        <v>1</v>
      </c>
      <c r="K6" t="s">
        <v>91</v>
      </c>
    </row>
    <row r="7" spans="1:15" ht="15.75">
      <c r="A7" s="197" t="s">
        <v>40</v>
      </c>
      <c r="B7" s="198"/>
      <c r="C7" s="8" t="s">
        <v>10</v>
      </c>
      <c r="D7" s="12">
        <f>DSUM(Table2245[#All],"Value",G3:G4)</f>
        <v>0</v>
      </c>
    </row>
    <row r="8" spans="1:15" ht="15.75">
      <c r="A8" s="197" t="s">
        <v>16</v>
      </c>
      <c r="B8" s="198"/>
      <c r="C8" s="7" t="s">
        <v>11</v>
      </c>
      <c r="D8" s="11">
        <f>DSUM(Table2245[#All],"Value",H3:H4)</f>
        <v>0</v>
      </c>
    </row>
    <row r="9" spans="1:15" ht="15.75">
      <c r="A9" s="197" t="s">
        <v>41</v>
      </c>
      <c r="B9" s="198"/>
      <c r="C9" s="8" t="s">
        <v>21</v>
      </c>
      <c r="D9" s="12">
        <f>DSUM(Table2245[#All],"Value",I3:I4)</f>
        <v>0</v>
      </c>
    </row>
    <row r="10" spans="1:15" ht="15.75">
      <c r="A10" s="197" t="s">
        <v>42</v>
      </c>
      <c r="B10" s="198"/>
      <c r="C10" s="7" t="s">
        <v>22</v>
      </c>
      <c r="D10" s="11">
        <f>DSUM(Table2245[#All],"Value",J3:J4)</f>
        <v>0</v>
      </c>
    </row>
    <row r="11" spans="1:15" ht="15.75">
      <c r="A11" s="197"/>
      <c r="B11" s="198"/>
      <c r="C11" s="8" t="s">
        <v>23</v>
      </c>
      <c r="D11" s="12">
        <f>DSUM(Table2245[#All],"Value",N3:N4)+D9-DSUM(Table2245[#All],"Value",M3:M5)+D6</f>
        <v>1</v>
      </c>
      <c r="F11" s="49"/>
    </row>
    <row r="12" spans="1:15" ht="16.5" thickBot="1">
      <c r="A12" s="197"/>
      <c r="B12" s="198"/>
      <c r="C12" s="14" t="s">
        <v>32</v>
      </c>
      <c r="D12" s="15">
        <f>DSUM(Table2245[#All],"Value",L3:L4)+D10-DSUM(Table2245[#All],"Value",K3:K6)+D5</f>
        <v>1</v>
      </c>
      <c r="E12" s="49"/>
      <c r="F12" s="49"/>
      <c r="O12" s="49"/>
    </row>
    <row r="13" spans="1:15" ht="15.75" thickBot="1">
      <c r="O13" s="49"/>
    </row>
    <row r="14" spans="1:15" ht="15.75" thickBot="1">
      <c r="A14" s="194" t="s">
        <v>101</v>
      </c>
      <c r="B14" s="195"/>
      <c r="C14" s="195"/>
      <c r="D14" s="195"/>
      <c r="E14" s="196"/>
    </row>
    <row r="15" spans="1:15">
      <c r="A15" s="114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5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2:N17"/>
  <sheetViews>
    <sheetView workbookViewId="0">
      <selection activeCell="A16" sqref="A16:E16"/>
    </sheetView>
  </sheetViews>
  <sheetFormatPr defaultRowHeight="15"/>
  <cols>
    <col min="1" max="1" width="10.7109375" style="121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9.42578125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</cols>
  <sheetData>
    <row r="2" spans="1:14">
      <c r="G2" t="s">
        <v>19</v>
      </c>
      <c r="H2" t="s">
        <v>20</v>
      </c>
      <c r="I2" t="s">
        <v>26</v>
      </c>
      <c r="J2" t="s">
        <v>27</v>
      </c>
      <c r="K2" s="199" t="s">
        <v>28</v>
      </c>
      <c r="L2" s="199"/>
      <c r="M2" s="199" t="s">
        <v>30</v>
      </c>
      <c r="N2" s="199"/>
    </row>
    <row r="3" spans="1:14" ht="15.75" thickBot="1">
      <c r="A3" s="1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4" ht="16.5" thickBot="1">
      <c r="A4" s="197"/>
      <c r="B4" s="198"/>
      <c r="C4" s="200" t="s">
        <v>8</v>
      </c>
      <c r="D4" s="201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4" ht="15.75">
      <c r="A5" s="197"/>
      <c r="B5" s="198"/>
      <c r="C5" s="6" t="s">
        <v>33</v>
      </c>
      <c r="D5" s="10">
        <f>February!D12</f>
        <v>1</v>
      </c>
      <c r="K5" t="s">
        <v>6</v>
      </c>
      <c r="M5" t="s">
        <v>29</v>
      </c>
    </row>
    <row r="6" spans="1:14" ht="15.75">
      <c r="A6" s="197" t="s">
        <v>38</v>
      </c>
      <c r="B6" s="198"/>
      <c r="C6" s="7" t="s">
        <v>9</v>
      </c>
      <c r="D6" s="11">
        <f>February!D11</f>
        <v>1</v>
      </c>
      <c r="K6" t="s">
        <v>91</v>
      </c>
    </row>
    <row r="7" spans="1:14" ht="15.75">
      <c r="A7" s="197" t="s">
        <v>13</v>
      </c>
      <c r="B7" s="198"/>
      <c r="C7" s="8" t="s">
        <v>10</v>
      </c>
      <c r="D7" s="12">
        <f>DSUM(Table224[#All],"Value",G3:G4)</f>
        <v>0</v>
      </c>
    </row>
    <row r="8" spans="1:14" ht="15.75">
      <c r="A8" s="197" t="s">
        <v>16</v>
      </c>
      <c r="B8" s="198"/>
      <c r="C8" s="7" t="s">
        <v>11</v>
      </c>
      <c r="D8" s="11">
        <f>DSUM(Table224[#All],"Value",H3:H4)</f>
        <v>0</v>
      </c>
    </row>
    <row r="9" spans="1:14" ht="15.75">
      <c r="A9" s="197" t="s">
        <v>37</v>
      </c>
      <c r="B9" s="198"/>
      <c r="C9" s="8" t="s">
        <v>21</v>
      </c>
      <c r="D9" s="12">
        <f>DSUM(Table224[#All],"Value",I3:I4)</f>
        <v>0</v>
      </c>
    </row>
    <row r="10" spans="1:14" ht="15.75">
      <c r="A10" s="197" t="s">
        <v>39</v>
      </c>
      <c r="B10" s="198"/>
      <c r="C10" s="7" t="s">
        <v>22</v>
      </c>
      <c r="D10" s="11">
        <f>DSUM(Table224[#All],"Value",J3:J4)</f>
        <v>0</v>
      </c>
    </row>
    <row r="11" spans="1:14" ht="15.75">
      <c r="A11" s="197"/>
      <c r="B11" s="198"/>
      <c r="C11" s="8" t="s">
        <v>23</v>
      </c>
      <c r="D11" s="12">
        <f>DSUM(Table224[#All],"Value",N3:N4)+D9-DSUM(Table224[#All],"Value",M3:M5)+D6</f>
        <v>1</v>
      </c>
      <c r="E11" s="49"/>
      <c r="F11" s="49"/>
    </row>
    <row r="12" spans="1:14" ht="16.5" thickBot="1">
      <c r="A12" s="197"/>
      <c r="B12" s="198"/>
      <c r="C12" s="14" t="s">
        <v>32</v>
      </c>
      <c r="D12" s="15">
        <f>DSUM(Table224[#All],"Value",L3:L4)+D10-DSUM(Table224[#All],"Value",K3:K6)+D5</f>
        <v>1</v>
      </c>
      <c r="E12" s="49"/>
      <c r="F12" s="49"/>
    </row>
    <row r="13" spans="1:14" ht="15.75" thickBot="1">
      <c r="F13" s="49"/>
    </row>
    <row r="14" spans="1:14" ht="15.75" thickBot="1">
      <c r="A14" s="194" t="s">
        <v>101</v>
      </c>
      <c r="B14" s="195"/>
      <c r="C14" s="195"/>
      <c r="D14" s="195"/>
      <c r="E14" s="196"/>
    </row>
    <row r="15" spans="1:14">
      <c r="A15" s="114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4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2:P17"/>
  <sheetViews>
    <sheetView workbookViewId="0">
      <selection activeCell="A16" sqref="A16:E16"/>
    </sheetView>
  </sheetViews>
  <sheetFormatPr defaultRowHeight="15"/>
  <cols>
    <col min="1" max="1" width="10.7109375" style="111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5" max="15" width="11" bestFit="1" customWidth="1"/>
    <col min="16" max="16" width="12.140625" bestFit="1" customWidth="1"/>
  </cols>
  <sheetData>
    <row r="2" spans="1:16">
      <c r="G2" t="s">
        <v>19</v>
      </c>
      <c r="H2" t="s">
        <v>20</v>
      </c>
      <c r="I2" t="s">
        <v>26</v>
      </c>
      <c r="J2" t="s">
        <v>27</v>
      </c>
      <c r="K2" s="199" t="s">
        <v>28</v>
      </c>
      <c r="L2" s="199"/>
      <c r="M2" s="199" t="s">
        <v>30</v>
      </c>
      <c r="N2" s="199"/>
    </row>
    <row r="3" spans="1:16" ht="15.75" thickBot="1">
      <c r="A3" s="1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6" ht="16.5" thickBot="1">
      <c r="A4" s="197" t="s">
        <v>34</v>
      </c>
      <c r="B4" s="198"/>
      <c r="C4" s="200" t="s">
        <v>8</v>
      </c>
      <c r="D4" s="201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6" ht="15.75">
      <c r="A5" s="197" t="s">
        <v>35</v>
      </c>
      <c r="B5" s="198"/>
      <c r="C5" s="6" t="s">
        <v>33</v>
      </c>
      <c r="D5" s="10">
        <f>January!D12</f>
        <v>1</v>
      </c>
      <c r="K5" t="s">
        <v>6</v>
      </c>
      <c r="M5" t="s">
        <v>29</v>
      </c>
    </row>
    <row r="6" spans="1:16" ht="15.75">
      <c r="A6" s="197" t="s">
        <v>36</v>
      </c>
      <c r="B6" s="198"/>
      <c r="C6" s="7" t="s">
        <v>9</v>
      </c>
      <c r="D6" s="11">
        <f>January!D11</f>
        <v>1</v>
      </c>
      <c r="K6" t="s">
        <v>91</v>
      </c>
    </row>
    <row r="7" spans="1:16" ht="15.75">
      <c r="A7" s="197" t="s">
        <v>16</v>
      </c>
      <c r="B7" s="198"/>
      <c r="C7" s="8" t="s">
        <v>10</v>
      </c>
      <c r="D7" s="12">
        <f>DSUM(Table22[#All],"Value",G3:G4)</f>
        <v>0</v>
      </c>
    </row>
    <row r="8" spans="1:16" ht="15.75">
      <c r="A8" s="197" t="s">
        <v>15</v>
      </c>
      <c r="B8" s="198"/>
      <c r="C8" s="7" t="s">
        <v>11</v>
      </c>
      <c r="D8" s="11">
        <f>DSUM(Table22[#All],"Value",H3:H4)</f>
        <v>0</v>
      </c>
    </row>
    <row r="9" spans="1:16" ht="15.75">
      <c r="A9" s="197" t="s">
        <v>13</v>
      </c>
      <c r="B9" s="198"/>
      <c r="C9" s="8" t="s">
        <v>21</v>
      </c>
      <c r="D9" s="12">
        <f>DSUM(Table22[#All],"Value",I3:I4)</f>
        <v>0</v>
      </c>
    </row>
    <row r="10" spans="1:16" ht="15.75">
      <c r="A10" s="197" t="s">
        <v>16</v>
      </c>
      <c r="B10" s="198"/>
      <c r="C10" s="7" t="s">
        <v>22</v>
      </c>
      <c r="D10" s="11">
        <f>DSUM(Table22[#All],"Value",J3:J4)</f>
        <v>0</v>
      </c>
    </row>
    <row r="11" spans="1:16" ht="15.75">
      <c r="A11" s="197" t="s">
        <v>17</v>
      </c>
      <c r="B11" s="198"/>
      <c r="C11" s="8" t="s">
        <v>23</v>
      </c>
      <c r="D11" s="12">
        <f>DSUM(Table22[#All],"Value",N3:N4)+D9-DSUM(Table22[#All],"Value",M3:M5)+D6</f>
        <v>1</v>
      </c>
      <c r="F11" s="49"/>
      <c r="P11" s="3"/>
    </row>
    <row r="12" spans="1:16" ht="16.5" thickBot="1">
      <c r="A12" s="197"/>
      <c r="B12" s="198"/>
      <c r="C12" s="14" t="s">
        <v>32</v>
      </c>
      <c r="D12" s="15">
        <f>DSUM(Table22[#All],"Value",L3:L4)+D10-DSUM(Table22[#All],"Value",K3:K6)+D5</f>
        <v>1</v>
      </c>
      <c r="F12" s="49"/>
      <c r="O12" s="49"/>
      <c r="P12" s="3"/>
    </row>
    <row r="13" spans="1:16" ht="15.75" thickBot="1"/>
    <row r="14" spans="1:16" ht="15.75" thickBot="1">
      <c r="A14" s="194" t="s">
        <v>101</v>
      </c>
      <c r="B14" s="195"/>
      <c r="C14" s="195"/>
      <c r="D14" s="195"/>
      <c r="E14" s="196"/>
    </row>
    <row r="15" spans="1:16">
      <c r="A15" s="114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6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2:O17"/>
  <sheetViews>
    <sheetView workbookViewId="0">
      <selection activeCell="A16" sqref="A16:E16"/>
    </sheetView>
  </sheetViews>
  <sheetFormatPr defaultRowHeight="15"/>
  <cols>
    <col min="1" max="1" width="10.7109375" style="111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9.42578125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5" max="15" width="9.42578125" bestFit="1" customWidth="1"/>
  </cols>
  <sheetData>
    <row r="2" spans="1:15">
      <c r="G2" t="s">
        <v>19</v>
      </c>
      <c r="H2" t="s">
        <v>20</v>
      </c>
      <c r="I2" t="s">
        <v>26</v>
      </c>
      <c r="J2" t="s">
        <v>27</v>
      </c>
      <c r="K2" s="199" t="s">
        <v>28</v>
      </c>
      <c r="L2" s="199"/>
      <c r="M2" s="199" t="s">
        <v>30</v>
      </c>
      <c r="N2" s="199"/>
    </row>
    <row r="3" spans="1:15" ht="15.75" thickBot="1">
      <c r="A3" s="1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 ht="16.5" thickBot="1">
      <c r="A4" s="197"/>
      <c r="B4" s="198"/>
      <c r="C4" s="200" t="s">
        <v>8</v>
      </c>
      <c r="D4" s="201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5" ht="15.75">
      <c r="A5" s="197" t="s">
        <v>12</v>
      </c>
      <c r="B5" s="198"/>
      <c r="C5" s="6" t="s">
        <v>33</v>
      </c>
      <c r="D5" s="10">
        <v>1</v>
      </c>
      <c r="K5" t="s">
        <v>6</v>
      </c>
      <c r="M5" t="s">
        <v>29</v>
      </c>
    </row>
    <row r="6" spans="1:15" ht="15.75">
      <c r="A6" s="197" t="s">
        <v>13</v>
      </c>
      <c r="B6" s="198"/>
      <c r="C6" s="7" t="s">
        <v>9</v>
      </c>
      <c r="D6" s="11">
        <v>1</v>
      </c>
      <c r="K6" t="s">
        <v>91</v>
      </c>
    </row>
    <row r="7" spans="1:15" ht="15.75">
      <c r="A7" s="197" t="s">
        <v>14</v>
      </c>
      <c r="B7" s="198"/>
      <c r="C7" s="8" t="s">
        <v>10</v>
      </c>
      <c r="D7" s="12">
        <f>DSUM(Table2[#All],"Value",G3:G4)</f>
        <v>0</v>
      </c>
    </row>
    <row r="8" spans="1:15" ht="15.75">
      <c r="A8" s="197" t="s">
        <v>15</v>
      </c>
      <c r="B8" s="198"/>
      <c r="C8" s="7" t="s">
        <v>11</v>
      </c>
      <c r="D8" s="11">
        <f>DSUM(Table2[#All],"Value",H3:H4)</f>
        <v>0</v>
      </c>
    </row>
    <row r="9" spans="1:15" ht="15.75">
      <c r="A9" s="197" t="s">
        <v>13</v>
      </c>
      <c r="B9" s="198"/>
      <c r="C9" s="8" t="s">
        <v>21</v>
      </c>
      <c r="D9" s="12">
        <f>DSUM(Table2[#All],"Value",I3:I4)</f>
        <v>0</v>
      </c>
    </row>
    <row r="10" spans="1:15" ht="15.75">
      <c r="A10" s="197" t="s">
        <v>16</v>
      </c>
      <c r="B10" s="198"/>
      <c r="C10" s="7" t="s">
        <v>22</v>
      </c>
      <c r="D10" s="11">
        <f>DSUM(Table2[#All],"Value",J3:J4)</f>
        <v>0</v>
      </c>
    </row>
    <row r="11" spans="1:15" ht="15.75">
      <c r="A11" s="197" t="s">
        <v>17</v>
      </c>
      <c r="B11" s="198"/>
      <c r="C11" s="8" t="s">
        <v>23</v>
      </c>
      <c r="D11" s="12">
        <f>DSUM(Table2[#All],"Value",N3:N4)+D9-DSUM(Table2[#All],"Value",M3:M5)+D6</f>
        <v>1</v>
      </c>
      <c r="F11" s="143"/>
      <c r="O11" s="49"/>
    </row>
    <row r="12" spans="1:15" ht="16.5" thickBot="1">
      <c r="A12" s="197"/>
      <c r="B12" s="198"/>
      <c r="C12" s="14" t="s">
        <v>32</v>
      </c>
      <c r="D12" s="15">
        <f>DSUM(Table2[#All],"Value",L3:L4)+D10-DSUM(Table2[#All],"Value",K3:K6)+D5</f>
        <v>1</v>
      </c>
      <c r="F12" s="49"/>
      <c r="O12" s="49"/>
    </row>
    <row r="13" spans="1:15" ht="15.75" thickBot="1">
      <c r="F13" s="49"/>
    </row>
    <row r="14" spans="1:15" ht="15.75" thickBot="1">
      <c r="A14" s="194" t="s">
        <v>101</v>
      </c>
      <c r="B14" s="195"/>
      <c r="C14" s="195"/>
      <c r="D14" s="195"/>
      <c r="E14" s="196"/>
    </row>
    <row r="15" spans="1:15">
      <c r="A15" s="114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5">
      <c r="A16" s="5"/>
      <c r="D16" s="3"/>
    </row>
    <row r="17" spans="1:5">
      <c r="A17" s="5" t="s">
        <v>5</v>
      </c>
      <c r="B17" s="2" t="s">
        <v>5</v>
      </c>
      <c r="C17" s="2" t="s">
        <v>5</v>
      </c>
      <c r="D17" s="4" t="s">
        <v>5</v>
      </c>
      <c r="E17" s="2" t="s">
        <v>5</v>
      </c>
    </row>
  </sheetData>
  <mergeCells count="13">
    <mergeCell ref="A12:B12"/>
    <mergeCell ref="A11:B11"/>
    <mergeCell ref="K2:L2"/>
    <mergeCell ref="M2:N2"/>
    <mergeCell ref="A14:E14"/>
    <mergeCell ref="A4:B4"/>
    <mergeCell ref="C4:D4"/>
    <mergeCell ref="A5:B5"/>
    <mergeCell ref="A6:B6"/>
    <mergeCell ref="A7:B7"/>
    <mergeCell ref="A8:B8"/>
    <mergeCell ref="A9:B9"/>
    <mergeCell ref="A10:B10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Targets</vt:lpstr>
      <vt:lpstr>Overview</vt:lpstr>
      <vt:lpstr>Consumption Control</vt:lpstr>
      <vt:lpstr>December</vt:lpstr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  <vt:lpstr>Overview!Print_Area</vt:lpstr>
    </vt:vector>
  </TitlesOfParts>
  <Company>The Four of the Emperor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Borges Teixeira</dc:creator>
  <cp:lastModifiedBy>Matheus Borges Teixeira</cp:lastModifiedBy>
  <cp:lastPrinted>2014-07-07T21:42:04Z</cp:lastPrinted>
  <dcterms:created xsi:type="dcterms:W3CDTF">2010-01-25T21:37:40Z</dcterms:created>
  <dcterms:modified xsi:type="dcterms:W3CDTF">2019-01-12T23:43:53Z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3a848402-1edf-4501-947a-af9bfb908a67</vt:lpwstr>
  </property>
</Properties>
</file>