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3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4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drawings/drawing5.xml" ContentType="application/vnd.openxmlformats-officedocument.drawing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Windows 10\Downloads\"/>
    </mc:Choice>
  </mc:AlternateContent>
  <xr:revisionPtr revIDLastSave="0" documentId="13_ncr:1_{A93E0ECE-C634-4CC7-A698-C2EADEF06281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INÍCIO" sheetId="1" r:id="rId1"/>
    <sheet name="SABORES" sheetId="4" r:id="rId2"/>
    <sheet name="ESTOQUE" sheetId="3" r:id="rId3"/>
    <sheet name="VENDAS" sheetId="2" r:id="rId4"/>
    <sheet name="SAÍDAS" sheetId="5" r:id="rId5"/>
    <sheet name="RELATÓRIO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9" i="5" l="1"/>
  <c r="V212" i="2"/>
  <c r="E6" i="4"/>
  <c r="F12" i="4"/>
  <c r="F11" i="4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AL217" i="2"/>
  <c r="R217" i="2"/>
  <c r="AL216" i="2"/>
  <c r="R216" i="2"/>
  <c r="C216" i="2"/>
  <c r="E216" i="2" s="1"/>
  <c r="AL215" i="2"/>
  <c r="R215" i="2"/>
  <c r="C215" i="2"/>
  <c r="E215" i="2" s="1"/>
  <c r="AL214" i="2"/>
  <c r="R214" i="2"/>
  <c r="C214" i="2"/>
  <c r="D214" i="2" s="1"/>
  <c r="R213" i="2"/>
  <c r="C213" i="2"/>
  <c r="E213" i="2" s="1"/>
  <c r="AL212" i="2"/>
  <c r="R212" i="2"/>
  <c r="C212" i="2"/>
  <c r="D212" i="2" s="1"/>
  <c r="AL211" i="2"/>
  <c r="R211" i="2"/>
  <c r="E211" i="2"/>
  <c r="D211" i="2"/>
  <c r="C211" i="2"/>
  <c r="AL210" i="2"/>
  <c r="R210" i="2"/>
  <c r="C210" i="2"/>
  <c r="E210" i="2" s="1"/>
  <c r="AL209" i="2"/>
  <c r="R209" i="2"/>
  <c r="C209" i="2"/>
  <c r="D209" i="2" s="1"/>
  <c r="AL208" i="2"/>
  <c r="V208" i="2"/>
  <c r="R208" i="2"/>
  <c r="C208" i="2"/>
  <c r="E208" i="2" s="1"/>
  <c r="AL207" i="2"/>
  <c r="R207" i="2"/>
  <c r="C207" i="2"/>
  <c r="E207" i="2" s="1"/>
  <c r="AL206" i="2"/>
  <c r="R206" i="2"/>
  <c r="C206" i="2"/>
  <c r="D206" i="2" s="1"/>
  <c r="AK15" i="6"/>
  <c r="C93" i="5"/>
  <c r="D93" i="5" s="1"/>
  <c r="C92" i="5"/>
  <c r="D92" i="5" s="1"/>
  <c r="C91" i="5"/>
  <c r="D91" i="5" s="1"/>
  <c r="C90" i="5"/>
  <c r="D90" i="5" s="1"/>
  <c r="C89" i="5"/>
  <c r="D89" i="5" s="1"/>
  <c r="C88" i="5"/>
  <c r="D88" i="5" s="1"/>
  <c r="C87" i="5"/>
  <c r="D87" i="5" s="1"/>
  <c r="V186" i="2"/>
  <c r="C81" i="5"/>
  <c r="D81" i="5" s="1"/>
  <c r="E81" i="5" s="1"/>
  <c r="C80" i="5"/>
  <c r="D80" i="5" s="1"/>
  <c r="E80" i="5" s="1"/>
  <c r="C79" i="5"/>
  <c r="D79" i="5" s="1"/>
  <c r="C78" i="5"/>
  <c r="D78" i="5" s="1"/>
  <c r="E78" i="5" s="1"/>
  <c r="C77" i="5"/>
  <c r="D77" i="5" s="1"/>
  <c r="O76" i="5"/>
  <c r="C76" i="5"/>
  <c r="D76" i="5" s="1"/>
  <c r="C75" i="5"/>
  <c r="D75" i="5" s="1"/>
  <c r="E75" i="5" s="1"/>
  <c r="C74" i="5"/>
  <c r="D74" i="5" s="1"/>
  <c r="E74" i="5" s="1"/>
  <c r="O64" i="5"/>
  <c r="R201" i="2"/>
  <c r="R200" i="2"/>
  <c r="R199" i="2"/>
  <c r="R198" i="2"/>
  <c r="R197" i="2"/>
  <c r="R196" i="2"/>
  <c r="R195" i="2"/>
  <c r="R194" i="2"/>
  <c r="R193" i="2"/>
  <c r="R192" i="2"/>
  <c r="AL191" i="2"/>
  <c r="R191" i="2"/>
  <c r="AL190" i="2"/>
  <c r="R190" i="2"/>
  <c r="C190" i="2"/>
  <c r="D190" i="2" s="1"/>
  <c r="AL189" i="2"/>
  <c r="R189" i="2"/>
  <c r="C189" i="2"/>
  <c r="E189" i="2" s="1"/>
  <c r="AL188" i="2"/>
  <c r="R188" i="2"/>
  <c r="C188" i="2"/>
  <c r="D188" i="2" s="1"/>
  <c r="R187" i="2"/>
  <c r="C187" i="2"/>
  <c r="E187" i="2" s="1"/>
  <c r="AL186" i="2"/>
  <c r="R186" i="2"/>
  <c r="C186" i="2"/>
  <c r="D186" i="2" s="1"/>
  <c r="AL185" i="2"/>
  <c r="R185" i="2"/>
  <c r="C185" i="2"/>
  <c r="D185" i="2" s="1"/>
  <c r="AL184" i="2"/>
  <c r="R184" i="2"/>
  <c r="C184" i="2"/>
  <c r="E184" i="2" s="1"/>
  <c r="AL183" i="2"/>
  <c r="R183" i="2"/>
  <c r="C183" i="2"/>
  <c r="D183" i="2" s="1"/>
  <c r="AL182" i="2"/>
  <c r="V182" i="2"/>
  <c r="R182" i="2"/>
  <c r="C182" i="2"/>
  <c r="E182" i="2" s="1"/>
  <c r="AL181" i="2"/>
  <c r="R181" i="2"/>
  <c r="C181" i="2"/>
  <c r="E181" i="2" s="1"/>
  <c r="AL180" i="2"/>
  <c r="R180" i="2"/>
  <c r="C180" i="2"/>
  <c r="E180" i="2" s="1"/>
  <c r="V151" i="2"/>
  <c r="C16" i="2"/>
  <c r="D16" i="2" s="1"/>
  <c r="C86" i="2"/>
  <c r="D86" i="2" s="1"/>
  <c r="C155" i="2"/>
  <c r="D155" i="2" s="1"/>
  <c r="V147" i="2"/>
  <c r="V78" i="2"/>
  <c r="V8" i="2"/>
  <c r="R176" i="2"/>
  <c r="R175" i="2"/>
  <c r="R174" i="2"/>
  <c r="R173" i="2"/>
  <c r="R172" i="2"/>
  <c r="R171" i="2"/>
  <c r="R170" i="2"/>
  <c r="R169" i="2"/>
  <c r="R168" i="2"/>
  <c r="R167" i="2"/>
  <c r="R166" i="2"/>
  <c r="R164" i="2"/>
  <c r="R163" i="2"/>
  <c r="R162" i="2"/>
  <c r="R161" i="2"/>
  <c r="R160" i="2"/>
  <c r="R159" i="2"/>
  <c r="R158" i="2"/>
  <c r="R157" i="2"/>
  <c r="AL156" i="2"/>
  <c r="R156" i="2"/>
  <c r="AL155" i="2"/>
  <c r="R155" i="2"/>
  <c r="AL154" i="2"/>
  <c r="R154" i="2"/>
  <c r="C154" i="2"/>
  <c r="E154" i="2" s="1"/>
  <c r="AL153" i="2"/>
  <c r="R153" i="2"/>
  <c r="C153" i="2"/>
  <c r="E153" i="2" s="1"/>
  <c r="R152" i="2"/>
  <c r="C152" i="2"/>
  <c r="E152" i="2" s="1"/>
  <c r="AL151" i="2"/>
  <c r="R151" i="2"/>
  <c r="C151" i="2"/>
  <c r="E151" i="2" s="1"/>
  <c r="AL150" i="2"/>
  <c r="R150" i="2"/>
  <c r="C150" i="2"/>
  <c r="E150" i="2" s="1"/>
  <c r="AL149" i="2"/>
  <c r="R149" i="2"/>
  <c r="C149" i="2"/>
  <c r="E149" i="2" s="1"/>
  <c r="AL148" i="2"/>
  <c r="R148" i="2"/>
  <c r="C148" i="2"/>
  <c r="E148" i="2" s="1"/>
  <c r="AL147" i="2"/>
  <c r="R147" i="2"/>
  <c r="C147" i="2"/>
  <c r="E147" i="2" s="1"/>
  <c r="AL146" i="2"/>
  <c r="R146" i="2"/>
  <c r="C146" i="2"/>
  <c r="D146" i="2" s="1"/>
  <c r="AL145" i="2"/>
  <c r="R145" i="2"/>
  <c r="C145" i="2"/>
  <c r="E145" i="2" s="1"/>
  <c r="C69" i="5"/>
  <c r="D69" i="5" s="1"/>
  <c r="O30" i="5"/>
  <c r="C68" i="5"/>
  <c r="D68" i="5" s="1"/>
  <c r="C67" i="5"/>
  <c r="D67" i="5" s="1"/>
  <c r="C66" i="5"/>
  <c r="D66" i="5" s="1"/>
  <c r="C65" i="5"/>
  <c r="D65" i="5" s="1"/>
  <c r="C64" i="5"/>
  <c r="D64" i="5" s="1"/>
  <c r="C63" i="5"/>
  <c r="D63" i="5" s="1"/>
  <c r="C62" i="5"/>
  <c r="D62" i="5" s="1"/>
  <c r="O8" i="5"/>
  <c r="AK16" i="6" l="1"/>
  <c r="D215" i="2"/>
  <c r="D210" i="2"/>
  <c r="F208" i="2"/>
  <c r="F211" i="2"/>
  <c r="F215" i="2"/>
  <c r="D208" i="2"/>
  <c r="F216" i="2"/>
  <c r="D216" i="2"/>
  <c r="E209" i="2"/>
  <c r="F209" i="2" s="1"/>
  <c r="F213" i="2"/>
  <c r="D213" i="2"/>
  <c r="F210" i="2"/>
  <c r="E214" i="2"/>
  <c r="F214" i="2" s="1"/>
  <c r="F207" i="2"/>
  <c r="E206" i="2"/>
  <c r="D207" i="2"/>
  <c r="E212" i="2"/>
  <c r="F212" i="2" s="1"/>
  <c r="AK14" i="6"/>
  <c r="E87" i="5"/>
  <c r="E88" i="5"/>
  <c r="E89" i="5"/>
  <c r="E90" i="5"/>
  <c r="E91" i="5"/>
  <c r="E92" i="5"/>
  <c r="E93" i="5"/>
  <c r="E183" i="2"/>
  <c r="F183" i="2" s="1"/>
  <c r="E186" i="2"/>
  <c r="F186" i="2" s="1"/>
  <c r="E185" i="2"/>
  <c r="F185" i="2" s="1"/>
  <c r="E188" i="2"/>
  <c r="F188" i="2" s="1"/>
  <c r="E76" i="5"/>
  <c r="E77" i="5"/>
  <c r="E79" i="5"/>
  <c r="F182" i="2"/>
  <c r="F187" i="2"/>
  <c r="F180" i="2"/>
  <c r="D180" i="2"/>
  <c r="D182" i="2"/>
  <c r="F189" i="2"/>
  <c r="E190" i="2"/>
  <c r="F190" i="2" s="1"/>
  <c r="F184" i="2"/>
  <c r="D187" i="2"/>
  <c r="F181" i="2"/>
  <c r="D189" i="2"/>
  <c r="D181" i="2"/>
  <c r="D184" i="2"/>
  <c r="E65" i="5"/>
  <c r="E69" i="5"/>
  <c r="E62" i="5"/>
  <c r="E66" i="5"/>
  <c r="E63" i="5"/>
  <c r="E67" i="5"/>
  <c r="E64" i="5"/>
  <c r="E68" i="5"/>
  <c r="F154" i="2"/>
  <c r="F151" i="2"/>
  <c r="F147" i="2"/>
  <c r="F150" i="2"/>
  <c r="F153" i="2"/>
  <c r="F145" i="2"/>
  <c r="F149" i="2"/>
  <c r="F148" i="2"/>
  <c r="F152" i="2"/>
  <c r="E16" i="2"/>
  <c r="F16" i="2" s="1"/>
  <c r="E86" i="2"/>
  <c r="F86" i="2" s="1"/>
  <c r="D153" i="2"/>
  <c r="E155" i="2"/>
  <c r="F155" i="2" s="1"/>
  <c r="D152" i="2"/>
  <c r="D145" i="2"/>
  <c r="E146" i="2"/>
  <c r="F146" i="2" s="1"/>
  <c r="D147" i="2"/>
  <c r="D148" i="2"/>
  <c r="D150" i="2"/>
  <c r="D149" i="2"/>
  <c r="D151" i="2"/>
  <c r="D154" i="2"/>
  <c r="C85" i="2"/>
  <c r="D85" i="2" s="1"/>
  <c r="C15" i="2"/>
  <c r="D15" i="2" s="1"/>
  <c r="F100" i="4"/>
  <c r="B100" i="4"/>
  <c r="F99" i="4"/>
  <c r="B99" i="4"/>
  <c r="F98" i="4"/>
  <c r="B98" i="4"/>
  <c r="F97" i="4"/>
  <c r="B97" i="4"/>
  <c r="F96" i="4"/>
  <c r="B96" i="4"/>
  <c r="F95" i="4"/>
  <c r="B95" i="4"/>
  <c r="F94" i="4"/>
  <c r="B94" i="4"/>
  <c r="F93" i="4"/>
  <c r="B93" i="4"/>
  <c r="F92" i="4"/>
  <c r="B92" i="4"/>
  <c r="F91" i="4"/>
  <c r="B91" i="4"/>
  <c r="F90" i="4"/>
  <c r="B90" i="4"/>
  <c r="C84" i="2"/>
  <c r="D84" i="2" s="1"/>
  <c r="C14" i="2"/>
  <c r="D14" i="2" s="1"/>
  <c r="C35" i="5"/>
  <c r="D35" i="5" s="1"/>
  <c r="C28" i="5"/>
  <c r="D28" i="5" s="1"/>
  <c r="C6" i="5"/>
  <c r="D6" i="5" s="1"/>
  <c r="R10" i="2"/>
  <c r="R9" i="2"/>
  <c r="R8" i="2"/>
  <c r="R7" i="2"/>
  <c r="R6" i="2"/>
  <c r="AL7" i="6"/>
  <c r="AL8" i="6"/>
  <c r="AL9" i="6"/>
  <c r="AL10" i="6"/>
  <c r="AL11" i="6"/>
  <c r="C12" i="5"/>
  <c r="D12" i="5" s="1"/>
  <c r="E12" i="5" s="1"/>
  <c r="C29" i="5"/>
  <c r="D29" i="5" s="1"/>
  <c r="E29" i="5" s="1"/>
  <c r="B77" i="4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AL7" i="2"/>
  <c r="AL8" i="2"/>
  <c r="AL9" i="2"/>
  <c r="AL10" i="2"/>
  <c r="AL11" i="2"/>
  <c r="AL12" i="2"/>
  <c r="AL14" i="2"/>
  <c r="AL15" i="2"/>
  <c r="AL16" i="2"/>
  <c r="AL17" i="2"/>
  <c r="AL6" i="2"/>
  <c r="AL6" i="6"/>
  <c r="AL5" i="6"/>
  <c r="C34" i="5"/>
  <c r="D34" i="5" s="1"/>
  <c r="C11" i="5"/>
  <c r="D11" i="5" s="1"/>
  <c r="C33" i="5"/>
  <c r="D33" i="5" s="1"/>
  <c r="E33" i="5" s="1"/>
  <c r="C32" i="5"/>
  <c r="D32" i="5" s="1"/>
  <c r="E32" i="5" s="1"/>
  <c r="C31" i="5"/>
  <c r="D31" i="5" s="1"/>
  <c r="E31" i="5" s="1"/>
  <c r="C30" i="5"/>
  <c r="D30" i="5" s="1"/>
  <c r="E30" i="5" s="1"/>
  <c r="V82" i="2"/>
  <c r="V12" i="2"/>
  <c r="C83" i="2"/>
  <c r="E83" i="2" s="1"/>
  <c r="C82" i="2"/>
  <c r="E82" i="2" s="1"/>
  <c r="C81" i="2"/>
  <c r="D81" i="2" s="1"/>
  <c r="C80" i="2"/>
  <c r="D80" i="2" s="1"/>
  <c r="C79" i="2"/>
  <c r="D79" i="2" s="1"/>
  <c r="C78" i="2"/>
  <c r="E78" i="2" s="1"/>
  <c r="C77" i="2"/>
  <c r="E77" i="2" s="1"/>
  <c r="C76" i="2"/>
  <c r="E76" i="2" s="1"/>
  <c r="C24" i="3"/>
  <c r="C23" i="3"/>
  <c r="D23" i="3" s="1"/>
  <c r="C22" i="3"/>
  <c r="E22" i="3" s="1"/>
  <c r="C21" i="3"/>
  <c r="D21" i="3" s="1"/>
  <c r="C20" i="3"/>
  <c r="D20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F77" i="4"/>
  <c r="F80" i="4"/>
  <c r="B80" i="4"/>
  <c r="F79" i="4"/>
  <c r="B79" i="4"/>
  <c r="F78" i="4"/>
  <c r="B78" i="4"/>
  <c r="F76" i="4"/>
  <c r="B76" i="4"/>
  <c r="F75" i="4"/>
  <c r="B75" i="4"/>
  <c r="F74" i="4"/>
  <c r="B74" i="4"/>
  <c r="F73" i="4"/>
  <c r="B73" i="4"/>
  <c r="F72" i="4"/>
  <c r="B72" i="4"/>
  <c r="F71" i="4"/>
  <c r="B71" i="4"/>
  <c r="F70" i="4"/>
  <c r="B70" i="4"/>
  <c r="F60" i="4"/>
  <c r="B60" i="4"/>
  <c r="F59" i="4"/>
  <c r="B59" i="4"/>
  <c r="F58" i="4"/>
  <c r="B58" i="4"/>
  <c r="F57" i="4"/>
  <c r="B57" i="4"/>
  <c r="F56" i="4"/>
  <c r="B56" i="4"/>
  <c r="F55" i="4"/>
  <c r="B55" i="4"/>
  <c r="F54" i="4"/>
  <c r="B54" i="4"/>
  <c r="F53" i="4"/>
  <c r="B53" i="4"/>
  <c r="F52" i="4"/>
  <c r="B52" i="4"/>
  <c r="F51" i="4"/>
  <c r="B51" i="4"/>
  <c r="F50" i="4"/>
  <c r="B50" i="4"/>
  <c r="F40" i="4"/>
  <c r="B40" i="4"/>
  <c r="F39" i="4"/>
  <c r="B39" i="4"/>
  <c r="F38" i="4"/>
  <c r="B38" i="4"/>
  <c r="F37" i="4"/>
  <c r="B37" i="4"/>
  <c r="F36" i="4"/>
  <c r="B36" i="4"/>
  <c r="F35" i="4"/>
  <c r="B35" i="4"/>
  <c r="F34" i="4"/>
  <c r="B34" i="4"/>
  <c r="F33" i="4"/>
  <c r="B33" i="4"/>
  <c r="F32" i="4"/>
  <c r="B32" i="4"/>
  <c r="F31" i="4"/>
  <c r="B31" i="4"/>
  <c r="F30" i="4"/>
  <c r="B30" i="4"/>
  <c r="F10" i="4"/>
  <c r="F13" i="4"/>
  <c r="F14" i="4"/>
  <c r="F15" i="4"/>
  <c r="F16" i="4"/>
  <c r="F17" i="4"/>
  <c r="F18" i="4"/>
  <c r="F19" i="4"/>
  <c r="F20" i="4"/>
  <c r="B20" i="4"/>
  <c r="B11" i="4"/>
  <c r="B12" i="4"/>
  <c r="B13" i="4"/>
  <c r="B14" i="4"/>
  <c r="B15" i="4"/>
  <c r="B16" i="4"/>
  <c r="B17" i="4"/>
  <c r="B18" i="4"/>
  <c r="B19" i="4"/>
  <c r="B10" i="4"/>
  <c r="C8" i="5"/>
  <c r="D8" i="5" s="1"/>
  <c r="C9" i="5"/>
  <c r="D9" i="5" s="1"/>
  <c r="E9" i="5" s="1"/>
  <c r="C10" i="5"/>
  <c r="D10" i="5" s="1"/>
  <c r="C7" i="5"/>
  <c r="D7" i="5" s="1"/>
  <c r="C7" i="2"/>
  <c r="D7" i="2" s="1"/>
  <c r="C8" i="2"/>
  <c r="D8" i="2" s="1"/>
  <c r="C9" i="2"/>
  <c r="E9" i="2" s="1"/>
  <c r="F9" i="2" s="1"/>
  <c r="C10" i="2"/>
  <c r="E10" i="2" s="1"/>
  <c r="C11" i="2"/>
  <c r="E11" i="2" s="1"/>
  <c r="C12" i="2"/>
  <c r="E12" i="2" s="1"/>
  <c r="C13" i="2"/>
  <c r="E13" i="2" s="1"/>
  <c r="C6" i="2"/>
  <c r="E6" i="2" s="1"/>
  <c r="C6" i="3"/>
  <c r="E6" i="3" s="1"/>
  <c r="AJ16" i="6" l="1"/>
  <c r="AL16" i="6" s="1"/>
  <c r="F206" i="2"/>
  <c r="AJ213" i="2"/>
  <c r="AL213" i="2" s="1"/>
  <c r="F6" i="2"/>
  <c r="AK12" i="6"/>
  <c r="F76" i="2"/>
  <c r="E28" i="5"/>
  <c r="AK13" i="6"/>
  <c r="AJ14" i="6"/>
  <c r="AL14" i="6" s="1"/>
  <c r="AJ15" i="6"/>
  <c r="AL15" i="6" s="1"/>
  <c r="AJ187" i="2"/>
  <c r="AL187" i="2" s="1"/>
  <c r="AJ152" i="2"/>
  <c r="AL152" i="2" s="1"/>
  <c r="E11" i="5"/>
  <c r="E8" i="5"/>
  <c r="E7" i="5"/>
  <c r="E85" i="2"/>
  <c r="F85" i="2" s="1"/>
  <c r="E15" i="2"/>
  <c r="F15" i="2" s="1"/>
  <c r="D10" i="2"/>
  <c r="E86" i="4"/>
  <c r="E84" i="2"/>
  <c r="F84" i="2" s="1"/>
  <c r="E14" i="2"/>
  <c r="F14" i="2" s="1"/>
  <c r="E35" i="5"/>
  <c r="E6" i="5"/>
  <c r="E34" i="5"/>
  <c r="F82" i="2"/>
  <c r="F78" i="2"/>
  <c r="E7" i="2"/>
  <c r="F7" i="2" s="1"/>
  <c r="E8" i="2"/>
  <c r="F8" i="2" s="1"/>
  <c r="D83" i="2"/>
  <c r="D12" i="2"/>
  <c r="D76" i="2"/>
  <c r="D78" i="2"/>
  <c r="E80" i="2"/>
  <c r="F80" i="2" s="1"/>
  <c r="D77" i="2"/>
  <c r="E79" i="2"/>
  <c r="F79" i="2" s="1"/>
  <c r="E81" i="2"/>
  <c r="F81" i="2" s="1"/>
  <c r="F83" i="2"/>
  <c r="F77" i="2"/>
  <c r="D82" i="2"/>
  <c r="E46" i="4"/>
  <c r="F12" i="2"/>
  <c r="F10" i="2"/>
  <c r="D24" i="3"/>
  <c r="E24" i="3"/>
  <c r="D22" i="3"/>
  <c r="F22" i="3" s="1"/>
  <c r="H22" i="3" s="1"/>
  <c r="I22" i="3" s="1"/>
  <c r="E23" i="3"/>
  <c r="F23" i="3" s="1"/>
  <c r="H23" i="3" s="1"/>
  <c r="I23" i="3" s="1"/>
  <c r="E7" i="3"/>
  <c r="F7" i="3" s="1"/>
  <c r="H7" i="3" s="1"/>
  <c r="I7" i="3" s="1"/>
  <c r="E8" i="3"/>
  <c r="F8" i="3" s="1"/>
  <c r="H8" i="3" s="1"/>
  <c r="I8" i="3" s="1"/>
  <c r="E18" i="3"/>
  <c r="F18" i="3" s="1"/>
  <c r="H18" i="3" s="1"/>
  <c r="I18" i="3" s="1"/>
  <c r="E16" i="3"/>
  <c r="F16" i="3" s="1"/>
  <c r="H16" i="3" s="1"/>
  <c r="I16" i="3" s="1"/>
  <c r="E14" i="3"/>
  <c r="F14" i="3" s="1"/>
  <c r="H14" i="3" s="1"/>
  <c r="I14" i="3" s="1"/>
  <c r="E21" i="3"/>
  <c r="F21" i="3" s="1"/>
  <c r="H21" i="3" s="1"/>
  <c r="I21" i="3" s="1"/>
  <c r="E10" i="3"/>
  <c r="F10" i="3" s="1"/>
  <c r="H10" i="3" s="1"/>
  <c r="I10" i="3" s="1"/>
  <c r="E12" i="3"/>
  <c r="F12" i="3" s="1"/>
  <c r="H12" i="3" s="1"/>
  <c r="I12" i="3" s="1"/>
  <c r="E20" i="3"/>
  <c r="F20" i="3" s="1"/>
  <c r="H20" i="3" s="1"/>
  <c r="I20" i="3" s="1"/>
  <c r="E19" i="3"/>
  <c r="F19" i="3" s="1"/>
  <c r="H19" i="3" s="1"/>
  <c r="I19" i="3" s="1"/>
  <c r="E17" i="3"/>
  <c r="F17" i="3" s="1"/>
  <c r="H17" i="3" s="1"/>
  <c r="I17" i="3" s="1"/>
  <c r="E15" i="3"/>
  <c r="F15" i="3" s="1"/>
  <c r="H15" i="3" s="1"/>
  <c r="I15" i="3" s="1"/>
  <c r="E13" i="3"/>
  <c r="F13" i="3" s="1"/>
  <c r="H13" i="3" s="1"/>
  <c r="I13" i="3" s="1"/>
  <c r="E11" i="3"/>
  <c r="F11" i="3" s="1"/>
  <c r="H11" i="3" s="1"/>
  <c r="I11" i="3" s="1"/>
  <c r="E9" i="3"/>
  <c r="F9" i="3" s="1"/>
  <c r="H9" i="3" s="1"/>
  <c r="I9" i="3" s="1"/>
  <c r="E66" i="4"/>
  <c r="E26" i="4"/>
  <c r="E10" i="5"/>
  <c r="F11" i="2"/>
  <c r="F13" i="2"/>
  <c r="D13" i="2"/>
  <c r="D11" i="2"/>
  <c r="D9" i="2"/>
  <c r="D6" i="2"/>
  <c r="D6" i="3"/>
  <c r="F6" i="3" s="1"/>
  <c r="H6" i="3" s="1"/>
  <c r="AJ13" i="6" l="1"/>
  <c r="AJ12" i="6"/>
  <c r="AL12" i="6" s="1"/>
  <c r="AL13" i="6"/>
  <c r="AJ13" i="2"/>
  <c r="AL13" i="2" s="1"/>
  <c r="F24" i="3"/>
  <c r="H24" i="3" s="1"/>
  <c r="I24" i="3" s="1"/>
  <c r="I6" i="3"/>
</calcChain>
</file>

<file path=xl/sharedStrings.xml><?xml version="1.0" encoding="utf-8"?>
<sst xmlns="http://schemas.openxmlformats.org/spreadsheetml/2006/main" count="2186" uniqueCount="172">
  <si>
    <t>DATA</t>
  </si>
  <si>
    <t>NOME</t>
  </si>
  <si>
    <t>TIPO</t>
  </si>
  <si>
    <t>PRODUTO</t>
  </si>
  <si>
    <t>QNT</t>
  </si>
  <si>
    <t>VALOR</t>
  </si>
  <si>
    <t>SITUAÇÃO</t>
  </si>
  <si>
    <t>INSUMO</t>
  </si>
  <si>
    <t>QNT.</t>
  </si>
  <si>
    <t>UN.</t>
  </si>
  <si>
    <t>LEITE CONDENSADO</t>
  </si>
  <si>
    <t>g</t>
  </si>
  <si>
    <t>ENTRADA</t>
  </si>
  <si>
    <t>SAÍDA</t>
  </si>
  <si>
    <t>SALDO</t>
  </si>
  <si>
    <t>CREME DE LEITE</t>
  </si>
  <si>
    <t>MANTEIGA</t>
  </si>
  <si>
    <t>GRANULADO</t>
  </si>
  <si>
    <t>ACHOCOLATADO EM PÓ</t>
  </si>
  <si>
    <t>GRANULADO TRADICIONAL</t>
  </si>
  <si>
    <t>L</t>
  </si>
  <si>
    <t>UN</t>
  </si>
  <si>
    <t>CUSTO P/ RECEITA</t>
  </si>
  <si>
    <t>CUSTO / UNIDADE</t>
  </si>
  <si>
    <t>JUTA</t>
  </si>
  <si>
    <t>un</t>
  </si>
  <si>
    <t>PAPEL KRAFT (CARTÃO)</t>
  </si>
  <si>
    <t>VENDA</t>
  </si>
  <si>
    <t>ENCOMENDA</t>
  </si>
  <si>
    <t>DESTINO</t>
  </si>
  <si>
    <t>PROPAGANDA</t>
  </si>
  <si>
    <t>PROLABORE</t>
  </si>
  <si>
    <t>PAGO</t>
  </si>
  <si>
    <t>PENDENTE</t>
  </si>
  <si>
    <t>TOTAL</t>
  </si>
  <si>
    <t>%</t>
  </si>
  <si>
    <t>MOVIMENTAÇÃO</t>
  </si>
  <si>
    <t>PRODUTO-CADASTRO</t>
  </si>
  <si>
    <t>ALARME 1</t>
  </si>
  <si>
    <t>SINAL</t>
  </si>
  <si>
    <t>CX.10.UN</t>
  </si>
  <si>
    <t>CENTRO DE CUSTO</t>
  </si>
  <si>
    <t>SOMA</t>
  </si>
  <si>
    <t>FOLHA</t>
  </si>
  <si>
    <t>CX.6.UN</t>
  </si>
  <si>
    <t>AZZEDO</t>
  </si>
  <si>
    <t>PAÇOCA</t>
  </si>
  <si>
    <t>RECEITA</t>
  </si>
  <si>
    <t xml:space="preserve">QNT </t>
  </si>
  <si>
    <t>LEITE EM PÓ</t>
  </si>
  <si>
    <t>CADASTRO_UNIDADE</t>
  </si>
  <si>
    <t>CADASTRO_PRODUTO</t>
  </si>
  <si>
    <t>soma qnt</t>
  </si>
  <si>
    <t>TRAD.UN</t>
  </si>
  <si>
    <t>CADASTRO_TIPO_VENDAS</t>
  </si>
  <si>
    <t>PAÇO.UN</t>
  </si>
  <si>
    <t>NINH.UN</t>
  </si>
  <si>
    <t>NUTEL.UN</t>
  </si>
  <si>
    <t>CX.12.UN</t>
  </si>
  <si>
    <t>AGITADO</t>
  </si>
  <si>
    <t>CADASTRP_SITUAÇÃO_VENDAS</t>
  </si>
  <si>
    <t>CENTO</t>
  </si>
  <si>
    <t>CADASTRO_MOVIMENTAÇÃO_ESTOQUE</t>
  </si>
  <si>
    <t>CADASTRO_INSUMO_ESTOQUE</t>
  </si>
  <si>
    <t>CADASTRO_UN_ESTOQUE</t>
  </si>
  <si>
    <t>cm</t>
  </si>
  <si>
    <t>INSUMOS</t>
  </si>
  <si>
    <t>FORMA 05 VERM.</t>
  </si>
  <si>
    <t>FORMA 05 PRE.</t>
  </si>
  <si>
    <t>CAIXA 10 UN</t>
  </si>
  <si>
    <t>CAIXA 6 UN</t>
  </si>
  <si>
    <t>TINTA CARIMBO</t>
  </si>
  <si>
    <t>DESCRIÇÃO</t>
  </si>
  <si>
    <t>CADASTRO_CENTRO_DE_CUSTO_SAÍDAS</t>
  </si>
  <si>
    <t>CADASTRO_SITUAÇÃO_SAÍDAS</t>
  </si>
  <si>
    <t>INVESTIMENTOS</t>
  </si>
  <si>
    <t>CADASTRO_UN_SABORES</t>
  </si>
  <si>
    <t>FORMA 05 PRETA</t>
  </si>
  <si>
    <t>FORMA 05 VERMELHA</t>
  </si>
  <si>
    <t>PAPEL CRAFT (CARTÃO)</t>
  </si>
  <si>
    <t>PESO DA UNIDADE (g)</t>
  </si>
  <si>
    <t>RENDIMENTO (un)</t>
  </si>
  <si>
    <t>NESQUIK</t>
  </si>
  <si>
    <t>FORMA 06 PRETA</t>
  </si>
  <si>
    <t>AÇÚCAR COLORIDO ROSA</t>
  </si>
  <si>
    <t>GRANULADO BRANCO</t>
  </si>
  <si>
    <t>GRANULADO PÉROLA BRANCO</t>
  </si>
  <si>
    <t>FORMA DE PG</t>
  </si>
  <si>
    <t>CADASTRO_FORMA_DE_PG</t>
  </si>
  <si>
    <t>DINHEIRO</t>
  </si>
  <si>
    <t>PIX</t>
  </si>
  <si>
    <t>TRADIÇÃO</t>
  </si>
  <si>
    <t>NINHO</t>
  </si>
  <si>
    <t>ENCOMENDAS</t>
  </si>
  <si>
    <t>AÇÚCAR ROSA</t>
  </si>
  <si>
    <t>CX. 10 UN</t>
  </si>
  <si>
    <t>MARKETING</t>
  </si>
  <si>
    <t>LOGO</t>
  </si>
  <si>
    <t>mês</t>
  </si>
  <si>
    <t>entradas</t>
  </si>
  <si>
    <t>saídas</t>
  </si>
  <si>
    <t>saldo</t>
  </si>
  <si>
    <t>MÊS</t>
  </si>
  <si>
    <t>SÓ TRADICIONAL</t>
  </si>
  <si>
    <t>SÓ PAÇOCA</t>
  </si>
  <si>
    <t>1/2 PAÇ. 1/2 NINHO</t>
  </si>
  <si>
    <t>CARIMBOS / TINTAS</t>
  </si>
  <si>
    <t>UTENSÍLIOS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</si>
  <si>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</si>
  <si>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</si>
  <si>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</si>
  <si>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</si>
  <si>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</si>
  <si>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</si>
  <si>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</si>
  <si>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</si>
  <si>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</si>
  <si>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</si>
  <si>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</si>
  <si>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</si>
  <si>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PERÍODO</t>
  </si>
  <si>
    <t>SÓ NINHO</t>
  </si>
  <si>
    <t>CONSTELAÇÃO</t>
  </si>
  <si>
    <t>SÓ CONSTELAÇÃO</t>
  </si>
  <si>
    <t>EMBALAGEM</t>
  </si>
  <si>
    <t>MOCOCA</t>
  </si>
  <si>
    <t>TAPWARE</t>
  </si>
  <si>
    <t>MATÉRIA PRIMA</t>
  </si>
  <si>
    <t>CX. 10 UM / CX. 4 UM</t>
  </si>
  <si>
    <t>FORMAS 06</t>
  </si>
  <si>
    <t>CAIXAS CENTO</t>
  </si>
  <si>
    <t>CX. 35 UN</t>
  </si>
  <si>
    <t>PENEIRA INOX</t>
  </si>
  <si>
    <t>CONST. UN</t>
  </si>
  <si>
    <t>CX. 10. UN</t>
  </si>
  <si>
    <t>LIMÃO SICILIANO</t>
  </si>
  <si>
    <t>CX. 4. UN</t>
  </si>
  <si>
    <t>FORMAS</t>
  </si>
  <si>
    <t>CX. 4 UN / CX. 6 UN</t>
  </si>
  <si>
    <t>SÓ SICILIANO</t>
  </si>
  <si>
    <t>MISTA</t>
  </si>
  <si>
    <t>1/2 TRAD. 1/2 NINHO</t>
  </si>
  <si>
    <t>1/2 TRAD. 1/2 SICI.</t>
  </si>
  <si>
    <t>SABOR</t>
  </si>
  <si>
    <t>TRADICIONAL</t>
  </si>
  <si>
    <t>P/ FESTA (g)</t>
  </si>
  <si>
    <t>P/ CAIXA (g)</t>
  </si>
  <si>
    <t>CX. 10 UN / CX. 4 UN</t>
  </si>
  <si>
    <t>FORMA 06</t>
  </si>
  <si>
    <t>PAPEL KRAFT</t>
  </si>
  <si>
    <t>SICILI. UN</t>
  </si>
  <si>
    <t>4 SICILI / 6 TRAD.</t>
  </si>
  <si>
    <t>MISTA (-) PAÇOCA</t>
  </si>
  <si>
    <t>4 TRAD. 3 PAÇ. / 3 NIN.</t>
  </si>
  <si>
    <t>4 TRAD. / 3 PAÇ. / 3 NIN.</t>
  </si>
  <si>
    <t>PAÇ. / NIN. / TRAD. / CON.</t>
  </si>
  <si>
    <t>MISTA (-) NINHO</t>
  </si>
  <si>
    <t>PAÇ. / TRAD.</t>
  </si>
  <si>
    <t>MISTA ( - ) SICI.</t>
  </si>
  <si>
    <t xml:space="preserve">CX. 10 UN / CX. 4 UN </t>
  </si>
  <si>
    <t>FORMAS 05</t>
  </si>
  <si>
    <t xml:space="preserve">CX. 4 UN. </t>
  </si>
  <si>
    <t xml:space="preserve">2 CX. ENCOMENDA </t>
  </si>
  <si>
    <t>CX. 10 UN. / CX. 4 UN.</t>
  </si>
  <si>
    <t>SÓ CAFÉ</t>
  </si>
  <si>
    <t>CX. 10 UM / CX. 6 UN</t>
  </si>
  <si>
    <t>CX. 10 UN.</t>
  </si>
  <si>
    <t>CX. 48 UN.</t>
  </si>
  <si>
    <t xml:space="preserve">CX. 10 UN. </t>
  </si>
  <si>
    <t>AURY P.1</t>
  </si>
  <si>
    <t>AURY P.2</t>
  </si>
  <si>
    <t>NOME REMOVIDO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</si>
</sst>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00&quot;/&quot;00&quot;/&quot;0000"/>
    <numFmt numFmtId="165" formatCode="[$-416]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3F3F3"/>
      <name val="Calibri"/>
      <family val="2"/>
      <scheme val="minor"/>
    </font>
    <font>
      <sz val="10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3F3F3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5A5656"/>
        <bgColor indexed="64"/>
      </patternFill>
    </fill>
    <fill>
      <patternFill patternType="solid">
        <fgColor rgb="FF56525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5" borderId="0" xfId="0" applyNumberFormat="1" applyFont="1" applyFill="1" applyAlignment="1">
      <alignment horizontal="center" vertical="center"/>
    </xf>
    <xf numFmtId="0" fontId="4" fillId="5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6" borderId="0" xfId="0" applyNumberForma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9" fontId="5" fillId="7" borderId="1" xfId="2" applyFont="1" applyFill="1" applyBorder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6" fillId="5" borderId="0" xfId="0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5" fillId="7" borderId="1" xfId="1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4" fontId="5" fillId="7" borderId="1" xfId="1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5" fillId="7" borderId="0" xfId="0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NumberFormat="1"/>
    <xf numFmtId="165" fontId="0" fillId="0" borderId="0" xfId="0" applyNumberForma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44" fontId="0" fillId="0" borderId="0" xfId="1" applyFont="1" applyFill="1" applyAlignment="1">
      <alignment horizontal="center" vertical="center"/>
    </xf>
    <xf numFmtId="44" fontId="0" fillId="0" borderId="0" xfId="1" applyFont="1" applyFill="1"/>
    <xf numFmtId="44" fontId="8" fillId="0" borderId="0" xfId="1" applyFont="1" applyFill="1" applyAlignment="1">
      <alignment horizontal="center" vertical="center"/>
    </xf>
    <xf numFmtId="0" fontId="2" fillId="6" borderId="0" xfId="0" applyNumberFormat="1" applyFont="1" applyFill="1" applyAlignment="1">
      <alignment horizontal="center" vertical="center"/>
    </xf>
    <xf numFmtId="44" fontId="0" fillId="6" borderId="0" xfId="1" applyFont="1" applyFill="1" applyAlignment="1">
      <alignment horizontal="center" vertical="center"/>
    </xf>
    <xf numFmtId="0" fontId="0" fillId="6" borderId="0" xfId="0" applyFill="1"/>
    <xf numFmtId="14" fontId="0" fillId="8" borderId="4" xfId="0" applyNumberFormat="1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44" fontId="0" fillId="8" borderId="6" xfId="1" applyNumberFormat="1" applyFont="1" applyFill="1" applyBorder="1" applyAlignment="1">
      <alignment horizontal="center" vertical="center"/>
    </xf>
    <xf numFmtId="14" fontId="0" fillId="9" borderId="4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44" fontId="0" fillId="9" borderId="6" xfId="1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4" fontId="0" fillId="8" borderId="0" xfId="0" applyNumberFormat="1" applyFont="1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44" fontId="0" fillId="8" borderId="0" xfId="1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4" fontId="0" fillId="0" borderId="0" xfId="0" applyNumberFormat="1" applyFill="1"/>
    <xf numFmtId="14" fontId="0" fillId="0" borderId="0" xfId="0" applyNumberFormat="1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44" fontId="0" fillId="7" borderId="3" xfId="1" applyFont="1" applyFill="1" applyBorder="1" applyAlignment="1">
      <alignment horizontal="center" vertical="center"/>
    </xf>
    <xf numFmtId="44" fontId="0" fillId="7" borderId="0" xfId="1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24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3F3F3"/>
        <name val="Calibri"/>
        <family val="2"/>
        <scheme val="minor"/>
      </font>
      <fill>
        <patternFill patternType="solid">
          <fgColor indexed="64"/>
          <bgColor rgb="FF5A5656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3F3F3"/>
        <name val="Calibri"/>
        <family val="2"/>
        <scheme val="minor"/>
      </font>
      <fill>
        <patternFill patternType="solid">
          <fgColor indexed="64"/>
          <bgColor rgb="FF5A5656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3F3F3"/>
        <name val="Calibri"/>
        <family val="2"/>
        <scheme val="minor"/>
      </font>
      <fill>
        <patternFill patternType="solid">
          <fgColor indexed="64"/>
          <bgColor rgb="FF5A5656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3F3F3"/>
        <name val="Calibri"/>
        <family val="2"/>
        <scheme val="minor"/>
      </font>
      <fill>
        <patternFill patternType="solid">
          <fgColor indexed="64"/>
          <bgColor rgb="FF5A5656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3F3F3"/>
        <name val="Calibri"/>
        <family val="2"/>
        <scheme val="minor"/>
      </font>
      <fill>
        <patternFill patternType="solid">
          <fgColor indexed="64"/>
          <bgColor rgb="FF5A5656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3F3F3"/>
        <name val="Calibri"/>
        <family val="2"/>
        <scheme val="minor"/>
      </font>
      <numFmt numFmtId="0" formatCode="General"/>
      <fill>
        <patternFill patternType="solid">
          <fgColor indexed="64"/>
          <bgColor rgb="FF5A5656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3F3F3"/>
        <name val="Calibri"/>
        <family val="2"/>
        <scheme val="minor"/>
      </font>
      <numFmt numFmtId="0" formatCode="General"/>
      <fill>
        <patternFill patternType="solid">
          <fgColor indexed="64"/>
          <bgColor rgb="FF5A5656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3F3F3"/>
        <name val="Calibri"/>
        <family val="2"/>
        <scheme val="minor"/>
      </font>
      <numFmt numFmtId="0" formatCode="General"/>
      <fill>
        <patternFill patternType="solid">
          <fgColor indexed="64"/>
          <bgColor rgb="FF5A5656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3F3F3"/>
        <name val="Calibri"/>
        <family val="2"/>
        <scheme val="minor"/>
      </font>
      <numFmt numFmtId="0" formatCode="General"/>
      <fill>
        <patternFill patternType="solid">
          <fgColor indexed="64"/>
          <bgColor rgb="FF5A5656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3F3F3"/>
        <name val="Calibri"/>
        <family val="2"/>
        <scheme val="minor"/>
      </font>
      <numFmt numFmtId="0" formatCode="General"/>
      <fill>
        <patternFill patternType="solid">
          <fgColor indexed="64"/>
          <bgColor rgb="FF5A5656"/>
        </patternFill>
      </fill>
      <alignment horizontal="center" vertical="center" textRotation="0" wrapText="0" indent="0" justifyLastLine="0" shrinkToFit="0" readingOrder="0"/>
    </dxf>
    <dxf>
      <font>
        <color rgb="FF000000"/>
      </font>
      <numFmt numFmtId="0" formatCode="General"/>
      <fill>
        <patternFill patternType="solid">
          <fgColor indexed="64"/>
          <bgColor rgb="FFE7E6E6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color rgb="FF000000"/>
      </font>
      <numFmt numFmtId="0" formatCode="General"/>
      <fill>
        <patternFill patternType="solid">
          <fgColor indexed="64"/>
          <bgColor rgb="FFE7E6E6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color rgb="FF000000"/>
      </font>
      <numFmt numFmtId="0" formatCode="General"/>
      <fill>
        <patternFill patternType="solid">
          <fgColor indexed="64"/>
          <bgColor rgb="FFE7E6E6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color rgb="FF000000"/>
      </font>
      <numFmt numFmtId="0" formatCode="General"/>
      <fill>
        <patternFill patternType="solid">
          <fgColor indexed="64"/>
          <bgColor rgb="FFE7E6E6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color rgb="FF000000"/>
      </font>
      <numFmt numFmtId="0" formatCode="General"/>
      <fill>
        <patternFill patternType="solid">
          <fgColor indexed="64"/>
          <bgColor rgb="FFE7E6E6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color rgb="FF000000"/>
      </font>
      <numFmt numFmtId="0" formatCode="General"/>
      <fill>
        <patternFill patternType="solid">
          <fgColor indexed="64"/>
          <bgColor rgb="FFE7E6E6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indexed="64"/>
          <bgColor rgb="FFE7E6E6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color rgb="FF000000"/>
      </font>
      <fill>
        <patternFill patternType="solid">
          <fgColor indexed="64"/>
          <bgColor rgb="FFE7E6E6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3F3F3"/>
        <name val="Calibri"/>
        <family val="2"/>
        <scheme val="minor"/>
      </font>
      <numFmt numFmtId="0" formatCode="General"/>
      <fill>
        <patternFill patternType="solid">
          <fgColor indexed="64"/>
          <bgColor rgb="FF5A5656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0&quot;/&quot;00&quot;/&quot;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3F3F3"/>
        <name val="Calibri"/>
        <family val="2"/>
        <scheme val="minor"/>
      </font>
      <numFmt numFmtId="0" formatCode="General"/>
      <fill>
        <patternFill patternType="solid">
          <fgColor indexed="64"/>
          <bgColor rgb="FF5A5656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5A5656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5A5656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5A5656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5A5656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5A5656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4747"/>
      <color rgb="FFFFCA21"/>
      <color rgb="FFFF0909"/>
      <color rgb="FFF9ADAD"/>
      <color rgb="FF565252"/>
      <color rgb="FFDEDEDE"/>
      <color rgb="FFFFC5C5"/>
      <color rgb="FF70330A"/>
      <color rgb="FFEA9B44"/>
      <color rgb="FFECA5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RELATÓRIOS!$AJ$4</c:f>
              <c:strCache>
                <c:ptCount val="1"/>
                <c:pt idx="0">
                  <c:v> entradas 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7"/>
              <c:layout>
                <c:manualLayout>
                  <c:x val="0"/>
                  <c:y val="-6.9209345155788927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08-4286-9AE8-0615E8B475B9}"/>
                </c:ext>
              </c:extLst>
            </c:dLbl>
            <c:dLbl>
              <c:idx val="8"/>
              <c:layout>
                <c:manualLayout>
                  <c:x val="1.4773261653038291E-2"/>
                  <c:y val="-7.748805474124524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08-4286-9AE8-0615E8B475B9}"/>
                </c:ext>
              </c:extLst>
            </c:dLbl>
            <c:dLbl>
              <c:idx val="9"/>
              <c:layout>
                <c:manualLayout>
                  <c:x val="-2.2858238668809483E-2"/>
                  <c:y val="-7.109252629321480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A9-41A7-8BB7-8ACEAA9FF32D}"/>
                </c:ext>
              </c:extLst>
            </c:dLbl>
            <c:dLbl>
              <c:idx val="10"/>
              <c:layout>
                <c:manualLayout>
                  <c:x val="-2.0780216971644984E-2"/>
                  <c:y val="-2.58403140106506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A9-41A7-8BB7-8ACEAA9FF32D}"/>
                </c:ext>
              </c:extLst>
            </c:dLbl>
            <c:dLbl>
              <c:idx val="11"/>
              <c:layout>
                <c:manualLayout>
                  <c:x val="-2.2858238668809636E-2"/>
                  <c:y val="-4.265551577592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CC-4AA6-A65D-BFAE241CAD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7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RELATÓRIOS!$AI$5:$AI$16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RELATÓRIOS!$AJ$5:$AJ$16</c:f>
              <c:numCache>
                <c:formatCode>_("R$"* #,##0.00_);_("R$"* \(#,##0.00\);_("R$"* "-"??_);_(@_)</c:formatCode>
                <c:ptCount val="12"/>
                <c:pt idx="7">
                  <c:v>1626.6</c:v>
                </c:pt>
                <c:pt idx="8">
                  <c:v>1866.11</c:v>
                </c:pt>
                <c:pt idx="9">
                  <c:v>494.8</c:v>
                </c:pt>
                <c:pt idx="10">
                  <c:v>355.15999999999997</c:v>
                </c:pt>
                <c:pt idx="11">
                  <c:v>532.4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8-4286-9AE8-0615E8B475B9}"/>
            </c:ext>
          </c:extLst>
        </c:ser>
        <c:ser>
          <c:idx val="1"/>
          <c:order val="1"/>
          <c:tx>
            <c:strRef>
              <c:f>RELATÓRIOS!$AK$4</c:f>
              <c:strCache>
                <c:ptCount val="1"/>
                <c:pt idx="0">
                  <c:v> saídas 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7"/>
              <c:layout>
                <c:manualLayout>
                  <c:x val="4.9980512410698246E-3"/>
                  <c:y val="-3.54378050602345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08-4286-9AE8-0615E8B475B9}"/>
                </c:ext>
              </c:extLst>
            </c:dLbl>
            <c:dLbl>
              <c:idx val="8"/>
              <c:layout>
                <c:manualLayout>
                  <c:x val="1.2111103148088335E-2"/>
                  <c:y val="-3.504770581408814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08-4286-9AE8-0615E8B475B9}"/>
                </c:ext>
              </c:extLst>
            </c:dLbl>
            <c:dLbl>
              <c:idx val="9"/>
              <c:layout>
                <c:manualLayout>
                  <c:x val="-4.1560433943289973E-3"/>
                  <c:y val="-5.40306698476373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77-4E88-ACA4-D19D43157374}"/>
                </c:ext>
              </c:extLst>
            </c:dLbl>
            <c:dLbl>
              <c:idx val="10"/>
              <c:layout>
                <c:manualLayout>
                  <c:x val="2.0780216971644986E-3"/>
                  <c:y val="-1.77731315733034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5A9-41A7-8BB7-8ACEAA9FF32D}"/>
                </c:ext>
              </c:extLst>
            </c:dLbl>
            <c:dLbl>
              <c:idx val="11"/>
              <c:layout>
                <c:manualLayout>
                  <c:x val="1.2468130182986991E-2"/>
                  <c:y val="-4.214296385161970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CC-4AA6-A65D-BFAE241CAD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7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RELATÓRIOS!$AI$5:$AI$16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RELATÓRIOS!$AK$5:$AK$16</c:f>
              <c:numCache>
                <c:formatCode>_("R$"* #,##0.00_);_("R$"* \(#,##0.00\);_("R$"* "-"??_);_(@_)</c:formatCode>
                <c:ptCount val="12"/>
                <c:pt idx="7">
                  <c:v>676.48</c:v>
                </c:pt>
                <c:pt idx="8">
                  <c:v>822.9</c:v>
                </c:pt>
                <c:pt idx="9">
                  <c:v>66.05</c:v>
                </c:pt>
                <c:pt idx="10">
                  <c:v>56.319999999999993</c:v>
                </c:pt>
                <c:pt idx="11">
                  <c:v>236.55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8-4286-9AE8-0615E8B475B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532866335"/>
        <c:axId val="532854271"/>
      </c:barChart>
      <c:catAx>
        <c:axId val="5328663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2854271"/>
        <c:crosses val="autoZero"/>
        <c:auto val="1"/>
        <c:lblAlgn val="ctr"/>
        <c:lblOffset val="100"/>
        <c:noMultiLvlLbl val="0"/>
      </c:catAx>
      <c:valAx>
        <c:axId val="5328542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286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7986713197230665"/>
          <c:y val="2.832928159841203E-2"/>
          <c:w val="0.23325021576269606"/>
          <c:h val="8.7318152445603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RELATÓRIOS!$AL$4</c:f>
              <c:strCache>
                <c:ptCount val="1"/>
                <c:pt idx="0">
                  <c:v> saldo 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7"/>
              <c:layout>
                <c:manualLayout>
                  <c:x val="-6.264251045800269E-2"/>
                  <c:y val="-8.86117235345582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69-4BE4-85BE-D7332DCA4D2D}"/>
                </c:ext>
              </c:extLst>
            </c:dLbl>
            <c:dLbl>
              <c:idx val="8"/>
              <c:layout>
                <c:manualLayout>
                  <c:x val="-6.7834732266284406E-2"/>
                  <c:y val="-7.5832720909886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69-4BE4-85BE-D7332DCA4D2D}"/>
                </c:ext>
              </c:extLst>
            </c:dLbl>
            <c:dLbl>
              <c:idx val="9"/>
              <c:layout>
                <c:manualLayout>
                  <c:x val="-6.4847808087172734E-2"/>
                  <c:y val="-0.2222222222222222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9D-47B2-B306-53663EECF6C3}"/>
                </c:ext>
              </c:extLst>
            </c:dLbl>
            <c:dLbl>
              <c:idx val="10"/>
              <c:layout>
                <c:manualLayout>
                  <c:x val="-8.9815296289051577E-2"/>
                  <c:y val="2.6666666666666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2A5-40E3-9E1F-604D8F13BD52}"/>
                </c:ext>
              </c:extLst>
            </c:dLbl>
            <c:dLbl>
              <c:idx val="11"/>
              <c:layout>
                <c:manualLayout>
                  <c:x val="-6.8773634332458819E-3"/>
                  <c:y val="-7.11111111111111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2A5-40E3-9E1F-604D8F13BD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5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RELATÓRIOS!$AI$5:$AI$16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RELATÓRIOS!$AL$5:$AL$16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950.11999999999989</c:v>
                </c:pt>
                <c:pt idx="8">
                  <c:v>1043.21</c:v>
                </c:pt>
                <c:pt idx="9">
                  <c:v>428.75</c:v>
                </c:pt>
                <c:pt idx="10">
                  <c:v>298.83999999999997</c:v>
                </c:pt>
                <c:pt idx="11">
                  <c:v>295.84999999999997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9-4BE4-85BE-D7332DCA4D2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9252399"/>
        <c:axId val="539235759"/>
      </c:lineChart>
      <c:catAx>
        <c:axId val="5392523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235759"/>
        <c:crosses val="autoZero"/>
        <c:auto val="1"/>
        <c:lblAlgn val="ctr"/>
        <c:lblOffset val="100"/>
        <c:noMultiLvlLbl val="0"/>
      </c:catAx>
      <c:valAx>
        <c:axId val="5392357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25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SAÍDAS!$D$27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A8F-42A2-9D83-72DDA96621A8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A8F-42A2-9D83-72DDA96621A8}"/>
              </c:ext>
            </c:extLst>
          </c:dPt>
          <c:dPt>
            <c:idx val="2"/>
            <c:bubble3D val="0"/>
            <c:spPr>
              <a:solidFill>
                <a:srgbClr val="FF4747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A8F-42A2-9D83-72DDA96621A8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A8F-42A2-9D83-72DDA96621A8}"/>
              </c:ext>
            </c:extLst>
          </c:dPt>
          <c:dLbls>
            <c:dLbl>
              <c:idx val="0"/>
              <c:layout>
                <c:manualLayout>
                  <c:x val="8.1388405897117003E-2"/>
                  <c:y val="0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8F-42A2-9D83-72DDA96621A8}"/>
                </c:ext>
              </c:extLst>
            </c:dLbl>
            <c:dLbl>
              <c:idx val="1"/>
              <c:layout>
                <c:manualLayout>
                  <c:x val="4.5637596646278498E-2"/>
                  <c:y val="2.596311321384697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A8F-42A2-9D83-72DDA96621A8}"/>
                </c:ext>
              </c:extLst>
            </c:dLbl>
            <c:dLbl>
              <c:idx val="2"/>
              <c:layout>
                <c:manualLayout>
                  <c:x val="7.9537368060733442E-4"/>
                  <c:y val="7.837446355626374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A8F-42A2-9D83-72DDA96621A8}"/>
                </c:ext>
              </c:extLst>
            </c:dLbl>
            <c:dLbl>
              <c:idx val="3"/>
              <c:layout>
                <c:manualLayout>
                  <c:x val="-0.14131872506174711"/>
                  <c:y val="7.606263848116685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A8F-42A2-9D83-72DDA96621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6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SAÍDAS!$C$28:$C$35</c15:sqref>
                  </c15:fullRef>
                </c:ext>
              </c:extLst>
              <c:f>(SAÍDAS!$C$28,SAÍDAS!$C$30,SAÍDAS!$C$32,SAÍDAS!$C$35)</c:f>
              <c:strCache>
                <c:ptCount val="4"/>
                <c:pt idx="0">
                  <c:v>EMBALAGEM</c:v>
                </c:pt>
                <c:pt idx="1">
                  <c:v>INSUMO</c:v>
                </c:pt>
                <c:pt idx="2">
                  <c:v>MARKETING</c:v>
                </c:pt>
                <c:pt idx="3">
                  <c:v>UTENSÍLIOS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SAÍDAS!$D$28:$D$35</c15:sqref>
                  </c15:fullRef>
                </c:ext>
              </c:extLst>
              <c:f>(SAÍDAS!$D$28,SAÍDAS!$D$30,SAÍDAS!$D$32,SAÍDAS!$D$35)</c:f>
              <c:numCache>
                <c:formatCode>_("R$"* #,##0.00_);_("R$"* \(#,##0.00\);_("R$"* "-"??_);_(@_)</c:formatCode>
                <c:ptCount val="4"/>
                <c:pt idx="0">
                  <c:v>143.55000000000001</c:v>
                </c:pt>
                <c:pt idx="1">
                  <c:v>449.53000000000003</c:v>
                </c:pt>
                <c:pt idx="2">
                  <c:v>195.18</c:v>
                </c:pt>
                <c:pt idx="3">
                  <c:v>34.64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SAÍDAS!$D$29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  <c15:dLbl>
                    <c:idx val="0"/>
                    <c:layout>
                      <c:manualLayout>
                        <c:x val="0.1999999999999999"/>
                        <c:y val="-6.9444444444444448E-2"/>
                      </c:manualLayout>
                    </c:layout>
                    <c:dLblPos val="bestFit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separator>
</c:separator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A-C66D-4B20-B0CC-533EBE22732F}"/>
                      </c:ext>
                    </c:extLst>
                  </c15:dLbl>
                </c15:categoryFilterException>
                <c15:categoryFilterException>
                  <c15:sqref>SAÍDAS!$D$31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  <c15:dLbl>
                    <c:idx val="1"/>
                    <c:layout>
                      <c:manualLayout>
                        <c:x val="-0.11944444444444446"/>
                        <c:y val="0.12962962962962962"/>
                      </c:manualLayout>
                    </c:layout>
                    <c:dLblPos val="bestFit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separator>
</c:separator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C-C66D-4B20-B0CC-533EBE22732F}"/>
                      </c:ext>
                    </c:extLst>
                  </c15:dLbl>
                </c15:categoryFilterException>
                <c15:categoryFilterException>
                  <c15:sqref>SAÍDAS!$D$33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  <c15:dLbl>
                    <c:idx val="2"/>
                    <c:layout>
                      <c:manualLayout>
                        <c:x val="-0.22818173225936633"/>
                        <c:y val="0.13691274926610034"/>
                      </c:manualLayout>
                    </c:layout>
                    <c:dLblPos val="bestFit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separator>
</c:separator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E-C66D-4B20-B0CC-533EBE22732F}"/>
                      </c:ext>
                    </c:extLst>
                  </c15:dLbl>
                </c15:categoryFilterException>
                <c15:categoryFilterException>
                  <c15:sqref>SAÍDAS!$D$34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  <c15:dLbl>
                    <c:idx val="2"/>
                    <c:layout>
                      <c:manualLayout>
                        <c:x val="-0.196513807897128"/>
                        <c:y val="0.81981719213272741"/>
                      </c:manualLayout>
                    </c:layout>
                    <c:dLblPos val="bestFit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separator>
</c:separator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0-C66D-4B20-B0CC-533EBE22732F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4A8F-42A2-9D83-72DDA96621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SAÍDAS!$D$5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BC8-4C0C-A280-57A062AF7471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BC8-4C0C-A280-57A062AF7471}"/>
              </c:ext>
            </c:extLst>
          </c:dPt>
          <c:dLbls>
            <c:dLbl>
              <c:idx val="0"/>
              <c:layout>
                <c:manualLayout>
                  <c:x val="-3.3524381003544115E-2"/>
                  <c:y val="-0.1643500150491148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C8-4C0C-A280-57A062AF7471}"/>
                </c:ext>
              </c:extLst>
            </c:dLbl>
            <c:dLbl>
              <c:idx val="1"/>
              <c:layout>
                <c:manualLayout>
                  <c:x val="5.3493180615468497E-3"/>
                  <c:y val="0.1011401637676797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BC8-4C0C-A280-57A062AF74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6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SAÍDAS!$C$6:$C$12</c15:sqref>
                  </c15:fullRef>
                </c:ext>
              </c:extLst>
              <c:f>(SAÍDAS!$C$6,SAÍDAS!$C$8)</c:f>
              <c:strCache>
                <c:ptCount val="2"/>
                <c:pt idx="0">
                  <c:v>EMBALAGEM</c:v>
                </c:pt>
                <c:pt idx="1">
                  <c:v>INSUMO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SAÍDAS!$D$6:$D$12</c15:sqref>
                  </c15:fullRef>
                </c:ext>
              </c:extLst>
              <c:f>(SAÍDAS!$D$6,SAÍDAS!$D$8)</c:f>
              <c:numCache>
                <c:formatCode>General</c:formatCode>
                <c:ptCount val="2"/>
                <c:pt idx="0">
                  <c:v>297.51</c:v>
                </c:pt>
                <c:pt idx="1">
                  <c:v>378.97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SAÍDAS!$D$7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SAÍDAS!$D$9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SAÍDAS!$D$10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SAÍDAS!$D$11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SAÍDAS!$D$12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E-3BC8-4C0C-A280-57A062AF7471}"/>
            </c:ext>
          </c:extLst>
        </c:ser>
        <c:ser>
          <c:idx val="1"/>
          <c:order val="1"/>
          <c:tx>
            <c:strRef>
              <c:f>SAÍDAS!$E$5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3BC8-4C0C-A280-57A062AF74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3BC8-4C0C-A280-57A062AF7471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SAÍDAS!$C$6:$C$12</c15:sqref>
                  </c15:fullRef>
                </c:ext>
              </c:extLst>
              <c:f>(SAÍDAS!$C$6,SAÍDAS!$C$8)</c:f>
              <c:strCache>
                <c:ptCount val="2"/>
                <c:pt idx="0">
                  <c:v>EMBALAGEM</c:v>
                </c:pt>
                <c:pt idx="1">
                  <c:v>INSUMO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SAÍDAS!$E$6:$E$12</c15:sqref>
                  </c15:fullRef>
                </c:ext>
              </c:extLst>
              <c:f>(SAÍDAS!$E$6,SAÍDAS!$E$8)</c:f>
              <c:numCache>
                <c:formatCode>0%</c:formatCode>
                <c:ptCount val="2"/>
                <c:pt idx="0">
                  <c:v>0.43979127246925259</c:v>
                </c:pt>
                <c:pt idx="1">
                  <c:v>0.56020872753074746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SAÍDAS!$E$7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SAÍDAS!$E$9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SAÍDAS!$E$10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SAÍDAS!$E$11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SAÍDAS!$E$12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D-3BC8-4C0C-A280-57A062AF7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SAÍDAS!$D$61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E80-40B3-ACC1-A3E1269595BD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E80-40B3-ACC1-A3E1269595BD}"/>
              </c:ext>
            </c:extLst>
          </c:dPt>
          <c:dLbls>
            <c:dLbl>
              <c:idx val="0"/>
              <c:layout>
                <c:manualLayout>
                  <c:x val="-9.9612887034539015E-3"/>
                  <c:y val="-0.17767223561033696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80-40B3-ACC1-A3E1269595BD}"/>
                </c:ext>
              </c:extLst>
            </c:dLbl>
            <c:dLbl>
              <c:idx val="1"/>
              <c:layout>
                <c:manualLayout>
                  <c:x val="-3.5867867114220357E-3"/>
                  <c:y val="-2.4398754281894214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E80-40B3-ACC1-A3E1269595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6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SAÍDAS!$C$62:$C$69</c15:sqref>
                  </c15:fullRef>
                </c:ext>
              </c:extLst>
              <c:f>(SAÍDAS!$C$62,SAÍDAS!$C$64)</c:f>
              <c:strCache>
                <c:ptCount val="2"/>
                <c:pt idx="0">
                  <c:v>EMBALAGEM</c:v>
                </c:pt>
                <c:pt idx="1">
                  <c:v>INSUMO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SAÍDAS!$D$62:$D$69</c15:sqref>
                  </c15:fullRef>
                </c:ext>
              </c:extLst>
              <c:f>(SAÍDAS!$D$62,SAÍDAS!$D$64)</c:f>
              <c:numCache>
                <c:formatCode>General</c:formatCode>
                <c:ptCount val="2"/>
                <c:pt idx="0">
                  <c:v>35.479999999999997</c:v>
                </c:pt>
                <c:pt idx="1">
                  <c:v>30.57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SAÍDAS!$D$63</c15:sqref>
                  <c15:spPr xmlns:c15="http://schemas.microsoft.com/office/drawing/2012/chart"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  <c15:dLbl>
                    <c:idx val="0"/>
                    <c:layout>
                      <c:manualLayout>
                        <c:x val="-0.20478200583492798"/>
                        <c:y val="9.5011890700714941E-4"/>
                      </c:manualLayout>
                    </c:layout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separator>
</c:separator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A-CE58-4C96-81F1-AE22E00B8B8E}"/>
                      </c:ext>
                    </c:extLst>
                  </c15:dLbl>
                </c15:categoryFilterException>
                <c15:categoryFilterException>
                  <c15:sqref>SAÍDAS!$D$65</c15:sqref>
                  <c15:spPr xmlns:c15="http://schemas.microsoft.com/office/drawing/2012/chart"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  <c15:dLbl>
                    <c:idx val="1"/>
                    <c:layout>
                      <c:manualLayout>
                        <c:x val="5.57758885716974E-2"/>
                        <c:y val="9.5011890700714941E-4"/>
                      </c:manualLayout>
                    </c:layout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separator>
</c:separator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C-CE58-4C96-81F1-AE22E00B8B8E}"/>
                      </c:ext>
                    </c:extLst>
                  </c15:dLbl>
                </c15:categoryFilterException>
                <c15:categoryFilterException>
                  <c15:sqref>SAÍDAS!$D$66</c15:sqref>
                  <c15:spPr xmlns:c15="http://schemas.microsoft.com/office/drawing/2012/chart"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  <c15:dLbl>
                    <c:idx val="1"/>
                    <c:layout>
                      <c:manualLayout>
                        <c:x val="0.4011940897826019"/>
                        <c:y val="0.41140148673409566"/>
                      </c:manualLayout>
                    </c:layout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separator>
</c:separator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E-CE58-4C96-81F1-AE22E00B8B8E}"/>
                      </c:ext>
                    </c:extLst>
                  </c15:dLbl>
                </c15:categoryFilterException>
                <c15:categoryFilterException>
                  <c15:sqref>SAÍDAS!$D$67</c15:sqref>
                  <c15:spPr xmlns:c15="http://schemas.microsoft.com/office/drawing/2012/chart"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  <c15:dLbl>
                    <c:idx val="1"/>
                    <c:layout>
                      <c:manualLayout>
                        <c:x val="0.39282755591806007"/>
                        <c:y val="0.22137770533266582"/>
                      </c:manualLayout>
                    </c:layout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separator>
</c:separator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0-CE58-4C96-81F1-AE22E00B8B8E}"/>
                      </c:ext>
                    </c:extLst>
                  </c15:dLbl>
                </c15:categoryFilterException>
                <c15:categoryFilterException>
                  <c15:sqref>SAÍDAS!$D$68</c15:sqref>
                  <c15:spPr xmlns:c15="http://schemas.microsoft.com/office/drawing/2012/chart"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  <c15:dLbl>
                    <c:idx val="1"/>
                    <c:layout>
                      <c:manualLayout>
                        <c:x val="-0.36255080465539419"/>
                        <c:y val="0.73824239074455511"/>
                      </c:manualLayout>
                    </c:layout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separator>
</c:separator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2-CE58-4C96-81F1-AE22E00B8B8E}"/>
                      </c:ext>
                    </c:extLst>
                  </c15:dLbl>
                </c15:categoryFilterException>
                <c15:categoryFilterException>
                  <c15:sqref>SAÍDAS!$D$69</c15:sqref>
                  <c15:spPr xmlns:c15="http://schemas.microsoft.com/office/drawing/2012/chart"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  <c15:dLbl>
                    <c:idx val="1"/>
                    <c:layout>
                      <c:manualLayout>
                        <c:x val="-0.39482184647237822"/>
                        <c:y val="0.3087886447773236"/>
                      </c:manualLayout>
                    </c:layout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separator>
</c:separator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4-CE58-4C96-81F1-AE22E00B8B8E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BE80-40B3-ACC1-A3E1269595BD}"/>
            </c:ext>
          </c:extLst>
        </c:ser>
        <c:ser>
          <c:idx val="1"/>
          <c:order val="1"/>
          <c:tx>
            <c:strRef>
              <c:f>SAÍDAS!$E$61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BE80-40B3-ACC1-A3E1269595B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BE80-40B3-ACC1-A3E1269595BD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SAÍDAS!$C$62:$C$69</c15:sqref>
                  </c15:fullRef>
                </c:ext>
              </c:extLst>
              <c:f>(SAÍDAS!$C$62,SAÍDAS!$C$64)</c:f>
              <c:strCache>
                <c:ptCount val="2"/>
                <c:pt idx="0">
                  <c:v>EMBALAGEM</c:v>
                </c:pt>
                <c:pt idx="1">
                  <c:v>INSUMO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SAÍDAS!$E$62:$E$69</c15:sqref>
                  </c15:fullRef>
                </c:ext>
              </c:extLst>
              <c:f>(SAÍDAS!$E$62,SAÍDAS!$E$64)</c:f>
              <c:numCache>
                <c:formatCode>0%</c:formatCode>
                <c:ptCount val="2"/>
                <c:pt idx="0">
                  <c:v>0.53716881150643447</c:v>
                </c:pt>
                <c:pt idx="1">
                  <c:v>0.46283118849356553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SAÍDAS!$E$63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SAÍDAS!$E$65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SAÍDAS!$E$66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SAÍDAS!$E$67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SAÍDAS!$E$68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SAÍDAS!$E$69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BE80-40B3-ACC1-A3E126959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SAÍDAS!$D$73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FC9-4983-993C-8A8F6F4D3077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FC9-4983-993C-8A8F6F4D3077}"/>
              </c:ext>
            </c:extLst>
          </c:dPt>
          <c:dLbls>
            <c:dLbl>
              <c:idx val="0"/>
              <c:layout>
                <c:manualLayout>
                  <c:x val="-1.2542179092068719E-3"/>
                  <c:y val="3.0445190000316451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C9-4983-993C-8A8F6F4D3077}"/>
                </c:ext>
              </c:extLst>
            </c:dLbl>
            <c:dLbl>
              <c:idx val="1"/>
              <c:layout>
                <c:manualLayout>
                  <c:x val="-0.15847590089341312"/>
                  <c:y val="-1.118632348805508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C9-4983-993C-8A8F6F4D30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SAÍDAS!$C$74:$C$81</c15:sqref>
                  </c15:fullRef>
                </c:ext>
              </c:extLst>
              <c:f>(SAÍDAS!$C$74,SAÍDAS!$C$76)</c:f>
              <c:strCache>
                <c:ptCount val="2"/>
                <c:pt idx="0">
                  <c:v>EMBALAGEM</c:v>
                </c:pt>
                <c:pt idx="1">
                  <c:v>INSUMO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SAÍDAS!$D$74:$D$81</c15:sqref>
                  </c15:fullRef>
                </c:ext>
              </c:extLst>
              <c:f>(SAÍDAS!$D$74,SAÍDAS!$D$76)</c:f>
              <c:numCache>
                <c:formatCode>_("R$"* #,##0.00_);_("R$"* \(#,##0.00\);_("R$"* "-"??_);_(@_)</c:formatCode>
                <c:ptCount val="2"/>
                <c:pt idx="0">
                  <c:v>25.419999999999998</c:v>
                </c:pt>
                <c:pt idx="1">
                  <c:v>30.9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SAÍDAS!$D$75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  <c15:dLbl>
                    <c:idx val="0"/>
                    <c:layout>
                      <c:manualLayout>
                        <c:x val="0.52202661616632506"/>
                        <c:y val="7.1574557876013481E-2"/>
                      </c:manualLayout>
                    </c:layout>
                    <c:dLblPos val="bestFit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separator>
</c:separator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9-5000-4EE5-9CD2-38D744DCC1EA}"/>
                      </c:ext>
                    </c:extLst>
                  </c15:dLbl>
                </c15:categoryFilterException>
                <c15:categoryFilterException>
                  <c15:sqref>SAÍDAS!$D$77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  <c15:dLbl>
                    <c:idx val="1"/>
                    <c:layout>
                      <c:manualLayout>
                        <c:x val="-0.34507577925864785"/>
                        <c:y val="0.81137416535457985"/>
                      </c:manualLayout>
                    </c:layout>
                    <c:dLblPos val="bestFit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separator>
</c:separator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B-5000-4EE5-9CD2-38D744DCC1EA}"/>
                      </c:ext>
                    </c:extLst>
                  </c15:dLbl>
                </c15:categoryFilterException>
                <c15:categoryFilterException>
                  <c15:sqref>SAÍDAS!$D$78</c15:sqref>
                  <c15:spPr xmlns:c15="http://schemas.microsoft.com/office/drawing/2012/chart">
                    <a:solidFill>
                      <a:srgbClr val="FF4747"/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  <c15:dLbl>
                    <c:idx val="1"/>
                    <c:layout>
                      <c:manualLayout>
                        <c:x val="-0.41633735374644326"/>
                        <c:y val="0.61956797564862465"/>
                      </c:manualLayout>
                    </c:layout>
                    <c:dLblPos val="bestFit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separator>
</c:separator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D-5000-4EE5-9CD2-38D744DCC1EA}"/>
                      </c:ext>
                    </c:extLst>
                  </c15:dLbl>
                </c15:categoryFilterException>
                <c15:categoryFilterException>
                  <c15:sqref>SAÍDAS!$D$79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  <c15:dLbl>
                    <c:idx val="1"/>
                    <c:layout>
                      <c:manualLayout>
                        <c:x val="-0.25555649154943344"/>
                        <c:y val="4.7393350780057233E-3"/>
                      </c:manualLayout>
                    </c:layout>
                    <c:dLblPos val="bestFit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separator>
</c:separator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F-5000-4EE5-9CD2-38D744DCC1EA}"/>
                      </c:ext>
                    </c:extLst>
                  </c15:dLbl>
                </c15:categoryFilterException>
                <c15:categoryFilterException>
                  <c15:sqref>SAÍDAS!$D$80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  <c15:dLbl>
                    <c:idx val="1"/>
                    <c:layout>
                      <c:manualLayout>
                        <c:x val="0.40634785493116998"/>
                        <c:y val="0.20189567432304384"/>
                      </c:manualLayout>
                    </c:layout>
                    <c:dLblPos val="bestFit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separator>
</c:separator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1-5000-4EE5-9CD2-38D744DCC1EA}"/>
                      </c:ext>
                    </c:extLst>
                  </c15:dLbl>
                </c15:categoryFilterException>
                <c15:categoryFilterException>
                  <c15:sqref>SAÍDAS!$D$81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  <c15:dLbl>
                    <c:idx val="1"/>
                    <c:layout>
                      <c:manualLayout>
                        <c:x val="0.27817340878055025"/>
                        <c:y val="8.5308031404103032E-3"/>
                      </c:manualLayout>
                    </c:layout>
                    <c:dLblPos val="bestFit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separator>
</c:separator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3-5000-4EE5-9CD2-38D744DCC1EA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DFC9-4983-993C-8A8F6F4D3077}"/>
            </c:ext>
          </c:extLst>
        </c:ser>
        <c:ser>
          <c:idx val="1"/>
          <c:order val="1"/>
          <c:tx>
            <c:strRef>
              <c:f>SAÍDAS!$E$73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DFC9-4983-993C-8A8F6F4D307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FC9-4983-993C-8A8F6F4D30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SAÍDAS!$C$74:$C$81</c15:sqref>
                  </c15:fullRef>
                </c:ext>
              </c:extLst>
              <c:f>(SAÍDAS!$C$74,SAÍDAS!$C$76)</c:f>
              <c:strCache>
                <c:ptCount val="2"/>
                <c:pt idx="0">
                  <c:v>EMBALAGEM</c:v>
                </c:pt>
                <c:pt idx="1">
                  <c:v>INSUMO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SAÍDAS!$E$74:$E$81</c15:sqref>
                  </c15:fullRef>
                </c:ext>
              </c:extLst>
              <c:f>(SAÍDAS!$E$74,SAÍDAS!$E$76)</c:f>
              <c:numCache>
                <c:formatCode>0%</c:formatCode>
                <c:ptCount val="2"/>
                <c:pt idx="0">
                  <c:v>3.089075221776643E-2</c:v>
                </c:pt>
                <c:pt idx="1">
                  <c:v>3.7550127597520959E-2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SAÍDAS!$E$75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SAÍDAS!$E$77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SAÍDAS!$E$78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SAÍDAS!$E$79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SAÍDAS!$E$80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SAÍDAS!$E$81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DFC9-4983-993C-8A8F6F4D307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ESTOQUE!A1"/><Relationship Id="rId7" Type="http://schemas.openxmlformats.org/officeDocument/2006/relationships/image" Target="../media/image1.png"/><Relationship Id="rId2" Type="http://schemas.openxmlformats.org/officeDocument/2006/relationships/hyperlink" Target="#SABORES!A1"/><Relationship Id="rId1" Type="http://schemas.openxmlformats.org/officeDocument/2006/relationships/hyperlink" Target="#IN&#205;CIO!A1"/><Relationship Id="rId6" Type="http://schemas.openxmlformats.org/officeDocument/2006/relationships/hyperlink" Target="#RELAT&#211;RIOS!A1"/><Relationship Id="rId5" Type="http://schemas.openxmlformats.org/officeDocument/2006/relationships/hyperlink" Target="#SA&#205;DAS!A1"/><Relationship Id="rId4" Type="http://schemas.openxmlformats.org/officeDocument/2006/relationships/hyperlink" Target="#VEND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ESTOQUE!A1"/><Relationship Id="rId2" Type="http://schemas.openxmlformats.org/officeDocument/2006/relationships/hyperlink" Target="#SABORES!A1"/><Relationship Id="rId1" Type="http://schemas.openxmlformats.org/officeDocument/2006/relationships/hyperlink" Target="#IN&#205;CIO!A1"/><Relationship Id="rId6" Type="http://schemas.openxmlformats.org/officeDocument/2006/relationships/hyperlink" Target="#RELAT&#211;RIOS!A1"/><Relationship Id="rId5" Type="http://schemas.openxmlformats.org/officeDocument/2006/relationships/hyperlink" Target="#SA&#205;DAS!A1"/><Relationship Id="rId4" Type="http://schemas.openxmlformats.org/officeDocument/2006/relationships/hyperlink" Target="#VEND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ESTOQUE!A1"/><Relationship Id="rId2" Type="http://schemas.openxmlformats.org/officeDocument/2006/relationships/hyperlink" Target="#SABORES!A1"/><Relationship Id="rId1" Type="http://schemas.openxmlformats.org/officeDocument/2006/relationships/hyperlink" Target="#IN&#205;CIO!A1"/><Relationship Id="rId6" Type="http://schemas.openxmlformats.org/officeDocument/2006/relationships/hyperlink" Target="#RELAT&#211;RIOS!A1"/><Relationship Id="rId5" Type="http://schemas.openxmlformats.org/officeDocument/2006/relationships/hyperlink" Target="#SA&#205;DAS!A1"/><Relationship Id="rId4" Type="http://schemas.openxmlformats.org/officeDocument/2006/relationships/hyperlink" Target="#VENDAS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ESTOQUE!A1"/><Relationship Id="rId2" Type="http://schemas.openxmlformats.org/officeDocument/2006/relationships/hyperlink" Target="#SABORES!A1"/><Relationship Id="rId1" Type="http://schemas.openxmlformats.org/officeDocument/2006/relationships/hyperlink" Target="#IN&#205;CIO!A1"/><Relationship Id="rId6" Type="http://schemas.openxmlformats.org/officeDocument/2006/relationships/hyperlink" Target="#RELAT&#211;RIOS!A1"/><Relationship Id="rId5" Type="http://schemas.openxmlformats.org/officeDocument/2006/relationships/hyperlink" Target="#SA&#205;DAS!A1"/><Relationship Id="rId4" Type="http://schemas.openxmlformats.org/officeDocument/2006/relationships/hyperlink" Target="#VENDAS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ESTOQUE!A1"/><Relationship Id="rId2" Type="http://schemas.openxmlformats.org/officeDocument/2006/relationships/hyperlink" Target="#SABORES!A1"/><Relationship Id="rId1" Type="http://schemas.openxmlformats.org/officeDocument/2006/relationships/hyperlink" Target="#IN&#205;CIO!A1"/><Relationship Id="rId6" Type="http://schemas.openxmlformats.org/officeDocument/2006/relationships/hyperlink" Target="#RELAT&#211;RIOS!A1"/><Relationship Id="rId5" Type="http://schemas.openxmlformats.org/officeDocument/2006/relationships/hyperlink" Target="#SA&#205;DAS!A1"/><Relationship Id="rId4" Type="http://schemas.openxmlformats.org/officeDocument/2006/relationships/hyperlink" Target="#VENDAS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RELAT&#211;RIOS!A1"/><Relationship Id="rId3" Type="http://schemas.openxmlformats.org/officeDocument/2006/relationships/hyperlink" Target="#IN&#205;CIO!A1"/><Relationship Id="rId7" Type="http://schemas.openxmlformats.org/officeDocument/2006/relationships/hyperlink" Target="#SA&#205;DAS!A1"/><Relationship Id="rId12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#VENDAS!A1"/><Relationship Id="rId11" Type="http://schemas.openxmlformats.org/officeDocument/2006/relationships/chart" Target="../charts/chart5.xml"/><Relationship Id="rId5" Type="http://schemas.openxmlformats.org/officeDocument/2006/relationships/hyperlink" Target="#ESTOQUE!A1"/><Relationship Id="rId10" Type="http://schemas.openxmlformats.org/officeDocument/2006/relationships/chart" Target="../charts/chart4.xml"/><Relationship Id="rId4" Type="http://schemas.openxmlformats.org/officeDocument/2006/relationships/hyperlink" Target="#SABORES!A1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448538</xdr:colOff>
      <xdr:row>0</xdr:row>
      <xdr:rowOff>33770</xdr:rowOff>
    </xdr:from>
    <xdr:to>
      <xdr:col>6</xdr:col>
      <xdr:colOff>604402</xdr:colOff>
      <xdr:row>0</xdr:row>
      <xdr:rowOff>367146</xdr:rowOff>
    </xdr:to>
    <xdr:sp macro="" textlink="">
      <xdr:nvSpPr>
        <xdr:cNvPr id="9" name="Retângulo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E8E163-75E6-43F7-A0C0-85C5D9879513}"/>
            </a:ext>
          </a:extLst>
        </xdr:cNvPr>
        <xdr:cNvSpPr/>
      </xdr:nvSpPr>
      <xdr:spPr>
        <a:xfrm>
          <a:off x="3496538" y="33770"/>
          <a:ext cx="765464" cy="3333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>
    <xdr:from>
      <xdr:col>7</xdr:col>
      <xdr:colOff>147202</xdr:colOff>
      <xdr:row>0</xdr:row>
      <xdr:rowOff>33770</xdr:rowOff>
    </xdr:from>
    <xdr:to>
      <xdr:col>8</xdr:col>
      <xdr:colOff>331641</xdr:colOff>
      <xdr:row>0</xdr:row>
      <xdr:rowOff>367146</xdr:rowOff>
    </xdr:to>
    <xdr:sp macro="" textlink="">
      <xdr:nvSpPr>
        <xdr:cNvPr id="10" name="Retângulo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94A710A-0B01-4C63-AD16-F779D22CABE9}"/>
            </a:ext>
          </a:extLst>
        </xdr:cNvPr>
        <xdr:cNvSpPr/>
      </xdr:nvSpPr>
      <xdr:spPr>
        <a:xfrm>
          <a:off x="4414402" y="33770"/>
          <a:ext cx="794039" cy="3333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Sabores</a:t>
          </a:r>
        </a:p>
      </xdr:txBody>
    </xdr:sp>
    <xdr:clientData/>
  </xdr:twoCellAnchor>
  <xdr:twoCellAnchor>
    <xdr:from>
      <xdr:col>8</xdr:col>
      <xdr:colOff>401779</xdr:colOff>
      <xdr:row>0</xdr:row>
      <xdr:rowOff>33770</xdr:rowOff>
    </xdr:from>
    <xdr:to>
      <xdr:col>10</xdr:col>
      <xdr:colOff>224268</xdr:colOff>
      <xdr:row>0</xdr:row>
      <xdr:rowOff>367146</xdr:rowOff>
    </xdr:to>
    <xdr:sp macro="" textlink="">
      <xdr:nvSpPr>
        <xdr:cNvPr id="11" name="Retângul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B54F342-74B4-4618-BA2D-96043D2919E8}"/>
            </a:ext>
          </a:extLst>
        </xdr:cNvPr>
        <xdr:cNvSpPr/>
      </xdr:nvSpPr>
      <xdr:spPr>
        <a:xfrm>
          <a:off x="5278579" y="33770"/>
          <a:ext cx="1041689" cy="3333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Estoque</a:t>
          </a:r>
        </a:p>
      </xdr:txBody>
    </xdr:sp>
    <xdr:clientData/>
  </xdr:twoCellAnchor>
  <xdr:twoCellAnchor>
    <xdr:from>
      <xdr:col>10</xdr:col>
      <xdr:colOff>233793</xdr:colOff>
      <xdr:row>0</xdr:row>
      <xdr:rowOff>43296</xdr:rowOff>
    </xdr:from>
    <xdr:to>
      <xdr:col>11</xdr:col>
      <xdr:colOff>469320</xdr:colOff>
      <xdr:row>0</xdr:row>
      <xdr:rowOff>376672</xdr:rowOff>
    </xdr:to>
    <xdr:sp macro="" textlink="">
      <xdr:nvSpPr>
        <xdr:cNvPr id="14" name="Retângulo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129F00F-D3D0-45F1-8CC7-641EC58D64EF}"/>
            </a:ext>
          </a:extLst>
        </xdr:cNvPr>
        <xdr:cNvSpPr/>
      </xdr:nvSpPr>
      <xdr:spPr>
        <a:xfrm>
          <a:off x="6329793" y="43296"/>
          <a:ext cx="845127" cy="3333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Vendas</a:t>
          </a:r>
        </a:p>
      </xdr:txBody>
    </xdr:sp>
    <xdr:clientData/>
  </xdr:twoCellAnchor>
  <xdr:twoCellAnchor>
    <xdr:from>
      <xdr:col>11</xdr:col>
      <xdr:colOff>555045</xdr:colOff>
      <xdr:row>0</xdr:row>
      <xdr:rowOff>43296</xdr:rowOff>
    </xdr:from>
    <xdr:to>
      <xdr:col>13</xdr:col>
      <xdr:colOff>148934</xdr:colOff>
      <xdr:row>0</xdr:row>
      <xdr:rowOff>376672</xdr:rowOff>
    </xdr:to>
    <xdr:sp macro="" textlink="">
      <xdr:nvSpPr>
        <xdr:cNvPr id="18" name="Retângulo 1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981D98E-2CB7-4D99-91C6-60283426CABC}"/>
            </a:ext>
          </a:extLst>
        </xdr:cNvPr>
        <xdr:cNvSpPr/>
      </xdr:nvSpPr>
      <xdr:spPr>
        <a:xfrm>
          <a:off x="7260645" y="43296"/>
          <a:ext cx="813089" cy="3333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Saídas</a:t>
          </a:r>
        </a:p>
      </xdr:txBody>
    </xdr:sp>
    <xdr:clientData/>
  </xdr:twoCellAnchor>
  <xdr:twoCellAnchor>
    <xdr:from>
      <xdr:col>13</xdr:col>
      <xdr:colOff>206084</xdr:colOff>
      <xdr:row>0</xdr:row>
      <xdr:rowOff>43296</xdr:rowOff>
    </xdr:from>
    <xdr:to>
      <xdr:col>14</xdr:col>
      <xdr:colOff>527336</xdr:colOff>
      <xdr:row>0</xdr:row>
      <xdr:rowOff>376672</xdr:rowOff>
    </xdr:to>
    <xdr:sp macro="" textlink="">
      <xdr:nvSpPr>
        <xdr:cNvPr id="19" name="Retângulo 1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6B16D4D-61AB-4DAA-97BD-684A261C2170}"/>
            </a:ext>
          </a:extLst>
        </xdr:cNvPr>
        <xdr:cNvSpPr/>
      </xdr:nvSpPr>
      <xdr:spPr>
        <a:xfrm>
          <a:off x="8130884" y="43296"/>
          <a:ext cx="930852" cy="3333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Relatórios</a:t>
          </a:r>
        </a:p>
      </xdr:txBody>
    </xdr:sp>
    <xdr:clientData/>
  </xdr:twoCellAnchor>
  <xdr:twoCellAnchor editAs="oneCell">
    <xdr:from>
      <xdr:col>4</xdr:col>
      <xdr:colOff>171449</xdr:colOff>
      <xdr:row>1</xdr:row>
      <xdr:rowOff>9525</xdr:rowOff>
    </xdr:from>
    <xdr:to>
      <xdr:col>16</xdr:col>
      <xdr:colOff>129469</xdr:colOff>
      <xdr:row>37</xdr:row>
      <xdr:rowOff>95250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7E68E82B-58EC-4C67-B7AA-DF083A883D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849" y="438150"/>
          <a:ext cx="7273220" cy="7258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1628775</xdr:colOff>
      <xdr:row>1</xdr:row>
      <xdr:rowOff>428625</xdr:rowOff>
    </xdr:from>
    <xdr:ext cx="1639616" cy="381708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E29B16A6-FC04-47BB-BA7A-DC2C66B71281}"/>
            </a:ext>
          </a:extLst>
        </xdr:cNvPr>
        <xdr:cNvSpPr txBox="1"/>
      </xdr:nvSpPr>
      <xdr:spPr>
        <a:xfrm>
          <a:off x="1628775" y="885825"/>
          <a:ext cx="1639616" cy="3817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400">
              <a:solidFill>
                <a:srgbClr val="70330A"/>
              </a:solidFill>
              <a:latin typeface="Arial Black" panose="020B0A04020102020204" pitchFamily="34" charset="0"/>
            </a:rPr>
            <a:t>TRADICIONAL</a:t>
          </a:r>
          <a:r>
            <a:rPr lang="pt-BR" sz="1600" baseline="0">
              <a:solidFill>
                <a:schemeClr val="bg2">
                  <a:lumMod val="25000"/>
                </a:schemeClr>
              </a:solidFill>
              <a:latin typeface="Arial Black" panose="020B0A04020102020204" pitchFamily="34" charset="0"/>
            </a:rPr>
            <a:t> </a:t>
          </a:r>
          <a:endParaRPr lang="pt-BR" sz="1600">
            <a:solidFill>
              <a:schemeClr val="bg2">
                <a:lumMod val="25000"/>
              </a:schemeClr>
            </a:solidFill>
            <a:latin typeface="Arial Black" panose="020B0A04020102020204" pitchFamily="34" charset="0"/>
          </a:endParaRPr>
        </a:p>
      </xdr:txBody>
    </xdr:sp>
    <xdr:clientData/>
  </xdr:oneCellAnchor>
  <xdr:oneCellAnchor>
    <xdr:from>
      <xdr:col>0</xdr:col>
      <xdr:colOff>1619250</xdr:colOff>
      <xdr:row>21</xdr:row>
      <xdr:rowOff>133350</xdr:rowOff>
    </xdr:from>
    <xdr:ext cx="1022459" cy="634917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3A4A87EE-6FF8-4CAF-8A68-6B91C8E26136}"/>
            </a:ext>
          </a:extLst>
        </xdr:cNvPr>
        <xdr:cNvSpPr txBox="1"/>
      </xdr:nvSpPr>
      <xdr:spPr>
        <a:xfrm>
          <a:off x="1619250" y="4352925"/>
          <a:ext cx="1022459" cy="634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400">
              <a:solidFill>
                <a:srgbClr val="EA9B44"/>
              </a:solidFill>
              <a:latin typeface="Arial Black" panose="020B0A04020102020204" pitchFamily="34" charset="0"/>
            </a:rPr>
            <a:t>PAÇOCA</a:t>
          </a:r>
        </a:p>
        <a:p>
          <a:r>
            <a:rPr lang="pt-BR" sz="1600" baseline="0">
              <a:solidFill>
                <a:schemeClr val="bg2">
                  <a:lumMod val="25000"/>
                </a:schemeClr>
              </a:solidFill>
              <a:latin typeface="Arial Black" panose="020B0A04020102020204" pitchFamily="34" charset="0"/>
            </a:rPr>
            <a:t> </a:t>
          </a:r>
          <a:endParaRPr lang="pt-BR" sz="1600">
            <a:solidFill>
              <a:schemeClr val="bg2">
                <a:lumMod val="25000"/>
              </a:schemeClr>
            </a:solidFill>
            <a:latin typeface="Arial Black" panose="020B0A04020102020204" pitchFamily="34" charset="0"/>
          </a:endParaRPr>
        </a:p>
      </xdr:txBody>
    </xdr:sp>
    <xdr:clientData/>
  </xdr:oneCellAnchor>
  <xdr:twoCellAnchor>
    <xdr:from>
      <xdr:col>2</xdr:col>
      <xdr:colOff>152400</xdr:colOff>
      <xdr:row>0</xdr:row>
      <xdr:rowOff>66675</xdr:rowOff>
    </xdr:from>
    <xdr:to>
      <xdr:col>2</xdr:col>
      <xdr:colOff>914400</xdr:colOff>
      <xdr:row>0</xdr:row>
      <xdr:rowOff>400051</xdr:rowOff>
    </xdr:to>
    <xdr:sp macro="" textlink="">
      <xdr:nvSpPr>
        <xdr:cNvPr id="5" name="Retângulo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A7C3D5-DB50-48F7-87EB-D9EE50178916}"/>
            </a:ext>
          </a:extLst>
        </xdr:cNvPr>
        <xdr:cNvSpPr/>
      </xdr:nvSpPr>
      <xdr:spPr>
        <a:xfrm>
          <a:off x="3619500" y="66675"/>
          <a:ext cx="762000" cy="3333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>
    <xdr:from>
      <xdr:col>3</xdr:col>
      <xdr:colOff>19050</xdr:colOff>
      <xdr:row>0</xdr:row>
      <xdr:rowOff>66675</xdr:rowOff>
    </xdr:from>
    <xdr:to>
      <xdr:col>4</xdr:col>
      <xdr:colOff>28575</xdr:colOff>
      <xdr:row>0</xdr:row>
      <xdr:rowOff>400051</xdr:rowOff>
    </xdr:to>
    <xdr:sp macro="" textlink="">
      <xdr:nvSpPr>
        <xdr:cNvPr id="6" name="Retângul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35C4FE0-6214-40D5-9148-45B9EB28A09A}"/>
            </a:ext>
          </a:extLst>
        </xdr:cNvPr>
        <xdr:cNvSpPr/>
      </xdr:nvSpPr>
      <xdr:spPr>
        <a:xfrm>
          <a:off x="4533900" y="66675"/>
          <a:ext cx="790575" cy="3333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Sabores</a:t>
          </a:r>
        </a:p>
      </xdr:txBody>
    </xdr:sp>
    <xdr:clientData/>
  </xdr:twoCellAnchor>
  <xdr:twoCellAnchor>
    <xdr:from>
      <xdr:col>4</xdr:col>
      <xdr:colOff>95250</xdr:colOff>
      <xdr:row>0</xdr:row>
      <xdr:rowOff>66675</xdr:rowOff>
    </xdr:from>
    <xdr:to>
      <xdr:col>5</xdr:col>
      <xdr:colOff>523875</xdr:colOff>
      <xdr:row>0</xdr:row>
      <xdr:rowOff>400051</xdr:rowOff>
    </xdr:to>
    <xdr:sp macro="" textlink="">
      <xdr:nvSpPr>
        <xdr:cNvPr id="7" name="Retângul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F2DBC87-EE57-4D37-B597-C9D8FABBBA7A}"/>
            </a:ext>
          </a:extLst>
        </xdr:cNvPr>
        <xdr:cNvSpPr/>
      </xdr:nvSpPr>
      <xdr:spPr>
        <a:xfrm>
          <a:off x="5391150" y="66675"/>
          <a:ext cx="1038225" cy="3333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Estoque</a:t>
          </a:r>
        </a:p>
      </xdr:txBody>
    </xdr:sp>
    <xdr:clientData/>
  </xdr:twoCellAnchor>
  <xdr:twoCellAnchor>
    <xdr:from>
      <xdr:col>5</xdr:col>
      <xdr:colOff>533400</xdr:colOff>
      <xdr:row>0</xdr:row>
      <xdr:rowOff>76201</xdr:rowOff>
    </xdr:from>
    <xdr:to>
      <xdr:col>6</xdr:col>
      <xdr:colOff>238125</xdr:colOff>
      <xdr:row>0</xdr:row>
      <xdr:rowOff>409577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0FDDA15-FAEF-4DE7-A6D4-35E83DF69986}"/>
            </a:ext>
          </a:extLst>
        </xdr:cNvPr>
        <xdr:cNvSpPr/>
      </xdr:nvSpPr>
      <xdr:spPr>
        <a:xfrm>
          <a:off x="6438900" y="76201"/>
          <a:ext cx="838200" cy="3333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Vendas</a:t>
          </a:r>
        </a:p>
      </xdr:txBody>
    </xdr:sp>
    <xdr:clientData/>
  </xdr:twoCellAnchor>
  <xdr:twoCellAnchor>
    <xdr:from>
      <xdr:col>6</xdr:col>
      <xdr:colOff>323850</xdr:colOff>
      <xdr:row>0</xdr:row>
      <xdr:rowOff>76201</xdr:rowOff>
    </xdr:from>
    <xdr:to>
      <xdr:col>7</xdr:col>
      <xdr:colOff>523875</xdr:colOff>
      <xdr:row>0</xdr:row>
      <xdr:rowOff>409577</xdr:rowOff>
    </xdr:to>
    <xdr:sp macro="" textlink="">
      <xdr:nvSpPr>
        <xdr:cNvPr id="10" name="Retângulo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30724B0-2D85-47C3-A68F-51FD88FE910B}"/>
            </a:ext>
          </a:extLst>
        </xdr:cNvPr>
        <xdr:cNvSpPr/>
      </xdr:nvSpPr>
      <xdr:spPr>
        <a:xfrm>
          <a:off x="7362825" y="76201"/>
          <a:ext cx="809625" cy="3333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Saídas</a:t>
          </a:r>
        </a:p>
      </xdr:txBody>
    </xdr:sp>
    <xdr:clientData/>
  </xdr:twoCellAnchor>
  <xdr:twoCellAnchor>
    <xdr:from>
      <xdr:col>7</xdr:col>
      <xdr:colOff>581025</xdr:colOff>
      <xdr:row>0</xdr:row>
      <xdr:rowOff>76201</xdr:rowOff>
    </xdr:from>
    <xdr:to>
      <xdr:col>7</xdr:col>
      <xdr:colOff>1504950</xdr:colOff>
      <xdr:row>0</xdr:row>
      <xdr:rowOff>409577</xdr:rowOff>
    </xdr:to>
    <xdr:sp macro="" textlink="">
      <xdr:nvSpPr>
        <xdr:cNvPr id="11" name="Retângulo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46C8D9E-32FA-40F1-8EA2-BD3DC339C920}"/>
            </a:ext>
          </a:extLst>
        </xdr:cNvPr>
        <xdr:cNvSpPr/>
      </xdr:nvSpPr>
      <xdr:spPr>
        <a:xfrm>
          <a:off x="8229600" y="76201"/>
          <a:ext cx="923925" cy="3333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Relatórios</a:t>
          </a:r>
        </a:p>
      </xdr:txBody>
    </xdr:sp>
    <xdr:clientData/>
  </xdr:twoCellAnchor>
  <xdr:oneCellAnchor>
    <xdr:from>
      <xdr:col>0</xdr:col>
      <xdr:colOff>1619250</xdr:colOff>
      <xdr:row>41</xdr:row>
      <xdr:rowOff>142875</xdr:rowOff>
    </xdr:from>
    <xdr:ext cx="1491177" cy="634917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1B8DC47D-A9EE-48CC-AC12-3517C6FDAE12}"/>
            </a:ext>
          </a:extLst>
        </xdr:cNvPr>
        <xdr:cNvSpPr txBox="1"/>
      </xdr:nvSpPr>
      <xdr:spPr>
        <a:xfrm>
          <a:off x="1619250" y="7810500"/>
          <a:ext cx="1491177" cy="634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400">
              <a:solidFill>
                <a:srgbClr val="213965"/>
              </a:solidFill>
              <a:latin typeface="Arial Black" panose="020B0A04020102020204" pitchFamily="34" charset="0"/>
            </a:rPr>
            <a:t>LEITE</a:t>
          </a:r>
          <a:r>
            <a:rPr lang="pt-BR" sz="1400" baseline="0">
              <a:solidFill>
                <a:srgbClr val="213965"/>
              </a:solidFill>
              <a:latin typeface="Arial Black" panose="020B0A04020102020204" pitchFamily="34" charset="0"/>
            </a:rPr>
            <a:t> NINHO</a:t>
          </a:r>
          <a:endParaRPr lang="pt-BR" sz="1400">
            <a:solidFill>
              <a:srgbClr val="213965"/>
            </a:solidFill>
            <a:latin typeface="Arial Black" panose="020B0A04020102020204" pitchFamily="34" charset="0"/>
          </a:endParaRPr>
        </a:p>
        <a:p>
          <a:r>
            <a:rPr lang="pt-BR" sz="1600" baseline="0">
              <a:solidFill>
                <a:schemeClr val="bg2">
                  <a:lumMod val="25000"/>
                </a:schemeClr>
              </a:solidFill>
              <a:latin typeface="Arial Black" panose="020B0A04020102020204" pitchFamily="34" charset="0"/>
            </a:rPr>
            <a:t> </a:t>
          </a:r>
          <a:endParaRPr lang="pt-BR" sz="1600">
            <a:solidFill>
              <a:schemeClr val="bg2">
                <a:lumMod val="25000"/>
              </a:schemeClr>
            </a:solidFill>
            <a:latin typeface="Arial Black" panose="020B0A04020102020204" pitchFamily="34" charset="0"/>
          </a:endParaRPr>
        </a:p>
      </xdr:txBody>
    </xdr:sp>
    <xdr:clientData/>
  </xdr:oneCellAnchor>
  <xdr:twoCellAnchor>
    <xdr:from>
      <xdr:col>9</xdr:col>
      <xdr:colOff>76200</xdr:colOff>
      <xdr:row>4</xdr:row>
      <xdr:rowOff>171450</xdr:rowOff>
    </xdr:from>
    <xdr:to>
      <xdr:col>10</xdr:col>
      <xdr:colOff>190500</xdr:colOff>
      <xdr:row>5</xdr:row>
      <xdr:rowOff>180975</xdr:rowOff>
    </xdr:to>
    <xdr:sp macro="" textlink="">
      <xdr:nvSpPr>
        <xdr:cNvPr id="14" name="Retângulo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B22838F-7250-4292-860F-F655286076AA}"/>
            </a:ext>
          </a:extLst>
        </xdr:cNvPr>
        <xdr:cNvSpPr/>
      </xdr:nvSpPr>
      <xdr:spPr>
        <a:xfrm>
          <a:off x="8715375" y="1419225"/>
          <a:ext cx="762000" cy="2000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2">
                  <a:lumMod val="25000"/>
                </a:schemeClr>
              </a:solidFill>
              <a:latin typeface="+mj-lt"/>
              <a:cs typeface="Arial" panose="020B0604020202020204" pitchFamily="34" charset="0"/>
            </a:rPr>
            <a:t>Voltar</a:t>
          </a:r>
        </a:p>
      </xdr:txBody>
    </xdr:sp>
    <xdr:clientData/>
  </xdr:twoCellAnchor>
  <xdr:twoCellAnchor>
    <xdr:from>
      <xdr:col>9</xdr:col>
      <xdr:colOff>76200</xdr:colOff>
      <xdr:row>24</xdr:row>
      <xdr:rowOff>171450</xdr:rowOff>
    </xdr:from>
    <xdr:to>
      <xdr:col>10</xdr:col>
      <xdr:colOff>190500</xdr:colOff>
      <xdr:row>25</xdr:row>
      <xdr:rowOff>180975</xdr:rowOff>
    </xdr:to>
    <xdr:sp macro="" textlink="">
      <xdr:nvSpPr>
        <xdr:cNvPr id="13" name="Retângulo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37006A5-A0ED-4929-9AB3-7FF89660C744}"/>
            </a:ext>
          </a:extLst>
        </xdr:cNvPr>
        <xdr:cNvSpPr/>
      </xdr:nvSpPr>
      <xdr:spPr>
        <a:xfrm>
          <a:off x="9115425" y="1419225"/>
          <a:ext cx="762000" cy="2000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2">
                  <a:lumMod val="25000"/>
                </a:schemeClr>
              </a:solidFill>
              <a:latin typeface="+mj-lt"/>
              <a:cs typeface="Arial" panose="020B0604020202020204" pitchFamily="34" charset="0"/>
            </a:rPr>
            <a:t>Voltar</a:t>
          </a:r>
        </a:p>
      </xdr:txBody>
    </xdr:sp>
    <xdr:clientData/>
  </xdr:twoCellAnchor>
  <xdr:twoCellAnchor>
    <xdr:from>
      <xdr:col>9</xdr:col>
      <xdr:colOff>76200</xdr:colOff>
      <xdr:row>44</xdr:row>
      <xdr:rowOff>171450</xdr:rowOff>
    </xdr:from>
    <xdr:to>
      <xdr:col>10</xdr:col>
      <xdr:colOff>190500</xdr:colOff>
      <xdr:row>45</xdr:row>
      <xdr:rowOff>180975</xdr:rowOff>
    </xdr:to>
    <xdr:sp macro="" textlink="">
      <xdr:nvSpPr>
        <xdr:cNvPr id="16" name="Retângulo 1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1A9B07F-BBBE-433F-A2B8-5D5B7D7CE546}"/>
            </a:ext>
          </a:extLst>
        </xdr:cNvPr>
        <xdr:cNvSpPr/>
      </xdr:nvSpPr>
      <xdr:spPr>
        <a:xfrm>
          <a:off x="9115425" y="4867275"/>
          <a:ext cx="762000" cy="2000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2">
                  <a:lumMod val="25000"/>
                </a:schemeClr>
              </a:solidFill>
              <a:latin typeface="+mj-lt"/>
              <a:cs typeface="Arial" panose="020B0604020202020204" pitchFamily="34" charset="0"/>
            </a:rPr>
            <a:t>Voltar</a:t>
          </a:r>
        </a:p>
      </xdr:txBody>
    </xdr:sp>
    <xdr:clientData/>
  </xdr:twoCellAnchor>
  <xdr:oneCellAnchor>
    <xdr:from>
      <xdr:col>0</xdr:col>
      <xdr:colOff>1619250</xdr:colOff>
      <xdr:row>61</xdr:row>
      <xdr:rowOff>114300</xdr:rowOff>
    </xdr:from>
    <xdr:ext cx="1917256" cy="381708"/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7A233459-06BD-47D2-A5BC-B51AAD48285F}"/>
            </a:ext>
          </a:extLst>
        </xdr:cNvPr>
        <xdr:cNvSpPr txBox="1"/>
      </xdr:nvSpPr>
      <xdr:spPr>
        <a:xfrm>
          <a:off x="1619250" y="11229975"/>
          <a:ext cx="1917256" cy="3817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 baseline="0">
              <a:solidFill>
                <a:srgbClr val="FF8181"/>
              </a:solidFill>
              <a:latin typeface="Arial Black" panose="020B0A04020102020204" pitchFamily="34" charset="0"/>
            </a:rPr>
            <a:t>CONSTELAÇÃO</a:t>
          </a:r>
          <a:endParaRPr lang="pt-BR" sz="1600">
            <a:solidFill>
              <a:srgbClr val="FF8181"/>
            </a:solidFill>
            <a:latin typeface="Arial Black" panose="020B0A04020102020204" pitchFamily="34" charset="0"/>
          </a:endParaRPr>
        </a:p>
      </xdr:txBody>
    </xdr:sp>
    <xdr:clientData/>
  </xdr:oneCellAnchor>
  <xdr:twoCellAnchor>
    <xdr:from>
      <xdr:col>9</xdr:col>
      <xdr:colOff>76200</xdr:colOff>
      <xdr:row>64</xdr:row>
      <xdr:rowOff>171450</xdr:rowOff>
    </xdr:from>
    <xdr:to>
      <xdr:col>10</xdr:col>
      <xdr:colOff>190500</xdr:colOff>
      <xdr:row>65</xdr:row>
      <xdr:rowOff>180975</xdr:rowOff>
    </xdr:to>
    <xdr:sp macro="" textlink="">
      <xdr:nvSpPr>
        <xdr:cNvPr id="18" name="Retângulo 1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07724BF-AF4D-4A0C-8931-D32EB7A840A7}"/>
            </a:ext>
          </a:extLst>
        </xdr:cNvPr>
        <xdr:cNvSpPr/>
      </xdr:nvSpPr>
      <xdr:spPr>
        <a:xfrm>
          <a:off x="9115425" y="8315325"/>
          <a:ext cx="762000" cy="2000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2">
                  <a:lumMod val="25000"/>
                </a:schemeClr>
              </a:solidFill>
              <a:latin typeface="+mj-lt"/>
              <a:cs typeface="Arial" panose="020B0604020202020204" pitchFamily="34" charset="0"/>
            </a:rPr>
            <a:t>Voltar</a:t>
          </a:r>
        </a:p>
      </xdr:txBody>
    </xdr:sp>
    <xdr:clientData/>
  </xdr:twoCellAnchor>
  <xdr:oneCellAnchor>
    <xdr:from>
      <xdr:col>0</xdr:col>
      <xdr:colOff>1619250</xdr:colOff>
      <xdr:row>81</xdr:row>
      <xdr:rowOff>114300</xdr:rowOff>
    </xdr:from>
    <xdr:ext cx="1370247" cy="381708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05C02000-DA60-4E43-9A46-6F70092A009D}"/>
            </a:ext>
          </a:extLst>
        </xdr:cNvPr>
        <xdr:cNvSpPr txBox="1"/>
      </xdr:nvSpPr>
      <xdr:spPr>
        <a:xfrm>
          <a:off x="1619250" y="14678025"/>
          <a:ext cx="1370247" cy="3817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 baseline="0">
              <a:solidFill>
                <a:srgbClr val="FFCA21"/>
              </a:solidFill>
              <a:latin typeface="Arial Black" panose="020B0A04020102020204" pitchFamily="34" charset="0"/>
            </a:rPr>
            <a:t>SICILIANO</a:t>
          </a:r>
          <a:endParaRPr lang="pt-BR" sz="1600">
            <a:solidFill>
              <a:srgbClr val="FFCA21"/>
            </a:solidFill>
            <a:latin typeface="Arial Black" panose="020B0A04020102020204" pitchFamily="34" charset="0"/>
          </a:endParaRPr>
        </a:p>
      </xdr:txBody>
    </xdr:sp>
    <xdr:clientData/>
  </xdr:oneCellAnchor>
  <xdr:twoCellAnchor>
    <xdr:from>
      <xdr:col>9</xdr:col>
      <xdr:colOff>76200</xdr:colOff>
      <xdr:row>84</xdr:row>
      <xdr:rowOff>171450</xdr:rowOff>
    </xdr:from>
    <xdr:to>
      <xdr:col>10</xdr:col>
      <xdr:colOff>190500</xdr:colOff>
      <xdr:row>85</xdr:row>
      <xdr:rowOff>180975</xdr:rowOff>
    </xdr:to>
    <xdr:sp macro="" textlink="">
      <xdr:nvSpPr>
        <xdr:cNvPr id="20" name="Retângulo 1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E72805A-EB79-4217-921A-B69C5D6B7673}"/>
            </a:ext>
          </a:extLst>
        </xdr:cNvPr>
        <xdr:cNvSpPr/>
      </xdr:nvSpPr>
      <xdr:spPr>
        <a:xfrm>
          <a:off x="10220325" y="11763375"/>
          <a:ext cx="762000" cy="2000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2">
                  <a:lumMod val="25000"/>
                </a:schemeClr>
              </a:solidFill>
              <a:latin typeface="+mj-lt"/>
              <a:cs typeface="Arial" panose="020B0604020202020204" pitchFamily="34" charset="0"/>
            </a:rPr>
            <a:t>Voltar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257175</xdr:colOff>
      <xdr:row>1</xdr:row>
      <xdr:rowOff>428625</xdr:rowOff>
    </xdr:from>
    <xdr:ext cx="2635145" cy="381708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5F682538-09E6-4BAE-AFF6-7B0308E6B19F}"/>
            </a:ext>
          </a:extLst>
        </xdr:cNvPr>
        <xdr:cNvSpPr txBox="1"/>
      </xdr:nvSpPr>
      <xdr:spPr>
        <a:xfrm>
          <a:off x="609600" y="885825"/>
          <a:ext cx="2635145" cy="3817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>
              <a:solidFill>
                <a:schemeClr val="bg2">
                  <a:lumMod val="25000"/>
                </a:schemeClr>
              </a:solidFill>
              <a:latin typeface="Arial Black" panose="020B0A04020102020204" pitchFamily="34" charset="0"/>
            </a:rPr>
            <a:t>ESTOQUE SETEMBRO</a:t>
          </a:r>
        </a:p>
      </xdr:txBody>
    </xdr:sp>
    <xdr:clientData/>
  </xdr:oneCellAnchor>
  <xdr:oneCellAnchor>
    <xdr:from>
      <xdr:col>10</xdr:col>
      <xdr:colOff>85725</xdr:colOff>
      <xdr:row>1</xdr:row>
      <xdr:rowOff>428625</xdr:rowOff>
    </xdr:from>
    <xdr:ext cx="3022879" cy="381708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7CAD1D07-DF85-45E4-B0FF-0A042BE30D9D}"/>
            </a:ext>
          </a:extLst>
        </xdr:cNvPr>
        <xdr:cNvSpPr txBox="1"/>
      </xdr:nvSpPr>
      <xdr:spPr>
        <a:xfrm>
          <a:off x="6610350" y="885825"/>
          <a:ext cx="3022879" cy="3817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>
              <a:solidFill>
                <a:schemeClr val="bg2">
                  <a:lumMod val="25000"/>
                </a:schemeClr>
              </a:solidFill>
              <a:latin typeface="Arial Black" panose="020B0A04020102020204" pitchFamily="34" charset="0"/>
            </a:rPr>
            <a:t>HISTÓRICO DE ESTOQUE</a:t>
          </a:r>
        </a:p>
      </xdr:txBody>
    </xdr:sp>
    <xdr:clientData/>
  </xdr:oneCellAnchor>
  <xdr:twoCellAnchor>
    <xdr:from>
      <xdr:col>4</xdr:col>
      <xdr:colOff>47625</xdr:colOff>
      <xdr:row>0</xdr:row>
      <xdr:rowOff>66674</xdr:rowOff>
    </xdr:from>
    <xdr:to>
      <xdr:col>5</xdr:col>
      <xdr:colOff>28575</xdr:colOff>
      <xdr:row>0</xdr:row>
      <xdr:rowOff>400050</xdr:rowOff>
    </xdr:to>
    <xdr:sp macro="" textlink="">
      <xdr:nvSpPr>
        <xdr:cNvPr id="5" name="Retângulo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2731DF-F20E-44B7-994D-31F4B0516E00}"/>
            </a:ext>
          </a:extLst>
        </xdr:cNvPr>
        <xdr:cNvSpPr/>
      </xdr:nvSpPr>
      <xdr:spPr>
        <a:xfrm>
          <a:off x="3457575" y="66674"/>
          <a:ext cx="762000" cy="3333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>
    <xdr:from>
      <xdr:col>5</xdr:col>
      <xdr:colOff>123825</xdr:colOff>
      <xdr:row>0</xdr:row>
      <xdr:rowOff>66674</xdr:rowOff>
    </xdr:from>
    <xdr:to>
      <xdr:col>6</xdr:col>
      <xdr:colOff>276225</xdr:colOff>
      <xdr:row>0</xdr:row>
      <xdr:rowOff>400050</xdr:rowOff>
    </xdr:to>
    <xdr:sp macro="" textlink="">
      <xdr:nvSpPr>
        <xdr:cNvPr id="6" name="Retângul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183DB51-B3EF-4671-A384-1D18BB0F546C}"/>
            </a:ext>
          </a:extLst>
        </xdr:cNvPr>
        <xdr:cNvSpPr/>
      </xdr:nvSpPr>
      <xdr:spPr>
        <a:xfrm>
          <a:off x="4314825" y="66674"/>
          <a:ext cx="933450" cy="3333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Sabores</a:t>
          </a:r>
        </a:p>
      </xdr:txBody>
    </xdr:sp>
    <xdr:clientData/>
  </xdr:twoCellAnchor>
  <xdr:twoCellAnchor>
    <xdr:from>
      <xdr:col>6</xdr:col>
      <xdr:colOff>352425</xdr:colOff>
      <xdr:row>0</xdr:row>
      <xdr:rowOff>66674</xdr:rowOff>
    </xdr:from>
    <xdr:to>
      <xdr:col>9</xdr:col>
      <xdr:colOff>9525</xdr:colOff>
      <xdr:row>0</xdr:row>
      <xdr:rowOff>400050</xdr:rowOff>
    </xdr:to>
    <xdr:sp macro="" textlink="">
      <xdr:nvSpPr>
        <xdr:cNvPr id="7" name="Retângul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7F79F33-DD41-4B4E-B027-50D75ED32D1E}"/>
            </a:ext>
          </a:extLst>
        </xdr:cNvPr>
        <xdr:cNvSpPr/>
      </xdr:nvSpPr>
      <xdr:spPr>
        <a:xfrm>
          <a:off x="5324475" y="66674"/>
          <a:ext cx="876300" cy="3333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Estoque</a:t>
          </a:r>
        </a:p>
      </xdr:txBody>
    </xdr:sp>
    <xdr:clientData/>
  </xdr:twoCellAnchor>
  <xdr:twoCellAnchor>
    <xdr:from>
      <xdr:col>9</xdr:col>
      <xdr:colOff>28575</xdr:colOff>
      <xdr:row>0</xdr:row>
      <xdr:rowOff>66675</xdr:rowOff>
    </xdr:from>
    <xdr:to>
      <xdr:col>11</xdr:col>
      <xdr:colOff>504825</xdr:colOff>
      <xdr:row>0</xdr:row>
      <xdr:rowOff>400051</xdr:rowOff>
    </xdr:to>
    <xdr:sp macro="" textlink="">
      <xdr:nvSpPr>
        <xdr:cNvPr id="8" name="Retângul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F19D7EF-663C-4AF2-BF88-184F0B7C74E6}"/>
            </a:ext>
          </a:extLst>
        </xdr:cNvPr>
        <xdr:cNvSpPr/>
      </xdr:nvSpPr>
      <xdr:spPr>
        <a:xfrm>
          <a:off x="6219825" y="66675"/>
          <a:ext cx="838200" cy="3333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Vendas</a:t>
          </a:r>
        </a:p>
      </xdr:txBody>
    </xdr:sp>
    <xdr:clientData/>
  </xdr:twoCellAnchor>
  <xdr:twoCellAnchor>
    <xdr:from>
      <xdr:col>11</xdr:col>
      <xdr:colOff>552450</xdr:colOff>
      <xdr:row>0</xdr:row>
      <xdr:rowOff>66675</xdr:rowOff>
    </xdr:from>
    <xdr:to>
      <xdr:col>12</xdr:col>
      <xdr:colOff>447675</xdr:colOff>
      <xdr:row>0</xdr:row>
      <xdr:rowOff>400051</xdr:rowOff>
    </xdr:to>
    <xdr:sp macro="" textlink="">
      <xdr:nvSpPr>
        <xdr:cNvPr id="9" name="Retângulo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A251E00-FD5A-458C-8E06-EAB369B95D24}"/>
            </a:ext>
          </a:extLst>
        </xdr:cNvPr>
        <xdr:cNvSpPr/>
      </xdr:nvSpPr>
      <xdr:spPr>
        <a:xfrm>
          <a:off x="7105650" y="66675"/>
          <a:ext cx="809625" cy="3333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Saídas</a:t>
          </a:r>
        </a:p>
      </xdr:txBody>
    </xdr:sp>
    <xdr:clientData/>
  </xdr:twoCellAnchor>
  <xdr:twoCellAnchor>
    <xdr:from>
      <xdr:col>12</xdr:col>
      <xdr:colOff>504825</xdr:colOff>
      <xdr:row>0</xdr:row>
      <xdr:rowOff>66675</xdr:rowOff>
    </xdr:from>
    <xdr:to>
      <xdr:col>13</xdr:col>
      <xdr:colOff>190500</xdr:colOff>
      <xdr:row>0</xdr:row>
      <xdr:rowOff>400051</xdr:rowOff>
    </xdr:to>
    <xdr:sp macro="" textlink="">
      <xdr:nvSpPr>
        <xdr:cNvPr id="10" name="Retângulo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954D2A5-D903-4B50-A25C-78FC3CDA4CF0}"/>
            </a:ext>
          </a:extLst>
        </xdr:cNvPr>
        <xdr:cNvSpPr/>
      </xdr:nvSpPr>
      <xdr:spPr>
        <a:xfrm>
          <a:off x="7972425" y="66675"/>
          <a:ext cx="923925" cy="3333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Relatórios</a:t>
          </a:r>
        </a:p>
      </xdr:txBody>
    </xdr:sp>
    <xdr:clientData/>
  </xdr:twoCellAnchor>
  <xdr:twoCellAnchor>
    <xdr:from>
      <xdr:col>14</xdr:col>
      <xdr:colOff>523875</xdr:colOff>
      <xdr:row>1</xdr:row>
      <xdr:rowOff>485775</xdr:rowOff>
    </xdr:from>
    <xdr:to>
      <xdr:col>16</xdr:col>
      <xdr:colOff>457200</xdr:colOff>
      <xdr:row>2</xdr:row>
      <xdr:rowOff>180975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8EDFC132-76A2-4EAB-9285-621BD38DA3B7}"/>
            </a:ext>
          </a:extLst>
        </xdr:cNvPr>
        <xdr:cNvSpPr/>
      </xdr:nvSpPr>
      <xdr:spPr>
        <a:xfrm>
          <a:off x="11010900" y="942975"/>
          <a:ext cx="1295400" cy="2000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2">
                  <a:lumMod val="25000"/>
                </a:schemeClr>
              </a:solidFill>
              <a:latin typeface="+mj-lt"/>
              <a:cs typeface="Arial" panose="020B0604020202020204" pitchFamily="34" charset="0"/>
            </a:rPr>
            <a:t>Voltar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11697</xdr:colOff>
      <xdr:row>0</xdr:row>
      <xdr:rowOff>68035</xdr:rowOff>
    </xdr:from>
    <xdr:to>
      <xdr:col>9</xdr:col>
      <xdr:colOff>457766</xdr:colOff>
      <xdr:row>0</xdr:row>
      <xdr:rowOff>401411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2CA58A-C670-4653-9257-93EC31AE5015}"/>
            </a:ext>
          </a:extLst>
        </xdr:cNvPr>
        <xdr:cNvSpPr/>
      </xdr:nvSpPr>
      <xdr:spPr>
        <a:xfrm>
          <a:off x="3985568" y="68035"/>
          <a:ext cx="1480504" cy="3333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>
    <xdr:from>
      <xdr:col>9</xdr:col>
      <xdr:colOff>266241</xdr:colOff>
      <xdr:row>0</xdr:row>
      <xdr:rowOff>57793</xdr:rowOff>
    </xdr:from>
    <xdr:to>
      <xdr:col>10</xdr:col>
      <xdr:colOff>140267</xdr:colOff>
      <xdr:row>0</xdr:row>
      <xdr:rowOff>391169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858CB24-2E71-4599-98B9-E1B7BB474DD3}"/>
            </a:ext>
          </a:extLst>
        </xdr:cNvPr>
        <xdr:cNvSpPr/>
      </xdr:nvSpPr>
      <xdr:spPr>
        <a:xfrm>
          <a:off x="5274547" y="57793"/>
          <a:ext cx="785559" cy="3333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Sabores</a:t>
          </a:r>
        </a:p>
      </xdr:txBody>
    </xdr:sp>
    <xdr:clientData/>
  </xdr:twoCellAnchor>
  <xdr:twoCellAnchor>
    <xdr:from>
      <xdr:col>10</xdr:col>
      <xdr:colOff>308645</xdr:colOff>
      <xdr:row>0</xdr:row>
      <xdr:rowOff>68035</xdr:rowOff>
    </xdr:from>
    <xdr:to>
      <xdr:col>10</xdr:col>
      <xdr:colOff>1170403</xdr:colOff>
      <xdr:row>0</xdr:row>
      <xdr:rowOff>401411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FFB72F8-4706-42AF-8F60-1AC80FA06301}"/>
            </a:ext>
          </a:extLst>
        </xdr:cNvPr>
        <xdr:cNvSpPr/>
      </xdr:nvSpPr>
      <xdr:spPr>
        <a:xfrm>
          <a:off x="6228484" y="68035"/>
          <a:ext cx="861758" cy="3333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Estoque</a:t>
          </a:r>
        </a:p>
      </xdr:txBody>
    </xdr:sp>
    <xdr:clientData/>
  </xdr:twoCellAnchor>
  <xdr:twoCellAnchor>
    <xdr:from>
      <xdr:col>10</xdr:col>
      <xdr:colOff>1170403</xdr:colOff>
      <xdr:row>0</xdr:row>
      <xdr:rowOff>68036</xdr:rowOff>
    </xdr:from>
    <xdr:to>
      <xdr:col>11</xdr:col>
      <xdr:colOff>411009</xdr:colOff>
      <xdr:row>0</xdr:row>
      <xdr:rowOff>401412</xdr:rowOff>
    </xdr:to>
    <xdr:sp macro="" textlink="">
      <xdr:nvSpPr>
        <xdr:cNvPr id="5" name="Retâ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D01F71E-E7CC-4B22-9F25-B3B88124A43B}"/>
            </a:ext>
          </a:extLst>
        </xdr:cNvPr>
        <xdr:cNvSpPr/>
      </xdr:nvSpPr>
      <xdr:spPr>
        <a:xfrm>
          <a:off x="7090242" y="68036"/>
          <a:ext cx="756412" cy="3333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Vendas</a:t>
          </a:r>
        </a:p>
      </xdr:txBody>
    </xdr:sp>
    <xdr:clientData/>
  </xdr:twoCellAnchor>
  <xdr:twoCellAnchor>
    <xdr:from>
      <xdr:col>11</xdr:col>
      <xdr:colOff>458634</xdr:colOff>
      <xdr:row>0</xdr:row>
      <xdr:rowOff>68036</xdr:rowOff>
    </xdr:from>
    <xdr:to>
      <xdr:col>12</xdr:col>
      <xdr:colOff>88347</xdr:colOff>
      <xdr:row>0</xdr:row>
      <xdr:rowOff>401412</xdr:rowOff>
    </xdr:to>
    <xdr:sp macro="" textlink="">
      <xdr:nvSpPr>
        <xdr:cNvPr id="6" name="Retângulo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4B5ECD8-9974-4E43-BEFD-2FCE21A242A9}"/>
            </a:ext>
          </a:extLst>
        </xdr:cNvPr>
        <xdr:cNvSpPr/>
      </xdr:nvSpPr>
      <xdr:spPr>
        <a:xfrm>
          <a:off x="7894279" y="68036"/>
          <a:ext cx="807536" cy="3333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Saídas</a:t>
          </a:r>
        </a:p>
      </xdr:txBody>
    </xdr:sp>
    <xdr:clientData/>
  </xdr:twoCellAnchor>
  <xdr:twoCellAnchor>
    <xdr:from>
      <xdr:col>12</xdr:col>
      <xdr:colOff>145497</xdr:colOff>
      <xdr:row>0</xdr:row>
      <xdr:rowOff>68036</xdr:rowOff>
    </xdr:from>
    <xdr:to>
      <xdr:col>13</xdr:col>
      <xdr:colOff>350396</xdr:colOff>
      <xdr:row>0</xdr:row>
      <xdr:rowOff>401412</xdr:rowOff>
    </xdr:to>
    <xdr:sp macro="" textlink="">
      <xdr:nvSpPr>
        <xdr:cNvPr id="7" name="Retângulo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BB4A794-CC58-4654-AE0B-CED61EC874DB}"/>
            </a:ext>
          </a:extLst>
        </xdr:cNvPr>
        <xdr:cNvSpPr/>
      </xdr:nvSpPr>
      <xdr:spPr>
        <a:xfrm>
          <a:off x="8758965" y="68036"/>
          <a:ext cx="921834" cy="3333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Relatórios</a:t>
          </a:r>
        </a:p>
      </xdr:txBody>
    </xdr:sp>
    <xdr:clientData/>
  </xdr:twoCellAnchor>
  <xdr:oneCellAnchor>
    <xdr:from>
      <xdr:col>7</xdr:col>
      <xdr:colOff>20484</xdr:colOff>
      <xdr:row>1</xdr:row>
      <xdr:rowOff>419920</xdr:rowOff>
    </xdr:from>
    <xdr:ext cx="4037387" cy="381708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401A0B95-2546-433F-BB94-1C565E3F0226}"/>
            </a:ext>
          </a:extLst>
        </xdr:cNvPr>
        <xdr:cNvSpPr txBox="1"/>
      </xdr:nvSpPr>
      <xdr:spPr>
        <a:xfrm>
          <a:off x="3994355" y="880807"/>
          <a:ext cx="4037387" cy="3817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>
              <a:solidFill>
                <a:schemeClr val="bg2">
                  <a:lumMod val="25000"/>
                </a:schemeClr>
              </a:solidFill>
              <a:latin typeface="Arial Black" panose="020B0A04020102020204" pitchFamily="34" charset="0"/>
            </a:rPr>
            <a:t>HISTÓRICO DE VENDAS - AGOSTO</a:t>
          </a:r>
        </a:p>
      </xdr:txBody>
    </xdr:sp>
    <xdr:clientData/>
  </xdr:oneCellAnchor>
  <xdr:oneCellAnchor>
    <xdr:from>
      <xdr:col>1</xdr:col>
      <xdr:colOff>30726</xdr:colOff>
      <xdr:row>1</xdr:row>
      <xdr:rowOff>419920</xdr:rowOff>
    </xdr:from>
    <xdr:ext cx="2304733" cy="381708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30F01395-00B4-425B-9C24-6970D432951C}"/>
            </a:ext>
          </a:extLst>
        </xdr:cNvPr>
        <xdr:cNvSpPr txBox="1"/>
      </xdr:nvSpPr>
      <xdr:spPr>
        <a:xfrm>
          <a:off x="92178" y="880807"/>
          <a:ext cx="2304733" cy="3817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>
              <a:solidFill>
                <a:schemeClr val="bg2">
                  <a:lumMod val="25000"/>
                </a:schemeClr>
              </a:solidFill>
              <a:latin typeface="Arial Black" panose="020B0A04020102020204" pitchFamily="34" charset="0"/>
            </a:rPr>
            <a:t>VENDAS - AGOSTO</a:t>
          </a:r>
        </a:p>
      </xdr:txBody>
    </xdr:sp>
    <xdr:clientData/>
  </xdr:oneCellAnchor>
  <xdr:oneCellAnchor>
    <xdr:from>
      <xdr:col>7</xdr:col>
      <xdr:colOff>20484</xdr:colOff>
      <xdr:row>71</xdr:row>
      <xdr:rowOff>419920</xdr:rowOff>
    </xdr:from>
    <xdr:ext cx="4345100" cy="381708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CC6A3D3B-3499-407C-8B3C-0B8543505B24}"/>
            </a:ext>
          </a:extLst>
        </xdr:cNvPr>
        <xdr:cNvSpPr txBox="1"/>
      </xdr:nvSpPr>
      <xdr:spPr>
        <a:xfrm>
          <a:off x="3994355" y="14707420"/>
          <a:ext cx="4345100" cy="3817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>
              <a:solidFill>
                <a:schemeClr val="bg2">
                  <a:lumMod val="25000"/>
                </a:schemeClr>
              </a:solidFill>
              <a:latin typeface="Arial Black" panose="020B0A04020102020204" pitchFamily="34" charset="0"/>
            </a:rPr>
            <a:t>HISTÓRICO DE VENDAS - SETEMBRO</a:t>
          </a:r>
        </a:p>
      </xdr:txBody>
    </xdr:sp>
    <xdr:clientData/>
  </xdr:oneCellAnchor>
  <xdr:oneCellAnchor>
    <xdr:from>
      <xdr:col>1</xdr:col>
      <xdr:colOff>30726</xdr:colOff>
      <xdr:row>71</xdr:row>
      <xdr:rowOff>419920</xdr:rowOff>
    </xdr:from>
    <xdr:ext cx="2612446" cy="381708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F0B1C13C-DC5E-4F89-96C0-D285173F4B70}"/>
            </a:ext>
          </a:extLst>
        </xdr:cNvPr>
        <xdr:cNvSpPr txBox="1"/>
      </xdr:nvSpPr>
      <xdr:spPr>
        <a:xfrm>
          <a:off x="92178" y="14707420"/>
          <a:ext cx="2612446" cy="3817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>
              <a:solidFill>
                <a:schemeClr val="bg2">
                  <a:lumMod val="25000"/>
                </a:schemeClr>
              </a:solidFill>
              <a:latin typeface="Arial Black" panose="020B0A04020102020204" pitchFamily="34" charset="0"/>
            </a:rPr>
            <a:t>VENDAS - SETEMBRO</a:t>
          </a:r>
        </a:p>
      </xdr:txBody>
    </xdr:sp>
    <xdr:clientData/>
  </xdr:oneCellAnchor>
  <xdr:twoCellAnchor>
    <xdr:from>
      <xdr:col>16</xdr:col>
      <xdr:colOff>283515</xdr:colOff>
      <xdr:row>2</xdr:row>
      <xdr:rowOff>37802</xdr:rowOff>
    </xdr:from>
    <xdr:to>
      <xdr:col>18</xdr:col>
      <xdr:colOff>215918</xdr:colOff>
      <xdr:row>3</xdr:row>
      <xdr:rowOff>43230</xdr:rowOff>
    </xdr:to>
    <xdr:sp macro="" textlink="">
      <xdr:nvSpPr>
        <xdr:cNvPr id="12" name="Retângulo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CA6D47C-6279-400C-9A18-BDC2F1629F7D}"/>
            </a:ext>
          </a:extLst>
        </xdr:cNvPr>
        <xdr:cNvSpPr/>
      </xdr:nvSpPr>
      <xdr:spPr>
        <a:xfrm>
          <a:off x="14354538" y="998961"/>
          <a:ext cx="806971" cy="19592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2">
                  <a:lumMod val="25000"/>
                </a:schemeClr>
              </a:solidFill>
              <a:latin typeface="+mj-lt"/>
              <a:cs typeface="Arial" panose="020B0604020202020204" pitchFamily="34" charset="0"/>
            </a:rPr>
            <a:t>Voltar</a:t>
          </a:r>
        </a:p>
      </xdr:txBody>
    </xdr:sp>
    <xdr:clientData/>
  </xdr:twoCellAnchor>
  <xdr:oneCellAnchor>
    <xdr:from>
      <xdr:col>7</xdr:col>
      <xdr:colOff>20484</xdr:colOff>
      <xdr:row>140</xdr:row>
      <xdr:rowOff>419920</xdr:rowOff>
    </xdr:from>
    <xdr:ext cx="4219745" cy="381708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7382DF7E-3AA9-4FFE-88FD-2027C2F2A6C5}"/>
            </a:ext>
          </a:extLst>
        </xdr:cNvPr>
        <xdr:cNvSpPr txBox="1"/>
      </xdr:nvSpPr>
      <xdr:spPr>
        <a:xfrm>
          <a:off x="4064279" y="27791306"/>
          <a:ext cx="4219745" cy="3817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>
              <a:solidFill>
                <a:schemeClr val="bg2">
                  <a:lumMod val="25000"/>
                </a:schemeClr>
              </a:solidFill>
              <a:latin typeface="Arial Black" panose="020B0A04020102020204" pitchFamily="34" charset="0"/>
            </a:rPr>
            <a:t>HISTÓRICO DE VENDAS - OUTUBRO</a:t>
          </a:r>
        </a:p>
      </xdr:txBody>
    </xdr:sp>
    <xdr:clientData/>
  </xdr:oneCellAnchor>
  <xdr:oneCellAnchor>
    <xdr:from>
      <xdr:col>1</xdr:col>
      <xdr:colOff>30726</xdr:colOff>
      <xdr:row>140</xdr:row>
      <xdr:rowOff>419920</xdr:rowOff>
    </xdr:from>
    <xdr:ext cx="2487091" cy="381708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C9D21FC3-85EC-4318-8B88-7ADD2825F13C}"/>
            </a:ext>
          </a:extLst>
        </xdr:cNvPr>
        <xdr:cNvSpPr txBox="1"/>
      </xdr:nvSpPr>
      <xdr:spPr>
        <a:xfrm>
          <a:off x="125976" y="27791306"/>
          <a:ext cx="2487091" cy="3817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>
              <a:solidFill>
                <a:schemeClr val="bg2">
                  <a:lumMod val="25000"/>
                </a:schemeClr>
              </a:solidFill>
              <a:latin typeface="Arial Black" panose="020B0A04020102020204" pitchFamily="34" charset="0"/>
            </a:rPr>
            <a:t>VENDAS - OUTUBRO</a:t>
          </a:r>
        </a:p>
      </xdr:txBody>
    </xdr:sp>
    <xdr:clientData/>
  </xdr:oneCellAnchor>
  <xdr:twoCellAnchor>
    <xdr:from>
      <xdr:col>16</xdr:col>
      <xdr:colOff>274856</xdr:colOff>
      <xdr:row>141</xdr:row>
      <xdr:rowOff>37803</xdr:rowOff>
    </xdr:from>
    <xdr:to>
      <xdr:col>18</xdr:col>
      <xdr:colOff>207259</xdr:colOff>
      <xdr:row>142</xdr:row>
      <xdr:rowOff>43231</xdr:rowOff>
    </xdr:to>
    <xdr:sp macro="" textlink="">
      <xdr:nvSpPr>
        <xdr:cNvPr id="15" name="Retângulo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069500D-7745-4C99-9472-76A12AC0EF3A}"/>
            </a:ext>
          </a:extLst>
        </xdr:cNvPr>
        <xdr:cNvSpPr/>
      </xdr:nvSpPr>
      <xdr:spPr>
        <a:xfrm>
          <a:off x="14345879" y="27911417"/>
          <a:ext cx="806971" cy="19592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2">
                  <a:lumMod val="25000"/>
                </a:schemeClr>
              </a:solidFill>
              <a:latin typeface="+mj-lt"/>
              <a:cs typeface="Arial" panose="020B0604020202020204" pitchFamily="34" charset="0"/>
            </a:rPr>
            <a:t>Voltar</a:t>
          </a:r>
        </a:p>
      </xdr:txBody>
    </xdr:sp>
    <xdr:clientData/>
  </xdr:twoCellAnchor>
  <xdr:twoCellAnchor>
    <xdr:from>
      <xdr:col>16</xdr:col>
      <xdr:colOff>268432</xdr:colOff>
      <xdr:row>72</xdr:row>
      <xdr:rowOff>34636</xdr:rowOff>
    </xdr:from>
    <xdr:to>
      <xdr:col>18</xdr:col>
      <xdr:colOff>200835</xdr:colOff>
      <xdr:row>73</xdr:row>
      <xdr:rowOff>40064</xdr:rowOff>
    </xdr:to>
    <xdr:sp macro="" textlink="">
      <xdr:nvSpPr>
        <xdr:cNvPr id="16" name="Retângulo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DB6CBA-86D7-4B0B-B4CA-3B00BD292C62}"/>
            </a:ext>
          </a:extLst>
        </xdr:cNvPr>
        <xdr:cNvSpPr/>
      </xdr:nvSpPr>
      <xdr:spPr>
        <a:xfrm>
          <a:off x="14339455" y="14547272"/>
          <a:ext cx="806971" cy="19592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2">
                  <a:lumMod val="25000"/>
                </a:schemeClr>
              </a:solidFill>
              <a:latin typeface="+mj-lt"/>
              <a:cs typeface="Arial" panose="020B0604020202020204" pitchFamily="34" charset="0"/>
            </a:rPr>
            <a:t>Voltar</a:t>
          </a:r>
        </a:p>
      </xdr:txBody>
    </xdr:sp>
    <xdr:clientData/>
  </xdr:twoCellAnchor>
  <xdr:oneCellAnchor>
    <xdr:from>
      <xdr:col>6</xdr:col>
      <xdr:colOff>20484</xdr:colOff>
      <xdr:row>175</xdr:row>
      <xdr:rowOff>428578</xdr:rowOff>
    </xdr:from>
    <xdr:ext cx="4402039" cy="381708"/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8D7E916C-A17C-4AEF-A0DE-5BD97AE0B690}"/>
            </a:ext>
          </a:extLst>
        </xdr:cNvPr>
        <xdr:cNvSpPr txBox="1"/>
      </xdr:nvSpPr>
      <xdr:spPr>
        <a:xfrm>
          <a:off x="5207279" y="34683942"/>
          <a:ext cx="4402039" cy="3817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>
              <a:solidFill>
                <a:schemeClr val="bg2">
                  <a:lumMod val="25000"/>
                </a:schemeClr>
              </a:solidFill>
              <a:latin typeface="Arial Black" panose="020B0A04020102020204" pitchFamily="34" charset="0"/>
            </a:rPr>
            <a:t>HISTÓRICO DE VENDAS - NOVEMBRO</a:t>
          </a:r>
        </a:p>
      </xdr:txBody>
    </xdr:sp>
    <xdr:clientData/>
  </xdr:oneCellAnchor>
  <xdr:oneCellAnchor>
    <xdr:from>
      <xdr:col>1</xdr:col>
      <xdr:colOff>4749</xdr:colOff>
      <xdr:row>175</xdr:row>
      <xdr:rowOff>428578</xdr:rowOff>
    </xdr:from>
    <xdr:ext cx="2669385" cy="381708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10AA632-1539-4011-829F-CBA40ED8E258}"/>
            </a:ext>
          </a:extLst>
        </xdr:cNvPr>
        <xdr:cNvSpPr txBox="1"/>
      </xdr:nvSpPr>
      <xdr:spPr>
        <a:xfrm>
          <a:off x="1303613" y="34683942"/>
          <a:ext cx="2669385" cy="3817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>
              <a:solidFill>
                <a:schemeClr val="bg2">
                  <a:lumMod val="25000"/>
                </a:schemeClr>
              </a:solidFill>
              <a:latin typeface="Arial Black" panose="020B0A04020102020204" pitchFamily="34" charset="0"/>
            </a:rPr>
            <a:t>VENDAS -</a:t>
          </a:r>
          <a:r>
            <a:rPr lang="pt-BR" sz="1600" baseline="0">
              <a:solidFill>
                <a:schemeClr val="bg2">
                  <a:lumMod val="25000"/>
                </a:schemeClr>
              </a:solidFill>
              <a:latin typeface="Arial Black" panose="020B0A04020102020204" pitchFamily="34" charset="0"/>
            </a:rPr>
            <a:t> NOVEMBRO</a:t>
          </a:r>
          <a:endParaRPr lang="pt-BR" sz="1600">
            <a:solidFill>
              <a:schemeClr val="bg2">
                <a:lumMod val="25000"/>
              </a:schemeClr>
            </a:solidFill>
            <a:latin typeface="Arial Black" panose="020B0A04020102020204" pitchFamily="34" charset="0"/>
          </a:endParaRPr>
        </a:p>
      </xdr:txBody>
    </xdr:sp>
    <xdr:clientData/>
  </xdr:oneCellAnchor>
  <xdr:twoCellAnchor>
    <xdr:from>
      <xdr:col>16</xdr:col>
      <xdr:colOff>283515</xdr:colOff>
      <xdr:row>176</xdr:row>
      <xdr:rowOff>37802</xdr:rowOff>
    </xdr:from>
    <xdr:to>
      <xdr:col>18</xdr:col>
      <xdr:colOff>215918</xdr:colOff>
      <xdr:row>177</xdr:row>
      <xdr:rowOff>43230</xdr:rowOff>
    </xdr:to>
    <xdr:sp macro="" textlink="">
      <xdr:nvSpPr>
        <xdr:cNvPr id="19" name="Retângulo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E636DDB-596C-402D-8408-DFB29E067CE5}"/>
            </a:ext>
          </a:extLst>
        </xdr:cNvPr>
        <xdr:cNvSpPr/>
      </xdr:nvSpPr>
      <xdr:spPr>
        <a:xfrm>
          <a:off x="14588333" y="998961"/>
          <a:ext cx="806971" cy="19592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2">
                  <a:lumMod val="25000"/>
                </a:schemeClr>
              </a:solidFill>
              <a:latin typeface="+mj-lt"/>
              <a:cs typeface="Arial" panose="020B0604020202020204" pitchFamily="34" charset="0"/>
            </a:rPr>
            <a:t>Voltar</a:t>
          </a:r>
        </a:p>
      </xdr:txBody>
    </xdr:sp>
    <xdr:clientData/>
  </xdr:twoCellAnchor>
  <xdr:oneCellAnchor>
    <xdr:from>
      <xdr:col>7</xdr:col>
      <xdr:colOff>20484</xdr:colOff>
      <xdr:row>201</xdr:row>
      <xdr:rowOff>419920</xdr:rowOff>
    </xdr:from>
    <xdr:ext cx="4356514" cy="381708"/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FD0DBDA7-8F79-4191-B33D-27E9BA8E34CC}"/>
            </a:ext>
          </a:extLst>
        </xdr:cNvPr>
        <xdr:cNvSpPr txBox="1"/>
      </xdr:nvSpPr>
      <xdr:spPr>
        <a:xfrm>
          <a:off x="5267893" y="39844761"/>
          <a:ext cx="4356514" cy="3817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>
              <a:solidFill>
                <a:schemeClr val="bg2">
                  <a:lumMod val="25000"/>
                </a:schemeClr>
              </a:solidFill>
              <a:latin typeface="Arial Black" panose="020B0A04020102020204" pitchFamily="34" charset="0"/>
            </a:rPr>
            <a:t>HISTÓRICO DE VENDAS - DEZEMBRO</a:t>
          </a:r>
        </a:p>
      </xdr:txBody>
    </xdr:sp>
    <xdr:clientData/>
  </xdr:oneCellAnchor>
  <xdr:oneCellAnchor>
    <xdr:from>
      <xdr:col>1</xdr:col>
      <xdr:colOff>30726</xdr:colOff>
      <xdr:row>201</xdr:row>
      <xdr:rowOff>419920</xdr:rowOff>
    </xdr:from>
    <xdr:ext cx="2623860" cy="381708"/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954E75F9-83A6-4007-9F4B-F30B4501A27D}"/>
            </a:ext>
          </a:extLst>
        </xdr:cNvPr>
        <xdr:cNvSpPr txBox="1"/>
      </xdr:nvSpPr>
      <xdr:spPr>
        <a:xfrm>
          <a:off x="1329590" y="39844761"/>
          <a:ext cx="2623860" cy="3817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>
              <a:solidFill>
                <a:schemeClr val="bg2">
                  <a:lumMod val="25000"/>
                </a:schemeClr>
              </a:solidFill>
              <a:latin typeface="Arial Black" panose="020B0A04020102020204" pitchFamily="34" charset="0"/>
            </a:rPr>
            <a:t>VENDAS - DEZEMBRO</a:t>
          </a:r>
        </a:p>
      </xdr:txBody>
    </xdr:sp>
    <xdr:clientData/>
  </xdr:oneCellAnchor>
  <xdr:twoCellAnchor>
    <xdr:from>
      <xdr:col>16</xdr:col>
      <xdr:colOff>283515</xdr:colOff>
      <xdr:row>202</xdr:row>
      <xdr:rowOff>37802</xdr:rowOff>
    </xdr:from>
    <xdr:to>
      <xdr:col>18</xdr:col>
      <xdr:colOff>215918</xdr:colOff>
      <xdr:row>203</xdr:row>
      <xdr:rowOff>43230</xdr:rowOff>
    </xdr:to>
    <xdr:sp macro="" textlink="">
      <xdr:nvSpPr>
        <xdr:cNvPr id="22" name="Retângulo 2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942AEA6-8DD9-43FE-AE20-84AAB7D3DFA0}"/>
            </a:ext>
          </a:extLst>
        </xdr:cNvPr>
        <xdr:cNvSpPr/>
      </xdr:nvSpPr>
      <xdr:spPr>
        <a:xfrm>
          <a:off x="14588333" y="998961"/>
          <a:ext cx="806971" cy="19592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2">
                  <a:lumMod val="25000"/>
                </a:schemeClr>
              </a:solidFill>
              <a:latin typeface="+mj-lt"/>
              <a:cs typeface="Arial" panose="020B0604020202020204" pitchFamily="34" charset="0"/>
            </a:rPr>
            <a:t>Voltar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76200</xdr:colOff>
      <xdr:row>1</xdr:row>
      <xdr:rowOff>428625</xdr:rowOff>
    </xdr:from>
    <xdr:ext cx="3946273" cy="381708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EE9225B2-8281-49E6-9B34-FF5C41138A2F}"/>
            </a:ext>
          </a:extLst>
        </xdr:cNvPr>
        <xdr:cNvSpPr txBox="1"/>
      </xdr:nvSpPr>
      <xdr:spPr>
        <a:xfrm>
          <a:off x="4232564" y="887557"/>
          <a:ext cx="3946273" cy="3817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>
              <a:solidFill>
                <a:schemeClr val="bg2">
                  <a:lumMod val="25000"/>
                </a:schemeClr>
              </a:solidFill>
              <a:latin typeface="Arial Black" panose="020B0A04020102020204" pitchFamily="34" charset="0"/>
            </a:rPr>
            <a:t>HISTÓRICO</a:t>
          </a:r>
          <a:r>
            <a:rPr lang="pt-BR" sz="1600" baseline="0">
              <a:solidFill>
                <a:schemeClr val="bg2">
                  <a:lumMod val="25000"/>
                </a:schemeClr>
              </a:solidFill>
              <a:latin typeface="Arial Black" panose="020B0A04020102020204" pitchFamily="34" charset="0"/>
            </a:rPr>
            <a:t> DE SAÍDAS - AGOSTO</a:t>
          </a:r>
          <a:endParaRPr lang="pt-BR" sz="1600">
            <a:solidFill>
              <a:schemeClr val="bg2">
                <a:lumMod val="25000"/>
              </a:schemeClr>
            </a:solidFill>
            <a:latin typeface="Arial Black" panose="020B0A04020102020204" pitchFamily="34" charset="0"/>
          </a:endParaRPr>
        </a:p>
      </xdr:txBody>
    </xdr:sp>
    <xdr:clientData/>
  </xdr:oneCellAnchor>
  <xdr:oneCellAnchor>
    <xdr:from>
      <xdr:col>1</xdr:col>
      <xdr:colOff>428625</xdr:colOff>
      <xdr:row>1</xdr:row>
      <xdr:rowOff>428625</xdr:rowOff>
    </xdr:from>
    <xdr:ext cx="2282035" cy="381708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306F7D0-FB07-40C6-BEAC-6478B11E0991}"/>
            </a:ext>
          </a:extLst>
        </xdr:cNvPr>
        <xdr:cNvSpPr txBox="1"/>
      </xdr:nvSpPr>
      <xdr:spPr>
        <a:xfrm>
          <a:off x="942975" y="885825"/>
          <a:ext cx="2282035" cy="3817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>
              <a:solidFill>
                <a:schemeClr val="bg2">
                  <a:lumMod val="25000"/>
                </a:schemeClr>
              </a:solidFill>
              <a:latin typeface="Arial Black" panose="020B0A04020102020204" pitchFamily="34" charset="0"/>
            </a:rPr>
            <a:t>SAÍDAS - AGOSTO</a:t>
          </a:r>
          <a:r>
            <a:rPr lang="pt-BR" sz="1600" baseline="0">
              <a:solidFill>
                <a:schemeClr val="bg2">
                  <a:lumMod val="25000"/>
                </a:schemeClr>
              </a:solidFill>
              <a:latin typeface="Arial Black" panose="020B0A04020102020204" pitchFamily="34" charset="0"/>
            </a:rPr>
            <a:t> </a:t>
          </a:r>
          <a:endParaRPr lang="pt-BR" sz="1600">
            <a:solidFill>
              <a:schemeClr val="bg2">
                <a:lumMod val="25000"/>
              </a:schemeClr>
            </a:solidFill>
            <a:latin typeface="Arial Black" panose="020B0A04020102020204" pitchFamily="34" charset="0"/>
          </a:endParaRPr>
        </a:p>
      </xdr:txBody>
    </xdr:sp>
    <xdr:clientData/>
  </xdr:oneCellAnchor>
  <xdr:oneCellAnchor>
    <xdr:from>
      <xdr:col>6</xdr:col>
      <xdr:colOff>76200</xdr:colOff>
      <xdr:row>23</xdr:row>
      <xdr:rowOff>428625</xdr:rowOff>
    </xdr:from>
    <xdr:ext cx="4253985" cy="381708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F7401546-33B2-424C-8D81-19EAF68E3AE4}"/>
            </a:ext>
          </a:extLst>
        </xdr:cNvPr>
        <xdr:cNvSpPr txBox="1"/>
      </xdr:nvSpPr>
      <xdr:spPr>
        <a:xfrm>
          <a:off x="4229100" y="4152900"/>
          <a:ext cx="4253985" cy="3817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>
              <a:solidFill>
                <a:schemeClr val="bg2">
                  <a:lumMod val="25000"/>
                </a:schemeClr>
              </a:solidFill>
              <a:latin typeface="Arial Black" panose="020B0A04020102020204" pitchFamily="34" charset="0"/>
            </a:rPr>
            <a:t>HISTÓRICO</a:t>
          </a:r>
          <a:r>
            <a:rPr lang="pt-BR" sz="1600" baseline="0">
              <a:solidFill>
                <a:schemeClr val="bg2">
                  <a:lumMod val="25000"/>
                </a:schemeClr>
              </a:solidFill>
              <a:latin typeface="Arial Black" panose="020B0A04020102020204" pitchFamily="34" charset="0"/>
            </a:rPr>
            <a:t> DE SAÍDAS - SETEMBRO</a:t>
          </a:r>
          <a:endParaRPr lang="pt-BR" sz="1600">
            <a:solidFill>
              <a:schemeClr val="bg2">
                <a:lumMod val="25000"/>
              </a:schemeClr>
            </a:solidFill>
            <a:latin typeface="Arial Black" panose="020B0A04020102020204" pitchFamily="34" charset="0"/>
          </a:endParaRPr>
        </a:p>
      </xdr:txBody>
    </xdr:sp>
    <xdr:clientData/>
  </xdr:oneCellAnchor>
  <xdr:oneCellAnchor>
    <xdr:from>
      <xdr:col>1</xdr:col>
      <xdr:colOff>428625</xdr:colOff>
      <xdr:row>23</xdr:row>
      <xdr:rowOff>428625</xdr:rowOff>
    </xdr:from>
    <xdr:ext cx="2521331" cy="381708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EA0CE1B5-0FBF-496E-B528-E3699CB8B85A}"/>
            </a:ext>
          </a:extLst>
        </xdr:cNvPr>
        <xdr:cNvSpPr txBox="1"/>
      </xdr:nvSpPr>
      <xdr:spPr>
        <a:xfrm>
          <a:off x="942975" y="4152900"/>
          <a:ext cx="2521331" cy="3817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>
              <a:solidFill>
                <a:schemeClr val="bg2">
                  <a:lumMod val="25000"/>
                </a:schemeClr>
              </a:solidFill>
              <a:latin typeface="Arial Black" panose="020B0A04020102020204" pitchFamily="34" charset="0"/>
            </a:rPr>
            <a:t>SAÍDAS - SETEMBRO</a:t>
          </a:r>
        </a:p>
      </xdr:txBody>
    </xdr:sp>
    <xdr:clientData/>
  </xdr:oneCellAnchor>
  <xdr:twoCellAnchor>
    <xdr:from>
      <xdr:col>4</xdr:col>
      <xdr:colOff>6060</xdr:colOff>
      <xdr:row>0</xdr:row>
      <xdr:rowOff>51955</xdr:rowOff>
    </xdr:from>
    <xdr:to>
      <xdr:col>4</xdr:col>
      <xdr:colOff>768060</xdr:colOff>
      <xdr:row>0</xdr:row>
      <xdr:rowOff>385331</xdr:rowOff>
    </xdr:to>
    <xdr:sp macro="" textlink="">
      <xdr:nvSpPr>
        <xdr:cNvPr id="14" name="Retângulo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5CCF91-5BA9-440E-9BD1-F247400177F4}"/>
            </a:ext>
          </a:extLst>
        </xdr:cNvPr>
        <xdr:cNvSpPr/>
      </xdr:nvSpPr>
      <xdr:spPr>
        <a:xfrm>
          <a:off x="3596985" y="51955"/>
          <a:ext cx="762000" cy="3333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>
    <xdr:from>
      <xdr:col>4</xdr:col>
      <xdr:colOff>863310</xdr:colOff>
      <xdr:row>0</xdr:row>
      <xdr:rowOff>51955</xdr:rowOff>
    </xdr:from>
    <xdr:to>
      <xdr:col>7</xdr:col>
      <xdr:colOff>386194</xdr:colOff>
      <xdr:row>0</xdr:row>
      <xdr:rowOff>385331</xdr:rowOff>
    </xdr:to>
    <xdr:sp macro="" textlink="">
      <xdr:nvSpPr>
        <xdr:cNvPr id="15" name="Retângulo 1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3B44A21-2EAF-49C5-AB6F-414C6DCAED18}"/>
            </a:ext>
          </a:extLst>
        </xdr:cNvPr>
        <xdr:cNvSpPr/>
      </xdr:nvSpPr>
      <xdr:spPr>
        <a:xfrm>
          <a:off x="4454235" y="51955"/>
          <a:ext cx="932584" cy="3333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Sabores</a:t>
          </a:r>
        </a:p>
      </xdr:txBody>
    </xdr:sp>
    <xdr:clientData/>
  </xdr:twoCellAnchor>
  <xdr:twoCellAnchor>
    <xdr:from>
      <xdr:col>7</xdr:col>
      <xdr:colOff>462394</xdr:colOff>
      <xdr:row>0</xdr:row>
      <xdr:rowOff>51955</xdr:rowOff>
    </xdr:from>
    <xdr:to>
      <xdr:col>8</xdr:col>
      <xdr:colOff>424294</xdr:colOff>
      <xdr:row>0</xdr:row>
      <xdr:rowOff>385331</xdr:rowOff>
    </xdr:to>
    <xdr:sp macro="" textlink="">
      <xdr:nvSpPr>
        <xdr:cNvPr id="16" name="Retângulo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5F804F9-2A19-42F9-869B-FA336B6B6A1D}"/>
            </a:ext>
          </a:extLst>
        </xdr:cNvPr>
        <xdr:cNvSpPr/>
      </xdr:nvSpPr>
      <xdr:spPr>
        <a:xfrm>
          <a:off x="5463019" y="51955"/>
          <a:ext cx="876300" cy="3333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Estoque</a:t>
          </a:r>
        </a:p>
      </xdr:txBody>
    </xdr:sp>
    <xdr:clientData/>
  </xdr:twoCellAnchor>
  <xdr:twoCellAnchor>
    <xdr:from>
      <xdr:col>8</xdr:col>
      <xdr:colOff>443344</xdr:colOff>
      <xdr:row>0</xdr:row>
      <xdr:rowOff>51956</xdr:rowOff>
    </xdr:from>
    <xdr:to>
      <xdr:col>8</xdr:col>
      <xdr:colOff>1280678</xdr:colOff>
      <xdr:row>0</xdr:row>
      <xdr:rowOff>385332</xdr:rowOff>
    </xdr:to>
    <xdr:sp macro="" textlink="">
      <xdr:nvSpPr>
        <xdr:cNvPr id="17" name="Retângulo 1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2E04268-638C-493B-9615-BE9B0E231D86}"/>
            </a:ext>
          </a:extLst>
        </xdr:cNvPr>
        <xdr:cNvSpPr/>
      </xdr:nvSpPr>
      <xdr:spPr>
        <a:xfrm>
          <a:off x="6358369" y="51956"/>
          <a:ext cx="837334" cy="3333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Vendas</a:t>
          </a:r>
        </a:p>
      </xdr:txBody>
    </xdr:sp>
    <xdr:clientData/>
  </xdr:twoCellAnchor>
  <xdr:twoCellAnchor>
    <xdr:from>
      <xdr:col>8</xdr:col>
      <xdr:colOff>1328303</xdr:colOff>
      <xdr:row>0</xdr:row>
      <xdr:rowOff>51956</xdr:rowOff>
    </xdr:from>
    <xdr:to>
      <xdr:col>9</xdr:col>
      <xdr:colOff>622587</xdr:colOff>
      <xdr:row>0</xdr:row>
      <xdr:rowOff>385332</xdr:rowOff>
    </xdr:to>
    <xdr:sp macro="" textlink="">
      <xdr:nvSpPr>
        <xdr:cNvPr id="18" name="Retângulo 1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EAEBE94-AEA3-42E7-92D0-CBFEEA5D77C7}"/>
            </a:ext>
          </a:extLst>
        </xdr:cNvPr>
        <xdr:cNvSpPr/>
      </xdr:nvSpPr>
      <xdr:spPr>
        <a:xfrm>
          <a:off x="7243328" y="51956"/>
          <a:ext cx="808759" cy="3333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Saídas</a:t>
          </a:r>
        </a:p>
      </xdr:txBody>
    </xdr:sp>
    <xdr:clientData/>
  </xdr:twoCellAnchor>
  <xdr:twoCellAnchor>
    <xdr:from>
      <xdr:col>9</xdr:col>
      <xdr:colOff>679737</xdr:colOff>
      <xdr:row>0</xdr:row>
      <xdr:rowOff>51956</xdr:rowOff>
    </xdr:from>
    <xdr:to>
      <xdr:col>9</xdr:col>
      <xdr:colOff>1600199</xdr:colOff>
      <xdr:row>0</xdr:row>
      <xdr:rowOff>385332</xdr:rowOff>
    </xdr:to>
    <xdr:sp macro="" textlink="">
      <xdr:nvSpPr>
        <xdr:cNvPr id="19" name="Retângulo 1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2982EEE-1211-4D7C-9BF6-0605F230F443}"/>
            </a:ext>
          </a:extLst>
        </xdr:cNvPr>
        <xdr:cNvSpPr/>
      </xdr:nvSpPr>
      <xdr:spPr>
        <a:xfrm>
          <a:off x="8109237" y="51956"/>
          <a:ext cx="920462" cy="3333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Relatórios</a:t>
          </a:r>
        </a:p>
      </xdr:txBody>
    </xdr:sp>
    <xdr:clientData/>
  </xdr:twoCellAnchor>
  <xdr:twoCellAnchor>
    <xdr:from>
      <xdr:col>11</xdr:col>
      <xdr:colOff>466725</xdr:colOff>
      <xdr:row>1</xdr:row>
      <xdr:rowOff>476250</xdr:rowOff>
    </xdr:from>
    <xdr:to>
      <xdr:col>12</xdr:col>
      <xdr:colOff>180975</xdr:colOff>
      <xdr:row>2</xdr:row>
      <xdr:rowOff>171450</xdr:rowOff>
    </xdr:to>
    <xdr:sp macro="" textlink="">
      <xdr:nvSpPr>
        <xdr:cNvPr id="20" name="Retângulo 1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50BE14A-6C5F-437E-88C9-52BC6609AEF2}"/>
            </a:ext>
          </a:extLst>
        </xdr:cNvPr>
        <xdr:cNvSpPr/>
      </xdr:nvSpPr>
      <xdr:spPr>
        <a:xfrm>
          <a:off x="10258425" y="933450"/>
          <a:ext cx="762000" cy="2000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2">
                  <a:lumMod val="25000"/>
                </a:schemeClr>
              </a:solidFill>
              <a:latin typeface="+mj-lt"/>
              <a:cs typeface="Arial" panose="020B0604020202020204" pitchFamily="34" charset="0"/>
            </a:rPr>
            <a:t>Voltar</a:t>
          </a:r>
        </a:p>
      </xdr:txBody>
    </xdr:sp>
    <xdr:clientData/>
  </xdr:twoCellAnchor>
  <xdr:twoCellAnchor>
    <xdr:from>
      <xdr:col>11</xdr:col>
      <xdr:colOff>466725</xdr:colOff>
      <xdr:row>23</xdr:row>
      <xdr:rowOff>476250</xdr:rowOff>
    </xdr:from>
    <xdr:to>
      <xdr:col>12</xdr:col>
      <xdr:colOff>180975</xdr:colOff>
      <xdr:row>24</xdr:row>
      <xdr:rowOff>171450</xdr:rowOff>
    </xdr:to>
    <xdr:sp macro="" textlink="">
      <xdr:nvSpPr>
        <xdr:cNvPr id="21" name="Retângulo 2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77E89D3-C2E1-4E76-879A-BCCC1B630854}"/>
            </a:ext>
          </a:extLst>
        </xdr:cNvPr>
        <xdr:cNvSpPr/>
      </xdr:nvSpPr>
      <xdr:spPr>
        <a:xfrm>
          <a:off x="10258425" y="4200525"/>
          <a:ext cx="762000" cy="2000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2">
                  <a:lumMod val="25000"/>
                </a:schemeClr>
              </a:solidFill>
              <a:latin typeface="+mj-lt"/>
              <a:cs typeface="Arial" panose="020B0604020202020204" pitchFamily="34" charset="0"/>
            </a:rPr>
            <a:t>Voltar</a:t>
          </a:r>
        </a:p>
      </xdr:txBody>
    </xdr:sp>
    <xdr:clientData/>
  </xdr:twoCellAnchor>
  <xdr:oneCellAnchor>
    <xdr:from>
      <xdr:col>6</xdr:col>
      <xdr:colOff>76200</xdr:colOff>
      <xdr:row>57</xdr:row>
      <xdr:rowOff>428625</xdr:rowOff>
    </xdr:from>
    <xdr:ext cx="4128631" cy="381708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02E2C2D6-4E60-4695-8064-E0D9C05F705E}"/>
            </a:ext>
          </a:extLst>
        </xdr:cNvPr>
        <xdr:cNvSpPr txBox="1"/>
      </xdr:nvSpPr>
      <xdr:spPr>
        <a:xfrm>
          <a:off x="4895850" y="11991975"/>
          <a:ext cx="4128631" cy="3817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>
              <a:solidFill>
                <a:schemeClr val="bg2">
                  <a:lumMod val="25000"/>
                </a:schemeClr>
              </a:solidFill>
              <a:latin typeface="Arial Black" panose="020B0A04020102020204" pitchFamily="34" charset="0"/>
            </a:rPr>
            <a:t>HISTÓRICO</a:t>
          </a:r>
          <a:r>
            <a:rPr lang="pt-BR" sz="1600" baseline="0">
              <a:solidFill>
                <a:schemeClr val="bg2">
                  <a:lumMod val="25000"/>
                </a:schemeClr>
              </a:solidFill>
              <a:latin typeface="Arial Black" panose="020B0A04020102020204" pitchFamily="34" charset="0"/>
            </a:rPr>
            <a:t> DE SAÍDAS - OUTUBRO</a:t>
          </a:r>
          <a:endParaRPr lang="pt-BR" sz="1600">
            <a:solidFill>
              <a:schemeClr val="bg2">
                <a:lumMod val="25000"/>
              </a:schemeClr>
            </a:solidFill>
            <a:latin typeface="Arial Black" panose="020B0A04020102020204" pitchFamily="34" charset="0"/>
          </a:endParaRPr>
        </a:p>
      </xdr:txBody>
    </xdr:sp>
    <xdr:clientData/>
  </xdr:oneCellAnchor>
  <xdr:oneCellAnchor>
    <xdr:from>
      <xdr:col>1</xdr:col>
      <xdr:colOff>428625</xdr:colOff>
      <xdr:row>57</xdr:row>
      <xdr:rowOff>428625</xdr:rowOff>
    </xdr:from>
    <xdr:ext cx="2464393" cy="381708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A6628061-FAD9-4ECD-B4F8-A90A9CD50784}"/>
            </a:ext>
          </a:extLst>
        </xdr:cNvPr>
        <xdr:cNvSpPr txBox="1"/>
      </xdr:nvSpPr>
      <xdr:spPr>
        <a:xfrm>
          <a:off x="942975" y="11991975"/>
          <a:ext cx="2464393" cy="3817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>
              <a:solidFill>
                <a:schemeClr val="bg2">
                  <a:lumMod val="25000"/>
                </a:schemeClr>
              </a:solidFill>
              <a:latin typeface="Arial Black" panose="020B0A04020102020204" pitchFamily="34" charset="0"/>
            </a:rPr>
            <a:t>SAÍDAS - OUTUBRO</a:t>
          </a:r>
          <a:r>
            <a:rPr lang="pt-BR" sz="1600" baseline="0">
              <a:solidFill>
                <a:schemeClr val="bg2">
                  <a:lumMod val="25000"/>
                </a:schemeClr>
              </a:solidFill>
              <a:latin typeface="Arial Black" panose="020B0A04020102020204" pitchFamily="34" charset="0"/>
            </a:rPr>
            <a:t> </a:t>
          </a:r>
          <a:endParaRPr lang="pt-BR" sz="1600">
            <a:solidFill>
              <a:schemeClr val="bg2">
                <a:lumMod val="25000"/>
              </a:schemeClr>
            </a:solidFill>
            <a:latin typeface="Arial Black" panose="020B0A04020102020204" pitchFamily="34" charset="0"/>
          </a:endParaRPr>
        </a:p>
      </xdr:txBody>
    </xdr:sp>
    <xdr:clientData/>
  </xdr:oneCellAnchor>
  <xdr:twoCellAnchor>
    <xdr:from>
      <xdr:col>11</xdr:col>
      <xdr:colOff>466725</xdr:colOff>
      <xdr:row>57</xdr:row>
      <xdr:rowOff>476250</xdr:rowOff>
    </xdr:from>
    <xdr:to>
      <xdr:col>12</xdr:col>
      <xdr:colOff>180975</xdr:colOff>
      <xdr:row>58</xdr:row>
      <xdr:rowOff>171450</xdr:rowOff>
    </xdr:to>
    <xdr:sp macro="" textlink="">
      <xdr:nvSpPr>
        <xdr:cNvPr id="24" name="Retângulo 2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1F7D2F8-0C0C-4A11-836A-864AC591E560}"/>
            </a:ext>
          </a:extLst>
        </xdr:cNvPr>
        <xdr:cNvSpPr/>
      </xdr:nvSpPr>
      <xdr:spPr>
        <a:xfrm>
          <a:off x="10925175" y="933450"/>
          <a:ext cx="762000" cy="2000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2">
                  <a:lumMod val="25000"/>
                </a:schemeClr>
              </a:solidFill>
              <a:latin typeface="+mj-lt"/>
              <a:cs typeface="Arial" panose="020B0604020202020204" pitchFamily="34" charset="0"/>
            </a:rPr>
            <a:t>Voltar</a:t>
          </a:r>
        </a:p>
      </xdr:txBody>
    </xdr:sp>
    <xdr:clientData/>
  </xdr:twoCellAnchor>
  <xdr:oneCellAnchor>
    <xdr:from>
      <xdr:col>6</xdr:col>
      <xdr:colOff>76200</xdr:colOff>
      <xdr:row>69</xdr:row>
      <xdr:rowOff>428625</xdr:rowOff>
    </xdr:from>
    <xdr:ext cx="4310924" cy="381708"/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80501F1B-0C6D-426E-90DD-30BAC08059DF}"/>
            </a:ext>
          </a:extLst>
        </xdr:cNvPr>
        <xdr:cNvSpPr txBox="1"/>
      </xdr:nvSpPr>
      <xdr:spPr>
        <a:xfrm>
          <a:off x="6100763" y="14509750"/>
          <a:ext cx="4310924" cy="3817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>
              <a:solidFill>
                <a:schemeClr val="bg2">
                  <a:lumMod val="25000"/>
                </a:schemeClr>
              </a:solidFill>
              <a:latin typeface="Arial Black" panose="020B0A04020102020204" pitchFamily="34" charset="0"/>
            </a:rPr>
            <a:t>HISTÓRICO</a:t>
          </a:r>
          <a:r>
            <a:rPr lang="pt-BR" sz="1600" baseline="0">
              <a:solidFill>
                <a:schemeClr val="bg2">
                  <a:lumMod val="25000"/>
                </a:schemeClr>
              </a:solidFill>
              <a:latin typeface="Arial Black" panose="020B0A04020102020204" pitchFamily="34" charset="0"/>
            </a:rPr>
            <a:t> DE SAÍDAS - NOVEMBRO</a:t>
          </a:r>
          <a:endParaRPr lang="pt-BR" sz="1600">
            <a:solidFill>
              <a:schemeClr val="bg2">
                <a:lumMod val="25000"/>
              </a:schemeClr>
            </a:solidFill>
            <a:latin typeface="Arial Black" panose="020B0A04020102020204" pitchFamily="34" charset="0"/>
          </a:endParaRPr>
        </a:p>
      </xdr:txBody>
    </xdr:sp>
    <xdr:clientData/>
  </xdr:oneCellAnchor>
  <xdr:oneCellAnchor>
    <xdr:from>
      <xdr:col>1</xdr:col>
      <xdr:colOff>428625</xdr:colOff>
      <xdr:row>69</xdr:row>
      <xdr:rowOff>428625</xdr:rowOff>
    </xdr:from>
    <xdr:ext cx="2578270" cy="381708"/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E49C6D33-A085-4D15-94F5-D4F47A7931D5}"/>
            </a:ext>
          </a:extLst>
        </xdr:cNvPr>
        <xdr:cNvSpPr txBox="1"/>
      </xdr:nvSpPr>
      <xdr:spPr>
        <a:xfrm>
          <a:off x="2143125" y="14509750"/>
          <a:ext cx="2578270" cy="3817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>
              <a:solidFill>
                <a:schemeClr val="bg2">
                  <a:lumMod val="25000"/>
                </a:schemeClr>
              </a:solidFill>
              <a:latin typeface="Arial Black" panose="020B0A04020102020204" pitchFamily="34" charset="0"/>
            </a:rPr>
            <a:t>SAÍDAS - NOVEMBRO</a:t>
          </a:r>
        </a:p>
      </xdr:txBody>
    </xdr:sp>
    <xdr:clientData/>
  </xdr:oneCellAnchor>
  <xdr:twoCellAnchor>
    <xdr:from>
      <xdr:col>11</xdr:col>
      <xdr:colOff>466725</xdr:colOff>
      <xdr:row>69</xdr:row>
      <xdr:rowOff>476250</xdr:rowOff>
    </xdr:from>
    <xdr:to>
      <xdr:col>12</xdr:col>
      <xdr:colOff>180975</xdr:colOff>
      <xdr:row>70</xdr:row>
      <xdr:rowOff>171450</xdr:rowOff>
    </xdr:to>
    <xdr:sp macro="" textlink="">
      <xdr:nvSpPr>
        <xdr:cNvPr id="33" name="Retângulo 3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F32A378-DEC9-4FE8-8592-9BEAA9118B2B}"/>
            </a:ext>
          </a:extLst>
        </xdr:cNvPr>
        <xdr:cNvSpPr/>
      </xdr:nvSpPr>
      <xdr:spPr>
        <a:xfrm>
          <a:off x="12126913" y="5349875"/>
          <a:ext cx="762000" cy="203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2">
                  <a:lumMod val="25000"/>
                </a:schemeClr>
              </a:solidFill>
              <a:latin typeface="+mj-lt"/>
              <a:cs typeface="Arial" panose="020B0604020202020204" pitchFamily="34" charset="0"/>
            </a:rPr>
            <a:t>Voltar</a:t>
          </a:r>
        </a:p>
      </xdr:txBody>
    </xdr:sp>
    <xdr:clientData/>
  </xdr:twoCellAnchor>
  <xdr:oneCellAnchor>
    <xdr:from>
      <xdr:col>6</xdr:col>
      <xdr:colOff>84137</xdr:colOff>
      <xdr:row>82</xdr:row>
      <xdr:rowOff>111125</xdr:rowOff>
    </xdr:from>
    <xdr:ext cx="4265398" cy="381708"/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67A41EDE-4D30-44D7-BCD1-FFD65A8BFC8A}"/>
            </a:ext>
          </a:extLst>
        </xdr:cNvPr>
        <xdr:cNvSpPr txBox="1"/>
      </xdr:nvSpPr>
      <xdr:spPr>
        <a:xfrm>
          <a:off x="6108700" y="17208500"/>
          <a:ext cx="4265398" cy="3817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>
              <a:solidFill>
                <a:schemeClr val="bg2">
                  <a:lumMod val="25000"/>
                </a:schemeClr>
              </a:solidFill>
              <a:latin typeface="Arial Black" panose="020B0A04020102020204" pitchFamily="34" charset="0"/>
            </a:rPr>
            <a:t>HISTÓRICO</a:t>
          </a:r>
          <a:r>
            <a:rPr lang="pt-BR" sz="1600" baseline="0">
              <a:solidFill>
                <a:schemeClr val="bg2">
                  <a:lumMod val="25000"/>
                </a:schemeClr>
              </a:solidFill>
              <a:latin typeface="Arial Black" panose="020B0A04020102020204" pitchFamily="34" charset="0"/>
            </a:rPr>
            <a:t> DE SAÍDAS - DEZEMBRO</a:t>
          </a:r>
          <a:endParaRPr lang="pt-BR" sz="1600">
            <a:solidFill>
              <a:schemeClr val="bg2">
                <a:lumMod val="25000"/>
              </a:schemeClr>
            </a:solidFill>
            <a:latin typeface="Arial Black" panose="020B0A04020102020204" pitchFamily="34" charset="0"/>
          </a:endParaRPr>
        </a:p>
      </xdr:txBody>
    </xdr:sp>
    <xdr:clientData/>
  </xdr:oneCellAnchor>
  <xdr:oneCellAnchor>
    <xdr:from>
      <xdr:col>1</xdr:col>
      <xdr:colOff>420688</xdr:colOff>
      <xdr:row>82</xdr:row>
      <xdr:rowOff>119063</xdr:rowOff>
    </xdr:from>
    <xdr:ext cx="2532745" cy="381708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058C3234-EDA4-4A92-BE27-5AB496ED252F}"/>
            </a:ext>
          </a:extLst>
        </xdr:cNvPr>
        <xdr:cNvSpPr txBox="1"/>
      </xdr:nvSpPr>
      <xdr:spPr>
        <a:xfrm>
          <a:off x="2135188" y="17216438"/>
          <a:ext cx="2532745" cy="3817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>
              <a:solidFill>
                <a:schemeClr val="bg2">
                  <a:lumMod val="25000"/>
                </a:schemeClr>
              </a:solidFill>
              <a:latin typeface="Arial Black" panose="020B0A04020102020204" pitchFamily="34" charset="0"/>
            </a:rPr>
            <a:t>SAÍDAS - DEZEMBRO</a:t>
          </a:r>
        </a:p>
      </xdr:txBody>
    </xdr:sp>
    <xdr:clientData/>
  </xdr:oneCellAnchor>
  <xdr:twoCellAnchor>
    <xdr:from>
      <xdr:col>11</xdr:col>
      <xdr:colOff>466725</xdr:colOff>
      <xdr:row>82</xdr:row>
      <xdr:rowOff>476250</xdr:rowOff>
    </xdr:from>
    <xdr:to>
      <xdr:col>12</xdr:col>
      <xdr:colOff>180975</xdr:colOff>
      <xdr:row>83</xdr:row>
      <xdr:rowOff>171450</xdr:rowOff>
    </xdr:to>
    <xdr:sp macro="" textlink="">
      <xdr:nvSpPr>
        <xdr:cNvPr id="27" name="Retângulo 2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DC0F4C0-830A-481D-A398-F1C31B15A965}"/>
            </a:ext>
          </a:extLst>
        </xdr:cNvPr>
        <xdr:cNvSpPr/>
      </xdr:nvSpPr>
      <xdr:spPr>
        <a:xfrm>
          <a:off x="12126913" y="936625"/>
          <a:ext cx="762000" cy="203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2">
                  <a:lumMod val="25000"/>
                </a:schemeClr>
              </a:solidFill>
              <a:latin typeface="+mj-lt"/>
              <a:cs typeface="Arial" panose="020B0604020202020204" pitchFamily="34" charset="0"/>
            </a:rPr>
            <a:t>Voltar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293</xdr:colOff>
      <xdr:row>3</xdr:row>
      <xdr:rowOff>94503</xdr:rowOff>
    </xdr:from>
    <xdr:to>
      <xdr:col>13</xdr:col>
      <xdr:colOff>0</xdr:colOff>
      <xdr:row>19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5F2B139-921E-4482-86EE-78582B994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18317</xdr:colOff>
      <xdr:row>1</xdr:row>
      <xdr:rowOff>454269</xdr:rowOff>
    </xdr:from>
    <xdr:ext cx="2928109" cy="345544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5A5C3551-76A9-427C-BCF3-EA90954FD4DB}"/>
            </a:ext>
          </a:extLst>
        </xdr:cNvPr>
        <xdr:cNvSpPr txBox="1"/>
      </xdr:nvSpPr>
      <xdr:spPr>
        <a:xfrm>
          <a:off x="18317" y="911469"/>
          <a:ext cx="2928109" cy="345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400">
              <a:solidFill>
                <a:schemeClr val="bg2">
                  <a:lumMod val="25000"/>
                </a:schemeClr>
              </a:solidFill>
              <a:latin typeface="Arial Black" panose="020B0A04020102020204" pitchFamily="34" charset="0"/>
            </a:rPr>
            <a:t>ENTRADAS</a:t>
          </a:r>
          <a:r>
            <a:rPr lang="pt-BR" sz="1400" baseline="0">
              <a:solidFill>
                <a:schemeClr val="bg2">
                  <a:lumMod val="25000"/>
                </a:schemeClr>
              </a:solidFill>
              <a:latin typeface="Arial Black" panose="020B0A04020102020204" pitchFamily="34" charset="0"/>
            </a:rPr>
            <a:t> x SAÍDAS - 2021</a:t>
          </a:r>
          <a:endParaRPr lang="pt-BR" sz="1400">
            <a:solidFill>
              <a:schemeClr val="bg2">
                <a:lumMod val="25000"/>
              </a:schemeClr>
            </a:solidFill>
            <a:latin typeface="Arial Black" panose="020B0A04020102020204" pitchFamily="34" charset="0"/>
          </a:endParaRPr>
        </a:p>
      </xdr:txBody>
    </xdr:sp>
    <xdr:clientData/>
  </xdr:oneCellAnchor>
  <xdr:twoCellAnchor>
    <xdr:from>
      <xdr:col>14</xdr:col>
      <xdr:colOff>7938</xdr:colOff>
      <xdr:row>4</xdr:row>
      <xdr:rowOff>0</xdr:rowOff>
    </xdr:from>
    <xdr:to>
      <xdr:col>24</xdr:col>
      <xdr:colOff>1</xdr:colOff>
      <xdr:row>19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AFCD8B2-09E9-4DD7-8293-606F6E18A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13</xdr:col>
      <xdr:colOff>271570</xdr:colOff>
      <xdr:row>1</xdr:row>
      <xdr:rowOff>453760</xdr:rowOff>
    </xdr:from>
    <xdr:ext cx="2070054" cy="345544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07E73549-8325-4487-B895-88FE51957BDE}"/>
            </a:ext>
          </a:extLst>
        </xdr:cNvPr>
        <xdr:cNvSpPr txBox="1"/>
      </xdr:nvSpPr>
      <xdr:spPr>
        <a:xfrm>
          <a:off x="7510570" y="914135"/>
          <a:ext cx="2070054" cy="345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400">
              <a:solidFill>
                <a:schemeClr val="bg2">
                  <a:lumMod val="25000"/>
                </a:schemeClr>
              </a:solidFill>
              <a:latin typeface="Arial Black" panose="020B0A04020102020204" pitchFamily="34" charset="0"/>
            </a:rPr>
            <a:t>RESULTADO - 2021</a:t>
          </a:r>
        </a:p>
      </xdr:txBody>
    </xdr:sp>
    <xdr:clientData/>
  </xdr:oneCellAnchor>
  <xdr:twoCellAnchor>
    <xdr:from>
      <xdr:col>8</xdr:col>
      <xdr:colOff>533400</xdr:colOff>
      <xdr:row>0</xdr:row>
      <xdr:rowOff>66675</xdr:rowOff>
    </xdr:from>
    <xdr:to>
      <xdr:col>10</xdr:col>
      <xdr:colOff>76200</xdr:colOff>
      <xdr:row>0</xdr:row>
      <xdr:rowOff>400051</xdr:rowOff>
    </xdr:to>
    <xdr:sp macro="" textlink="">
      <xdr:nvSpPr>
        <xdr:cNvPr id="15" name="Retângulo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F013D17-4C2C-4F23-A6B4-E9FB076D3EDC}"/>
            </a:ext>
          </a:extLst>
        </xdr:cNvPr>
        <xdr:cNvSpPr/>
      </xdr:nvSpPr>
      <xdr:spPr>
        <a:xfrm>
          <a:off x="3695700" y="66675"/>
          <a:ext cx="762000" cy="3333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>
    <xdr:from>
      <xdr:col>10</xdr:col>
      <xdr:colOff>171450</xdr:colOff>
      <xdr:row>0</xdr:row>
      <xdr:rowOff>66675</xdr:rowOff>
    </xdr:from>
    <xdr:to>
      <xdr:col>11</xdr:col>
      <xdr:colOff>494434</xdr:colOff>
      <xdr:row>0</xdr:row>
      <xdr:rowOff>400051</xdr:rowOff>
    </xdr:to>
    <xdr:sp macro="" textlink="">
      <xdr:nvSpPr>
        <xdr:cNvPr id="16" name="Retângulo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C25E5B-CA96-4B08-875D-13A8B06E3DDC}"/>
            </a:ext>
          </a:extLst>
        </xdr:cNvPr>
        <xdr:cNvSpPr/>
      </xdr:nvSpPr>
      <xdr:spPr>
        <a:xfrm>
          <a:off x="4552950" y="66675"/>
          <a:ext cx="932584" cy="3333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Sabores</a:t>
          </a:r>
        </a:p>
      </xdr:txBody>
    </xdr:sp>
    <xdr:clientData/>
  </xdr:twoCellAnchor>
  <xdr:twoCellAnchor>
    <xdr:from>
      <xdr:col>11</xdr:col>
      <xdr:colOff>570634</xdr:colOff>
      <xdr:row>0</xdr:row>
      <xdr:rowOff>66675</xdr:rowOff>
    </xdr:from>
    <xdr:to>
      <xdr:col>13</xdr:col>
      <xdr:colOff>227734</xdr:colOff>
      <xdr:row>0</xdr:row>
      <xdr:rowOff>400051</xdr:rowOff>
    </xdr:to>
    <xdr:sp macro="" textlink="">
      <xdr:nvSpPr>
        <xdr:cNvPr id="17" name="Retângulo 1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9A0409A-DFF0-459D-A0F3-15736ECA8A8A}"/>
            </a:ext>
          </a:extLst>
        </xdr:cNvPr>
        <xdr:cNvSpPr/>
      </xdr:nvSpPr>
      <xdr:spPr>
        <a:xfrm>
          <a:off x="5561734" y="66675"/>
          <a:ext cx="876300" cy="3333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Estoque</a:t>
          </a:r>
        </a:p>
      </xdr:txBody>
    </xdr:sp>
    <xdr:clientData/>
  </xdr:twoCellAnchor>
  <xdr:twoCellAnchor>
    <xdr:from>
      <xdr:col>13</xdr:col>
      <xdr:colOff>246784</xdr:colOff>
      <xdr:row>0</xdr:row>
      <xdr:rowOff>66676</xdr:rowOff>
    </xdr:from>
    <xdr:to>
      <xdr:col>15</xdr:col>
      <xdr:colOff>122093</xdr:colOff>
      <xdr:row>0</xdr:row>
      <xdr:rowOff>400052</xdr:rowOff>
    </xdr:to>
    <xdr:sp macro="" textlink="">
      <xdr:nvSpPr>
        <xdr:cNvPr id="18" name="Retângulo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78D7671-C979-4AEF-807F-85D5B16CC897}"/>
            </a:ext>
          </a:extLst>
        </xdr:cNvPr>
        <xdr:cNvSpPr/>
      </xdr:nvSpPr>
      <xdr:spPr>
        <a:xfrm>
          <a:off x="6457084" y="66676"/>
          <a:ext cx="837334" cy="3333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Vendas</a:t>
          </a:r>
        </a:p>
      </xdr:txBody>
    </xdr:sp>
    <xdr:clientData/>
  </xdr:twoCellAnchor>
  <xdr:twoCellAnchor>
    <xdr:from>
      <xdr:col>15</xdr:col>
      <xdr:colOff>169718</xdr:colOff>
      <xdr:row>0</xdr:row>
      <xdr:rowOff>66676</xdr:rowOff>
    </xdr:from>
    <xdr:to>
      <xdr:col>16</xdr:col>
      <xdr:colOff>368877</xdr:colOff>
      <xdr:row>0</xdr:row>
      <xdr:rowOff>400052</xdr:rowOff>
    </xdr:to>
    <xdr:sp macro="" textlink="">
      <xdr:nvSpPr>
        <xdr:cNvPr id="19" name="Retângulo 1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9C6C982-5953-4B61-A650-31B88BC90D8F}"/>
            </a:ext>
          </a:extLst>
        </xdr:cNvPr>
        <xdr:cNvSpPr/>
      </xdr:nvSpPr>
      <xdr:spPr>
        <a:xfrm>
          <a:off x="7342043" y="66676"/>
          <a:ext cx="808759" cy="3333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Saídas</a:t>
          </a:r>
        </a:p>
      </xdr:txBody>
    </xdr:sp>
    <xdr:clientData/>
  </xdr:twoCellAnchor>
  <xdr:twoCellAnchor>
    <xdr:from>
      <xdr:col>16</xdr:col>
      <xdr:colOff>426027</xdr:colOff>
      <xdr:row>0</xdr:row>
      <xdr:rowOff>66676</xdr:rowOff>
    </xdr:from>
    <xdr:to>
      <xdr:col>18</xdr:col>
      <xdr:colOff>127289</xdr:colOff>
      <xdr:row>0</xdr:row>
      <xdr:rowOff>400052</xdr:rowOff>
    </xdr:to>
    <xdr:sp macro="" textlink="">
      <xdr:nvSpPr>
        <xdr:cNvPr id="20" name="Retângulo 1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9458B7C-4826-4A2B-AAF5-9F04ADEE5D5A}"/>
            </a:ext>
          </a:extLst>
        </xdr:cNvPr>
        <xdr:cNvSpPr/>
      </xdr:nvSpPr>
      <xdr:spPr>
        <a:xfrm>
          <a:off x="8207952" y="66676"/>
          <a:ext cx="920462" cy="3333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1"/>
              </a:solidFill>
              <a:latin typeface="+mj-lt"/>
              <a:cs typeface="Arial" panose="020B0604020202020204" pitchFamily="34" charset="0"/>
            </a:rPr>
            <a:t>Relatórios</a:t>
          </a:r>
        </a:p>
      </xdr:txBody>
    </xdr:sp>
    <xdr:clientData/>
  </xdr:twoCellAnchor>
  <xdr:twoCellAnchor>
    <xdr:from>
      <xdr:col>23</xdr:col>
      <xdr:colOff>36513</xdr:colOff>
      <xdr:row>2</xdr:row>
      <xdr:rowOff>36512</xdr:rowOff>
    </xdr:from>
    <xdr:to>
      <xdr:col>25</xdr:col>
      <xdr:colOff>36513</xdr:colOff>
      <xdr:row>3</xdr:row>
      <xdr:rowOff>46037</xdr:rowOff>
    </xdr:to>
    <xdr:sp macro="" textlink="">
      <xdr:nvSpPr>
        <xdr:cNvPr id="22" name="Retângulo 2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9A1666C-1B88-4777-8839-E1A559436156}"/>
            </a:ext>
          </a:extLst>
        </xdr:cNvPr>
        <xdr:cNvSpPr/>
      </xdr:nvSpPr>
      <xdr:spPr>
        <a:xfrm>
          <a:off x="12109451" y="1004887"/>
          <a:ext cx="762000" cy="2000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2">
                  <a:lumMod val="25000"/>
                </a:schemeClr>
              </a:solidFill>
              <a:latin typeface="+mj-lt"/>
              <a:cs typeface="Arial" panose="020B0604020202020204" pitchFamily="34" charset="0"/>
            </a:rPr>
            <a:t>Voltar</a:t>
          </a:r>
        </a:p>
      </xdr:txBody>
    </xdr:sp>
    <xdr:clientData/>
  </xdr:twoCellAnchor>
  <xdr:twoCellAnchor>
    <xdr:from>
      <xdr:col>9</xdr:col>
      <xdr:colOff>600917</xdr:colOff>
      <xdr:row>25</xdr:row>
      <xdr:rowOff>13404</xdr:rowOff>
    </xdr:from>
    <xdr:to>
      <xdr:col>16</xdr:col>
      <xdr:colOff>604837</xdr:colOff>
      <xdr:row>43</xdr:row>
      <xdr:rowOff>19050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1B39DA0F-421A-4B76-9779-C0AF92EC6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9</xdr:col>
      <xdr:colOff>523032</xdr:colOff>
      <xdr:row>21</xdr:row>
      <xdr:rowOff>110712</xdr:rowOff>
    </xdr:from>
    <xdr:ext cx="4229943" cy="490199"/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AFC1777A-BC00-43FE-9DA3-C67FBF5C3517}"/>
            </a:ext>
          </a:extLst>
        </xdr:cNvPr>
        <xdr:cNvSpPr txBox="1"/>
      </xdr:nvSpPr>
      <xdr:spPr>
        <a:xfrm>
          <a:off x="4294932" y="5092287"/>
          <a:ext cx="4229943" cy="4901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200">
              <a:solidFill>
                <a:schemeClr val="bg2">
                  <a:lumMod val="25000"/>
                </a:schemeClr>
              </a:solidFill>
              <a:latin typeface="Arial Black" panose="020B0A04020102020204" pitchFamily="34" charset="0"/>
            </a:rPr>
            <a:t>CENTRO DE CUSTOS 2021 </a:t>
          </a:r>
        </a:p>
      </xdr:txBody>
    </xdr:sp>
    <xdr:clientData/>
  </xdr:oneCellAnchor>
  <xdr:oneCellAnchor>
    <xdr:from>
      <xdr:col>11</xdr:col>
      <xdr:colOff>447502</xdr:colOff>
      <xdr:row>22</xdr:row>
      <xdr:rowOff>44694</xdr:rowOff>
    </xdr:from>
    <xdr:ext cx="1840568" cy="345544"/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94E12819-FC29-4FA3-803C-9CC8DD3EA112}"/>
            </a:ext>
          </a:extLst>
        </xdr:cNvPr>
        <xdr:cNvSpPr txBox="1"/>
      </xdr:nvSpPr>
      <xdr:spPr>
        <a:xfrm>
          <a:off x="5438602" y="5712069"/>
          <a:ext cx="1840568" cy="345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400">
              <a:solidFill>
                <a:schemeClr val="bg2">
                  <a:lumMod val="25000"/>
                </a:schemeClr>
              </a:solidFill>
              <a:latin typeface="Arial Black" panose="020B0A04020102020204" pitchFamily="34" charset="0"/>
            </a:rPr>
            <a:t>SETEMBRO 2021</a:t>
          </a:r>
        </a:p>
      </xdr:txBody>
    </xdr:sp>
    <xdr:clientData/>
  </xdr:oneCellAnchor>
  <xdr:oneCellAnchor>
    <xdr:from>
      <xdr:col>4</xdr:col>
      <xdr:colOff>588136</xdr:colOff>
      <xdr:row>22</xdr:row>
      <xdr:rowOff>40212</xdr:rowOff>
    </xdr:from>
    <xdr:ext cx="1571199" cy="345544"/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04EAFB12-97CE-4B4A-B458-C853BCA70A88}"/>
            </a:ext>
          </a:extLst>
        </xdr:cNvPr>
        <xdr:cNvSpPr txBox="1"/>
      </xdr:nvSpPr>
      <xdr:spPr>
        <a:xfrm>
          <a:off x="1312036" y="5707587"/>
          <a:ext cx="1571199" cy="345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400">
              <a:solidFill>
                <a:schemeClr val="bg2">
                  <a:lumMod val="25000"/>
                </a:schemeClr>
              </a:solidFill>
              <a:latin typeface="Arial Black" panose="020B0A04020102020204" pitchFamily="34" charset="0"/>
            </a:rPr>
            <a:t>AGOSTO 2021</a:t>
          </a:r>
        </a:p>
      </xdr:txBody>
    </xdr:sp>
    <xdr:clientData/>
  </xdr:oneCellAnchor>
  <xdr:oneCellAnchor>
    <xdr:from>
      <xdr:col>19</xdr:col>
      <xdr:colOff>152227</xdr:colOff>
      <xdr:row>22</xdr:row>
      <xdr:rowOff>44694</xdr:rowOff>
    </xdr:from>
    <xdr:ext cx="1730730" cy="345544"/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F5A53E2F-C69A-4834-B02D-F10A8EB86643}"/>
            </a:ext>
          </a:extLst>
        </xdr:cNvPr>
        <xdr:cNvSpPr txBox="1"/>
      </xdr:nvSpPr>
      <xdr:spPr>
        <a:xfrm>
          <a:off x="9762952" y="5712069"/>
          <a:ext cx="1730730" cy="345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400">
              <a:solidFill>
                <a:schemeClr val="bg2">
                  <a:lumMod val="25000"/>
                </a:schemeClr>
              </a:solidFill>
              <a:latin typeface="Arial Black" panose="020B0A04020102020204" pitchFamily="34" charset="0"/>
            </a:rPr>
            <a:t>OUTUBRO 2021</a:t>
          </a:r>
        </a:p>
      </xdr:txBody>
    </xdr:sp>
    <xdr:clientData/>
  </xdr:oneCellAnchor>
  <xdr:twoCellAnchor>
    <xdr:from>
      <xdr:col>3</xdr:col>
      <xdr:colOff>9524</xdr:colOff>
      <xdr:row>25</xdr:row>
      <xdr:rowOff>9526</xdr:rowOff>
    </xdr:from>
    <xdr:to>
      <xdr:col>9</xdr:col>
      <xdr:colOff>342900</xdr:colOff>
      <xdr:row>43</xdr:row>
      <xdr:rowOff>19050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826B2D1D-8CD6-460E-844D-9323392A2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36511</xdr:colOff>
      <xdr:row>23</xdr:row>
      <xdr:rowOff>58739</xdr:rowOff>
    </xdr:from>
    <xdr:to>
      <xdr:col>25</xdr:col>
      <xdr:colOff>36511</xdr:colOff>
      <xdr:row>24</xdr:row>
      <xdr:rowOff>31751</xdr:rowOff>
    </xdr:to>
    <xdr:sp macro="" textlink="">
      <xdr:nvSpPr>
        <xdr:cNvPr id="28" name="Retângulo 2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8DCED10-D083-486A-8B92-6AF9F0469F5E}"/>
            </a:ext>
          </a:extLst>
        </xdr:cNvPr>
        <xdr:cNvSpPr/>
      </xdr:nvSpPr>
      <xdr:spPr>
        <a:xfrm>
          <a:off x="12109449" y="5821364"/>
          <a:ext cx="762000" cy="163512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2">
                  <a:lumMod val="25000"/>
                </a:schemeClr>
              </a:solidFill>
              <a:latin typeface="+mj-lt"/>
              <a:cs typeface="Arial" panose="020B0604020202020204" pitchFamily="34" charset="0"/>
            </a:rPr>
            <a:t>Voltar</a:t>
          </a:r>
        </a:p>
      </xdr:txBody>
    </xdr:sp>
    <xdr:clientData/>
  </xdr:twoCellAnchor>
  <xdr:twoCellAnchor>
    <xdr:from>
      <xdr:col>17</xdr:col>
      <xdr:colOff>277813</xdr:colOff>
      <xdr:row>25</xdr:row>
      <xdr:rowOff>7938</xdr:rowOff>
    </xdr:from>
    <xdr:to>
      <xdr:col>23</xdr:col>
      <xdr:colOff>595313</xdr:colOff>
      <xdr:row>43</xdr:row>
      <xdr:rowOff>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02FDD51A-D722-469D-A174-A63DE413F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7936</xdr:colOff>
      <xdr:row>45</xdr:row>
      <xdr:rowOff>190499</xdr:rowOff>
    </xdr:from>
    <xdr:to>
      <xdr:col>9</xdr:col>
      <xdr:colOff>341312</xdr:colOff>
      <xdr:row>64</xdr:row>
      <xdr:rowOff>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88EB2DB0-DC30-4DCF-847E-6546D1ACD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4</xdr:col>
      <xdr:colOff>494473</xdr:colOff>
      <xdr:row>43</xdr:row>
      <xdr:rowOff>222775</xdr:rowOff>
    </xdr:from>
    <xdr:ext cx="1890326" cy="345544"/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8BF2C87B-5655-4675-8C5C-62884E0A23F1}"/>
            </a:ext>
          </a:extLst>
        </xdr:cNvPr>
        <xdr:cNvSpPr txBox="1"/>
      </xdr:nvSpPr>
      <xdr:spPr>
        <a:xfrm>
          <a:off x="2328036" y="9620775"/>
          <a:ext cx="1890326" cy="345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400">
              <a:solidFill>
                <a:schemeClr val="bg2">
                  <a:lumMod val="25000"/>
                </a:schemeClr>
              </a:solidFill>
              <a:latin typeface="Arial Black" panose="020B0A04020102020204" pitchFamily="34" charset="0"/>
            </a:rPr>
            <a:t>NOVEMBRO 2021</a:t>
          </a:r>
        </a:p>
      </xdr:txBody>
    </xdr:sp>
    <xdr:clientData/>
  </xdr:oneCellAnchor>
  <xdr:twoCellAnchor>
    <xdr:from>
      <xdr:col>23</xdr:col>
      <xdr:colOff>28573</xdr:colOff>
      <xdr:row>44</xdr:row>
      <xdr:rowOff>58738</xdr:rowOff>
    </xdr:from>
    <xdr:to>
      <xdr:col>25</xdr:col>
      <xdr:colOff>28573</xdr:colOff>
      <xdr:row>45</xdr:row>
      <xdr:rowOff>31750</xdr:rowOff>
    </xdr:to>
    <xdr:sp macro="" textlink="">
      <xdr:nvSpPr>
        <xdr:cNvPr id="32" name="Retângulo 3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317B800-43DF-46DD-86FB-6550EFD97A5B}"/>
            </a:ext>
          </a:extLst>
        </xdr:cNvPr>
        <xdr:cNvSpPr/>
      </xdr:nvSpPr>
      <xdr:spPr>
        <a:xfrm>
          <a:off x="13212761" y="9734551"/>
          <a:ext cx="762000" cy="163512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ctr"/>
        <a:lstStyle/>
        <a:p>
          <a:pPr algn="ctr"/>
          <a:r>
            <a:rPr lang="pt-BR" sz="1280" b="0">
              <a:solidFill>
                <a:schemeClr val="bg2">
                  <a:lumMod val="25000"/>
                </a:schemeClr>
              </a:solidFill>
              <a:latin typeface="+mj-lt"/>
              <a:cs typeface="Arial" panose="020B0604020202020204" pitchFamily="34" charset="0"/>
            </a:rPr>
            <a:t>Voltar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D1378D-28DE-4EF4-9904-5182E861CDAA}" name="Tabela3" displayName="Tabela3" ref="H9:J20" totalsRowShown="0" headerRowDxfId="244" dataDxfId="243">
  <autoFilter ref="H9:J20" xr:uid="{87D1378D-28DE-4EF4-9904-5182E861CDAA}"/>
  <tableColumns count="3">
    <tableColumn id="1" xr3:uid="{0304CD6E-5B46-490F-998B-701466B4C096}" name="RECEITA" dataDxfId="242"/>
    <tableColumn id="2" xr3:uid="{D119FA05-E79F-47CB-A06D-9F097D18EA4D}" name="QNT" dataDxfId="241"/>
    <tableColumn id="3" xr3:uid="{E2BE1D4E-9975-4EFA-BADE-7B1B80AB3E05}" name="UN" dataDxfId="240"/>
  </tableColumns>
  <tableStyleInfo name="TableStyleMedium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2A5EB5E2-3E66-4D50-9A6C-869CF9E915B3}" name="CADASTRO_UN_SABORES7202234" displayName="CADASTRO_UN_SABORES7202234" ref="S89:S92" totalsRowShown="0" headerRowDxfId="207" dataDxfId="206">
  <autoFilter ref="S89:S92" xr:uid="{2A5EB5E2-3E66-4D50-9A6C-869CF9E915B3}"/>
  <tableColumns count="1">
    <tableColumn id="1" xr3:uid="{CA00B0FF-3036-4E00-B8C6-4770ADF2186C}" name="CADASTRO_UN_SABORES" dataDxfId="205"/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1768CF98-DD56-4D5E-A29F-DE535DA60B3E}" name="Tabela34" displayName="Tabela34" ref="AA9:AC14" totalsRowShown="0" headerRowDxfId="204" dataDxfId="203">
  <autoFilter ref="AA9:AC14" xr:uid="{1768CF98-DD56-4D5E-A29F-DE535DA60B3E}"/>
  <sortState xmlns:xlrd2="http://schemas.microsoft.com/office/spreadsheetml/2017/richdata2" ref="AA10:AC14">
    <sortCondition ref="AB9:AB14"/>
  </sortState>
  <tableColumns count="3">
    <tableColumn id="1" xr3:uid="{D90340AF-F8BA-4CDD-8C3F-70AA6C9CC95F}" name="SABOR" dataDxfId="202"/>
    <tableColumn id="2" xr3:uid="{CD80D9D1-2F82-4B3C-98A3-0DE4CB58B93A}" name="P/ FESTA (g)" dataDxfId="201"/>
    <tableColumn id="3" xr3:uid="{289FDE4D-1258-4AB5-97D6-D89C1DF5B607}" name="P/ CAIXA (g)" dataDxfId="200"/>
  </tableColumns>
  <tableStyleInfo name="TableStyleLight1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5482CF-6959-4CEC-A457-C2850D6630F7}" name="LANÇAMENTO_ESTOQUE" displayName="LANÇAMENTO_ESTOQUE" ref="L5:P40" headerRowDxfId="199" dataDxfId="198">
  <autoFilter ref="L5:P40" xr:uid="{D75482CF-6959-4CEC-A457-C2850D6630F7}"/>
  <tableColumns count="5">
    <tableColumn id="1" xr3:uid="{AA71B808-4454-47ED-B1AE-EDD6D2F0BA78}" name="DATA" totalsRowLabel="Total" dataDxfId="197" totalsRowDxfId="196"/>
    <tableColumn id="2" xr3:uid="{D643EC7F-86BF-47A6-8D77-B6041E37CDBE}" name="MOVIMENTAÇÃO" dataDxfId="195" totalsRowDxfId="194"/>
    <tableColumn id="3" xr3:uid="{05C17B36-DADF-4696-A3AF-7A76EDCA2234}" name="INSUMOS" dataDxfId="193" totalsRowDxfId="192"/>
    <tableColumn id="4" xr3:uid="{8340CBD4-8D8D-45C3-93EF-480279B38B85}" name="QNT." dataDxfId="191" totalsRowDxfId="190"/>
    <tableColumn id="5" xr3:uid="{B15DEDD8-0431-476A-9381-0B3DF5A0E319}" name="UN." totalsRowFunction="count" dataDxfId="189" totalsRowDxfId="188"/>
  </tableColumns>
  <tableStyleInfo name="TableStyleMedium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9D042DE-B391-44F7-B021-F78CD3CF5EE8}" name="CADASTRO_MOVIMENTAÇÃO_ESTOQUE" displayName="CADASTRO_MOVIMENTAÇÃO_ESTOQUE" ref="W5:W7" totalsRowShown="0" headerRowDxfId="187" dataDxfId="186">
  <autoFilter ref="W5:W7" xr:uid="{29D042DE-B391-44F7-B021-F78CD3CF5EE8}"/>
  <sortState xmlns:xlrd2="http://schemas.microsoft.com/office/spreadsheetml/2017/richdata2" ref="W6:W7">
    <sortCondition ref="W5:W7"/>
  </sortState>
  <tableColumns count="1">
    <tableColumn id="1" xr3:uid="{97B02693-F662-4B83-B7B9-ED2713744F63}" name="CADASTRO_MOVIMENTAÇÃO_ESTOQUE" dataDxfId="185"/>
  </tableColumns>
  <tableStyleInfo name="TableStyleLight1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D51DA0E-7B28-4656-A7FB-0B57103834B1}" name="CADASTRO_INSUMO_ESTOQUE" displayName="CADASTRO_INSUMO_ESTOQUE" ref="Y5:Y24" totalsRowShown="0" headerRowDxfId="184" dataDxfId="183">
  <autoFilter ref="Y5:Y24" xr:uid="{DD51DA0E-7B28-4656-A7FB-0B57103834B1}"/>
  <sortState xmlns:xlrd2="http://schemas.microsoft.com/office/spreadsheetml/2017/richdata2" ref="Y6:Y24">
    <sortCondition ref="Y5:Y24"/>
  </sortState>
  <tableColumns count="1">
    <tableColumn id="1" xr3:uid="{0BF972A9-E20C-4A5B-B4A6-BF5A5A6CEE93}" name="CADASTRO_INSUMO_ESTOQUE" dataDxfId="182"/>
  </tableColumns>
  <tableStyleInfo name="TableStyleLight1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472EAEA-13DB-4267-86FD-2AEA8C06C7E4}" name="CADASTRO_UN_ESTOQUE" displayName="CADASTRO_UN_ESTOQUE" ref="AA5:AA9" totalsRowShown="0" headerRowDxfId="181" dataDxfId="180">
  <autoFilter ref="AA5:AA9" xr:uid="{D472EAEA-13DB-4267-86FD-2AEA8C06C7E4}"/>
  <sortState xmlns:xlrd2="http://schemas.microsoft.com/office/spreadsheetml/2017/richdata2" ref="AA6:AA9">
    <sortCondition ref="AA5:AA9"/>
  </sortState>
  <tableColumns count="1">
    <tableColumn id="1" xr3:uid="{758F8DA3-79E8-470A-9998-A7B8B27C8D63}" name="CADASTRO_UN_ESTOQUE" dataDxfId="179"/>
  </tableColumns>
  <tableStyleInfo name="TableStyleLight1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DE09E14-F818-47FC-9361-9A6AFD2B1D15}" name="Tabela15" displayName="Tabela15" ref="C5:I24" totalsRowShown="0" headerRowDxfId="178" dataDxfId="177" tableBorderDxfId="176">
  <autoFilter ref="C5:I24" xr:uid="{7DE09E14-F818-47FC-9361-9A6AFD2B1D15}"/>
  <tableColumns count="7">
    <tableColumn id="1" xr3:uid="{4852C1D8-9FA6-4187-ACF5-2C247378E42A}" name="PRODUTO-CADASTRO" dataDxfId="175">
      <calculatedColumnFormula>CADASTRO_INSUMO_ESTOQUE[[#This Row],[CADASTRO_INSUMO_ESTOQUE]]</calculatedColumnFormula>
    </tableColumn>
    <tableColumn id="2" xr3:uid="{FF02D272-CDBE-4545-8044-F5EB6A2E0447}" name="ENTRADA" dataDxfId="174">
      <calculatedColumnFormula>SUMIFS(LANÇAMENTO_ESTOQUE[QNT.],LANÇAMENTO_ESTOQUE[MOVIMENTAÇÃO],$D$5,LANÇAMENTO_ESTOQUE[INSUMOS],C6)</calculatedColumnFormula>
    </tableColumn>
    <tableColumn id="3" xr3:uid="{2DD77205-4CCE-487A-AB85-AFB83FB2B762}" name="SAÍDA" dataDxfId="173">
      <calculatedColumnFormula>SUMIFS(LANÇAMENTO_ESTOQUE[QNT.],LANÇAMENTO_ESTOQUE[MOVIMENTAÇÃO],$E$5,LANÇAMENTO_ESTOQUE[INSUMOS],C6)</calculatedColumnFormula>
    </tableColumn>
    <tableColumn id="4" xr3:uid="{5EBAE625-C195-48DC-BA9F-48A8B9998161}" name="SALDO" dataDxfId="172">
      <calculatedColumnFormula>D6-E6</calculatedColumnFormula>
    </tableColumn>
    <tableColumn id="5" xr3:uid="{643B8394-D0DA-4B08-9037-4B5C7A5F6AD2}" name="UN." dataDxfId="171"/>
    <tableColumn id="6" xr3:uid="{BA99BC2F-0E51-40CB-83D3-4D95AB380DBD}" name="ALARME 1" dataDxfId="170">
      <calculatedColumnFormula>IF(Tabela15[[#This Row],[PRODUTO-CADASTRO]]=CADASTRO_INSUMO_ESTOQUE[[#This Row],[CADASTRO_INSUMO_ESTOQUE]],IF(Tabela15[[#This Row],[SALDO]]&lt;=15,"COMPRAR","OK"),8)</calculatedColumnFormula>
    </tableColumn>
    <tableColumn id="7" xr3:uid="{AAFBF5FB-8E68-4B3D-AA58-F5EB6100514F}" name="SINAL" dataDxfId="169">
      <calculatedColumnFormula>IF(H6="COMPRAR",1,0)</calculatedColumnFormula>
    </tableColumn>
  </tableColumns>
  <tableStyleInfo name="TableStyleMedium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BBC4A5-D4D7-4469-BCD9-9A692A3191F4}" name="Tabela4" displayName="Tabela4" ref="I5:R71" totalsRowShown="0" headerRowDxfId="168" dataDxfId="167">
  <autoFilter ref="I5:R71" xr:uid="{FABBC4A5-D4D7-4469-BCD9-9A692A3191F4}"/>
  <tableColumns count="10">
    <tableColumn id="1" xr3:uid="{B200EF39-BA29-4A8A-B1E2-530F3CA95FC3}" name="DATA" dataDxfId="166"/>
    <tableColumn id="2" xr3:uid="{BFEBF209-5FD1-4E1C-A78F-271D68513B42}" name="TIPO" dataDxfId="165"/>
    <tableColumn id="3" xr3:uid="{FBF5864A-5A57-4053-B9FA-EA1EC7EBD981}" name="NOME" dataDxfId="164"/>
    <tableColumn id="4" xr3:uid="{396DCDC1-5AF1-4B9B-A6EB-B01CE0C16BE2}" name="FORMA DE PG" dataDxfId="163"/>
    <tableColumn id="5" xr3:uid="{3CD753AC-9203-4F62-9487-1DE5D103672D}" name="QNT" dataDxfId="162"/>
    <tableColumn id="6" xr3:uid="{E193FBF7-7791-429F-A7FE-5628022D2CE9}" name="PRODUTO" dataDxfId="161"/>
    <tableColumn id="7" xr3:uid="{2254781A-0042-4C4F-8390-2BA2816239FD}" name="DESCRIÇÃO" dataDxfId="160"/>
    <tableColumn id="8" xr3:uid="{2309B766-0201-4F6A-8513-B11F8E2D0065}" name="VALOR" dataDxfId="159" dataCellStyle="Moeda"/>
    <tableColumn id="9" xr3:uid="{1B288DE3-FC3C-462A-A8FD-D93A1C00DB23}" name="SITUAÇÃO" dataDxfId="158"/>
    <tableColumn id="10" xr3:uid="{8952BF8D-0359-4F19-B89E-327E7DB4FF6D}" name="MÊS" dataDxfId="157">
      <calculatedColumnFormula>TEXT(Tabela4[[#This Row],[DATA]],"MMM")</calculatedColumnFormula>
    </tableColumn>
  </tableColumns>
  <tableStyleInfo name="TableStyleMedium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177841-5973-4204-B4DC-FF8A9E7A5512}" name="CADASTRO_TIPO_VENDAS" displayName="CADASTRO_TIPO_VENDAS" ref="X5:X7" totalsRowShown="0" headerRowDxfId="156" dataDxfId="155">
  <autoFilter ref="X5:X7" xr:uid="{9D177841-5973-4204-B4DC-FF8A9E7A5512}"/>
  <sortState xmlns:xlrd2="http://schemas.microsoft.com/office/spreadsheetml/2017/richdata2" ref="X6:X7">
    <sortCondition ref="X5:X7"/>
  </sortState>
  <tableColumns count="1">
    <tableColumn id="1" xr3:uid="{9DF72ED1-B6D3-4F06-A649-43B7FAB92C9E}" name="CADASTRO_TIPO_VENDAS" dataDxfId="154"/>
  </tableColumns>
  <tableStyleInfo name="TableStyleLight14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E991777-5D45-4715-A9D6-AD823F4C64DE}" name="CADASTRO_UNIDADE_VENDAS" displayName="CADASTRO_UNIDADE_VENDAS" ref="Y5:Y16" totalsRowShown="0">
  <autoFilter ref="Y5:Y16" xr:uid="{6E991777-5D45-4715-A9D6-AD823F4C64DE}"/>
  <sortState xmlns:xlrd2="http://schemas.microsoft.com/office/spreadsheetml/2017/richdata2" ref="Y6:Y16">
    <sortCondition ref="Y5:Y16"/>
  </sortState>
  <tableColumns count="1">
    <tableColumn id="1" xr3:uid="{7C5FB784-7860-4A91-ACB5-A1D513DA7908}" name="CADASTRO_UNIDADE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61AAE6-8724-4929-A35E-F9DA92518E6B}" name="CADASTRO_UN_SABORES" displayName="CADASTRO_UN_SABORES" ref="S9:S12" totalsRowShown="0" headerRowDxfId="239" dataDxfId="238">
  <autoFilter ref="S9:S12" xr:uid="{9461AAE6-8724-4929-A35E-F9DA92518E6B}"/>
  <tableColumns count="1">
    <tableColumn id="1" xr3:uid="{8EE4EEB4-D9AE-4019-A0DF-FF53AE40E877}" name="CADASTRO_UN_SABORES" dataDxfId="237"/>
  </tableColumns>
  <tableStyleInfo name="TableStyleLight14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487C715-BCC9-4637-B490-A8C10E32175B}" name="CADASTRO_PRODUTO_VENDAS" displayName="CADASTRO_PRODUTO_VENDAS" ref="Z5:Z28" totalsRowShown="0" headerRowDxfId="153" dataDxfId="152">
  <autoFilter ref="Z5:Z28" xr:uid="{B487C715-BCC9-4637-B490-A8C10E32175B}"/>
  <sortState xmlns:xlrd2="http://schemas.microsoft.com/office/spreadsheetml/2017/richdata2" ref="Z6:Z28">
    <sortCondition ref="Z5:Z28"/>
  </sortState>
  <tableColumns count="1">
    <tableColumn id="1" xr3:uid="{F42FDD40-E2CE-4323-8D9F-C3D2402C9CAB}" name="CADASTRO_PRODUTO" dataDxfId="151"/>
  </tableColumns>
  <tableStyleInfo name="TableStyleLight14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9F5D85C-9971-473D-947A-6946080331A8}" name="CADASTRO_SITUAÇÃO_VENDAS" displayName="CADASTRO_SITUAÇÃO_VENDAS" ref="AB5:AB7" totalsRowShown="0">
  <autoFilter ref="AB5:AB7" xr:uid="{C9F5D85C-9971-473D-947A-6946080331A8}"/>
  <sortState xmlns:xlrd2="http://schemas.microsoft.com/office/spreadsheetml/2017/richdata2" ref="AB6:AB7">
    <sortCondition ref="AB5:AB7"/>
  </sortState>
  <tableColumns count="1">
    <tableColumn id="1" xr3:uid="{948F5925-8D7F-4AD5-995F-219F5CEC04AB}" name="CADASTRP_SITUAÇÃO_VENDAS"/>
  </tableColumns>
  <tableStyleInfo name="TableStyleLight14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4E0EAFF-F092-4E55-8235-AAD239A97D5D}" name="CADASTRO_FORMA_DE_PG" displayName="CADASTRO_FORMA_DE_PG" ref="AD5:AD7" totalsRowShown="0" headerRowDxfId="150" dataDxfId="149">
  <autoFilter ref="AD5:AD7" xr:uid="{74E0EAFF-F092-4E55-8235-AAD239A97D5D}"/>
  <tableColumns count="1">
    <tableColumn id="1" xr3:uid="{7FFADE15-1A70-40FE-BA01-014563232C07}" name="CADASTRO_FORMA_DE_PG" dataDxfId="148"/>
  </tableColumns>
  <tableStyleInfo name="TableStyleLight14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9E7FA88C-A12E-4598-BEE5-D052D907D8D7}" name="Tabela424" displayName="Tabela424" ref="I75:Q140" totalsRowShown="0" headerRowDxfId="147" dataDxfId="146">
  <autoFilter ref="I75:Q140" xr:uid="{9E7FA88C-A12E-4598-BEE5-D052D907D8D7}"/>
  <tableColumns count="9">
    <tableColumn id="1" xr3:uid="{E3D5EE09-4EEA-4433-9C7A-44D0A43EFA83}" name="DATA" dataDxfId="145"/>
    <tableColumn id="2" xr3:uid="{B1B462FA-8888-44D9-A12D-3D3AB2706E8E}" name="TIPO" dataDxfId="144"/>
    <tableColumn id="3" xr3:uid="{7D782FED-B9ED-4E7C-AD18-FE30B7FBB0C3}" name="NOME" dataDxfId="143"/>
    <tableColumn id="4" xr3:uid="{8FEB308D-3E81-4907-B78A-9AE2B5D3344E}" name="FORMA DE PG" dataDxfId="142"/>
    <tableColumn id="5" xr3:uid="{D34841AA-C50B-414A-8C22-DCC4E44BE11D}" name="QNT" dataDxfId="141"/>
    <tableColumn id="6" xr3:uid="{FD44D190-B048-473B-B0CE-B3787F4714D0}" name="PRODUTO" dataDxfId="140"/>
    <tableColumn id="7" xr3:uid="{DB95566A-E44E-449F-BF10-66D68E29AF6F}" name="DESCRIÇÃO" dataDxfId="139"/>
    <tableColumn id="8" xr3:uid="{992A5C67-6937-4BC3-BEE8-73FEFCD6F35A}" name="VALOR" dataDxfId="138" dataCellStyle="Moeda"/>
    <tableColumn id="9" xr3:uid="{27AD0485-F365-49FD-867D-891C73ADC105}" name="SITUAÇÃO" dataDxfId="137"/>
  </tableColumns>
  <tableStyleInfo name="TableStyleMedium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F6B8B41-C5EB-4F1F-B30A-164B972A5D37}" name="CADASTRO_TIPO_VENDAS25" displayName="CADASTRO_TIPO_VENDAS25" ref="X75:X77" totalsRowShown="0" headerRowDxfId="136" dataDxfId="135">
  <autoFilter ref="X75:X77" xr:uid="{3F6B8B41-C5EB-4F1F-B30A-164B972A5D37}"/>
  <sortState xmlns:xlrd2="http://schemas.microsoft.com/office/spreadsheetml/2017/richdata2" ref="X76:X77">
    <sortCondition ref="X5:X7"/>
  </sortState>
  <tableColumns count="1">
    <tableColumn id="1" xr3:uid="{3ED6EAE9-4410-41C6-B8A0-89269318593D}" name="CADASTRO_TIPO_VENDAS" dataDxfId="134"/>
  </tableColumns>
  <tableStyleInfo name="TableStyleLight1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C8211A-6540-4E10-B636-196E16283D83}" name="CADASTRO_UNIDADE_VENDAS26" displayName="CADASTRO_UNIDADE_VENDAS26" ref="Y75:Y86" totalsRowShown="0">
  <autoFilter ref="Y75:Y86" xr:uid="{02C8211A-6540-4E10-B636-196E16283D83}"/>
  <sortState xmlns:xlrd2="http://schemas.microsoft.com/office/spreadsheetml/2017/richdata2" ref="Y76:Y86">
    <sortCondition ref="Y75:Y86"/>
  </sortState>
  <tableColumns count="1">
    <tableColumn id="1" xr3:uid="{38698869-A4F4-4E8B-A886-A1D838E578C7}" name="CADASTRO_UNIDADE"/>
  </tableColumns>
  <tableStyleInfo name="TableStyleLight1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96CA623-190E-4E5B-859A-0307BD423732}" name="CADASTRO_PRODUTO_VENDAS27" displayName="CADASTRO_PRODUTO_VENDAS27" ref="Z75:Z80" totalsRowShown="0" headerRowDxfId="133" dataDxfId="132">
  <autoFilter ref="Z75:Z80" xr:uid="{896CA623-190E-4E5B-859A-0307BD423732}"/>
  <sortState xmlns:xlrd2="http://schemas.microsoft.com/office/spreadsheetml/2017/richdata2" ref="Z76:Z79">
    <sortCondition ref="Z5:Z9"/>
  </sortState>
  <tableColumns count="1">
    <tableColumn id="1" xr3:uid="{D580F742-6794-412E-84D7-923A1B48ACBE}" name="CADASTRO_PRODUTO" dataDxfId="131"/>
  </tableColumns>
  <tableStyleInfo name="TableStyleLight14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4D63FE84-A0EC-4BB8-9528-C0B01013652D}" name="CADASTRO_SITUAÇÃO_VENDAS28" displayName="CADASTRO_SITUAÇÃO_VENDAS28" ref="AB75:AB77" totalsRowShown="0">
  <autoFilter ref="AB75:AB77" xr:uid="{4D63FE84-A0EC-4BB8-9528-C0B01013652D}"/>
  <sortState xmlns:xlrd2="http://schemas.microsoft.com/office/spreadsheetml/2017/richdata2" ref="AB76:AB77">
    <sortCondition ref="AB5:AB7"/>
  </sortState>
  <tableColumns count="1">
    <tableColumn id="1" xr3:uid="{9CA82AC1-7255-46D1-B564-134B1030B1F2}" name="CADASTRP_SITUAÇÃO_VENDAS"/>
  </tableColumns>
  <tableStyleInfo name="TableStyleLight14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11690E9-8A1B-4F27-B678-EF2E945C4DA2}" name="CADASTRO_FORMA_DE_PG29" displayName="CADASTRO_FORMA_DE_PG29" ref="AD75:AD77" totalsRowShown="0" headerRowDxfId="130" dataDxfId="129">
  <autoFilter ref="AD75:AD77" xr:uid="{E11690E9-8A1B-4F27-B678-EF2E945C4DA2}"/>
  <tableColumns count="1">
    <tableColumn id="1" xr3:uid="{9F989467-EA92-4A17-9C27-AF0D27900797}" name="CADASTRO_FORMA_DE_PG" dataDxfId="128"/>
  </tableColumns>
  <tableStyleInfo name="TableStyleLight14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9696FA70-DC1D-4A63-AE6F-8B38B537A5CA}" name="Tabela439" displayName="Tabela439" ref="I144:R175" totalsRowShown="0" headerRowDxfId="127" dataDxfId="126">
  <autoFilter ref="I144:R175" xr:uid="{9696FA70-DC1D-4A63-AE6F-8B38B537A5CA}"/>
  <tableColumns count="10">
    <tableColumn id="1" xr3:uid="{DF534CB2-F119-42B6-8D01-190A3249334B}" name="DATA" dataDxfId="125"/>
    <tableColumn id="2" xr3:uid="{D040CA32-872B-403B-8409-2B3779079934}" name="TIPO" dataDxfId="124"/>
    <tableColumn id="3" xr3:uid="{8061FF73-740B-48E0-B3FD-61918BC9A6D1}" name="NOME" dataDxfId="123"/>
    <tableColumn id="4" xr3:uid="{12100F52-05B5-4645-B249-5DC306E9454A}" name="FORMA DE PG" dataDxfId="122"/>
    <tableColumn id="5" xr3:uid="{20654CB4-EEEA-4BEE-B7D5-28DBCB722271}" name="QNT" dataDxfId="121"/>
    <tableColumn id="6" xr3:uid="{62E347A2-D35E-4771-9BBB-54E0B0638448}" name="PRODUTO" dataDxfId="120"/>
    <tableColumn id="7" xr3:uid="{60F7B46A-61DB-4545-8B81-7CAEEC978E6C}" name="DESCRIÇÃO" dataDxfId="119"/>
    <tableColumn id="8" xr3:uid="{12FA8E89-1FC6-4CA4-B6E0-6B13FA340B6B}" name="VALOR" dataDxfId="118" dataCellStyle="Moeda"/>
    <tableColumn id="9" xr3:uid="{AA8B4BBD-2889-4454-A876-B47A83737F70}" name="SITUAÇÃO" dataDxfId="117"/>
    <tableColumn id="10" xr3:uid="{0354544F-4E2D-4FD6-9DBB-26C9933793A4}" name="MÊS" dataDxfId="116">
      <calculatedColumnFormula>TEXT(Tabela439[[#This Row],[DATA]],"MMM")</calculatedColumnFormula>
    </tableColumn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5E378A-9D32-47B9-ADBE-BC4F1E81C2D3}" name="Tabela36" displayName="Tabela36" ref="H29:J40" totalsRowShown="0" headerRowDxfId="236" dataDxfId="235">
  <autoFilter ref="H29:J40" xr:uid="{FA5E378A-9D32-47B9-ADBE-BC4F1E81C2D3}"/>
  <tableColumns count="3">
    <tableColumn id="1" xr3:uid="{789F48EC-2233-4D72-94AE-13260AF0E4BE}" name="RECEITA" dataDxfId="234"/>
    <tableColumn id="2" xr3:uid="{92D0BFAE-33C9-47A9-8990-A4C852A318A3}" name="QNT" dataDxfId="233"/>
    <tableColumn id="3" xr3:uid="{FF7AA9A1-8C47-4211-9CFA-31881E6278FA}" name="UN" dataDxfId="232"/>
  </tableColumns>
  <tableStyleInfo name="TableStyleMedium8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81EBD0A0-6621-4323-A92E-20C33905560B}" name="CADASTRO_TIPO_VENDAS40" displayName="CADASTRO_TIPO_VENDAS40" ref="X144:X146" totalsRowShown="0" headerRowDxfId="115" dataDxfId="114">
  <autoFilter ref="X144:X146" xr:uid="{81EBD0A0-6621-4323-A92E-20C33905560B}"/>
  <sortState xmlns:xlrd2="http://schemas.microsoft.com/office/spreadsheetml/2017/richdata2" ref="X145:X146">
    <sortCondition ref="X5:X7"/>
  </sortState>
  <tableColumns count="1">
    <tableColumn id="1" xr3:uid="{C951626C-6924-4CC2-ACC0-86DA7B7AA5BF}" name="CADASTRO_TIPO_VENDAS" dataDxfId="113"/>
  </tableColumns>
  <tableStyleInfo name="TableStyleLight14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4B93F9A9-8BD8-467F-B2FD-D22D4B689F6C}" name="CADASTRO_UNIDADE_VENDAS41" displayName="CADASTRO_UNIDADE_VENDAS41" ref="Y144:Y155" totalsRowShown="0">
  <autoFilter ref="Y144:Y155" xr:uid="{4B93F9A9-8BD8-467F-B2FD-D22D4B689F6C}"/>
  <sortState xmlns:xlrd2="http://schemas.microsoft.com/office/spreadsheetml/2017/richdata2" ref="Y145:Y155">
    <sortCondition ref="Y144:Y155"/>
  </sortState>
  <tableColumns count="1">
    <tableColumn id="1" xr3:uid="{20336728-2713-46E0-B945-6231DD2CBA34}" name="CADASTRO_UNIDADE"/>
  </tableColumns>
  <tableStyleInfo name="TableStyleLight14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75B8F798-6BE5-4A92-B3A3-57DEC3F86B23}" name="CADASTRO_PRODUTO_VENDAS42" displayName="CADASTRO_PRODUTO_VENDAS42" ref="Z144:Z160" totalsRowShown="0" headerRowDxfId="112" dataDxfId="111">
  <autoFilter ref="Z144:Z160" xr:uid="{75B8F798-6BE5-4A92-B3A3-57DEC3F86B23}"/>
  <sortState xmlns:xlrd2="http://schemas.microsoft.com/office/spreadsheetml/2017/richdata2" ref="Z145:Z159">
    <sortCondition ref="Z144:Z159"/>
  </sortState>
  <tableColumns count="1">
    <tableColumn id="1" xr3:uid="{9FD85602-6FCB-41FC-8F90-AF11E1F7C5B6}" name="CADASTRO_PRODUTO" dataDxfId="110"/>
  </tableColumns>
  <tableStyleInfo name="TableStyleLight14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78C623BF-18C0-4CB9-8162-E875606DB87F}" name="CADASTRO_SITUAÇÃO_VENDAS43" displayName="CADASTRO_SITUAÇÃO_VENDAS43" ref="AB144:AB146" totalsRowShown="0">
  <autoFilter ref="AB144:AB146" xr:uid="{78C623BF-18C0-4CB9-8162-E875606DB87F}"/>
  <sortState xmlns:xlrd2="http://schemas.microsoft.com/office/spreadsheetml/2017/richdata2" ref="AB145:AB146">
    <sortCondition ref="AB5:AB7"/>
  </sortState>
  <tableColumns count="1">
    <tableColumn id="1" xr3:uid="{8D71AB33-BB76-4FB4-A525-B7CA15A1AA4A}" name="CADASTRP_SITUAÇÃO_VENDAS"/>
  </tableColumns>
  <tableStyleInfo name="TableStyleLight14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305C537C-38EA-4534-822E-3AA5AF11BC7F}" name="CADASTRO_FORMA_DE_PG44" displayName="CADASTRO_FORMA_DE_PG44" ref="AD144:AD146" totalsRowShown="0" headerRowDxfId="109" dataDxfId="108">
  <autoFilter ref="AD144:AD146" xr:uid="{305C537C-38EA-4534-822E-3AA5AF11BC7F}"/>
  <tableColumns count="1">
    <tableColumn id="1" xr3:uid="{B3334269-8429-4A39-98CB-9585091BD0F8}" name="CADASTRO_FORMA_DE_PG" dataDxfId="107"/>
  </tableColumns>
  <tableStyleInfo name="TableStyleLight14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99A9B165-535A-4883-A4FA-17F6D9363944}" name="Tabela445" displayName="Tabela445" ref="I179:R201" totalsRowShown="0" headerRowDxfId="106" dataDxfId="105">
  <autoFilter ref="I179:R201" xr:uid="{99A9B165-535A-4883-A4FA-17F6D9363944}"/>
  <tableColumns count="10">
    <tableColumn id="1" xr3:uid="{0DA94408-E32A-481E-8ADC-8693C89EF768}" name="DATA" dataDxfId="104"/>
    <tableColumn id="2" xr3:uid="{A82E1451-8976-4128-B7CB-B84F5E4ABB6D}" name="TIPO" dataDxfId="103"/>
    <tableColumn id="3" xr3:uid="{813A5A10-D871-48DA-8C91-896BC51C2246}" name="NOME" dataDxfId="102"/>
    <tableColumn id="4" xr3:uid="{79B47428-072D-4975-A0CD-DE0F5D1E2A91}" name="FORMA DE PG" dataDxfId="101"/>
    <tableColumn id="5" xr3:uid="{653567C1-B4D2-44EB-9F86-2A0E626A94BD}" name="QNT" dataDxfId="100"/>
    <tableColumn id="6" xr3:uid="{ABBD227A-29CC-4A77-AB66-1FED127A7FBB}" name="PRODUTO" dataDxfId="99"/>
    <tableColumn id="7" xr3:uid="{50BAF30A-A0E0-43D5-814B-51EFCABB98DA}" name="DESCRIÇÃO" dataDxfId="98"/>
    <tableColumn id="8" xr3:uid="{1E68CC8B-8D28-4938-90AF-3B130EFCB540}" name="VALOR" dataDxfId="97" dataCellStyle="Moeda"/>
    <tableColumn id="9" xr3:uid="{4069BA83-476E-479F-9B96-CC58F12F068F}" name="SITUAÇÃO" dataDxfId="96"/>
    <tableColumn id="10" xr3:uid="{AEB59FFE-2F2C-43E9-831C-C51B7273F15B}" name="MÊS" dataDxfId="95">
      <calculatedColumnFormula>TEXT(Tabela445[[#This Row],[DATA]],"MMM")</calculatedColumnFormula>
    </tableColumn>
  </tableColumns>
  <tableStyleInfo name="TableStyleMedium8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F0FBEC36-3E4A-4A28-82D8-8F9DB343EA60}" name="CADASTRO_TIPO_VENDAS46" displayName="CADASTRO_TIPO_VENDAS46" ref="X179:X181" totalsRowShown="0" headerRowDxfId="94" dataDxfId="93">
  <autoFilter ref="X179:X181" xr:uid="{F0FBEC36-3E4A-4A28-82D8-8F9DB343EA60}"/>
  <sortState xmlns:xlrd2="http://schemas.microsoft.com/office/spreadsheetml/2017/richdata2" ref="X180:X181">
    <sortCondition ref="X5:X7"/>
  </sortState>
  <tableColumns count="1">
    <tableColumn id="1" xr3:uid="{4D1D809D-4CC2-4E41-B3C4-B19F68D3842E}" name="CADASTRO_TIPO_VENDAS" dataDxfId="92"/>
  </tableColumns>
  <tableStyleInfo name="TableStyleLight14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93DE8AB7-1FE9-4BE2-BD60-C764B4E13F56}" name="CADASTRO_UNIDADE_VENDAS47" displayName="CADASTRO_UNIDADE_VENDAS47" ref="Y179:Y190" totalsRowShown="0">
  <autoFilter ref="Y179:Y190" xr:uid="{93DE8AB7-1FE9-4BE2-BD60-C764B4E13F56}"/>
  <sortState xmlns:xlrd2="http://schemas.microsoft.com/office/spreadsheetml/2017/richdata2" ref="Y180:Y190">
    <sortCondition ref="Y5:Y16"/>
  </sortState>
  <tableColumns count="1">
    <tableColumn id="1" xr3:uid="{C036E0DE-B604-4C87-9734-9FBFD25C79A8}" name="CADASTRO_UNIDADE"/>
  </tableColumns>
  <tableStyleInfo name="TableStyleLight14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F7F05232-3454-42B1-9EAD-77B25912126D}" name="CADASTRO_PRODUTO_VENDAS48" displayName="CADASTRO_PRODUTO_VENDAS48" ref="Z179:Z201" totalsRowShown="0" headerRowDxfId="91" dataDxfId="90">
  <autoFilter ref="Z179:Z201" xr:uid="{F7F05232-3454-42B1-9EAD-77B25912126D}"/>
  <sortState xmlns:xlrd2="http://schemas.microsoft.com/office/spreadsheetml/2017/richdata2" ref="Z180:Z201">
    <sortCondition ref="Z5:Z27"/>
  </sortState>
  <tableColumns count="1">
    <tableColumn id="1" xr3:uid="{8130F47F-C4FB-47AD-A7F3-B748A691E449}" name="CADASTRO_PRODUTO" dataDxfId="89"/>
  </tableColumns>
  <tableStyleInfo name="TableStyleLight14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EC3AEF5B-B29C-4732-9F0A-E6BA79C28684}" name="CADASTRO_SITUAÇÃO_VENDAS49" displayName="CADASTRO_SITUAÇÃO_VENDAS49" ref="AB179:AB181" totalsRowShown="0">
  <autoFilter ref="AB179:AB181" xr:uid="{EC3AEF5B-B29C-4732-9F0A-E6BA79C28684}"/>
  <sortState xmlns:xlrd2="http://schemas.microsoft.com/office/spreadsheetml/2017/richdata2" ref="AB180:AB181">
    <sortCondition ref="AB5:AB7"/>
  </sortState>
  <tableColumns count="1">
    <tableColumn id="1" xr3:uid="{E0F763FC-2FFD-4E63-B117-BD4B3E4DF5D9}" name="CADASTRP_SITUAÇÃO_VENDAS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FB07B08-CAB0-4230-9721-53C6E4078E67}" name="CADASTRO_UN_SABORES7" displayName="CADASTRO_UN_SABORES7" ref="S29:S32" totalsRowShown="0" headerRowDxfId="231" dataDxfId="230">
  <autoFilter ref="S29:S32" xr:uid="{7FB07B08-CAB0-4230-9721-53C6E4078E67}"/>
  <tableColumns count="1">
    <tableColumn id="1" xr3:uid="{CDFB7C74-F63C-4396-8A3B-4C4290028C1B}" name="CADASTRO_UN_SABORES" dataDxfId="229"/>
  </tableColumns>
  <tableStyleInfo name="TableStyleLight14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EC1325D9-58A2-4D7B-88E0-63545B2D5453}" name="CADASTRO_FORMA_DE_PG50" displayName="CADASTRO_FORMA_DE_PG50" ref="AD179:AD181" totalsRowShown="0" headerRowDxfId="88" dataDxfId="87">
  <autoFilter ref="AD179:AD181" xr:uid="{EC1325D9-58A2-4D7B-88E0-63545B2D5453}"/>
  <tableColumns count="1">
    <tableColumn id="1" xr3:uid="{1FA10FA6-9195-42C5-853F-653BBF33FF93}" name="CADASTRO_FORMA_DE_PG" dataDxfId="86"/>
  </tableColumns>
  <tableStyleInfo name="TableStyleLight14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ED1C0AFA-7F4C-411B-AE0C-0887BBAB4259}" name="Tabela454" displayName="Tabela454" ref="I205:R227" totalsRowShown="0" headerRowDxfId="85" dataDxfId="84">
  <autoFilter ref="I205:R227" xr:uid="{ED1C0AFA-7F4C-411B-AE0C-0887BBAB4259}"/>
  <tableColumns count="10">
    <tableColumn id="1" xr3:uid="{A24D02AC-82C7-4DC4-A2AC-21B89A8F067D}" name="DATA" dataDxfId="83"/>
    <tableColumn id="2" xr3:uid="{4B7EECB5-74FF-4A52-907B-6557BA30A856}" name="TIPO" dataDxfId="82"/>
    <tableColumn id="3" xr3:uid="{F151119F-4168-493A-804D-2FE8BB3F4150}" name="NOME" dataDxfId="81"/>
    <tableColumn id="4" xr3:uid="{9A9331D0-C2BF-4695-943D-22AC244A19A4}" name="FORMA DE PG" dataDxfId="80"/>
    <tableColumn id="5" xr3:uid="{4D56FBA6-F665-4155-ACCF-0088EE6EA183}" name="QNT" dataDxfId="79"/>
    <tableColumn id="6" xr3:uid="{7CA93FC8-77D0-4EAE-B73E-5768F5C22240}" name="PRODUTO" dataDxfId="78"/>
    <tableColumn id="7" xr3:uid="{6D3E0AE3-4A00-4F7F-B22B-A65C02ED7CB6}" name="DESCRIÇÃO" dataDxfId="77"/>
    <tableColumn id="8" xr3:uid="{9A817345-85B7-4F5C-82D7-664537691502}" name="VALOR" dataDxfId="76" dataCellStyle="Moeda"/>
    <tableColumn id="9" xr3:uid="{255B02B9-1241-4C81-84D6-C820721A3DAC}" name="SITUAÇÃO" dataDxfId="75"/>
    <tableColumn id="10" xr3:uid="{FC648E9E-F590-4050-BAE6-8B2C695CE390}" name="MÊS" dataDxfId="74">
      <calculatedColumnFormula>TEXT(Tabela454[[#This Row],[DATA]],"MMM")</calculatedColumnFormula>
    </tableColumn>
  </tableColumns>
  <tableStyleInfo name="TableStyleMedium8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7083231F-8D32-4119-9CFB-722DD4043E75}" name="CADASTRO_TIPO_VENDAS55" displayName="CADASTRO_TIPO_VENDAS55" ref="X205:X207" totalsRowShown="0" headerRowDxfId="73" dataDxfId="72">
  <autoFilter ref="X205:X207" xr:uid="{7083231F-8D32-4119-9CFB-722DD4043E75}"/>
  <sortState xmlns:xlrd2="http://schemas.microsoft.com/office/spreadsheetml/2017/richdata2" ref="X206:X207">
    <sortCondition ref="X5:X7"/>
  </sortState>
  <tableColumns count="1">
    <tableColumn id="1" xr3:uid="{674A284F-5E14-45B9-BA7E-6924EC511E77}" name="CADASTRO_TIPO_VENDAS" dataDxfId="71"/>
  </tableColumns>
  <tableStyleInfo name="TableStyleLight14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A463ECFF-DA0A-4FC8-86D3-6C0049000774}" name="CADASTRO_UNIDADE_VENDAS59" displayName="CADASTRO_UNIDADE_VENDAS59" ref="Y205:Y216" totalsRowShown="0">
  <autoFilter ref="Y205:Y216" xr:uid="{A463ECFF-DA0A-4FC8-86D3-6C0049000774}"/>
  <sortState xmlns:xlrd2="http://schemas.microsoft.com/office/spreadsheetml/2017/richdata2" ref="Y206:Y216">
    <sortCondition ref="Y5:Y16"/>
  </sortState>
  <tableColumns count="1">
    <tableColumn id="1" xr3:uid="{E0AD7991-0DCD-4B63-9D18-4AEA512A301D}" name="CADASTRO_UNIDADE"/>
  </tableColumns>
  <tableStyleInfo name="TableStyleLight14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F8B0ED57-08D7-4E62-9F04-BBFAC0311191}" name="CADASTRO_PRODUTO_VENDAS60" displayName="CADASTRO_PRODUTO_VENDAS60" ref="Z205:Z228" totalsRowShown="0" headerRowDxfId="70" dataDxfId="69">
  <autoFilter ref="Z205:Z228" xr:uid="{F8B0ED57-08D7-4E62-9F04-BBFAC0311191}"/>
  <sortState xmlns:xlrd2="http://schemas.microsoft.com/office/spreadsheetml/2017/richdata2" ref="Z206:Z228">
    <sortCondition ref="Z5:Z28"/>
  </sortState>
  <tableColumns count="1">
    <tableColumn id="1" xr3:uid="{5BC32065-C286-4727-9672-1D0B28EA9F57}" name="CADASTRO_PRODUTO" dataDxfId="68"/>
  </tableColumns>
  <tableStyleInfo name="TableStyleLight14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705AC970-E0AE-4D64-BBD6-37099978E789}" name="CADASTRO_SITUAÇÃO_VENDAS61" displayName="CADASTRO_SITUAÇÃO_VENDAS61" ref="AB205:AB207" totalsRowShown="0">
  <autoFilter ref="AB205:AB207" xr:uid="{705AC970-E0AE-4D64-BBD6-37099978E789}"/>
  <sortState xmlns:xlrd2="http://schemas.microsoft.com/office/spreadsheetml/2017/richdata2" ref="AB206:AB207">
    <sortCondition ref="AB5:AB7"/>
  </sortState>
  <tableColumns count="1">
    <tableColumn id="1" xr3:uid="{75230E3A-D7D7-4CD2-9C9D-DB48D720CF22}" name="CADASTRP_SITUAÇÃO_VENDAS"/>
  </tableColumns>
  <tableStyleInfo name="TableStyleLight14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D3666775-8069-4B6F-BC34-FE77CFC7421D}" name="CADASTRO_FORMA_DE_PG62" displayName="CADASTRO_FORMA_DE_PG62" ref="AD205:AD207" totalsRowShown="0" headerRowDxfId="67" dataDxfId="66">
  <autoFilter ref="AD205:AD207" xr:uid="{D3666775-8069-4B6F-BC34-FE77CFC7421D}"/>
  <tableColumns count="1">
    <tableColumn id="1" xr3:uid="{8421E11A-0347-4B5A-8C29-5B2AFDBE2FA7}" name="CADASTRO_FORMA_DE_PG" dataDxfId="65"/>
  </tableColumns>
  <tableStyleInfo name="TableStyleLight14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EDAA0C-5118-4616-99F9-3A2F3E50304D}" name="LANÇAMENTO_SAÍDAS" displayName="LANÇAMENTO_SAÍDAS" ref="H5:L23" totalsRowShown="0" headerRowDxfId="64" dataDxfId="63">
  <autoFilter ref="H5:L23" xr:uid="{1EEDAA0C-5118-4616-99F9-3A2F3E50304D}"/>
  <tableColumns count="5">
    <tableColumn id="1" xr3:uid="{BB4C4051-8969-407A-AE4B-A9D6B5B5B563}" name="DATA" dataDxfId="62"/>
    <tableColumn id="2" xr3:uid="{35348B98-8896-4225-8606-FCF969187C90}" name="CENTRO DE CUSTO" dataDxfId="61"/>
    <tableColumn id="3" xr3:uid="{17A35FBE-7736-4474-906F-AE6B53BFE0FA}" name="DESTINO" dataDxfId="60"/>
    <tableColumn id="4" xr3:uid="{61A16875-946B-42A6-AFCF-5C703E39F48F}" name="SITUAÇÃO" dataDxfId="59"/>
    <tableColumn id="5" xr3:uid="{85B182DD-D36B-421B-A175-4A95EA5FC5D6}" name="VALOR" dataDxfId="58" dataCellStyle="Moeda"/>
  </tableColumns>
  <tableStyleInfo name="TableStyleMedium8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920D11F-8EFB-4EF9-B384-BDB7ACF81468}" name="CADASTRO_CENTRO_DE_CUSTO_SAÍDAS" displayName="CADASTRO_CENTRO_DE_CUSTO_SAÍDAS" ref="Q6:Q14" totalsRowShown="0" headerRowDxfId="57" dataDxfId="56">
  <autoFilter ref="Q6:Q14" xr:uid="{2920D11F-8EFB-4EF9-B384-BDB7ACF81468}"/>
  <sortState xmlns:xlrd2="http://schemas.microsoft.com/office/spreadsheetml/2017/richdata2" ref="Q7:Q14">
    <sortCondition ref="Q6:Q14"/>
  </sortState>
  <tableColumns count="1">
    <tableColumn id="1" xr3:uid="{7B5315B9-76A4-46D6-9194-3E4F90E97CA3}" name="CADASTRO_CENTRO_DE_CUSTO_SAÍDAS" dataDxfId="55"/>
  </tableColumns>
  <tableStyleInfo name="TableStyleLight14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9C87341-55E3-4FFD-9417-9A68B9BE1EFF}" name="CADASTRO_SITUAÇÃO_SAÍDAS" displayName="CADASTRO_SITUAÇÃO_SAÍDAS" ref="S6:S8" totalsRowShown="0" headerRowDxfId="54" dataDxfId="53">
  <autoFilter ref="S6:S8" xr:uid="{D9C87341-55E3-4FFD-9417-9A68B9BE1EFF}"/>
  <tableColumns count="1">
    <tableColumn id="1" xr3:uid="{9D833FC4-2079-48E0-A448-53BF4158603B}" name="CADASTRO_SITUAÇÃO_SAÍDAS" dataDxfId="52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0B60067-E4E7-49BA-8DE7-D6246938FC1B}" name="Tabela3619" displayName="Tabela3619" ref="H49:J60" totalsRowShown="0" headerRowDxfId="228" dataDxfId="227">
  <autoFilter ref="H49:J60" xr:uid="{50B60067-E4E7-49BA-8DE7-D6246938FC1B}"/>
  <tableColumns count="3">
    <tableColumn id="1" xr3:uid="{2EA18AC9-3559-44BE-B873-9978A3E0B85A}" name="RECEITA" dataDxfId="226"/>
    <tableColumn id="2" xr3:uid="{B7D901E6-560E-44D8-A2B6-9E17100C01D7}" name="QNT" dataDxfId="225"/>
    <tableColumn id="3" xr3:uid="{52DFF880-EB88-41A3-AF8F-00BC5AF8DF48}" name="UN" dataDxfId="224"/>
  </tableColumns>
  <tableStyleInfo name="TableStyleMedium8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9B38D32-7365-4DA7-92B6-1F2DBF7FFCDD}" name="LANÇAMENTO_SAÍDAS30" displayName="LANÇAMENTO_SAÍDAS30" ref="H27:L57" totalsRowShown="0" headerRowDxfId="51" dataDxfId="50">
  <autoFilter ref="H27:L57" xr:uid="{69B38D32-7365-4DA7-92B6-1F2DBF7FFCDD}"/>
  <tableColumns count="5">
    <tableColumn id="1" xr3:uid="{9CDA4491-ACEC-496C-93D5-5D0AEF21484E}" name="DATA" dataDxfId="49"/>
    <tableColumn id="2" xr3:uid="{F7C1D9AB-D0A9-4D44-9D93-9B72840EA726}" name="CENTRO DE CUSTO" dataDxfId="48"/>
    <tableColumn id="3" xr3:uid="{E9B5BD0A-9AB9-42B9-AD9D-BC2ED2EC3A90}" name="DESTINO" dataDxfId="47"/>
    <tableColumn id="4" xr3:uid="{3808DBAC-12A1-48A4-BE8F-C7182F195095}" name="SITUAÇÃO" dataDxfId="46"/>
    <tableColumn id="5" xr3:uid="{C46675F2-B1A0-4AC1-B4C3-618E23C4CDA5}" name="VALOR" dataDxfId="45" dataCellStyle="Moeda"/>
  </tableColumns>
  <tableStyleInfo name="TableStyleMedium8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9DD69EAC-BD1C-4CBE-9BD7-D16FDD1F1354}" name="CADASTRO_CENTRO_DE_CUSTO_SAÍDAS31" displayName="CADASTRO_CENTRO_DE_CUSTO_SAÍDAS31" ref="Q28:Q36" totalsRowShown="0" headerRowDxfId="44" dataDxfId="43">
  <autoFilter ref="Q28:Q36" xr:uid="{9DD69EAC-BD1C-4CBE-9BD7-D16FDD1F1354}"/>
  <sortState xmlns:xlrd2="http://schemas.microsoft.com/office/spreadsheetml/2017/richdata2" ref="Q29:Q36">
    <sortCondition ref="Q28:Q36"/>
  </sortState>
  <tableColumns count="1">
    <tableColumn id="1" xr3:uid="{DB807440-226B-4FB9-9BDB-B77E781D6440}" name="CADASTRO_CENTRO_DE_CUSTO_SAÍDAS" dataDxfId="42"/>
  </tableColumns>
  <tableStyleInfo name="TableStyleLight14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D7D776C-8F9E-463A-AD87-FF6BD613F578}" name="CADASTRO_SITUAÇÃO_SAÍDAS32" displayName="CADASTRO_SITUAÇÃO_SAÍDAS32" ref="S28:S30" totalsRowShown="0" headerRowDxfId="41" dataDxfId="40">
  <autoFilter ref="S28:S30" xr:uid="{0D7D776C-8F9E-463A-AD87-FF6BD613F578}"/>
  <tableColumns count="1">
    <tableColumn id="1" xr3:uid="{79EF10FF-1ABE-4D97-8E75-A594C16333B6}" name="CADASTRO_SITUAÇÃO_SAÍDAS" dataDxfId="39"/>
  </tableColumns>
  <tableStyleInfo name="TableStyleLight14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C3E89CE2-F6F9-40E4-9949-2C4E0D056D98}" name="LANÇAMENTO_SAÍDAS36" displayName="LANÇAMENTO_SAÍDAS36" ref="H61:L69" totalsRowShown="0" headerRowDxfId="38" dataDxfId="37">
  <autoFilter ref="H61:L69" xr:uid="{C3E89CE2-F6F9-40E4-9949-2C4E0D056D98}"/>
  <tableColumns count="5">
    <tableColumn id="1" xr3:uid="{87A32FF9-EFDA-40FE-AA4F-4ABF0F168545}" name="DATA" dataDxfId="36"/>
    <tableColumn id="2" xr3:uid="{95618FE7-C2AB-4ADC-8467-B215F83FD856}" name="CENTRO DE CUSTO" dataDxfId="35"/>
    <tableColumn id="3" xr3:uid="{53CF3B4A-36D8-4F4A-B6C5-11A9FF3E5E9C}" name="DESTINO" dataDxfId="34"/>
    <tableColumn id="4" xr3:uid="{21E01CF6-993F-4E13-A172-6565BF5B9C5B}" name="SITUAÇÃO" dataDxfId="33"/>
    <tableColumn id="5" xr3:uid="{DD052423-A5B3-4B28-A8F7-3381FF0446B2}" name="VALOR" dataDxfId="32" dataCellStyle="Moeda"/>
  </tableColumns>
  <tableStyleInfo name="TableStyleMedium8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9FB258E-2D71-457C-B8D2-E78917E5DA08}" name="CADASTRO_CENTRO_DE_CUSTO_SAÍDAS37" displayName="CADASTRO_CENTRO_DE_CUSTO_SAÍDAS37" ref="Q62:Q69" totalsRowShown="0" headerRowDxfId="31" dataDxfId="30">
  <autoFilter ref="Q62:Q69" xr:uid="{09FB258E-2D71-457C-B8D2-E78917E5DA08}"/>
  <sortState xmlns:xlrd2="http://schemas.microsoft.com/office/spreadsheetml/2017/richdata2" ref="Q63:Q69">
    <sortCondition ref="Q6:Q14"/>
  </sortState>
  <tableColumns count="1">
    <tableColumn id="1" xr3:uid="{A0EC7DA5-EBC3-48F3-B42C-968B434E18CC}" name="CADASTRO_CENTRO_DE_CUSTO_SAÍDAS" dataDxfId="29"/>
  </tableColumns>
  <tableStyleInfo name="TableStyleLight14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66908C47-15D5-4568-8182-26A560E229B1}" name="CADASTRO_SITUAÇÃO_SAÍDAS38" displayName="CADASTRO_SITUAÇÃO_SAÍDAS38" ref="S62:S64" totalsRowShown="0" headerRowDxfId="28" dataDxfId="27">
  <autoFilter ref="S62:S64" xr:uid="{66908C47-15D5-4568-8182-26A560E229B1}"/>
  <tableColumns count="1">
    <tableColumn id="1" xr3:uid="{1E1B051D-3E11-424C-AB2F-84C0BA860508}" name="CADASTRO_SITUAÇÃO_SAÍDAS" dataDxfId="26"/>
  </tableColumns>
  <tableStyleInfo name="TableStyleLight14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A17166B0-8B87-4BA8-ACF7-62883E457383}" name="LANÇAMENTO_SAÍDAS3056" displayName="LANÇAMENTO_SAÍDAS3056" ref="H73:L81" totalsRowShown="0" headerRowDxfId="25" dataDxfId="24">
  <autoFilter ref="H73:L81" xr:uid="{A17166B0-8B87-4BA8-ACF7-62883E457383}"/>
  <tableColumns count="5">
    <tableColumn id="1" xr3:uid="{DC300B7C-124C-4A19-B5EE-B40391E5C453}" name="DATA" dataDxfId="23"/>
    <tableColumn id="2" xr3:uid="{B6CD4B33-C152-47D3-A0A3-5523ABB0058F}" name="CENTRO DE CUSTO" dataDxfId="22"/>
    <tableColumn id="3" xr3:uid="{A8D4CA78-9C7B-44B0-9755-CA31D814B0FC}" name="DESTINO" dataDxfId="21"/>
    <tableColumn id="4" xr3:uid="{3F29E271-A689-4446-BDD8-DB911E012E6E}" name="SITUAÇÃO" dataDxfId="20"/>
    <tableColumn id="5" xr3:uid="{D702FD65-DE9D-4C37-B29B-A8A5D2623E1D}" name="VALOR" dataDxfId="19" dataCellStyle="Moeda"/>
  </tableColumns>
  <tableStyleInfo name="TableStyleMedium8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71770AA1-C58F-43CC-A614-9BE2B2D6FC22}" name="CADASTRO_CENTRO_DE_CUSTO_SAÍDAS3157" displayName="CADASTRO_CENTRO_DE_CUSTO_SAÍDAS3157" ref="Q74:Q82" totalsRowShown="0" headerRowDxfId="18" dataDxfId="17">
  <autoFilter ref="Q74:Q82" xr:uid="{71770AA1-C58F-43CC-A614-9BE2B2D6FC22}"/>
  <sortState xmlns:xlrd2="http://schemas.microsoft.com/office/spreadsheetml/2017/richdata2" ref="Q75:Q82">
    <sortCondition ref="Q28:Q36"/>
  </sortState>
  <tableColumns count="1">
    <tableColumn id="1" xr3:uid="{83EE6CCD-86EF-48C3-BDD3-6AA858FEA72F}" name="CADASTRO_CENTRO_DE_CUSTO_SAÍDAS" dataDxfId="16"/>
  </tableColumns>
  <tableStyleInfo name="TableStyleLight14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D1949A15-E717-47D0-9228-88B1B5B45438}" name="CADASTRO_SITUAÇÃO_SAÍDAS3258" displayName="CADASTRO_SITUAÇÃO_SAÍDAS3258" ref="S74:S76" totalsRowShown="0" headerRowDxfId="15" dataDxfId="14">
  <autoFilter ref="S74:S76" xr:uid="{D1949A15-E717-47D0-9228-88B1B5B45438}"/>
  <tableColumns count="1">
    <tableColumn id="1" xr3:uid="{E0097585-3946-4DEA-B05A-2F1DC8AC2BAD}" name="CADASTRO_SITUAÇÃO_SAÍDAS" dataDxfId="13"/>
  </tableColumns>
  <tableStyleInfo name="TableStyleLight14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568877A8-4890-4CB6-B9C5-AC8D82AD3C0D}" name="LANÇAMENTO_SAÍDAS51" displayName="LANÇAMENTO_SAÍDAS51" ref="H86:L99" totalsRowShown="0" headerRowDxfId="12" dataDxfId="11">
  <autoFilter ref="H86:L99" xr:uid="{568877A8-4890-4CB6-B9C5-AC8D82AD3C0D}"/>
  <tableColumns count="5">
    <tableColumn id="1" xr3:uid="{2DAE767D-1E69-4A00-BA93-032D61FFB4D2}" name="DATA" dataDxfId="10"/>
    <tableColumn id="2" xr3:uid="{87BF26FF-5A3F-4597-B9F8-DD80949294C6}" name="CENTRO DE CUSTO" dataDxfId="9"/>
    <tableColumn id="3" xr3:uid="{9AA67D9A-9FA1-45AF-9EA4-66C580D548FC}" name="DESTINO" dataDxfId="8"/>
    <tableColumn id="4" xr3:uid="{D8B57630-3A1B-4BC6-B20B-79CA424EF805}" name="SITUAÇÃO" dataDxfId="7"/>
    <tableColumn id="5" xr3:uid="{495A0C92-E2AD-422E-98F4-260628A78978}" name="VALOR" dataDxfId="6" dataCellStyle="Moeda"/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92DE7BE-86C6-4358-91C5-18574253ACCE}" name="CADASTRO_UN_SABORES720" displayName="CADASTRO_UN_SABORES720" ref="S49:S52" totalsRowShown="0" headerRowDxfId="223" dataDxfId="222">
  <autoFilter ref="S49:S52" xr:uid="{F92DE7BE-86C6-4358-91C5-18574253ACCE}"/>
  <tableColumns count="1">
    <tableColumn id="1" xr3:uid="{8ED1B18D-5120-43B3-9E8C-2CDC6B3B9287}" name="CADASTRO_UN_SABORES" dataDxfId="221"/>
  </tableColumns>
  <tableStyleInfo name="TableStyleLight14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702D7F13-6423-4B05-9287-C0D7F13EB113}" name="CADASTRO_CENTRO_DE_CUSTO_SAÍDAS52" displayName="CADASTRO_CENTRO_DE_CUSTO_SAÍDAS52" ref="Q87:Q95" totalsRowShown="0" headerRowDxfId="5" dataDxfId="4">
  <autoFilter ref="Q87:Q95" xr:uid="{702D7F13-6423-4B05-9287-C0D7F13EB113}"/>
  <sortState xmlns:xlrd2="http://schemas.microsoft.com/office/spreadsheetml/2017/richdata2" ref="Q88:Q95">
    <sortCondition ref="Q6:Q14"/>
  </sortState>
  <tableColumns count="1">
    <tableColumn id="1" xr3:uid="{B2AA90B5-9036-47CF-A3EF-51D24706F705}" name="CADASTRO_CENTRO_DE_CUSTO_SAÍDAS" dataDxfId="3"/>
  </tableColumns>
  <tableStyleInfo name="TableStyleLight14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37C2E453-9FD8-4FA2-9AAF-A1A71805BC76}" name="CADASTRO_SITUAÇÃO_SAÍDAS53" displayName="CADASTRO_SITUAÇÃO_SAÍDAS53" ref="S87:S89" totalsRowShown="0" headerRowDxfId="2" dataDxfId="1">
  <autoFilter ref="S87:S89" xr:uid="{37C2E453-9FD8-4FA2-9AAF-A1A71805BC76}"/>
  <tableColumns count="1">
    <tableColumn id="1" xr3:uid="{D89CEBB9-68BA-4218-BB5E-BA115EFF9443}" name="CADASTRO_SITUAÇÃO_SAÍDAS" dataDxfId="0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BFFDF07-7379-4BBE-B55A-6209709F92C1}" name="Tabela361921" displayName="Tabela361921" ref="H69:J80" totalsRowShown="0" headerRowDxfId="220" dataDxfId="219">
  <autoFilter ref="H69:J80" xr:uid="{9BFFDF07-7379-4BBE-B55A-6209709F92C1}"/>
  <tableColumns count="3">
    <tableColumn id="1" xr3:uid="{9C6B46EE-4318-45D6-8F35-C2F614ACF67E}" name="RECEITA" dataDxfId="218"/>
    <tableColumn id="2" xr3:uid="{D7DED873-1CD1-43DF-BF77-407F67BC8CA9}" name="QNT" dataDxfId="217"/>
    <tableColumn id="3" xr3:uid="{5C2CB910-A8F7-4180-ADDE-152C8177E10F}" name="UN" dataDxfId="216"/>
  </tableColumns>
  <tableStyleInfo name="TableStyleMedium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6E2BB48-E661-40A5-B462-B754C3186266}" name="CADASTRO_UN_SABORES72022" displayName="CADASTRO_UN_SABORES72022" ref="S69:S72" totalsRowShown="0" headerRowDxfId="215" dataDxfId="214">
  <autoFilter ref="S69:S72" xr:uid="{B6E2BB48-E661-40A5-B462-B754C3186266}"/>
  <tableColumns count="1">
    <tableColumn id="1" xr3:uid="{750EBCDF-1348-4F60-9982-92D4C55EE5F8}" name="CADASTRO_UN_SABORES" dataDxfId="213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CC6CD9A7-22C7-434F-85C2-B6CF64D79586}" name="Tabela36192133" displayName="Tabela36192133" ref="H89:J100" totalsRowShown="0" headerRowDxfId="212" dataDxfId="211">
  <autoFilter ref="H89:J100" xr:uid="{CC6CD9A7-22C7-434F-85C2-B6CF64D79586}"/>
  <tableColumns count="3">
    <tableColumn id="1" xr3:uid="{FB4985AE-0354-4CDF-9DBB-02AA52320280}" name="RECEITA" dataDxfId="210"/>
    <tableColumn id="2" xr3:uid="{04B0A1BC-F99D-4C53-AB80-E6DE984D9129}" name="QNT" dataDxfId="209"/>
    <tableColumn id="3" xr3:uid="{DD9FD0BC-9544-4D47-ABC2-9E910DEE28C8}" name="UN" dataDxfId="208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drawing" Target="../drawings/drawing3.xml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2.xml"/><Relationship Id="rId13" Type="http://schemas.openxmlformats.org/officeDocument/2006/relationships/table" Target="../tables/table27.xml"/><Relationship Id="rId18" Type="http://schemas.openxmlformats.org/officeDocument/2006/relationships/table" Target="../tables/table32.xml"/><Relationship Id="rId26" Type="http://schemas.openxmlformats.org/officeDocument/2006/relationships/table" Target="../tables/table40.xml"/><Relationship Id="rId3" Type="http://schemas.openxmlformats.org/officeDocument/2006/relationships/table" Target="../tables/table17.xml"/><Relationship Id="rId21" Type="http://schemas.openxmlformats.org/officeDocument/2006/relationships/table" Target="../tables/table35.xml"/><Relationship Id="rId7" Type="http://schemas.openxmlformats.org/officeDocument/2006/relationships/table" Target="../tables/table21.xml"/><Relationship Id="rId12" Type="http://schemas.openxmlformats.org/officeDocument/2006/relationships/table" Target="../tables/table26.xml"/><Relationship Id="rId17" Type="http://schemas.openxmlformats.org/officeDocument/2006/relationships/table" Target="../tables/table31.xml"/><Relationship Id="rId25" Type="http://schemas.openxmlformats.org/officeDocument/2006/relationships/table" Target="../tables/table39.xml"/><Relationship Id="rId2" Type="http://schemas.openxmlformats.org/officeDocument/2006/relationships/drawing" Target="../drawings/drawing4.xml"/><Relationship Id="rId16" Type="http://schemas.openxmlformats.org/officeDocument/2006/relationships/table" Target="../tables/table30.xml"/><Relationship Id="rId20" Type="http://schemas.openxmlformats.org/officeDocument/2006/relationships/table" Target="../tables/table34.xml"/><Relationship Id="rId29" Type="http://schemas.openxmlformats.org/officeDocument/2006/relationships/table" Target="../tables/table4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20.xml"/><Relationship Id="rId11" Type="http://schemas.openxmlformats.org/officeDocument/2006/relationships/table" Target="../tables/table25.xml"/><Relationship Id="rId24" Type="http://schemas.openxmlformats.org/officeDocument/2006/relationships/table" Target="../tables/table38.xml"/><Relationship Id="rId32" Type="http://schemas.openxmlformats.org/officeDocument/2006/relationships/table" Target="../tables/table46.xml"/><Relationship Id="rId5" Type="http://schemas.openxmlformats.org/officeDocument/2006/relationships/table" Target="../tables/table19.xml"/><Relationship Id="rId15" Type="http://schemas.openxmlformats.org/officeDocument/2006/relationships/table" Target="../tables/table29.xml"/><Relationship Id="rId23" Type="http://schemas.openxmlformats.org/officeDocument/2006/relationships/table" Target="../tables/table37.xml"/><Relationship Id="rId28" Type="http://schemas.openxmlformats.org/officeDocument/2006/relationships/table" Target="../tables/table42.xml"/><Relationship Id="rId10" Type="http://schemas.openxmlformats.org/officeDocument/2006/relationships/table" Target="../tables/table24.xml"/><Relationship Id="rId19" Type="http://schemas.openxmlformats.org/officeDocument/2006/relationships/table" Target="../tables/table33.xml"/><Relationship Id="rId31" Type="http://schemas.openxmlformats.org/officeDocument/2006/relationships/table" Target="../tables/table45.xml"/><Relationship Id="rId4" Type="http://schemas.openxmlformats.org/officeDocument/2006/relationships/table" Target="../tables/table18.xml"/><Relationship Id="rId9" Type="http://schemas.openxmlformats.org/officeDocument/2006/relationships/table" Target="../tables/table23.xml"/><Relationship Id="rId14" Type="http://schemas.openxmlformats.org/officeDocument/2006/relationships/table" Target="../tables/table28.xml"/><Relationship Id="rId22" Type="http://schemas.openxmlformats.org/officeDocument/2006/relationships/table" Target="../tables/table36.xml"/><Relationship Id="rId27" Type="http://schemas.openxmlformats.org/officeDocument/2006/relationships/table" Target="../tables/table41.xml"/><Relationship Id="rId30" Type="http://schemas.openxmlformats.org/officeDocument/2006/relationships/table" Target="../tables/table4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3.xml"/><Relationship Id="rId13" Type="http://schemas.openxmlformats.org/officeDocument/2006/relationships/table" Target="../tables/table58.xml"/><Relationship Id="rId3" Type="http://schemas.openxmlformats.org/officeDocument/2006/relationships/table" Target="../tables/table48.xml"/><Relationship Id="rId7" Type="http://schemas.openxmlformats.org/officeDocument/2006/relationships/table" Target="../tables/table52.xml"/><Relationship Id="rId12" Type="http://schemas.openxmlformats.org/officeDocument/2006/relationships/table" Target="../tables/table57.xml"/><Relationship Id="rId2" Type="http://schemas.openxmlformats.org/officeDocument/2006/relationships/table" Target="../tables/table47.xml"/><Relationship Id="rId16" Type="http://schemas.openxmlformats.org/officeDocument/2006/relationships/table" Target="../tables/table61.xml"/><Relationship Id="rId1" Type="http://schemas.openxmlformats.org/officeDocument/2006/relationships/drawing" Target="../drawings/drawing5.xml"/><Relationship Id="rId6" Type="http://schemas.openxmlformats.org/officeDocument/2006/relationships/table" Target="../tables/table51.xml"/><Relationship Id="rId11" Type="http://schemas.openxmlformats.org/officeDocument/2006/relationships/table" Target="../tables/table56.xml"/><Relationship Id="rId5" Type="http://schemas.openxmlformats.org/officeDocument/2006/relationships/table" Target="../tables/table50.xml"/><Relationship Id="rId15" Type="http://schemas.openxmlformats.org/officeDocument/2006/relationships/table" Target="../tables/table60.xml"/><Relationship Id="rId10" Type="http://schemas.openxmlformats.org/officeDocument/2006/relationships/table" Target="../tables/table55.xml"/><Relationship Id="rId4" Type="http://schemas.openxmlformats.org/officeDocument/2006/relationships/table" Target="../tables/table49.xml"/><Relationship Id="rId9" Type="http://schemas.openxmlformats.org/officeDocument/2006/relationships/table" Target="../tables/table54.xml"/><Relationship Id="rId14" Type="http://schemas.openxmlformats.org/officeDocument/2006/relationships/table" Target="../tables/table5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51"/>
  <sheetViews>
    <sheetView showGridLines="0" showRowColHeaders="0" zoomScaleNormal="100" workbookViewId="0">
      <selection activeCell="S12" sqref="S12"/>
    </sheetView>
  </sheetViews>
  <sheetFormatPr defaultRowHeight="15" x14ac:dyDescent="0.25"/>
  <cols>
    <col min="4" max="4" width="9.140625" style="1"/>
    <col min="18" max="18" width="52.85546875" customWidth="1"/>
    <col min="54" max="54" width="21.140625" customWidth="1"/>
  </cols>
  <sheetData>
    <row r="1" spans="1:40" s="45" customFormat="1" ht="33.75" customHeight="1" x14ac:dyDescent="0.25"/>
    <row r="2" spans="1:40" ht="39.950000000000003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1:40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1:40" s="4" customForma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40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</row>
    <row r="7" spans="1:40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</row>
    <row r="8" spans="1:40" x14ac:dyDescent="0.25">
      <c r="A8" s="2"/>
      <c r="B8" s="2"/>
      <c r="C8" s="2"/>
      <c r="D8" s="2"/>
      <c r="E8" s="2"/>
      <c r="F8" s="2"/>
      <c r="G8" s="2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 spans="1:40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</row>
    <row r="10" spans="1:40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spans="1:40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1:40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1:40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 spans="1:40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</row>
    <row r="15" spans="1:40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1:40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</row>
    <row r="17" spans="1:40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</row>
    <row r="18" spans="1:4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1:4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1:4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1:4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1:4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1:4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1:4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1:4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1:40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1:40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</row>
    <row r="29" spans="1:40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</row>
    <row r="30" spans="1:40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  <row r="31" spans="1:40" x14ac:dyDescent="0.25">
      <c r="A31" s="2"/>
      <c r="B31" s="2"/>
      <c r="C31" s="2"/>
      <c r="D31" s="4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</row>
    <row r="32" spans="1:40" x14ac:dyDescent="0.25">
      <c r="A32" s="2"/>
      <c r="B32" s="2"/>
      <c r="C32" s="2"/>
      <c r="D32" s="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</row>
    <row r="33" spans="1:40" x14ac:dyDescent="0.25">
      <c r="A33" s="2"/>
      <c r="B33" s="2"/>
      <c r="C33" s="2"/>
      <c r="D33" s="4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</row>
    <row r="34" spans="1:40" x14ac:dyDescent="0.25">
      <c r="A34" s="2"/>
      <c r="B34" s="2"/>
      <c r="C34" s="2"/>
      <c r="D34" s="4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</row>
    <row r="35" spans="1:40" x14ac:dyDescent="0.25">
      <c r="A35" s="2"/>
      <c r="B35" s="2"/>
      <c r="C35" s="2"/>
      <c r="D35" s="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</row>
    <row r="36" spans="1:40" x14ac:dyDescent="0.25">
      <c r="A36" s="2"/>
      <c r="B36" s="2"/>
      <c r="C36" s="2"/>
      <c r="D36" s="4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</row>
    <row r="37" spans="1:40" x14ac:dyDescent="0.25">
      <c r="A37" s="2"/>
      <c r="B37" s="2"/>
      <c r="C37" s="2"/>
      <c r="D37" s="4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</row>
    <row r="38" spans="1:40" x14ac:dyDescent="0.25">
      <c r="A38" s="2"/>
      <c r="B38" s="2"/>
      <c r="C38" s="2"/>
      <c r="D38" s="4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</row>
    <row r="39" spans="1:40" x14ac:dyDescent="0.25">
      <c r="A39" s="2"/>
      <c r="B39" s="2"/>
      <c r="C39" s="2"/>
      <c r="D39" s="4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</row>
    <row r="40" spans="1:40" x14ac:dyDescent="0.25">
      <c r="A40" s="2"/>
      <c r="B40" s="2"/>
      <c r="C40" s="2"/>
      <c r="D40" s="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</row>
    <row r="41" spans="1:40" x14ac:dyDescent="0.25">
      <c r="A41" s="2"/>
      <c r="B41" s="2"/>
      <c r="C41" s="2"/>
      <c r="D41" s="4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</row>
    <row r="42" spans="1:40" x14ac:dyDescent="0.25">
      <c r="A42" s="2"/>
      <c r="B42" s="2"/>
      <c r="C42" s="2"/>
      <c r="D42" s="4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</row>
    <row r="43" spans="1:40" x14ac:dyDescent="0.25">
      <c r="A43" s="2"/>
      <c r="B43" s="2"/>
      <c r="C43" s="2"/>
      <c r="D43" s="4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</row>
    <row r="44" spans="1:40" x14ac:dyDescent="0.25">
      <c r="A44" s="2"/>
      <c r="B44" s="2"/>
      <c r="C44" s="2"/>
      <c r="D44" s="4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</row>
    <row r="45" spans="1:40" x14ac:dyDescent="0.25">
      <c r="A45" s="2"/>
      <c r="B45" s="2"/>
      <c r="C45" s="2"/>
      <c r="D45" s="4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</row>
    <row r="46" spans="1:40" x14ac:dyDescent="0.25">
      <c r="A46" s="2"/>
      <c r="B46" s="2"/>
      <c r="C46" s="2"/>
      <c r="D46" s="4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</row>
    <row r="47" spans="1:40" x14ac:dyDescent="0.25">
      <c r="A47" s="2"/>
      <c r="B47" s="2"/>
      <c r="C47" s="2"/>
      <c r="D47" s="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</row>
    <row r="48" spans="1:40" x14ac:dyDescent="0.25">
      <c r="A48" s="2"/>
      <c r="B48" s="2"/>
      <c r="C48" s="2"/>
      <c r="D48" s="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</row>
    <row r="49" spans="1:40" x14ac:dyDescent="0.25">
      <c r="A49" s="2"/>
      <c r="B49" s="2"/>
      <c r="C49" s="2"/>
      <c r="D49" s="4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</row>
    <row r="50" spans="1:40" x14ac:dyDescent="0.25">
      <c r="A50" s="2"/>
      <c r="B50" s="2"/>
      <c r="C50" s="2"/>
      <c r="D50" s="4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</row>
    <row r="51" spans="1:40" x14ac:dyDescent="0.25">
      <c r="A51" s="2"/>
      <c r="B51" s="2"/>
      <c r="C51" s="2"/>
      <c r="D51" s="4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</row>
    <row r="52" spans="1:40" x14ac:dyDescent="0.25">
      <c r="A52" s="2"/>
      <c r="B52" s="2"/>
      <c r="C52" s="2"/>
      <c r="D52" s="4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</row>
    <row r="53" spans="1:40" x14ac:dyDescent="0.25">
      <c r="A53" s="2"/>
      <c r="B53" s="2"/>
      <c r="C53" s="2"/>
      <c r="D53" s="4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</row>
    <row r="54" spans="1:40" x14ac:dyDescent="0.25">
      <c r="A54" s="2"/>
      <c r="B54" s="2"/>
      <c r="C54" s="2"/>
      <c r="D54" s="4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</row>
    <row r="55" spans="1:40" x14ac:dyDescent="0.25">
      <c r="A55" s="2"/>
      <c r="B55" s="2"/>
      <c r="C55" s="2"/>
      <c r="D55" s="4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</row>
    <row r="56" spans="1:40" x14ac:dyDescent="0.25">
      <c r="A56" s="2"/>
      <c r="B56" s="2"/>
      <c r="C56" s="2"/>
      <c r="D56" s="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</row>
    <row r="57" spans="1:40" x14ac:dyDescent="0.25">
      <c r="A57" s="2"/>
      <c r="B57" s="2"/>
      <c r="C57" s="2"/>
      <c r="D57" s="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</row>
    <row r="58" spans="1:40" x14ac:dyDescent="0.25">
      <c r="A58" s="2"/>
      <c r="B58" s="2"/>
      <c r="C58" s="2"/>
      <c r="D58" s="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</row>
    <row r="59" spans="1:40" x14ac:dyDescent="0.25">
      <c r="A59" s="2"/>
      <c r="B59" s="2"/>
      <c r="C59" s="2"/>
      <c r="D59" s="4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</row>
    <row r="60" spans="1:40" x14ac:dyDescent="0.25">
      <c r="A60" s="2"/>
      <c r="B60" s="2"/>
      <c r="C60" s="2"/>
      <c r="D60" s="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</row>
    <row r="61" spans="1:40" x14ac:dyDescent="0.25">
      <c r="A61" s="2"/>
      <c r="B61" s="2"/>
      <c r="C61" s="2"/>
      <c r="D61" s="4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 spans="1:40" x14ac:dyDescent="0.25">
      <c r="A62" s="2"/>
      <c r="B62" s="2"/>
      <c r="C62" s="2"/>
      <c r="D62" s="4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 spans="1:40" x14ac:dyDescent="0.25">
      <c r="A63" s="2"/>
      <c r="B63" s="2"/>
      <c r="C63" s="2"/>
      <c r="D63" s="4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  <row r="64" spans="1:40" x14ac:dyDescent="0.25">
      <c r="A64" s="2"/>
      <c r="B64" s="2"/>
      <c r="C64" s="2"/>
      <c r="D64" s="4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</row>
    <row r="65" spans="1:40" x14ac:dyDescent="0.25">
      <c r="A65" s="2"/>
      <c r="B65" s="2"/>
      <c r="C65" s="2"/>
      <c r="D65" s="4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</row>
    <row r="66" spans="1:40" x14ac:dyDescent="0.25">
      <c r="A66" s="2"/>
      <c r="B66" s="2"/>
      <c r="C66" s="2"/>
      <c r="D66" s="4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</row>
    <row r="67" spans="1:40" x14ac:dyDescent="0.25">
      <c r="A67" s="2"/>
      <c r="B67" s="2"/>
      <c r="C67" s="2"/>
      <c r="D67" s="4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</row>
    <row r="68" spans="1:40" x14ac:dyDescent="0.25">
      <c r="A68" s="2"/>
      <c r="B68" s="2"/>
      <c r="C68" s="2"/>
      <c r="D68" s="4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</row>
    <row r="69" spans="1:40" x14ac:dyDescent="0.25">
      <c r="A69" s="2"/>
      <c r="B69" s="2"/>
      <c r="C69" s="2"/>
      <c r="D69" s="4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</row>
    <row r="70" spans="1:40" x14ac:dyDescent="0.25">
      <c r="A70" s="2"/>
      <c r="B70" s="2"/>
      <c r="C70" s="2"/>
      <c r="D70" s="4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</row>
    <row r="71" spans="1:40" x14ac:dyDescent="0.25">
      <c r="A71" s="2"/>
      <c r="B71" s="2"/>
      <c r="C71" s="2"/>
      <c r="D71" s="4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</row>
    <row r="72" spans="1:40" x14ac:dyDescent="0.25">
      <c r="A72" s="2"/>
      <c r="B72" s="2"/>
      <c r="C72" s="2"/>
      <c r="D72" s="4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</row>
    <row r="73" spans="1:40" x14ac:dyDescent="0.25">
      <c r="A73" s="2"/>
      <c r="B73" s="2"/>
      <c r="C73" s="2"/>
      <c r="D73" s="4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</row>
    <row r="74" spans="1:40" x14ac:dyDescent="0.25">
      <c r="A74" s="2"/>
      <c r="B74" s="2"/>
      <c r="C74" s="2"/>
      <c r="D74" s="4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</row>
    <row r="75" spans="1:40" x14ac:dyDescent="0.25">
      <c r="A75" s="2"/>
      <c r="B75" s="2"/>
      <c r="C75" s="2"/>
      <c r="D75" s="4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</row>
    <row r="76" spans="1:40" x14ac:dyDescent="0.25">
      <c r="A76" s="2"/>
      <c r="B76" s="2"/>
      <c r="C76" s="2"/>
      <c r="D76" s="4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</row>
    <row r="77" spans="1:40" x14ac:dyDescent="0.25">
      <c r="A77" s="2"/>
      <c r="B77" s="2"/>
      <c r="C77" s="2"/>
      <c r="D77" s="4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</row>
    <row r="78" spans="1:40" x14ac:dyDescent="0.25">
      <c r="A78" s="2"/>
      <c r="B78" s="2"/>
      <c r="C78" s="2"/>
      <c r="D78" s="4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</row>
    <row r="79" spans="1:40" x14ac:dyDescent="0.25">
      <c r="A79" s="2"/>
      <c r="B79" s="2"/>
      <c r="C79" s="2"/>
      <c r="D79" s="4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</row>
    <row r="80" spans="1:40" x14ac:dyDescent="0.25">
      <c r="A80" s="2"/>
      <c r="B80" s="2"/>
      <c r="C80" s="2"/>
      <c r="D80" s="4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</row>
    <row r="81" spans="1:40" x14ac:dyDescent="0.25">
      <c r="A81" s="2"/>
      <c r="B81" s="2"/>
      <c r="C81" s="2"/>
      <c r="D81" s="4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</row>
    <row r="82" spans="1:40" x14ac:dyDescent="0.25">
      <c r="A82" s="2"/>
      <c r="B82" s="2"/>
      <c r="C82" s="2"/>
      <c r="D82" s="4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</row>
    <row r="83" spans="1:40" x14ac:dyDescent="0.25">
      <c r="A83" s="2"/>
      <c r="B83" s="2"/>
      <c r="C83" s="2"/>
      <c r="D83" s="4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</row>
    <row r="84" spans="1:40" x14ac:dyDescent="0.25">
      <c r="A84" s="2"/>
      <c r="B84" s="2"/>
      <c r="C84" s="2"/>
      <c r="D84" s="4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</row>
    <row r="85" spans="1:40" x14ac:dyDescent="0.25">
      <c r="A85" s="2"/>
      <c r="B85" s="2"/>
      <c r="C85" s="2"/>
      <c r="D85" s="4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</row>
    <row r="86" spans="1:40" x14ac:dyDescent="0.25">
      <c r="A86" s="2"/>
      <c r="B86" s="2"/>
      <c r="C86" s="2"/>
      <c r="D86" s="4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</row>
    <row r="87" spans="1:40" x14ac:dyDescent="0.25">
      <c r="A87" s="2"/>
      <c r="B87" s="2"/>
      <c r="C87" s="2"/>
      <c r="D87" s="4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</row>
    <row r="88" spans="1:40" x14ac:dyDescent="0.25">
      <c r="A88" s="2"/>
      <c r="B88" s="2"/>
      <c r="C88" s="2"/>
      <c r="D88" s="4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1:40" x14ac:dyDescent="0.25">
      <c r="A89" s="2"/>
      <c r="B89" s="2"/>
      <c r="C89" s="2"/>
      <c r="D89" s="4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  <row r="90" spans="1:40" x14ac:dyDescent="0.25">
      <c r="A90" s="2"/>
      <c r="B90" s="2"/>
      <c r="C90" s="2"/>
      <c r="D90" s="4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</row>
    <row r="91" spans="1:40" x14ac:dyDescent="0.25">
      <c r="A91" s="2"/>
      <c r="B91" s="2"/>
      <c r="C91" s="2"/>
      <c r="D91" s="4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</row>
    <row r="92" spans="1:40" x14ac:dyDescent="0.25">
      <c r="A92" s="2"/>
      <c r="B92" s="2"/>
      <c r="C92" s="2"/>
      <c r="D92" s="4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</row>
    <row r="93" spans="1:40" x14ac:dyDescent="0.25">
      <c r="A93" s="2"/>
      <c r="B93" s="2"/>
      <c r="C93" s="2"/>
      <c r="D93" s="4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</row>
    <row r="94" spans="1:40" x14ac:dyDescent="0.25">
      <c r="A94" s="2"/>
      <c r="B94" s="2"/>
      <c r="C94" s="2"/>
      <c r="D94" s="4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</row>
    <row r="95" spans="1:40" x14ac:dyDescent="0.25">
      <c r="A95" s="2"/>
      <c r="B95" s="2"/>
      <c r="C95" s="2"/>
      <c r="D95" s="4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</row>
    <row r="96" spans="1:40" x14ac:dyDescent="0.25">
      <c r="A96" s="2"/>
      <c r="B96" s="2"/>
      <c r="C96" s="2"/>
      <c r="D96" s="4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</row>
    <row r="97" spans="1:40" x14ac:dyDescent="0.25">
      <c r="A97" s="2"/>
      <c r="B97" s="2"/>
      <c r="C97" s="2"/>
      <c r="D97" s="4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</row>
    <row r="98" spans="1:40" x14ac:dyDescent="0.25">
      <c r="A98" s="2"/>
      <c r="B98" s="2"/>
      <c r="C98" s="2"/>
      <c r="D98" s="4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</row>
    <row r="99" spans="1:40" x14ac:dyDescent="0.25">
      <c r="A99" s="2"/>
      <c r="B99" s="2"/>
      <c r="C99" s="2"/>
      <c r="D99" s="4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</row>
    <row r="100" spans="1:40" x14ac:dyDescent="0.25">
      <c r="A100" s="2"/>
      <c r="B100" s="2"/>
      <c r="C100" s="2"/>
      <c r="D100" s="4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</row>
    <row r="101" spans="1:40" x14ac:dyDescent="0.25">
      <c r="A101" s="2"/>
      <c r="B101" s="2"/>
      <c r="C101" s="2"/>
      <c r="D101" s="4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</row>
    <row r="102" spans="1:40" x14ac:dyDescent="0.25">
      <c r="A102" s="2"/>
      <c r="B102" s="2"/>
      <c r="C102" s="2"/>
      <c r="D102" s="4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</row>
    <row r="103" spans="1:40" x14ac:dyDescent="0.25">
      <c r="A103" s="2"/>
      <c r="B103" s="2"/>
      <c r="C103" s="2"/>
      <c r="D103" s="4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</row>
    <row r="104" spans="1:40" x14ac:dyDescent="0.25">
      <c r="A104" s="2"/>
      <c r="B104" s="2"/>
      <c r="C104" s="2"/>
      <c r="D104" s="4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</row>
    <row r="105" spans="1:40" x14ac:dyDescent="0.25">
      <c r="A105" s="2"/>
      <c r="B105" s="2"/>
      <c r="C105" s="2"/>
      <c r="D105" s="4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</row>
    <row r="106" spans="1:40" x14ac:dyDescent="0.25">
      <c r="A106" s="2"/>
      <c r="B106" s="2"/>
      <c r="C106" s="2"/>
      <c r="D106" s="4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</row>
    <row r="107" spans="1:40" x14ac:dyDescent="0.25">
      <c r="A107" s="2"/>
      <c r="B107" s="2"/>
      <c r="C107" s="2"/>
      <c r="D107" s="4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</row>
    <row r="108" spans="1:40" x14ac:dyDescent="0.25">
      <c r="A108" s="2"/>
      <c r="B108" s="2"/>
      <c r="C108" s="2"/>
      <c r="D108" s="4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</row>
    <row r="109" spans="1:40" x14ac:dyDescent="0.25">
      <c r="A109" s="2"/>
      <c r="B109" s="2"/>
      <c r="C109" s="2"/>
      <c r="D109" s="4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</row>
    <row r="110" spans="1:40" x14ac:dyDescent="0.25">
      <c r="A110" s="2"/>
      <c r="B110" s="2"/>
      <c r="C110" s="2"/>
      <c r="D110" s="4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</row>
    <row r="111" spans="1:40" x14ac:dyDescent="0.25">
      <c r="A111" s="2"/>
      <c r="B111" s="2"/>
      <c r="C111" s="2"/>
      <c r="D111" s="4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</row>
    <row r="112" spans="1:40" x14ac:dyDescent="0.25">
      <c r="A112" s="2"/>
      <c r="B112" s="2"/>
      <c r="C112" s="2"/>
      <c r="D112" s="4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</row>
    <row r="113" spans="1:40" x14ac:dyDescent="0.25">
      <c r="A113" s="2"/>
      <c r="B113" s="2"/>
      <c r="C113" s="2"/>
      <c r="D113" s="4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</row>
    <row r="114" spans="1:40" x14ac:dyDescent="0.25">
      <c r="A114" s="2"/>
      <c r="B114" s="2"/>
      <c r="C114" s="2"/>
      <c r="D114" s="4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</row>
    <row r="115" spans="1:40" x14ac:dyDescent="0.25">
      <c r="A115" s="2"/>
      <c r="B115" s="2"/>
      <c r="C115" s="2"/>
      <c r="D115" s="4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</row>
    <row r="116" spans="1:40" x14ac:dyDescent="0.25">
      <c r="A116" s="2"/>
      <c r="B116" s="2"/>
      <c r="C116" s="2"/>
      <c r="D116" s="4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</row>
    <row r="117" spans="1:40" x14ac:dyDescent="0.25">
      <c r="A117" s="2"/>
      <c r="B117" s="2"/>
      <c r="C117" s="2"/>
      <c r="D117" s="4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</row>
    <row r="118" spans="1:40" x14ac:dyDescent="0.25">
      <c r="A118" s="2"/>
      <c r="B118" s="2"/>
      <c r="C118" s="2"/>
      <c r="D118" s="4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</row>
    <row r="119" spans="1:40" x14ac:dyDescent="0.25">
      <c r="A119" s="2"/>
      <c r="B119" s="2"/>
      <c r="C119" s="2"/>
      <c r="D119" s="4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</row>
    <row r="120" spans="1:40" x14ac:dyDescent="0.25">
      <c r="A120" s="2"/>
      <c r="B120" s="2"/>
      <c r="C120" s="2"/>
      <c r="D120" s="4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</row>
    <row r="121" spans="1:40" x14ac:dyDescent="0.25">
      <c r="A121" s="2"/>
      <c r="B121" s="2"/>
      <c r="C121" s="2"/>
      <c r="D121" s="4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</row>
    <row r="122" spans="1:40" x14ac:dyDescent="0.25">
      <c r="A122" s="2"/>
      <c r="B122" s="2"/>
      <c r="C122" s="2"/>
      <c r="D122" s="4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</row>
    <row r="123" spans="1:40" x14ac:dyDescent="0.25">
      <c r="A123" s="2"/>
      <c r="B123" s="2"/>
      <c r="C123" s="2"/>
      <c r="D123" s="4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</row>
    <row r="124" spans="1:40" x14ac:dyDescent="0.25">
      <c r="A124" s="2"/>
      <c r="B124" s="2"/>
      <c r="C124" s="2"/>
      <c r="D124" s="4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</row>
    <row r="125" spans="1:40" x14ac:dyDescent="0.25">
      <c r="A125" s="2"/>
      <c r="B125" s="2"/>
      <c r="C125" s="2"/>
      <c r="D125" s="4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</row>
    <row r="126" spans="1:40" x14ac:dyDescent="0.25">
      <c r="A126" s="2"/>
      <c r="B126" s="2"/>
      <c r="C126" s="2"/>
      <c r="D126" s="4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</row>
    <row r="127" spans="1:40" x14ac:dyDescent="0.25">
      <c r="A127" s="2"/>
      <c r="B127" s="2"/>
      <c r="C127" s="2"/>
      <c r="D127" s="4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</row>
    <row r="128" spans="1:40" x14ac:dyDescent="0.25">
      <c r="A128" s="2"/>
      <c r="B128" s="2"/>
      <c r="C128" s="2"/>
      <c r="D128" s="4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</row>
    <row r="129" spans="1:40" x14ac:dyDescent="0.25">
      <c r="A129" s="2"/>
      <c r="B129" s="2"/>
      <c r="C129" s="2"/>
      <c r="D129" s="4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</row>
    <row r="130" spans="1:40" x14ac:dyDescent="0.25">
      <c r="A130" s="2"/>
      <c r="B130" s="2"/>
      <c r="C130" s="2"/>
      <c r="D130" s="4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</row>
    <row r="131" spans="1:40" x14ac:dyDescent="0.25">
      <c r="A131" s="2"/>
      <c r="B131" s="2"/>
      <c r="C131" s="2"/>
      <c r="D131" s="4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</row>
    <row r="132" spans="1:40" x14ac:dyDescent="0.25">
      <c r="A132" s="2"/>
      <c r="B132" s="2"/>
      <c r="C132" s="2"/>
      <c r="D132" s="4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</row>
    <row r="133" spans="1:40" x14ac:dyDescent="0.25">
      <c r="A133" s="2"/>
      <c r="B133" s="2"/>
      <c r="C133" s="2"/>
      <c r="D133" s="4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</row>
    <row r="134" spans="1:40" x14ac:dyDescent="0.25">
      <c r="A134" s="2"/>
      <c r="B134" s="2"/>
      <c r="C134" s="2"/>
      <c r="D134" s="4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</row>
    <row r="135" spans="1:40" x14ac:dyDescent="0.25">
      <c r="A135" s="2"/>
      <c r="B135" s="2"/>
      <c r="C135" s="2"/>
      <c r="D135" s="4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</row>
    <row r="136" spans="1:40" x14ac:dyDescent="0.25">
      <c r="A136" s="2"/>
      <c r="B136" s="2"/>
      <c r="C136" s="2"/>
      <c r="D136" s="4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</row>
    <row r="137" spans="1:40" x14ac:dyDescent="0.25">
      <c r="A137" s="2"/>
      <c r="B137" s="2"/>
      <c r="C137" s="2"/>
      <c r="D137" s="4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</row>
    <row r="138" spans="1:40" x14ac:dyDescent="0.25">
      <c r="A138" s="2"/>
      <c r="B138" s="2"/>
      <c r="C138" s="2"/>
      <c r="D138" s="4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</row>
    <row r="139" spans="1:40" x14ac:dyDescent="0.25">
      <c r="A139" s="2"/>
      <c r="B139" s="2"/>
      <c r="C139" s="2"/>
      <c r="D139" s="4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</row>
    <row r="140" spans="1:40" x14ac:dyDescent="0.25">
      <c r="A140" s="2"/>
      <c r="B140" s="2"/>
      <c r="C140" s="2"/>
      <c r="D140" s="4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</row>
    <row r="141" spans="1:40" x14ac:dyDescent="0.25">
      <c r="A141" s="2"/>
      <c r="B141" s="2"/>
      <c r="C141" s="2"/>
      <c r="D141" s="4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</row>
    <row r="142" spans="1:40" x14ac:dyDescent="0.25">
      <c r="A142" s="2"/>
      <c r="B142" s="2"/>
      <c r="C142" s="2"/>
      <c r="D142" s="4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</row>
    <row r="143" spans="1:40" x14ac:dyDescent="0.25">
      <c r="A143" s="2"/>
      <c r="B143" s="2"/>
      <c r="C143" s="2"/>
      <c r="D143" s="4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</row>
    <row r="144" spans="1:40" x14ac:dyDescent="0.25">
      <c r="A144" s="2"/>
      <c r="B144" s="2"/>
      <c r="C144" s="2"/>
      <c r="D144" s="4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</row>
    <row r="145" spans="1:40" x14ac:dyDescent="0.25">
      <c r="A145" s="2"/>
      <c r="B145" s="2"/>
      <c r="C145" s="2"/>
      <c r="D145" s="4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</row>
    <row r="146" spans="1:40" x14ac:dyDescent="0.25">
      <c r="A146" s="2"/>
      <c r="B146" s="2"/>
      <c r="C146" s="2"/>
      <c r="D146" s="4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</row>
    <row r="147" spans="1:40" x14ac:dyDescent="0.25">
      <c r="A147" s="2"/>
      <c r="B147" s="2"/>
      <c r="C147" s="2"/>
      <c r="D147" s="4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</row>
    <row r="148" spans="1:40" x14ac:dyDescent="0.25">
      <c r="A148" s="2"/>
      <c r="B148" s="2"/>
      <c r="C148" s="2"/>
      <c r="D148" s="4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</row>
    <row r="149" spans="1:40" x14ac:dyDescent="0.25">
      <c r="A149" s="2"/>
      <c r="B149" s="2"/>
      <c r="C149" s="2"/>
      <c r="D149" s="4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</row>
    <row r="150" spans="1:40" x14ac:dyDescent="0.25">
      <c r="A150" s="2"/>
      <c r="B150" s="2"/>
      <c r="C150" s="2"/>
      <c r="D150" s="4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</row>
    <row r="151" spans="1:40" x14ac:dyDescent="0.25">
      <c r="A151" s="2"/>
      <c r="B151" s="2"/>
      <c r="C151" s="2"/>
      <c r="D151" s="4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</row>
    <row r="152" spans="1:40" x14ac:dyDescent="0.25">
      <c r="A152" s="2"/>
      <c r="B152" s="2"/>
      <c r="C152" s="2"/>
      <c r="D152" s="4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</row>
    <row r="153" spans="1:40" x14ac:dyDescent="0.25">
      <c r="A153" s="2"/>
      <c r="B153" s="2"/>
      <c r="C153" s="2"/>
      <c r="D153" s="4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</row>
    <row r="154" spans="1:40" x14ac:dyDescent="0.25">
      <c r="A154" s="2"/>
      <c r="B154" s="2"/>
      <c r="C154" s="2"/>
      <c r="D154" s="4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</row>
    <row r="155" spans="1:40" x14ac:dyDescent="0.25">
      <c r="A155" s="2"/>
      <c r="B155" s="2"/>
      <c r="C155" s="2"/>
      <c r="D155" s="4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</row>
    <row r="156" spans="1:40" x14ac:dyDescent="0.25">
      <c r="A156" s="2"/>
      <c r="B156" s="2"/>
      <c r="C156" s="2"/>
      <c r="D156" s="4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</row>
    <row r="157" spans="1:40" x14ac:dyDescent="0.25">
      <c r="A157" s="2"/>
      <c r="B157" s="2"/>
      <c r="C157" s="2"/>
      <c r="D157" s="4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</row>
    <row r="158" spans="1:40" x14ac:dyDescent="0.25">
      <c r="A158" s="2"/>
      <c r="B158" s="2"/>
      <c r="C158" s="2"/>
      <c r="D158" s="4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</row>
    <row r="159" spans="1:40" x14ac:dyDescent="0.25">
      <c r="A159" s="2"/>
      <c r="B159" s="2"/>
      <c r="C159" s="2"/>
      <c r="D159" s="4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</row>
    <row r="160" spans="1:40" x14ac:dyDescent="0.25">
      <c r="A160" s="2"/>
      <c r="B160" s="2"/>
      <c r="C160" s="2"/>
      <c r="D160" s="4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</row>
    <row r="161" spans="1:40" x14ac:dyDescent="0.25">
      <c r="A161" s="2"/>
      <c r="B161" s="2"/>
      <c r="C161" s="2"/>
      <c r="D161" s="4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</row>
    <row r="162" spans="1:40" x14ac:dyDescent="0.25">
      <c r="A162" s="2"/>
      <c r="B162" s="2"/>
      <c r="C162" s="2"/>
      <c r="D162" s="4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</row>
    <row r="163" spans="1:40" x14ac:dyDescent="0.25">
      <c r="A163" s="2"/>
      <c r="B163" s="2"/>
      <c r="C163" s="2"/>
      <c r="D163" s="4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</row>
    <row r="164" spans="1:40" x14ac:dyDescent="0.25">
      <c r="A164" s="2"/>
      <c r="B164" s="2"/>
      <c r="C164" s="2"/>
      <c r="D164" s="4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</row>
    <row r="165" spans="1:40" x14ac:dyDescent="0.25">
      <c r="A165" s="2"/>
      <c r="B165" s="2"/>
      <c r="C165" s="2"/>
      <c r="D165" s="4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</row>
    <row r="166" spans="1:40" x14ac:dyDescent="0.25">
      <c r="A166" s="2"/>
      <c r="B166" s="2"/>
      <c r="C166" s="2"/>
      <c r="D166" s="4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</row>
    <row r="167" spans="1:40" x14ac:dyDescent="0.25">
      <c r="A167" s="2"/>
      <c r="B167" s="2"/>
      <c r="C167" s="2"/>
      <c r="D167" s="4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</row>
    <row r="168" spans="1:40" x14ac:dyDescent="0.25">
      <c r="A168" s="2"/>
      <c r="B168" s="2"/>
      <c r="C168" s="2"/>
      <c r="D168" s="4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</row>
    <row r="169" spans="1:40" x14ac:dyDescent="0.25">
      <c r="A169" s="2"/>
      <c r="B169" s="2"/>
      <c r="C169" s="2"/>
      <c r="D169" s="4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</row>
    <row r="170" spans="1:40" x14ac:dyDescent="0.25">
      <c r="A170" s="2"/>
      <c r="B170" s="2"/>
      <c r="C170" s="2"/>
      <c r="D170" s="4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</row>
    <row r="171" spans="1:40" x14ac:dyDescent="0.25">
      <c r="A171" s="2"/>
      <c r="B171" s="2"/>
      <c r="C171" s="2"/>
      <c r="D171" s="4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</row>
    <row r="172" spans="1:40" x14ac:dyDescent="0.25">
      <c r="A172" s="2"/>
      <c r="B172" s="2"/>
      <c r="C172" s="2"/>
      <c r="D172" s="4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</row>
    <row r="173" spans="1:40" x14ac:dyDescent="0.25">
      <c r="A173" s="2"/>
      <c r="B173" s="2"/>
      <c r="C173" s="2"/>
      <c r="D173" s="4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</row>
    <row r="174" spans="1:40" x14ac:dyDescent="0.25">
      <c r="A174" s="2"/>
      <c r="B174" s="2"/>
      <c r="C174" s="2"/>
      <c r="D174" s="4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</row>
    <row r="175" spans="1:40" x14ac:dyDescent="0.25">
      <c r="A175" s="2"/>
      <c r="B175" s="2"/>
      <c r="C175" s="2"/>
      <c r="D175" s="4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</row>
    <row r="176" spans="1:40" x14ac:dyDescent="0.25">
      <c r="A176" s="2"/>
      <c r="B176" s="2"/>
      <c r="C176" s="2"/>
      <c r="D176" s="4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</row>
    <row r="177" spans="1:40" x14ac:dyDescent="0.25">
      <c r="A177" s="2"/>
      <c r="B177" s="2"/>
      <c r="C177" s="2"/>
      <c r="D177" s="4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</row>
    <row r="178" spans="1:40" x14ac:dyDescent="0.25">
      <c r="A178" s="2"/>
      <c r="B178" s="2"/>
      <c r="C178" s="2"/>
      <c r="D178" s="4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</row>
    <row r="179" spans="1:40" x14ac:dyDescent="0.25">
      <c r="A179" s="2"/>
      <c r="B179" s="2"/>
      <c r="C179" s="2"/>
      <c r="D179" s="4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</row>
    <row r="180" spans="1:40" x14ac:dyDescent="0.25">
      <c r="A180" s="2"/>
      <c r="B180" s="2"/>
      <c r="C180" s="2"/>
      <c r="D180" s="4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</row>
    <row r="181" spans="1:40" x14ac:dyDescent="0.25">
      <c r="A181" s="2"/>
      <c r="B181" s="2"/>
      <c r="C181" s="2"/>
      <c r="D181" s="4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</row>
    <row r="182" spans="1:40" x14ac:dyDescent="0.25">
      <c r="A182" s="2"/>
      <c r="B182" s="2"/>
      <c r="C182" s="2"/>
      <c r="D182" s="4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</row>
    <row r="183" spans="1:40" x14ac:dyDescent="0.25">
      <c r="A183" s="2"/>
      <c r="B183" s="2"/>
      <c r="C183" s="2"/>
      <c r="D183" s="4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</row>
    <row r="184" spans="1:40" x14ac:dyDescent="0.25">
      <c r="A184" s="2"/>
      <c r="B184" s="2"/>
      <c r="C184" s="2"/>
      <c r="D184" s="4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</row>
    <row r="185" spans="1:40" x14ac:dyDescent="0.25">
      <c r="A185" s="2"/>
      <c r="B185" s="2"/>
      <c r="C185" s="2"/>
      <c r="D185" s="4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</row>
    <row r="186" spans="1:40" x14ac:dyDescent="0.25">
      <c r="A186" s="2"/>
      <c r="B186" s="2"/>
      <c r="C186" s="2"/>
      <c r="D186" s="4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</row>
    <row r="187" spans="1:40" x14ac:dyDescent="0.25">
      <c r="A187" s="2"/>
      <c r="B187" s="2"/>
      <c r="C187" s="2"/>
      <c r="D187" s="4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</row>
    <row r="188" spans="1:40" x14ac:dyDescent="0.25">
      <c r="A188" s="2"/>
      <c r="B188" s="2"/>
      <c r="C188" s="2"/>
      <c r="D188" s="4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</row>
    <row r="189" spans="1:40" x14ac:dyDescent="0.25">
      <c r="A189" s="2"/>
      <c r="B189" s="2"/>
      <c r="C189" s="2"/>
      <c r="D189" s="4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</row>
    <row r="190" spans="1:40" x14ac:dyDescent="0.25">
      <c r="A190" s="2"/>
      <c r="B190" s="2"/>
      <c r="C190" s="2"/>
      <c r="D190" s="4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</row>
    <row r="191" spans="1:40" x14ac:dyDescent="0.25">
      <c r="A191" s="2"/>
      <c r="B191" s="2"/>
      <c r="C191" s="2"/>
      <c r="D191" s="4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</row>
    <row r="192" spans="1:40" x14ac:dyDescent="0.25">
      <c r="A192" s="2"/>
      <c r="B192" s="2"/>
      <c r="C192" s="2"/>
      <c r="D192" s="4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</row>
    <row r="193" spans="1:40" x14ac:dyDescent="0.25">
      <c r="A193" s="2"/>
      <c r="B193" s="2"/>
      <c r="C193" s="2"/>
      <c r="D193" s="4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</row>
    <row r="194" spans="1:40" x14ac:dyDescent="0.25">
      <c r="A194" s="2"/>
      <c r="B194" s="2"/>
      <c r="C194" s="2"/>
      <c r="D194" s="4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</row>
    <row r="195" spans="1:40" x14ac:dyDescent="0.25">
      <c r="A195" s="2"/>
      <c r="B195" s="2"/>
      <c r="C195" s="2"/>
      <c r="D195" s="4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</row>
    <row r="196" spans="1:40" x14ac:dyDescent="0.25">
      <c r="A196" s="2"/>
      <c r="B196" s="2"/>
      <c r="C196" s="2"/>
      <c r="D196" s="4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</row>
    <row r="197" spans="1:40" x14ac:dyDescent="0.25">
      <c r="A197" s="2"/>
      <c r="B197" s="2"/>
      <c r="C197" s="2"/>
      <c r="D197" s="4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</row>
    <row r="198" spans="1:40" x14ac:dyDescent="0.25">
      <c r="A198" s="2"/>
      <c r="B198" s="2"/>
      <c r="C198" s="2"/>
      <c r="D198" s="4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</row>
    <row r="199" spans="1:40" x14ac:dyDescent="0.25">
      <c r="A199" s="2"/>
      <c r="B199" s="2"/>
      <c r="C199" s="2"/>
      <c r="D199" s="4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</row>
    <row r="200" spans="1:40" x14ac:dyDescent="0.25">
      <c r="A200" s="2"/>
      <c r="B200" s="2"/>
      <c r="C200" s="2"/>
      <c r="D200" s="4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</row>
    <row r="201" spans="1:40" x14ac:dyDescent="0.25">
      <c r="A201" s="2"/>
      <c r="B201" s="2"/>
      <c r="C201" s="2"/>
      <c r="D201" s="4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</row>
    <row r="202" spans="1:40" x14ac:dyDescent="0.25">
      <c r="A202" s="2"/>
      <c r="B202" s="2"/>
      <c r="C202" s="2"/>
      <c r="D202" s="4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</row>
    <row r="203" spans="1:40" x14ac:dyDescent="0.25">
      <c r="A203" s="2"/>
      <c r="B203" s="2"/>
      <c r="C203" s="2"/>
      <c r="D203" s="4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</row>
    <row r="204" spans="1:40" x14ac:dyDescent="0.25">
      <c r="A204" s="2"/>
      <c r="B204" s="2"/>
      <c r="C204" s="2"/>
      <c r="D204" s="4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</row>
    <row r="205" spans="1:40" x14ac:dyDescent="0.25">
      <c r="A205" s="2"/>
      <c r="B205" s="2"/>
      <c r="C205" s="2"/>
      <c r="D205" s="4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</row>
    <row r="206" spans="1:40" x14ac:dyDescent="0.25">
      <c r="A206" s="2"/>
      <c r="B206" s="2"/>
      <c r="C206" s="2"/>
      <c r="D206" s="4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</row>
    <row r="207" spans="1:40" x14ac:dyDescent="0.25">
      <c r="A207" s="2"/>
      <c r="B207" s="2"/>
      <c r="C207" s="2"/>
      <c r="D207" s="4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</row>
    <row r="208" spans="1:40" x14ac:dyDescent="0.25">
      <c r="A208" s="2"/>
      <c r="B208" s="2"/>
      <c r="C208" s="2"/>
      <c r="D208" s="4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</row>
    <row r="209" spans="1:40" x14ac:dyDescent="0.25">
      <c r="A209" s="2"/>
      <c r="B209" s="2"/>
      <c r="C209" s="2"/>
      <c r="D209" s="4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</row>
    <row r="210" spans="1:40" x14ac:dyDescent="0.25">
      <c r="A210" s="2"/>
      <c r="B210" s="2"/>
      <c r="C210" s="2"/>
      <c r="D210" s="4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</row>
    <row r="211" spans="1:40" x14ac:dyDescent="0.25">
      <c r="A211" s="2"/>
      <c r="B211" s="2"/>
      <c r="C211" s="2"/>
      <c r="D211" s="4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</row>
    <row r="212" spans="1:40" x14ac:dyDescent="0.25">
      <c r="A212" s="2"/>
      <c r="B212" s="2"/>
      <c r="C212" s="2"/>
      <c r="D212" s="4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</row>
    <row r="213" spans="1:40" x14ac:dyDescent="0.25">
      <c r="A213" s="2"/>
      <c r="B213" s="2"/>
      <c r="C213" s="2"/>
      <c r="D213" s="4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</row>
    <row r="214" spans="1:40" x14ac:dyDescent="0.25">
      <c r="A214" s="2"/>
      <c r="B214" s="2"/>
      <c r="C214" s="2"/>
      <c r="D214" s="4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</row>
    <row r="215" spans="1:40" x14ac:dyDescent="0.25">
      <c r="A215" s="2"/>
      <c r="B215" s="2"/>
      <c r="C215" s="2"/>
      <c r="D215" s="4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</row>
    <row r="216" spans="1:40" x14ac:dyDescent="0.25">
      <c r="A216" s="2"/>
      <c r="B216" s="2"/>
      <c r="C216" s="2"/>
      <c r="D216" s="4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</row>
    <row r="217" spans="1:40" x14ac:dyDescent="0.25">
      <c r="A217" s="2"/>
      <c r="B217" s="2"/>
      <c r="C217" s="2"/>
      <c r="D217" s="4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</row>
    <row r="218" spans="1:40" x14ac:dyDescent="0.25">
      <c r="A218" s="2"/>
      <c r="B218" s="2"/>
      <c r="C218" s="2"/>
      <c r="D218" s="4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</row>
    <row r="219" spans="1:40" x14ac:dyDescent="0.25">
      <c r="A219" s="2"/>
      <c r="B219" s="2"/>
      <c r="C219" s="2"/>
      <c r="D219" s="4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</row>
    <row r="220" spans="1:40" x14ac:dyDescent="0.25">
      <c r="A220" s="2"/>
      <c r="B220" s="2"/>
      <c r="C220" s="2"/>
      <c r="D220" s="4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</row>
    <row r="221" spans="1:40" x14ac:dyDescent="0.25">
      <c r="A221" s="2"/>
      <c r="B221" s="2"/>
      <c r="C221" s="2"/>
      <c r="D221" s="4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</row>
    <row r="222" spans="1:40" x14ac:dyDescent="0.25">
      <c r="A222" s="2"/>
      <c r="B222" s="2"/>
      <c r="C222" s="2"/>
      <c r="D222" s="4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</row>
    <row r="223" spans="1:40" x14ac:dyDescent="0.25">
      <c r="A223" s="2"/>
      <c r="B223" s="2"/>
      <c r="C223" s="2"/>
      <c r="D223" s="4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</row>
    <row r="224" spans="1:40" x14ac:dyDescent="0.25">
      <c r="A224" s="2"/>
      <c r="B224" s="2"/>
      <c r="C224" s="2"/>
      <c r="D224" s="4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</row>
    <row r="225" spans="1:40" x14ac:dyDescent="0.25">
      <c r="A225" s="2"/>
      <c r="B225" s="2"/>
      <c r="C225" s="2"/>
      <c r="D225" s="4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</row>
    <row r="226" spans="1:40" x14ac:dyDescent="0.25">
      <c r="A226" s="2"/>
      <c r="B226" s="2"/>
      <c r="C226" s="2"/>
      <c r="D226" s="4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</row>
    <row r="227" spans="1:40" x14ac:dyDescent="0.25">
      <c r="A227" s="2"/>
      <c r="B227" s="2"/>
      <c r="C227" s="2"/>
      <c r="D227" s="4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</row>
    <row r="228" spans="1:40" x14ac:dyDescent="0.25">
      <c r="A228" s="2"/>
      <c r="B228" s="2"/>
      <c r="C228" s="2"/>
      <c r="D228" s="4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</row>
    <row r="229" spans="1:40" x14ac:dyDescent="0.25">
      <c r="A229" s="2"/>
      <c r="B229" s="2"/>
      <c r="C229" s="2"/>
      <c r="D229" s="4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</row>
    <row r="230" spans="1:40" x14ac:dyDescent="0.25">
      <c r="A230" s="2"/>
      <c r="B230" s="2"/>
      <c r="C230" s="2"/>
      <c r="D230" s="4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</row>
    <row r="231" spans="1:40" x14ac:dyDescent="0.25">
      <c r="A231" s="2"/>
      <c r="B231" s="2"/>
      <c r="C231" s="2"/>
      <c r="D231" s="4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</row>
    <row r="232" spans="1:40" x14ac:dyDescent="0.25">
      <c r="A232" s="2"/>
      <c r="B232" s="2"/>
      <c r="C232" s="2"/>
      <c r="D232" s="4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</row>
    <row r="233" spans="1:40" x14ac:dyDescent="0.25">
      <c r="A233" s="2"/>
      <c r="B233" s="2"/>
      <c r="C233" s="2"/>
      <c r="D233" s="4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</row>
    <row r="234" spans="1:40" x14ac:dyDescent="0.25">
      <c r="D234" s="4"/>
    </row>
    <row r="235" spans="1:40" x14ac:dyDescent="0.25">
      <c r="D235" s="4"/>
    </row>
    <row r="236" spans="1:40" x14ac:dyDescent="0.25">
      <c r="D236" s="4"/>
    </row>
    <row r="237" spans="1:40" x14ac:dyDescent="0.25">
      <c r="D237" s="4"/>
    </row>
    <row r="238" spans="1:40" x14ac:dyDescent="0.25">
      <c r="D238" s="4"/>
    </row>
    <row r="239" spans="1:40" x14ac:dyDescent="0.25">
      <c r="D239" s="4"/>
    </row>
    <row r="240" spans="1:40" x14ac:dyDescent="0.25">
      <c r="D240" s="4"/>
    </row>
    <row r="241" spans="4:4" x14ac:dyDescent="0.25">
      <c r="D241" s="4"/>
    </row>
    <row r="242" spans="4:4" x14ac:dyDescent="0.25">
      <c r="D242" s="4"/>
    </row>
    <row r="243" spans="4:4" x14ac:dyDescent="0.25">
      <c r="D243" s="4"/>
    </row>
    <row r="244" spans="4:4" x14ac:dyDescent="0.25">
      <c r="D244" s="4"/>
    </row>
    <row r="245" spans="4:4" x14ac:dyDescent="0.25">
      <c r="D245" s="4"/>
    </row>
    <row r="246" spans="4:4" x14ac:dyDescent="0.25">
      <c r="D246" s="4"/>
    </row>
    <row r="247" spans="4:4" x14ac:dyDescent="0.25">
      <c r="D247" s="4"/>
    </row>
    <row r="248" spans="4:4" x14ac:dyDescent="0.25">
      <c r="D248" s="4"/>
    </row>
    <row r="249" spans="4:4" x14ac:dyDescent="0.25">
      <c r="D249" s="4"/>
    </row>
    <row r="250" spans="4:4" x14ac:dyDescent="0.25">
      <c r="D250" s="4"/>
    </row>
    <row r="251" spans="4:4" x14ac:dyDescent="0.25">
      <c r="D251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D5-35D3-4F52-ACA4-43A00DEC890E}">
  <dimension ref="B1:AC100"/>
  <sheetViews>
    <sheetView showGridLines="0" showRowColHeaders="0" zoomScale="110" zoomScaleNormal="110" workbookViewId="0"/>
  </sheetViews>
  <sheetFormatPr defaultRowHeight="15" x14ac:dyDescent="0.25"/>
  <cols>
    <col min="1" max="1" width="25.7109375" style="5" customWidth="1"/>
    <col min="2" max="2" width="26.28515625" style="5" customWidth="1"/>
    <col min="3" max="3" width="15.7109375" style="5" customWidth="1"/>
    <col min="4" max="4" width="11.7109375" style="5" customWidth="1"/>
    <col min="5" max="5" width="9.140625" style="5"/>
    <col min="6" max="6" width="17" style="5" customWidth="1"/>
    <col min="7" max="7" width="9.140625" style="5"/>
    <col min="8" max="8" width="25.7109375" style="5" customWidth="1"/>
    <col min="9" max="9" width="11.7109375" style="5" customWidth="1"/>
    <col min="10" max="10" width="9.7109375" style="5" customWidth="1"/>
    <col min="11" max="11" width="28.7109375" style="5" customWidth="1"/>
    <col min="12" max="12" width="5.140625" style="5" customWidth="1"/>
    <col min="13" max="13" width="9.140625" style="5"/>
    <col min="14" max="14" width="9.5703125" style="5" bestFit="1" customWidth="1"/>
    <col min="15" max="18" width="9.140625" style="5"/>
    <col min="19" max="19" width="25.42578125" style="5" customWidth="1"/>
    <col min="20" max="26" width="9.140625" style="5"/>
    <col min="27" max="27" width="19.7109375" style="5" customWidth="1"/>
    <col min="28" max="28" width="20.140625" style="5" customWidth="1"/>
    <col min="29" max="29" width="18.5703125" style="5" customWidth="1"/>
    <col min="30" max="16384" width="9.140625" style="5"/>
  </cols>
  <sheetData>
    <row r="1" spans="2:29" s="16" customFormat="1" ht="36" customHeight="1" x14ac:dyDescent="0.25"/>
    <row r="2" spans="2:29" ht="39.950000000000003" customHeight="1" x14ac:dyDescent="0.25"/>
    <row r="3" spans="2:29" x14ac:dyDescent="0.25">
      <c r="J3"/>
    </row>
    <row r="4" spans="2:29" ht="8.1" customHeight="1" x14ac:dyDescent="0.25"/>
    <row r="5" spans="2:29" x14ac:dyDescent="0.25">
      <c r="B5" s="20" t="s">
        <v>80</v>
      </c>
      <c r="C5" s="61" t="s">
        <v>81</v>
      </c>
      <c r="D5" s="61"/>
      <c r="E5" s="62" t="s">
        <v>23</v>
      </c>
      <c r="F5" s="63"/>
    </row>
    <row r="6" spans="2:29" x14ac:dyDescent="0.25">
      <c r="B6" s="21">
        <v>15</v>
      </c>
      <c r="C6" s="64">
        <v>24</v>
      </c>
      <c r="D6" s="64"/>
      <c r="E6" s="65">
        <f>SUM(F10:F20)/C6</f>
        <v>0.486927619047619</v>
      </c>
      <c r="F6" s="66"/>
    </row>
    <row r="7" spans="2:29" ht="5.0999999999999996" customHeight="1" x14ac:dyDescent="0.25"/>
    <row r="8" spans="2:29" ht="5.0999999999999996" customHeight="1" x14ac:dyDescent="0.25"/>
    <row r="9" spans="2:29" x14ac:dyDescent="0.25">
      <c r="B9" s="22" t="s">
        <v>7</v>
      </c>
      <c r="C9" s="22" t="s">
        <v>5</v>
      </c>
      <c r="D9" s="22" t="s">
        <v>48</v>
      </c>
      <c r="E9" s="22" t="s">
        <v>21</v>
      </c>
      <c r="F9" s="22" t="s">
        <v>22</v>
      </c>
      <c r="H9" s="28" t="s">
        <v>47</v>
      </c>
      <c r="I9" s="28" t="s">
        <v>4</v>
      </c>
      <c r="J9" s="28" t="s">
        <v>21</v>
      </c>
      <c r="S9" s="5" t="s">
        <v>76</v>
      </c>
      <c r="AA9" s="5" t="s">
        <v>143</v>
      </c>
      <c r="AB9" s="5" t="s">
        <v>145</v>
      </c>
      <c r="AC9" s="5" t="s">
        <v>146</v>
      </c>
    </row>
    <row r="10" spans="2:29" x14ac:dyDescent="0.25">
      <c r="B10" s="12" t="str">
        <f>Tabela3[[#This Row],[RECEITA]]</f>
        <v>LEITE CONDENSADO</v>
      </c>
      <c r="C10" s="26">
        <v>4.95</v>
      </c>
      <c r="D10" s="12">
        <v>395</v>
      </c>
      <c r="E10" s="12" t="s">
        <v>11</v>
      </c>
      <c r="F10" s="29">
        <f>(Tabela3[[#This Row],[QNT]]*C10)/D10</f>
        <v>4.95</v>
      </c>
      <c r="H10" s="5" t="s">
        <v>10</v>
      </c>
      <c r="I10" s="5">
        <v>395</v>
      </c>
      <c r="J10" s="5" t="s">
        <v>11</v>
      </c>
      <c r="S10" s="5" t="s">
        <v>11</v>
      </c>
      <c r="AA10" s="5" t="s">
        <v>144</v>
      </c>
      <c r="AB10" s="5">
        <v>8</v>
      </c>
      <c r="AC10" s="5">
        <v>15</v>
      </c>
    </row>
    <row r="11" spans="2:29" x14ac:dyDescent="0.25">
      <c r="B11" s="12" t="str">
        <f>Tabela3[[#This Row],[RECEITA]]</f>
        <v>CREME DE LEITE</v>
      </c>
      <c r="C11" s="26">
        <v>2.75</v>
      </c>
      <c r="D11" s="12">
        <v>200</v>
      </c>
      <c r="E11" s="12" t="s">
        <v>11</v>
      </c>
      <c r="F11" s="29">
        <f>(Tabela3[[#This Row],[QNT]]*C11)/D11</f>
        <v>1.375</v>
      </c>
      <c r="H11" s="5" t="s">
        <v>15</v>
      </c>
      <c r="I11" s="5">
        <v>100</v>
      </c>
      <c r="J11" s="5" t="s">
        <v>11</v>
      </c>
      <c r="S11" s="5" t="s">
        <v>65</v>
      </c>
      <c r="AA11" s="5" t="s">
        <v>46</v>
      </c>
      <c r="AB11" s="5">
        <v>9</v>
      </c>
      <c r="AC11" s="5">
        <v>16</v>
      </c>
    </row>
    <row r="12" spans="2:29" x14ac:dyDescent="0.25">
      <c r="B12" s="12" t="str">
        <f>Tabela3[[#This Row],[RECEITA]]</f>
        <v>MANTEIGA</v>
      </c>
      <c r="C12" s="26">
        <v>7.65</v>
      </c>
      <c r="D12" s="12">
        <v>350</v>
      </c>
      <c r="E12" s="12" t="s">
        <v>11</v>
      </c>
      <c r="F12" s="29">
        <f>(Tabela3[[#This Row],[QNT]]*C12)/D12</f>
        <v>0.43714285714285717</v>
      </c>
      <c r="H12" s="5" t="s">
        <v>16</v>
      </c>
      <c r="I12" s="5">
        <v>20</v>
      </c>
      <c r="J12" s="5" t="s">
        <v>11</v>
      </c>
      <c r="S12" s="5" t="s">
        <v>25</v>
      </c>
      <c r="AA12" s="5" t="s">
        <v>122</v>
      </c>
      <c r="AB12" s="5">
        <v>10</v>
      </c>
      <c r="AC12" s="5">
        <v>17</v>
      </c>
    </row>
    <row r="13" spans="2:29" x14ac:dyDescent="0.25">
      <c r="B13" s="12" t="str">
        <f>Tabela3[[#This Row],[RECEITA]]</f>
        <v>ACHOCOLATADO EM PÓ</v>
      </c>
      <c r="C13" s="26">
        <v>7</v>
      </c>
      <c r="D13" s="12">
        <v>500</v>
      </c>
      <c r="E13" s="12" t="s">
        <v>11</v>
      </c>
      <c r="F13" s="29">
        <f>(Tabela3[[#This Row],[QNT]]*C13)/D13</f>
        <v>0.7</v>
      </c>
      <c r="H13" s="5" t="s">
        <v>18</v>
      </c>
      <c r="I13" s="5">
        <v>50</v>
      </c>
      <c r="J13" s="5" t="s">
        <v>11</v>
      </c>
      <c r="S13" s="18"/>
      <c r="AA13" s="5" t="s">
        <v>135</v>
      </c>
      <c r="AB13" s="5">
        <v>10</v>
      </c>
      <c r="AC13" s="5">
        <v>17</v>
      </c>
    </row>
    <row r="14" spans="2:29" x14ac:dyDescent="0.25">
      <c r="B14" s="12" t="str">
        <f>Tabela3[[#This Row],[RECEITA]]</f>
        <v>GRANULADO</v>
      </c>
      <c r="C14" s="26">
        <v>9.9</v>
      </c>
      <c r="D14" s="12">
        <v>500</v>
      </c>
      <c r="E14" s="12" t="s">
        <v>11</v>
      </c>
      <c r="F14" s="29">
        <f>(Tabela3[[#This Row],[QNT]]*C14)/D14</f>
        <v>1.98</v>
      </c>
      <c r="H14" s="5" t="s">
        <v>17</v>
      </c>
      <c r="I14" s="5">
        <v>100</v>
      </c>
      <c r="J14" s="5" t="s">
        <v>11</v>
      </c>
      <c r="AA14" s="5" t="s">
        <v>92</v>
      </c>
      <c r="AB14" s="5">
        <v>10</v>
      </c>
      <c r="AC14" s="5">
        <v>17</v>
      </c>
    </row>
    <row r="15" spans="2:29" s="18" customFormat="1" x14ac:dyDescent="0.25">
      <c r="B15" s="12" t="str">
        <f>Tabela3[[#This Row],[RECEITA]]</f>
        <v>FORMA 06 PRETA</v>
      </c>
      <c r="C15" s="26">
        <v>1.2</v>
      </c>
      <c r="D15" s="12">
        <v>100</v>
      </c>
      <c r="E15" s="12" t="s">
        <v>25</v>
      </c>
      <c r="F15" s="29">
        <f>(Tabela3[[#This Row],[QNT]]*C15)/D15</f>
        <v>0</v>
      </c>
      <c r="H15" s="18" t="s">
        <v>83</v>
      </c>
      <c r="I15" s="18">
        <v>0</v>
      </c>
      <c r="J15" s="18" t="s">
        <v>25</v>
      </c>
    </row>
    <row r="16" spans="2:29" s="18" customFormat="1" x14ac:dyDescent="0.25">
      <c r="B16" s="12" t="str">
        <f>Tabela3[[#This Row],[RECEITA]]</f>
        <v>FORMA 05 VERMELHA</v>
      </c>
      <c r="C16" s="26">
        <v>2.2000000000000002</v>
      </c>
      <c r="D16" s="12">
        <v>100</v>
      </c>
      <c r="E16" s="12" t="s">
        <v>25</v>
      </c>
      <c r="F16" s="29">
        <f>(Tabela3[[#This Row],[QNT]]*C16)/D16</f>
        <v>8.8000000000000009E-2</v>
      </c>
      <c r="H16" s="18" t="s">
        <v>78</v>
      </c>
      <c r="I16" s="18">
        <v>4</v>
      </c>
      <c r="J16" s="18" t="s">
        <v>25</v>
      </c>
    </row>
    <row r="17" spans="2:19" s="18" customFormat="1" x14ac:dyDescent="0.25">
      <c r="B17" s="12" t="str">
        <f>Tabela3[[#This Row],[RECEITA]]</f>
        <v>CX. 10. UN</v>
      </c>
      <c r="C17" s="26">
        <v>1.95</v>
      </c>
      <c r="D17" s="12">
        <v>1</v>
      </c>
      <c r="E17" s="12" t="s">
        <v>25</v>
      </c>
      <c r="F17" s="29">
        <f>(Tabela3[[#This Row],[QNT]]*C17)/D17</f>
        <v>1.95</v>
      </c>
      <c r="H17" s="18" t="s">
        <v>134</v>
      </c>
      <c r="I17" s="18">
        <v>1</v>
      </c>
      <c r="J17" s="18" t="s">
        <v>25</v>
      </c>
    </row>
    <row r="18" spans="2:19" x14ac:dyDescent="0.25">
      <c r="B18" s="12" t="str">
        <f>Tabela3[[#This Row],[RECEITA]]</f>
        <v>JUTA</v>
      </c>
      <c r="C18" s="26">
        <v>9</v>
      </c>
      <c r="D18" s="12">
        <v>200</v>
      </c>
      <c r="E18" s="12" t="s">
        <v>65</v>
      </c>
      <c r="F18" s="29">
        <f>(Tabela3[[#This Row],[QNT]]*C18)/D18</f>
        <v>4.4999999999999998E-2</v>
      </c>
      <c r="H18" s="5" t="s">
        <v>24</v>
      </c>
      <c r="I18" s="5">
        <v>1</v>
      </c>
      <c r="J18" s="5" t="s">
        <v>65</v>
      </c>
    </row>
    <row r="19" spans="2:19" x14ac:dyDescent="0.25">
      <c r="B19" s="12" t="str">
        <f>Tabela3[[#This Row],[RECEITA]]</f>
        <v>PAPEL CRAFT (CARTÃO)</v>
      </c>
      <c r="C19" s="26">
        <v>13.9</v>
      </c>
      <c r="D19" s="12">
        <v>1250</v>
      </c>
      <c r="E19" s="12" t="s">
        <v>25</v>
      </c>
      <c r="F19" s="29">
        <f>(Tabela3[[#This Row],[QNT]]*C19)/D19</f>
        <v>1.112E-2</v>
      </c>
      <c r="H19" s="5" t="s">
        <v>79</v>
      </c>
      <c r="I19" s="5">
        <v>1</v>
      </c>
      <c r="J19" s="5" t="s">
        <v>25</v>
      </c>
    </row>
    <row r="20" spans="2:19" x14ac:dyDescent="0.25">
      <c r="B20" s="12" t="str">
        <f>Tabela3[[#This Row],[RECEITA]]</f>
        <v>TINTA CARIMBO</v>
      </c>
      <c r="C20" s="26">
        <v>30</v>
      </c>
      <c r="D20" s="12">
        <v>200</v>
      </c>
      <c r="E20" s="12" t="s">
        <v>25</v>
      </c>
      <c r="F20" s="29">
        <f>(Tabela3[[#This Row],[QNT]]*C20)/D20</f>
        <v>0.15</v>
      </c>
      <c r="H20" s="18" t="s">
        <v>71</v>
      </c>
      <c r="I20" s="18">
        <v>1</v>
      </c>
      <c r="J20" s="18" t="s">
        <v>25</v>
      </c>
    </row>
    <row r="22" spans="2:19" s="18" customFormat="1" x14ac:dyDescent="0.25">
      <c r="J22"/>
    </row>
    <row r="24" spans="2:19" s="18" customFormat="1" ht="8.1" customHeight="1" x14ac:dyDescent="0.25"/>
    <row r="25" spans="2:19" s="18" customFormat="1" x14ac:dyDescent="0.25">
      <c r="B25" s="20" t="s">
        <v>80</v>
      </c>
      <c r="C25" s="61" t="s">
        <v>81</v>
      </c>
      <c r="D25" s="61"/>
      <c r="E25" s="62" t="s">
        <v>23</v>
      </c>
      <c r="F25" s="63"/>
    </row>
    <row r="26" spans="2:19" s="18" customFormat="1" x14ac:dyDescent="0.25">
      <c r="B26" s="21">
        <v>15</v>
      </c>
      <c r="C26" s="64">
        <v>29</v>
      </c>
      <c r="D26" s="64"/>
      <c r="E26" s="65">
        <f>SUM(F30:F40)/C26</f>
        <v>0.3535550082101806</v>
      </c>
      <c r="F26" s="66"/>
    </row>
    <row r="27" spans="2:19" s="18" customFormat="1" ht="5.0999999999999996" customHeight="1" x14ac:dyDescent="0.25"/>
    <row r="28" spans="2:19" s="18" customFormat="1" ht="5.0999999999999996" customHeight="1" x14ac:dyDescent="0.25"/>
    <row r="29" spans="2:19" s="18" customFormat="1" x14ac:dyDescent="0.25">
      <c r="B29" s="27" t="s">
        <v>7</v>
      </c>
      <c r="C29" s="27" t="s">
        <v>5</v>
      </c>
      <c r="D29" s="27" t="s">
        <v>48</v>
      </c>
      <c r="E29" s="27" t="s">
        <v>21</v>
      </c>
      <c r="F29" s="27" t="s">
        <v>22</v>
      </c>
      <c r="H29" s="28" t="s">
        <v>47</v>
      </c>
      <c r="I29" s="28" t="s">
        <v>4</v>
      </c>
      <c r="J29" s="28" t="s">
        <v>21</v>
      </c>
      <c r="S29" s="18" t="s">
        <v>76</v>
      </c>
    </row>
    <row r="30" spans="2:19" s="18" customFormat="1" x14ac:dyDescent="0.25">
      <c r="B30" s="12" t="str">
        <f>Tabela36[[#This Row],[RECEITA]]</f>
        <v>LEITE CONDENSADO</v>
      </c>
      <c r="C30" s="26">
        <v>3.95</v>
      </c>
      <c r="D30" s="12">
        <v>395</v>
      </c>
      <c r="E30" s="12" t="s">
        <v>11</v>
      </c>
      <c r="F30" s="29">
        <f>(Tabela36[[#This Row],[QNT]]*C30)/D30</f>
        <v>3.95</v>
      </c>
      <c r="H30" s="18" t="s">
        <v>10</v>
      </c>
      <c r="I30" s="18">
        <v>395</v>
      </c>
      <c r="J30" s="18" t="s">
        <v>11</v>
      </c>
      <c r="S30" s="18" t="s">
        <v>11</v>
      </c>
    </row>
    <row r="31" spans="2:19" s="18" customFormat="1" x14ac:dyDescent="0.25">
      <c r="B31" s="12" t="str">
        <f>Tabela36[[#This Row],[RECEITA]]</f>
        <v>CREME DE LEITE</v>
      </c>
      <c r="C31" s="26">
        <v>2.39</v>
      </c>
      <c r="D31" s="12">
        <v>200</v>
      </c>
      <c r="E31" s="12" t="s">
        <v>11</v>
      </c>
      <c r="F31" s="29">
        <f>(Tabela36[[#This Row],[QNT]]*C31)/D31</f>
        <v>1.1950000000000001</v>
      </c>
      <c r="H31" s="18" t="s">
        <v>15</v>
      </c>
      <c r="I31" s="18">
        <v>100</v>
      </c>
      <c r="J31" s="18" t="s">
        <v>11</v>
      </c>
      <c r="S31" s="18" t="s">
        <v>65</v>
      </c>
    </row>
    <row r="32" spans="2:19" s="18" customFormat="1" x14ac:dyDescent="0.25">
      <c r="B32" s="12" t="str">
        <f>Tabela36[[#This Row],[RECEITA]]</f>
        <v>MANTEIGA</v>
      </c>
      <c r="C32" s="26">
        <v>5.5</v>
      </c>
      <c r="D32" s="12">
        <v>350</v>
      </c>
      <c r="E32" s="12" t="s">
        <v>11</v>
      </c>
      <c r="F32" s="29">
        <f>(Tabela36[[#This Row],[QNT]]*C32)/D32</f>
        <v>1.5714285714285714</v>
      </c>
      <c r="H32" s="18" t="s">
        <v>16</v>
      </c>
      <c r="I32" s="18">
        <v>100</v>
      </c>
      <c r="J32" s="18" t="s">
        <v>11</v>
      </c>
      <c r="S32" s="18" t="s">
        <v>25</v>
      </c>
    </row>
    <row r="33" spans="2:10" s="18" customFormat="1" x14ac:dyDescent="0.25">
      <c r="B33" s="12" t="str">
        <f>Tabela36[[#This Row],[RECEITA]]</f>
        <v>PAÇOCA</v>
      </c>
      <c r="C33" s="26">
        <v>19.899999999999999</v>
      </c>
      <c r="D33" s="12">
        <v>60</v>
      </c>
      <c r="E33" s="12" t="s">
        <v>11</v>
      </c>
      <c r="F33" s="29">
        <f>(Tabela36[[#This Row],[QNT]]*C33)/D33</f>
        <v>1.6583333333333334</v>
      </c>
      <c r="H33" s="18" t="s">
        <v>46</v>
      </c>
      <c r="I33" s="18">
        <v>5</v>
      </c>
      <c r="J33" s="18" t="s">
        <v>11</v>
      </c>
    </row>
    <row r="34" spans="2:10" s="18" customFormat="1" x14ac:dyDescent="0.25">
      <c r="B34" s="12" t="str">
        <f>Tabela36[[#This Row],[RECEITA]]</f>
        <v>PAÇOCA</v>
      </c>
      <c r="C34" s="26">
        <v>19.899999999999999</v>
      </c>
      <c r="D34" s="12">
        <v>60</v>
      </c>
      <c r="E34" s="12" t="s">
        <v>11</v>
      </c>
      <c r="F34" s="29">
        <f>(Tabela36[[#This Row],[QNT]]*C34)/D34</f>
        <v>1.6583333333333334</v>
      </c>
      <c r="H34" s="18" t="s">
        <v>46</v>
      </c>
      <c r="I34" s="18">
        <v>5</v>
      </c>
      <c r="J34" s="18" t="s">
        <v>11</v>
      </c>
    </row>
    <row r="35" spans="2:10" s="18" customFormat="1" x14ac:dyDescent="0.25">
      <c r="B35" s="12" t="str">
        <f>Tabela36[[#This Row],[RECEITA]]</f>
        <v>FORMA 05 PRETA</v>
      </c>
      <c r="C35" s="26">
        <v>2.2000000000000002</v>
      </c>
      <c r="D35" s="12">
        <v>100</v>
      </c>
      <c r="E35" s="12" t="s">
        <v>25</v>
      </c>
      <c r="F35" s="29">
        <f>(Tabela36[[#This Row],[QNT]]*C35)/D35</f>
        <v>0.11</v>
      </c>
      <c r="H35" s="18" t="s">
        <v>77</v>
      </c>
      <c r="I35" s="18">
        <v>5</v>
      </c>
      <c r="J35" s="18" t="s">
        <v>25</v>
      </c>
    </row>
    <row r="36" spans="2:10" s="18" customFormat="1" x14ac:dyDescent="0.25">
      <c r="B36" s="12" t="str">
        <f>Tabela36[[#This Row],[RECEITA]]</f>
        <v>FORMA 05 VERMELHA</v>
      </c>
      <c r="C36" s="26">
        <v>2.2000000000000002</v>
      </c>
      <c r="D36" s="12">
        <v>100</v>
      </c>
      <c r="E36" s="12" t="s">
        <v>25</v>
      </c>
      <c r="F36" s="29">
        <f>(Tabela36[[#This Row],[QNT]]*C36)/D36</f>
        <v>0.11</v>
      </c>
      <c r="H36" s="18" t="s">
        <v>78</v>
      </c>
      <c r="I36" s="18">
        <v>5</v>
      </c>
      <c r="J36" s="18" t="s">
        <v>25</v>
      </c>
    </row>
    <row r="37" spans="2:10" s="18" customFormat="1" x14ac:dyDescent="0.25">
      <c r="B37" s="12" t="str">
        <f>Tabela36[[#This Row],[RECEITA]]</f>
        <v>CX.10.UN</v>
      </c>
      <c r="C37" s="26">
        <v>1.95</v>
      </c>
      <c r="D37" s="12">
        <v>1</v>
      </c>
      <c r="E37" s="12" t="s">
        <v>25</v>
      </c>
      <c r="F37" s="29">
        <f>(Tabela36[[#This Row],[QNT]]*C37)/D37</f>
        <v>0</v>
      </c>
      <c r="H37" s="18" t="s">
        <v>40</v>
      </c>
      <c r="I37" s="18">
        <v>0</v>
      </c>
      <c r="J37" s="18" t="s">
        <v>25</v>
      </c>
    </row>
    <row r="38" spans="2:10" s="18" customFormat="1" x14ac:dyDescent="0.25">
      <c r="B38" s="12" t="str">
        <f>Tabela36[[#This Row],[RECEITA]]</f>
        <v>JUTA</v>
      </c>
      <c r="C38" s="26">
        <v>9</v>
      </c>
      <c r="D38" s="12">
        <v>700</v>
      </c>
      <c r="E38" s="12" t="s">
        <v>65</v>
      </c>
      <c r="F38" s="29">
        <f>(Tabela36[[#This Row],[QNT]]*C38)/D38</f>
        <v>0</v>
      </c>
      <c r="H38" s="18" t="s">
        <v>24</v>
      </c>
      <c r="I38" s="18">
        <v>0</v>
      </c>
      <c r="J38" s="18" t="s">
        <v>65</v>
      </c>
    </row>
    <row r="39" spans="2:10" s="18" customFormat="1" x14ac:dyDescent="0.25">
      <c r="B39" s="12" t="str">
        <f>Tabela36[[#This Row],[RECEITA]]</f>
        <v>PAPEL CRAFT (CARTÃO)</v>
      </c>
      <c r="C39" s="26">
        <v>3</v>
      </c>
      <c r="D39" s="12">
        <v>15</v>
      </c>
      <c r="E39" s="12" t="s">
        <v>25</v>
      </c>
      <c r="F39" s="29">
        <f>(Tabela36[[#This Row],[QNT]]*C39)/D39</f>
        <v>0</v>
      </c>
      <c r="H39" s="18" t="s">
        <v>79</v>
      </c>
      <c r="I39" s="18">
        <v>0</v>
      </c>
      <c r="J39" s="18" t="s">
        <v>25</v>
      </c>
    </row>
    <row r="40" spans="2:10" s="18" customFormat="1" x14ac:dyDescent="0.25">
      <c r="B40" s="12" t="str">
        <f>Tabela36[[#This Row],[RECEITA]]</f>
        <v>TINTA CARIMBO</v>
      </c>
      <c r="C40" s="26">
        <v>30</v>
      </c>
      <c r="D40" s="12">
        <v>200</v>
      </c>
      <c r="E40" s="12" t="s">
        <v>25</v>
      </c>
      <c r="F40" s="29">
        <f>(Tabela36[[#This Row],[QNT]]*C40)/D40</f>
        <v>0</v>
      </c>
      <c r="H40" s="18" t="s">
        <v>71</v>
      </c>
      <c r="I40" s="18">
        <v>0</v>
      </c>
      <c r="J40" s="18" t="s">
        <v>25</v>
      </c>
    </row>
    <row r="43" spans="2:10" s="18" customFormat="1" x14ac:dyDescent="0.25"/>
    <row r="44" spans="2:10" s="18" customFormat="1" ht="8.1" customHeight="1" x14ac:dyDescent="0.25"/>
    <row r="45" spans="2:10" s="18" customFormat="1" x14ac:dyDescent="0.25">
      <c r="B45" s="20" t="s">
        <v>80</v>
      </c>
      <c r="C45" s="61" t="s">
        <v>81</v>
      </c>
      <c r="D45" s="61"/>
      <c r="E45" s="62" t="s">
        <v>23</v>
      </c>
      <c r="F45" s="63"/>
    </row>
    <row r="46" spans="2:10" s="18" customFormat="1" x14ac:dyDescent="0.25">
      <c r="B46" s="21">
        <v>15</v>
      </c>
      <c r="C46" s="64">
        <v>29</v>
      </c>
      <c r="D46" s="64"/>
      <c r="E46" s="65">
        <f>SUM(F50:F60)/C46</f>
        <v>0.35252889810733723</v>
      </c>
      <c r="F46" s="66"/>
    </row>
    <row r="47" spans="2:10" s="18" customFormat="1" ht="5.0999999999999996" customHeight="1" x14ac:dyDescent="0.25"/>
    <row r="48" spans="2:10" s="18" customFormat="1" ht="5.0999999999999996" customHeight="1" x14ac:dyDescent="0.25"/>
    <row r="49" spans="2:19" s="18" customFormat="1" x14ac:dyDescent="0.25">
      <c r="B49" s="30" t="s">
        <v>7</v>
      </c>
      <c r="C49" s="30" t="s">
        <v>5</v>
      </c>
      <c r="D49" s="30" t="s">
        <v>48</v>
      </c>
      <c r="E49" s="30" t="s">
        <v>21</v>
      </c>
      <c r="F49" s="30" t="s">
        <v>22</v>
      </c>
      <c r="H49" s="28" t="s">
        <v>47</v>
      </c>
      <c r="I49" s="28" t="s">
        <v>4</v>
      </c>
      <c r="J49" s="28" t="s">
        <v>21</v>
      </c>
      <c r="S49" s="18" t="s">
        <v>76</v>
      </c>
    </row>
    <row r="50" spans="2:19" s="18" customFormat="1" x14ac:dyDescent="0.25">
      <c r="B50" s="12" t="str">
        <f>Tabela3619[[#This Row],[RECEITA]]</f>
        <v>LEITE CONDENSADO</v>
      </c>
      <c r="C50" s="26">
        <v>4.2</v>
      </c>
      <c r="D50" s="12">
        <v>395</v>
      </c>
      <c r="E50" s="12" t="s">
        <v>11</v>
      </c>
      <c r="F50" s="29">
        <f>(Tabela3619[[#This Row],[QNT]]*C50)/D50</f>
        <v>4.2</v>
      </c>
      <c r="H50" s="18" t="s">
        <v>10</v>
      </c>
      <c r="I50" s="18">
        <v>395</v>
      </c>
      <c r="J50" s="18" t="s">
        <v>11</v>
      </c>
      <c r="S50" s="18" t="s">
        <v>11</v>
      </c>
    </row>
    <row r="51" spans="2:19" s="18" customFormat="1" x14ac:dyDescent="0.25">
      <c r="B51" s="12" t="str">
        <f>Tabela3619[[#This Row],[RECEITA]]</f>
        <v>CREME DE LEITE</v>
      </c>
      <c r="C51" s="26">
        <v>2.8</v>
      </c>
      <c r="D51" s="12">
        <v>200</v>
      </c>
      <c r="E51" s="12" t="s">
        <v>11</v>
      </c>
      <c r="F51" s="29">
        <f>(Tabela3619[[#This Row],[QNT]]*C51)/D51</f>
        <v>1.4</v>
      </c>
      <c r="H51" s="18" t="s">
        <v>15</v>
      </c>
      <c r="I51" s="18">
        <v>100</v>
      </c>
      <c r="J51" s="18" t="s">
        <v>11</v>
      </c>
      <c r="S51" s="18" t="s">
        <v>65</v>
      </c>
    </row>
    <row r="52" spans="2:19" s="18" customFormat="1" x14ac:dyDescent="0.25">
      <c r="B52" s="12" t="str">
        <f>Tabela3619[[#This Row],[RECEITA]]</f>
        <v>MANTEIGA</v>
      </c>
      <c r="C52" s="26">
        <v>5.5</v>
      </c>
      <c r="D52" s="12">
        <v>350</v>
      </c>
      <c r="E52" s="12" t="s">
        <v>11</v>
      </c>
      <c r="F52" s="29">
        <f>(Tabela3619[[#This Row],[QNT]]*C52)/D52</f>
        <v>1.5714285714285714</v>
      </c>
      <c r="H52" s="18" t="s">
        <v>16</v>
      </c>
      <c r="I52" s="18">
        <v>100</v>
      </c>
      <c r="J52" s="18" t="s">
        <v>11</v>
      </c>
      <c r="S52" s="18" t="s">
        <v>25</v>
      </c>
    </row>
    <row r="53" spans="2:19" s="18" customFormat="1" x14ac:dyDescent="0.25">
      <c r="B53" s="12" t="str">
        <f>Tabela3619[[#This Row],[RECEITA]]</f>
        <v>LEITE EM PÓ</v>
      </c>
      <c r="C53" s="26">
        <v>11.9</v>
      </c>
      <c r="D53" s="12">
        <v>380</v>
      </c>
      <c r="E53" s="12" t="s">
        <v>11</v>
      </c>
      <c r="F53" s="29">
        <f>(Tabela3619[[#This Row],[QNT]]*C53)/D53</f>
        <v>1.5657894736842106</v>
      </c>
      <c r="H53" s="18" t="s">
        <v>49</v>
      </c>
      <c r="I53" s="18">
        <v>50</v>
      </c>
      <c r="J53" s="18" t="s">
        <v>11</v>
      </c>
    </row>
    <row r="54" spans="2:19" s="18" customFormat="1" x14ac:dyDescent="0.25">
      <c r="B54" s="12" t="str">
        <f>Tabela3619[[#This Row],[RECEITA]]</f>
        <v>LEITE EM PÓ</v>
      </c>
      <c r="C54" s="26">
        <v>11.9</v>
      </c>
      <c r="D54" s="12">
        <v>500</v>
      </c>
      <c r="E54" s="12" t="s">
        <v>11</v>
      </c>
      <c r="F54" s="29">
        <f>(Tabela3619[[#This Row],[QNT]]*C54)/D54</f>
        <v>1.19</v>
      </c>
      <c r="H54" s="18" t="s">
        <v>49</v>
      </c>
      <c r="I54" s="18">
        <v>50</v>
      </c>
      <c r="J54" s="18" t="s">
        <v>11</v>
      </c>
    </row>
    <row r="55" spans="2:19" s="18" customFormat="1" x14ac:dyDescent="0.25">
      <c r="B55" s="12" t="str">
        <f>Tabela3619[[#This Row],[RECEITA]]</f>
        <v>FORMA 05 PRETA</v>
      </c>
      <c r="C55" s="26">
        <v>2.2000000000000002</v>
      </c>
      <c r="D55" s="12">
        <v>100</v>
      </c>
      <c r="E55" s="12" t="s">
        <v>25</v>
      </c>
      <c r="F55" s="29">
        <f>(Tabela3619[[#This Row],[QNT]]*C55)/D55</f>
        <v>0.11</v>
      </c>
      <c r="H55" s="18" t="s">
        <v>77</v>
      </c>
      <c r="I55" s="18">
        <v>5</v>
      </c>
      <c r="J55" s="18" t="s">
        <v>25</v>
      </c>
    </row>
    <row r="56" spans="2:19" s="18" customFormat="1" x14ac:dyDescent="0.25">
      <c r="B56" s="12" t="str">
        <f>Tabela3619[[#This Row],[RECEITA]]</f>
        <v>FORMA 05 VERMELHA</v>
      </c>
      <c r="C56" s="26">
        <v>2.2000000000000002</v>
      </c>
      <c r="D56" s="12">
        <v>100</v>
      </c>
      <c r="E56" s="12" t="s">
        <v>25</v>
      </c>
      <c r="F56" s="29">
        <f>(Tabela3619[[#This Row],[QNT]]*C56)/D56</f>
        <v>0.11</v>
      </c>
      <c r="H56" s="18" t="s">
        <v>78</v>
      </c>
      <c r="I56" s="18">
        <v>5</v>
      </c>
      <c r="J56" s="18" t="s">
        <v>25</v>
      </c>
    </row>
    <row r="57" spans="2:19" s="18" customFormat="1" x14ac:dyDescent="0.25">
      <c r="B57" s="12" t="str">
        <f>Tabela3619[[#This Row],[RECEITA]]</f>
        <v>CX.10.UN</v>
      </c>
      <c r="C57" s="26">
        <v>1.95</v>
      </c>
      <c r="D57" s="12">
        <v>1</v>
      </c>
      <c r="E57" s="12" t="s">
        <v>25</v>
      </c>
      <c r="F57" s="29">
        <f>(Tabela3619[[#This Row],[QNT]]*C57)/D57</f>
        <v>0</v>
      </c>
      <c r="H57" s="18" t="s">
        <v>40</v>
      </c>
      <c r="I57" s="18">
        <v>0</v>
      </c>
      <c r="J57" s="18" t="s">
        <v>25</v>
      </c>
    </row>
    <row r="58" spans="2:19" s="18" customFormat="1" x14ac:dyDescent="0.25">
      <c r="B58" s="12" t="str">
        <f>Tabela3619[[#This Row],[RECEITA]]</f>
        <v>JUTA</v>
      </c>
      <c r="C58" s="26">
        <v>9</v>
      </c>
      <c r="D58" s="12">
        <v>200</v>
      </c>
      <c r="E58" s="12" t="s">
        <v>25</v>
      </c>
      <c r="F58" s="29">
        <f>(Tabela3619[[#This Row],[QNT]]*C58)/D58</f>
        <v>4.4999999999999998E-2</v>
      </c>
      <c r="H58" s="18" t="s">
        <v>24</v>
      </c>
      <c r="I58" s="18">
        <v>1</v>
      </c>
      <c r="J58" s="18" t="s">
        <v>65</v>
      </c>
    </row>
    <row r="59" spans="2:19" s="18" customFormat="1" x14ac:dyDescent="0.25">
      <c r="B59" s="12" t="str">
        <f>Tabela3619[[#This Row],[RECEITA]]</f>
        <v>PAPEL CRAFT (CARTÃO)</v>
      </c>
      <c r="C59" s="26">
        <v>13.9</v>
      </c>
      <c r="D59" s="12">
        <v>1250</v>
      </c>
      <c r="E59" s="12" t="s">
        <v>25</v>
      </c>
      <c r="F59" s="29">
        <f>(Tabela3619[[#This Row],[QNT]]*C59)/D59</f>
        <v>1.112E-2</v>
      </c>
      <c r="H59" s="18" t="s">
        <v>79</v>
      </c>
      <c r="I59" s="18">
        <v>1</v>
      </c>
      <c r="J59" s="18" t="s">
        <v>25</v>
      </c>
    </row>
    <row r="60" spans="2:19" s="18" customFormat="1" x14ac:dyDescent="0.25">
      <c r="B60" s="12" t="str">
        <f>Tabela3619[[#This Row],[RECEITA]]</f>
        <v>TINTA CARIMBO</v>
      </c>
      <c r="C60" s="26">
        <v>4</v>
      </c>
      <c r="D60" s="12">
        <v>200</v>
      </c>
      <c r="E60" s="12" t="s">
        <v>25</v>
      </c>
      <c r="F60" s="29">
        <f>(Tabela3619[[#This Row],[QNT]]*C60)/D60</f>
        <v>0.02</v>
      </c>
      <c r="H60" s="18" t="s">
        <v>71</v>
      </c>
      <c r="I60" s="18">
        <v>1</v>
      </c>
      <c r="J60" s="18" t="s">
        <v>25</v>
      </c>
    </row>
    <row r="63" spans="2:19" s="18" customFormat="1" x14ac:dyDescent="0.25"/>
    <row r="64" spans="2:19" s="18" customFormat="1" ht="8.1" customHeight="1" x14ac:dyDescent="0.25"/>
    <row r="65" spans="2:19" s="18" customFormat="1" x14ac:dyDescent="0.25">
      <c r="B65" s="20" t="s">
        <v>80</v>
      </c>
      <c r="C65" s="61" t="s">
        <v>81</v>
      </c>
      <c r="D65" s="61"/>
      <c r="E65" s="62" t="s">
        <v>23</v>
      </c>
      <c r="F65" s="63"/>
    </row>
    <row r="66" spans="2:19" s="18" customFormat="1" x14ac:dyDescent="0.25">
      <c r="B66" s="21">
        <v>16</v>
      </c>
      <c r="C66" s="64">
        <v>29</v>
      </c>
      <c r="D66" s="64"/>
      <c r="E66" s="65">
        <f>SUM(F70:F80)/C66</f>
        <v>0.39612341948807811</v>
      </c>
      <c r="F66" s="66"/>
    </row>
    <row r="67" spans="2:19" s="18" customFormat="1" ht="5.0999999999999996" customHeight="1" x14ac:dyDescent="0.25"/>
    <row r="68" spans="2:19" s="18" customFormat="1" ht="5.0999999999999996" customHeight="1" x14ac:dyDescent="0.25"/>
    <row r="69" spans="2:19" s="18" customFormat="1" x14ac:dyDescent="0.25">
      <c r="B69" s="30" t="s">
        <v>7</v>
      </c>
      <c r="C69" s="30" t="s">
        <v>5</v>
      </c>
      <c r="D69" s="30" t="s">
        <v>48</v>
      </c>
      <c r="E69" s="30" t="s">
        <v>21</v>
      </c>
      <c r="F69" s="30" t="s">
        <v>22</v>
      </c>
      <c r="H69" s="28" t="s">
        <v>47</v>
      </c>
      <c r="I69" s="28" t="s">
        <v>4</v>
      </c>
      <c r="J69" s="28" t="s">
        <v>21</v>
      </c>
      <c r="S69" s="18" t="s">
        <v>76</v>
      </c>
    </row>
    <row r="70" spans="2:19" s="18" customFormat="1" x14ac:dyDescent="0.25">
      <c r="B70" s="12" t="str">
        <f>Tabela361921[[#This Row],[RECEITA]]</f>
        <v>LEITE CONDENSADO</v>
      </c>
      <c r="C70" s="26">
        <v>4.2</v>
      </c>
      <c r="D70" s="12">
        <v>395</v>
      </c>
      <c r="E70" s="12" t="s">
        <v>11</v>
      </c>
      <c r="F70" s="29">
        <f>(Tabela361921[[#This Row],[QNT]]*C70)/D70</f>
        <v>4.2</v>
      </c>
      <c r="H70" s="18" t="s">
        <v>10</v>
      </c>
      <c r="I70" s="18">
        <v>395</v>
      </c>
      <c r="J70" s="18" t="s">
        <v>11</v>
      </c>
      <c r="S70" s="18" t="s">
        <v>11</v>
      </c>
    </row>
    <row r="71" spans="2:19" s="18" customFormat="1" x14ac:dyDescent="0.25">
      <c r="B71" s="12" t="str">
        <f>Tabela361921[[#This Row],[RECEITA]]</f>
        <v>CREME DE LEITE</v>
      </c>
      <c r="C71" s="26">
        <v>2.9</v>
      </c>
      <c r="D71" s="12">
        <v>200</v>
      </c>
      <c r="E71" s="12" t="s">
        <v>11</v>
      </c>
      <c r="F71" s="29">
        <f>(Tabela361921[[#This Row],[QNT]]*C71)/D71</f>
        <v>1.45</v>
      </c>
      <c r="H71" s="18" t="s">
        <v>15</v>
      </c>
      <c r="I71" s="18">
        <v>100</v>
      </c>
      <c r="J71" s="18" t="s">
        <v>11</v>
      </c>
      <c r="S71" s="18" t="s">
        <v>65</v>
      </c>
    </row>
    <row r="72" spans="2:19" s="18" customFormat="1" x14ac:dyDescent="0.25">
      <c r="B72" s="12" t="str">
        <f>Tabela361921[[#This Row],[RECEITA]]</f>
        <v>MANTEIGA</v>
      </c>
      <c r="C72" s="26">
        <v>5.5</v>
      </c>
      <c r="D72" s="12">
        <v>500</v>
      </c>
      <c r="E72" s="12" t="s">
        <v>11</v>
      </c>
      <c r="F72" s="29">
        <f>(Tabela361921[[#This Row],[QNT]]*C72)/D72</f>
        <v>0.55000000000000004</v>
      </c>
      <c r="H72" s="18" t="s">
        <v>16</v>
      </c>
      <c r="I72" s="18">
        <v>50</v>
      </c>
      <c r="J72" s="18" t="s">
        <v>11</v>
      </c>
      <c r="S72" s="18" t="s">
        <v>25</v>
      </c>
    </row>
    <row r="73" spans="2:19" s="18" customFormat="1" x14ac:dyDescent="0.25">
      <c r="B73" s="12" t="str">
        <f>Tabela361921[[#This Row],[RECEITA]]</f>
        <v>NESQUIK</v>
      </c>
      <c r="C73" s="26">
        <v>11.99</v>
      </c>
      <c r="D73" s="12">
        <v>380</v>
      </c>
      <c r="E73" s="12" t="s">
        <v>11</v>
      </c>
      <c r="F73" s="29">
        <f>(Tabela361921[[#This Row],[QNT]]*C73)/D73</f>
        <v>1.5776315789473685</v>
      </c>
      <c r="H73" s="18" t="s">
        <v>82</v>
      </c>
      <c r="I73" s="18">
        <v>50</v>
      </c>
      <c r="J73" s="18" t="s">
        <v>11</v>
      </c>
    </row>
    <row r="74" spans="2:19" s="18" customFormat="1" x14ac:dyDescent="0.25">
      <c r="B74" s="12" t="str">
        <f>Tabela361921[[#This Row],[RECEITA]]</f>
        <v>AÇÚCAR ROSA</v>
      </c>
      <c r="C74" s="26">
        <v>9.15</v>
      </c>
      <c r="D74" s="12">
        <v>580</v>
      </c>
      <c r="E74" s="12" t="s">
        <v>11</v>
      </c>
      <c r="F74" s="29">
        <f>(Tabela361921[[#This Row],[QNT]]*C74)/D74</f>
        <v>1.4198275862068965</v>
      </c>
      <c r="H74" s="18" t="s">
        <v>94</v>
      </c>
      <c r="I74" s="18">
        <v>90</v>
      </c>
      <c r="J74" s="18" t="s">
        <v>11</v>
      </c>
    </row>
    <row r="75" spans="2:19" s="18" customFormat="1" x14ac:dyDescent="0.25">
      <c r="B75" s="12" t="str">
        <f>Tabela361921[[#This Row],[RECEITA]]</f>
        <v>FORMA 06 PRETA</v>
      </c>
      <c r="C75" s="26">
        <v>1.49</v>
      </c>
      <c r="D75" s="12">
        <v>100</v>
      </c>
      <c r="E75" s="12" t="s">
        <v>25</v>
      </c>
      <c r="F75" s="29">
        <f>(Tabela361921[[#This Row],[QNT]]*C75)/D75</f>
        <v>0</v>
      </c>
      <c r="H75" s="18" t="s">
        <v>83</v>
      </c>
      <c r="I75" s="18">
        <v>0</v>
      </c>
      <c r="J75" s="18" t="s">
        <v>25</v>
      </c>
    </row>
    <row r="76" spans="2:19" s="18" customFormat="1" x14ac:dyDescent="0.25">
      <c r="B76" s="12" t="str">
        <f>Tabela361921[[#This Row],[RECEITA]]</f>
        <v>FORMA 05 VERMELHA</v>
      </c>
      <c r="C76" s="26">
        <v>2.2000000000000002</v>
      </c>
      <c r="D76" s="12">
        <v>100</v>
      </c>
      <c r="E76" s="12" t="s">
        <v>25</v>
      </c>
      <c r="F76" s="29">
        <f>(Tabela361921[[#This Row],[QNT]]*C76)/D76</f>
        <v>0.22</v>
      </c>
      <c r="H76" s="18" t="s">
        <v>78</v>
      </c>
      <c r="I76" s="18">
        <v>10</v>
      </c>
      <c r="J76" s="18" t="s">
        <v>25</v>
      </c>
      <c r="N76" s="25"/>
    </row>
    <row r="77" spans="2:19" s="18" customFormat="1" x14ac:dyDescent="0.25">
      <c r="B77" s="12" t="str">
        <f>Tabela361921[[#This Row],[RECEITA]]</f>
        <v>JUTA</v>
      </c>
      <c r="C77" s="26">
        <v>8.9</v>
      </c>
      <c r="D77" s="12">
        <v>100</v>
      </c>
      <c r="E77" s="12" t="s">
        <v>25</v>
      </c>
      <c r="F77" s="29">
        <f>(Tabela361921[[#This Row],[QNT]]*C77)/D77</f>
        <v>8.900000000000001E-2</v>
      </c>
      <c r="H77" s="18" t="s">
        <v>24</v>
      </c>
      <c r="I77" s="18">
        <v>1</v>
      </c>
      <c r="J77" s="18" t="s">
        <v>25</v>
      </c>
    </row>
    <row r="78" spans="2:19" s="18" customFormat="1" x14ac:dyDescent="0.25">
      <c r="B78" s="12" t="str">
        <f>Tabela361921[[#This Row],[RECEITA]]</f>
        <v>CX. 10 UN</v>
      </c>
      <c r="C78" s="26">
        <v>1.95</v>
      </c>
      <c r="D78" s="12">
        <v>1</v>
      </c>
      <c r="E78" s="12" t="s">
        <v>25</v>
      </c>
      <c r="F78" s="29">
        <f>(Tabela361921[[#This Row],[QNT]]*C78)/D78</f>
        <v>1.95</v>
      </c>
      <c r="H78" s="18" t="s">
        <v>95</v>
      </c>
      <c r="I78" s="18">
        <v>1</v>
      </c>
      <c r="J78" s="18" t="s">
        <v>65</v>
      </c>
    </row>
    <row r="79" spans="2:19" s="18" customFormat="1" x14ac:dyDescent="0.25">
      <c r="B79" s="12" t="str">
        <f>Tabela361921[[#This Row],[RECEITA]]</f>
        <v>PAPEL CRAFT (CARTÃO)</v>
      </c>
      <c r="C79" s="26">
        <v>13.9</v>
      </c>
      <c r="D79" s="12">
        <v>1250</v>
      </c>
      <c r="E79" s="12" t="s">
        <v>25</v>
      </c>
      <c r="F79" s="29">
        <f>(Tabela361921[[#This Row],[QNT]]*C79)/D79</f>
        <v>1.112E-2</v>
      </c>
      <c r="H79" s="18" t="s">
        <v>79</v>
      </c>
      <c r="I79" s="18">
        <v>1</v>
      </c>
      <c r="J79" s="18" t="s">
        <v>25</v>
      </c>
    </row>
    <row r="80" spans="2:19" s="18" customFormat="1" x14ac:dyDescent="0.25">
      <c r="B80" s="12" t="str">
        <f>Tabela361921[[#This Row],[RECEITA]]</f>
        <v>TINTA CARIMBO</v>
      </c>
      <c r="C80" s="26">
        <v>4</v>
      </c>
      <c r="D80" s="12">
        <v>200</v>
      </c>
      <c r="E80" s="12" t="s">
        <v>25</v>
      </c>
      <c r="F80" s="29">
        <f>(Tabela361921[[#This Row],[QNT]]*C80)/D80</f>
        <v>0.02</v>
      </c>
      <c r="H80" s="18" t="s">
        <v>71</v>
      </c>
      <c r="I80" s="18">
        <v>1</v>
      </c>
      <c r="J80" s="18" t="s">
        <v>25</v>
      </c>
    </row>
    <row r="81" spans="2:19" s="18" customFormat="1" x14ac:dyDescent="0.25"/>
    <row r="82" spans="2:19" s="18" customFormat="1" x14ac:dyDescent="0.25"/>
    <row r="83" spans="2:19" s="18" customFormat="1" x14ac:dyDescent="0.25"/>
    <row r="84" spans="2:19" s="18" customFormat="1" ht="8.1" customHeight="1" x14ac:dyDescent="0.25"/>
    <row r="85" spans="2:19" s="18" customFormat="1" x14ac:dyDescent="0.25">
      <c r="B85" s="20" t="s">
        <v>80</v>
      </c>
      <c r="C85" s="61" t="s">
        <v>81</v>
      </c>
      <c r="D85" s="61"/>
      <c r="E85" s="62" t="s">
        <v>23</v>
      </c>
      <c r="F85" s="63"/>
    </row>
    <row r="86" spans="2:19" s="18" customFormat="1" x14ac:dyDescent="0.25">
      <c r="B86" s="21">
        <v>16</v>
      </c>
      <c r="C86" s="64">
        <v>22</v>
      </c>
      <c r="D86" s="64"/>
      <c r="E86" s="65">
        <f>SUM(F90:F100)/C86</f>
        <v>0.46550858934169281</v>
      </c>
      <c r="F86" s="66"/>
    </row>
    <row r="87" spans="2:19" s="18" customFormat="1" ht="5.0999999999999996" customHeight="1" x14ac:dyDescent="0.25"/>
    <row r="88" spans="2:19" s="18" customFormat="1" ht="5.0999999999999996" customHeight="1" x14ac:dyDescent="0.25"/>
    <row r="89" spans="2:19" s="18" customFormat="1" x14ac:dyDescent="0.25">
      <c r="B89" s="52" t="s">
        <v>7</v>
      </c>
      <c r="C89" s="52" t="s">
        <v>5</v>
      </c>
      <c r="D89" s="52" t="s">
        <v>48</v>
      </c>
      <c r="E89" s="52" t="s">
        <v>21</v>
      </c>
      <c r="F89" s="52" t="s">
        <v>22</v>
      </c>
      <c r="H89" s="28" t="s">
        <v>47</v>
      </c>
      <c r="I89" s="28" t="s">
        <v>4</v>
      </c>
      <c r="J89" s="28" t="s">
        <v>21</v>
      </c>
      <c r="S89" s="18" t="s">
        <v>76</v>
      </c>
    </row>
    <row r="90" spans="2:19" s="18" customFormat="1" x14ac:dyDescent="0.25">
      <c r="B90" s="12" t="str">
        <f>Tabela36192133[[#This Row],[RECEITA]]</f>
        <v>LEITE CONDENSADO</v>
      </c>
      <c r="C90" s="26">
        <v>4.2</v>
      </c>
      <c r="D90" s="12">
        <v>395</v>
      </c>
      <c r="E90" s="12" t="s">
        <v>11</v>
      </c>
      <c r="F90" s="29">
        <f>(Tabela36192133[[#This Row],[QNT]]*C90)/D90</f>
        <v>4.2</v>
      </c>
      <c r="H90" s="18" t="s">
        <v>10</v>
      </c>
      <c r="I90" s="18">
        <v>395</v>
      </c>
      <c r="J90" s="18" t="s">
        <v>11</v>
      </c>
      <c r="S90" s="18" t="s">
        <v>11</v>
      </c>
    </row>
    <row r="91" spans="2:19" s="18" customFormat="1" x14ac:dyDescent="0.25">
      <c r="B91" s="12" t="str">
        <f>Tabela36192133[[#This Row],[RECEITA]]</f>
        <v>CREME DE LEITE</v>
      </c>
      <c r="C91" s="26">
        <v>2.9</v>
      </c>
      <c r="D91" s="12">
        <v>200</v>
      </c>
      <c r="E91" s="12" t="s">
        <v>11</v>
      </c>
      <c r="F91" s="29">
        <f>(Tabela36192133[[#This Row],[QNT]]*C91)/D91</f>
        <v>1.45</v>
      </c>
      <c r="H91" s="18" t="s">
        <v>15</v>
      </c>
      <c r="I91" s="18">
        <v>100</v>
      </c>
      <c r="J91" s="18" t="s">
        <v>11</v>
      </c>
      <c r="S91" s="18" t="s">
        <v>65</v>
      </c>
    </row>
    <row r="92" spans="2:19" s="18" customFormat="1" x14ac:dyDescent="0.25">
      <c r="B92" s="12" t="str">
        <f>Tabela36192133[[#This Row],[RECEITA]]</f>
        <v>MANTEIGA</v>
      </c>
      <c r="C92" s="26">
        <v>7.69</v>
      </c>
      <c r="D92" s="12">
        <v>500</v>
      </c>
      <c r="E92" s="12" t="s">
        <v>11</v>
      </c>
      <c r="F92" s="29">
        <f>(Tabela36192133[[#This Row],[QNT]]*C92)/D92</f>
        <v>0.76900000000000002</v>
      </c>
      <c r="H92" s="18" t="s">
        <v>16</v>
      </c>
      <c r="I92" s="18">
        <v>50</v>
      </c>
      <c r="J92" s="18" t="s">
        <v>11</v>
      </c>
      <c r="S92" s="18" t="s">
        <v>25</v>
      </c>
    </row>
    <row r="93" spans="2:19" s="18" customFormat="1" x14ac:dyDescent="0.25">
      <c r="B93" s="12" t="str">
        <f>Tabela36192133[[#This Row],[RECEITA]]</f>
        <v>LIMÃO SICILIANO</v>
      </c>
      <c r="C93" s="26">
        <v>1.45</v>
      </c>
      <c r="D93" s="12">
        <v>1</v>
      </c>
      <c r="E93" s="12" t="s">
        <v>25</v>
      </c>
      <c r="F93" s="29">
        <f>(Tabela36192133[[#This Row],[QNT]]*C93)/D93</f>
        <v>1.45</v>
      </c>
      <c r="H93" s="18" t="s">
        <v>135</v>
      </c>
      <c r="I93" s="18">
        <v>1</v>
      </c>
      <c r="J93" s="18" t="s">
        <v>11</v>
      </c>
    </row>
    <row r="94" spans="2:19" s="18" customFormat="1" x14ac:dyDescent="0.25">
      <c r="B94" s="12" t="str">
        <f>Tabela36192133[[#This Row],[RECEITA]]</f>
        <v>LEITE EM PÓ</v>
      </c>
      <c r="C94" s="26">
        <v>11.9</v>
      </c>
      <c r="D94" s="12">
        <v>580</v>
      </c>
      <c r="E94" s="12" t="s">
        <v>11</v>
      </c>
      <c r="F94" s="29">
        <f>(Tabela36192133[[#This Row],[QNT]]*C94)/D94</f>
        <v>8.2068965517241382E-2</v>
      </c>
      <c r="H94" s="18" t="s">
        <v>49</v>
      </c>
      <c r="I94" s="18">
        <v>4</v>
      </c>
      <c r="J94" s="18" t="s">
        <v>11</v>
      </c>
    </row>
    <row r="95" spans="2:19" s="18" customFormat="1" x14ac:dyDescent="0.25">
      <c r="B95" s="12" t="str">
        <f>Tabela36192133[[#This Row],[RECEITA]]</f>
        <v>FORMA 06 PRETA</v>
      </c>
      <c r="C95" s="26">
        <v>1.49</v>
      </c>
      <c r="D95" s="12">
        <v>100</v>
      </c>
      <c r="E95" s="12" t="s">
        <v>25</v>
      </c>
      <c r="F95" s="29">
        <f>(Tabela36192133[[#This Row],[QNT]]*C95)/D95</f>
        <v>0</v>
      </c>
      <c r="H95" s="18" t="s">
        <v>83</v>
      </c>
      <c r="I95" s="18">
        <v>0</v>
      </c>
      <c r="J95" s="18" t="s">
        <v>25</v>
      </c>
    </row>
    <row r="96" spans="2:19" s="18" customFormat="1" x14ac:dyDescent="0.25">
      <c r="B96" s="12" t="str">
        <f>Tabela36192133[[#This Row],[RECEITA]]</f>
        <v>FORMA 05 VERMELHA</v>
      </c>
      <c r="C96" s="26">
        <v>2.2000000000000002</v>
      </c>
      <c r="D96" s="12">
        <v>100</v>
      </c>
      <c r="E96" s="12" t="s">
        <v>25</v>
      </c>
      <c r="F96" s="29">
        <f>(Tabela36192133[[#This Row],[QNT]]*C96)/D96</f>
        <v>0.22</v>
      </c>
      <c r="H96" s="18" t="s">
        <v>78</v>
      </c>
      <c r="I96" s="18">
        <v>10</v>
      </c>
      <c r="J96" s="18" t="s">
        <v>25</v>
      </c>
      <c r="N96" s="25"/>
    </row>
    <row r="97" spans="2:10" s="18" customFormat="1" x14ac:dyDescent="0.25">
      <c r="B97" s="12" t="str">
        <f>Tabela36192133[[#This Row],[RECEITA]]</f>
        <v>JUTA</v>
      </c>
      <c r="C97" s="26">
        <v>8.9</v>
      </c>
      <c r="D97" s="12">
        <v>100</v>
      </c>
      <c r="E97" s="12" t="s">
        <v>25</v>
      </c>
      <c r="F97" s="29">
        <f>(Tabela36192133[[#This Row],[QNT]]*C97)/D97</f>
        <v>8.900000000000001E-2</v>
      </c>
      <c r="H97" s="18" t="s">
        <v>24</v>
      </c>
      <c r="I97" s="18">
        <v>1</v>
      </c>
      <c r="J97" s="18" t="s">
        <v>25</v>
      </c>
    </row>
    <row r="98" spans="2:10" s="18" customFormat="1" x14ac:dyDescent="0.25">
      <c r="B98" s="12" t="str">
        <f>Tabela36192133[[#This Row],[RECEITA]]</f>
        <v>CX. 10 UN</v>
      </c>
      <c r="C98" s="26">
        <v>1.95</v>
      </c>
      <c r="D98" s="12">
        <v>1</v>
      </c>
      <c r="E98" s="12" t="s">
        <v>25</v>
      </c>
      <c r="F98" s="29">
        <f>(Tabela36192133[[#This Row],[QNT]]*C98)/D98</f>
        <v>1.95</v>
      </c>
      <c r="H98" s="18" t="s">
        <v>95</v>
      </c>
      <c r="I98" s="18">
        <v>1</v>
      </c>
      <c r="J98" s="18" t="s">
        <v>65</v>
      </c>
    </row>
    <row r="99" spans="2:10" s="18" customFormat="1" x14ac:dyDescent="0.25">
      <c r="B99" s="12" t="str">
        <f>Tabela36192133[[#This Row],[RECEITA]]</f>
        <v>PAPEL CRAFT (CARTÃO)</v>
      </c>
      <c r="C99" s="26">
        <v>13.9</v>
      </c>
      <c r="D99" s="12">
        <v>1250</v>
      </c>
      <c r="E99" s="12" t="s">
        <v>25</v>
      </c>
      <c r="F99" s="29">
        <f>(Tabela36192133[[#This Row],[QNT]]*C99)/D99</f>
        <v>1.112E-2</v>
      </c>
      <c r="H99" s="18" t="s">
        <v>79</v>
      </c>
      <c r="I99" s="18">
        <v>1</v>
      </c>
      <c r="J99" s="18" t="s">
        <v>25</v>
      </c>
    </row>
    <row r="100" spans="2:10" s="18" customFormat="1" x14ac:dyDescent="0.25">
      <c r="B100" s="12" t="str">
        <f>Tabela36192133[[#This Row],[RECEITA]]</f>
        <v>TINTA CARIMBO</v>
      </c>
      <c r="C100" s="26">
        <v>4</v>
      </c>
      <c r="D100" s="12">
        <v>200</v>
      </c>
      <c r="E100" s="12" t="s">
        <v>25</v>
      </c>
      <c r="F100" s="29">
        <f>(Tabela36192133[[#This Row],[QNT]]*C100)/D100</f>
        <v>0.02</v>
      </c>
      <c r="H100" s="18" t="s">
        <v>71</v>
      </c>
      <c r="I100" s="18">
        <v>1</v>
      </c>
      <c r="J100" s="18" t="s">
        <v>25</v>
      </c>
    </row>
  </sheetData>
  <mergeCells count="20">
    <mergeCell ref="C26:D26"/>
    <mergeCell ref="E26:F26"/>
    <mergeCell ref="E5:F5"/>
    <mergeCell ref="E6:F6"/>
    <mergeCell ref="C5:D5"/>
    <mergeCell ref="C6:D6"/>
    <mergeCell ref="C25:D25"/>
    <mergeCell ref="E25:F25"/>
    <mergeCell ref="C45:D45"/>
    <mergeCell ref="E45:F45"/>
    <mergeCell ref="C46:D46"/>
    <mergeCell ref="E46:F46"/>
    <mergeCell ref="C65:D65"/>
    <mergeCell ref="E65:F65"/>
    <mergeCell ref="C85:D85"/>
    <mergeCell ref="E85:F85"/>
    <mergeCell ref="C86:D86"/>
    <mergeCell ref="E86:F86"/>
    <mergeCell ref="C66:D66"/>
    <mergeCell ref="E66:F66"/>
  </mergeCells>
  <dataValidations count="1">
    <dataValidation type="list" allowBlank="1" showInputMessage="1" showErrorMessage="1" sqref="J10:J20 E10:E20 J30:J40 E30:E40 J50:J60 E50:E60 J70:J80 E70:E80 J90:J100 E90:E100" xr:uid="{F81165FE-654C-464B-9706-6791753F6999}">
      <formula1>INDIRECT("CADASTRO_UN_SABORES")</formula1>
    </dataValidation>
  </dataValidations>
  <pageMargins left="0.511811024" right="0.511811024" top="0.78740157499999996" bottom="0.78740157499999996" header="0.31496062000000002" footer="0.31496062000000002"/>
  <drawing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7E1D-BD95-49A4-8778-4FC9210A2EF4}">
  <dimension ref="C1:AA24"/>
  <sheetViews>
    <sheetView showGridLines="0" showRowColHeaders="0" zoomScale="110" zoomScaleNormal="110" workbookViewId="0">
      <selection activeCell="S1" sqref="S1:S1048576"/>
    </sheetView>
  </sheetViews>
  <sheetFormatPr defaultRowHeight="15" x14ac:dyDescent="0.25"/>
  <cols>
    <col min="1" max="2" width="5.28515625" style="6" customWidth="1"/>
    <col min="3" max="3" width="28.85546875" style="6" customWidth="1"/>
    <col min="4" max="6" width="11.7109375" style="6" customWidth="1"/>
    <col min="7" max="7" width="8.7109375" style="6" customWidth="1"/>
    <col min="8" max="8" width="9.5703125" style="6" hidden="1" customWidth="1"/>
    <col min="9" max="9" width="9.5703125" style="6" customWidth="1"/>
    <col min="10" max="11" width="2.7109375" style="6" customWidth="1"/>
    <col min="12" max="12" width="13.7109375" style="23" customWidth="1"/>
    <col min="13" max="13" width="18.5703125" style="6" customWidth="1"/>
    <col min="14" max="14" width="26.7109375" style="6" customWidth="1"/>
    <col min="15" max="15" width="11.7109375" style="6" customWidth="1"/>
    <col min="16" max="16" width="8.7109375" style="6" customWidth="1"/>
    <col min="17" max="17" width="10.7109375" style="6" customWidth="1"/>
    <col min="18" max="18" width="9.140625" style="6"/>
    <col min="19" max="19" width="41.140625" style="6" customWidth="1"/>
    <col min="20" max="20" width="9.140625" style="6"/>
    <col min="21" max="21" width="9.140625" style="6" customWidth="1"/>
    <col min="22" max="22" width="9.140625" style="6"/>
    <col min="23" max="23" width="16.7109375" style="6" customWidth="1"/>
    <col min="24" max="24" width="0.5703125" style="6" customWidth="1"/>
    <col min="25" max="25" width="30.28515625" style="6" customWidth="1"/>
    <col min="26" max="26" width="0.5703125" style="6" customWidth="1"/>
    <col min="27" max="27" width="12.7109375" style="6" customWidth="1"/>
    <col min="28" max="16384" width="9.140625" style="6"/>
  </cols>
  <sheetData>
    <row r="1" spans="3:27" s="10" customFormat="1" ht="36" customHeight="1" x14ac:dyDescent="0.25"/>
    <row r="2" spans="3:27" ht="39.950000000000003" customHeight="1" x14ac:dyDescent="0.25">
      <c r="L2" s="6"/>
      <c r="M2" s="14"/>
      <c r="N2" s="14"/>
      <c r="O2" s="14"/>
    </row>
    <row r="3" spans="3:27" x14ac:dyDescent="0.25">
      <c r="G3"/>
      <c r="H3"/>
      <c r="I3"/>
      <c r="J3"/>
      <c r="K3"/>
      <c r="L3"/>
      <c r="M3"/>
      <c r="N3"/>
      <c r="O3"/>
      <c r="P3"/>
    </row>
    <row r="4" spans="3:27" ht="8.1" customHeight="1" x14ac:dyDescent="0.25">
      <c r="L4" s="6"/>
    </row>
    <row r="5" spans="3:27" x14ac:dyDescent="0.25">
      <c r="C5" s="7" t="s">
        <v>37</v>
      </c>
      <c r="D5" s="7" t="s">
        <v>12</v>
      </c>
      <c r="E5" s="7" t="s">
        <v>13</v>
      </c>
      <c r="F5" s="7" t="s">
        <v>14</v>
      </c>
      <c r="G5" s="7" t="s">
        <v>9</v>
      </c>
      <c r="H5" s="7" t="s">
        <v>38</v>
      </c>
      <c r="I5" s="7" t="s">
        <v>39</v>
      </c>
      <c r="L5" s="7" t="s">
        <v>0</v>
      </c>
      <c r="M5" s="8" t="s">
        <v>36</v>
      </c>
      <c r="N5" s="7" t="s">
        <v>66</v>
      </c>
      <c r="O5" s="7" t="s">
        <v>8</v>
      </c>
      <c r="P5" s="7" t="s">
        <v>9</v>
      </c>
      <c r="W5" s="6" t="s">
        <v>62</v>
      </c>
      <c r="Y5" s="6" t="s">
        <v>63</v>
      </c>
      <c r="AA5" s="6" t="s">
        <v>64</v>
      </c>
    </row>
    <row r="6" spans="3:27" x14ac:dyDescent="0.25">
      <c r="C6" s="17" t="str">
        <f>CADASTRO_INSUMO_ESTOQUE[[#This Row],[CADASTRO_INSUMO_ESTOQUE]]</f>
        <v>ACHOCOLATADO EM PÓ</v>
      </c>
      <c r="D6" s="17">
        <f>SUMIFS(LANÇAMENTO_ESTOQUE[QNT.],LANÇAMENTO_ESTOQUE[MOVIMENTAÇÃO],$D$5,LANÇAMENTO_ESTOQUE[INSUMOS],C6)</f>
        <v>2000</v>
      </c>
      <c r="E6" s="17">
        <f>SUMIFS(LANÇAMENTO_ESTOQUE[QNT.],LANÇAMENTO_ESTOQUE[MOVIMENTAÇÃO],$E$5,LANÇAMENTO_ESTOQUE[INSUMOS],C6)</f>
        <v>0</v>
      </c>
      <c r="F6" s="17">
        <f t="shared" ref="F6:F19" si="0">D6-E6</f>
        <v>2000</v>
      </c>
      <c r="G6" s="17" t="s">
        <v>11</v>
      </c>
      <c r="H6" s="17" t="str">
        <f>IF(Tabela15[[#This Row],[PRODUTO-CADASTRO]]=CADASTRO_INSUMO_ESTOQUE[[#This Row],[CADASTRO_INSUMO_ESTOQUE]],IF(Tabela15[[#This Row],[SALDO]]&lt;=15,"COMPRAR","OK"),8)</f>
        <v>OK</v>
      </c>
      <c r="I6" s="17">
        <f t="shared" ref="I6:I19" si="1">IF(H6="COMPRAR",1,0)</f>
        <v>0</v>
      </c>
      <c r="L6" s="23">
        <v>6092021</v>
      </c>
      <c r="M6" s="6" t="s">
        <v>12</v>
      </c>
      <c r="N6" s="6" t="s">
        <v>18</v>
      </c>
      <c r="O6" s="6">
        <v>2000</v>
      </c>
      <c r="P6" s="6" t="s">
        <v>11</v>
      </c>
      <c r="W6" s="6" t="s">
        <v>12</v>
      </c>
      <c r="Y6" s="6" t="s">
        <v>18</v>
      </c>
      <c r="AA6" s="6" t="s">
        <v>65</v>
      </c>
    </row>
    <row r="7" spans="3:27" x14ac:dyDescent="0.25">
      <c r="C7" s="17" t="str">
        <f>CADASTRO_INSUMO_ESTOQUE[[#This Row],[CADASTRO_INSUMO_ESTOQUE]]</f>
        <v>AÇÚCAR COLORIDO ROSA</v>
      </c>
      <c r="D7" s="17">
        <f>SUMIFS(LANÇAMENTO_ESTOQUE[QNT.],LANÇAMENTO_ESTOQUE[MOVIMENTAÇÃO],$D$5,LANÇAMENTO_ESTOQUE[INSUMOS],C7)</f>
        <v>580</v>
      </c>
      <c r="E7" s="17">
        <f>SUMIFS(LANÇAMENTO_ESTOQUE[QNT.],LANÇAMENTO_ESTOQUE[MOVIMENTAÇÃO],$E$5,LANÇAMENTO_ESTOQUE[INSUMOS],C7)</f>
        <v>0</v>
      </c>
      <c r="F7" s="17">
        <f t="shared" si="0"/>
        <v>580</v>
      </c>
      <c r="G7" s="17" t="s">
        <v>11</v>
      </c>
      <c r="H7" s="17" t="str">
        <f>IF(Tabela15[[#This Row],[PRODUTO-CADASTRO]]=CADASTRO_INSUMO_ESTOQUE[[#This Row],[CADASTRO_INSUMO_ESTOQUE]],IF(Tabela15[[#This Row],[SALDO]]&lt;=15,"COMPRAR","OK"),8)</f>
        <v>OK</v>
      </c>
      <c r="I7" s="17">
        <f t="shared" si="1"/>
        <v>0</v>
      </c>
      <c r="L7" s="23">
        <v>6092021</v>
      </c>
      <c r="M7" s="6" t="s">
        <v>12</v>
      </c>
      <c r="N7" s="6" t="s">
        <v>82</v>
      </c>
      <c r="O7" s="6">
        <v>380</v>
      </c>
      <c r="P7" s="6" t="s">
        <v>11</v>
      </c>
      <c r="W7" s="6" t="s">
        <v>13</v>
      </c>
      <c r="Y7" s="6" t="s">
        <v>84</v>
      </c>
      <c r="AA7" s="6" t="s">
        <v>11</v>
      </c>
    </row>
    <row r="8" spans="3:27" x14ac:dyDescent="0.25">
      <c r="C8" s="17" t="str">
        <f>CADASTRO_INSUMO_ESTOQUE[[#This Row],[CADASTRO_INSUMO_ESTOQUE]]</f>
        <v>CAIXA 10 UN</v>
      </c>
      <c r="D8" s="17">
        <f>SUMIFS(LANÇAMENTO_ESTOQUE[QNT.],LANÇAMENTO_ESTOQUE[MOVIMENTAÇÃO],$D$5,LANÇAMENTO_ESTOQUE[INSUMOS],C8)</f>
        <v>13</v>
      </c>
      <c r="E8" s="17">
        <f>SUMIFS(LANÇAMENTO_ESTOQUE[QNT.],LANÇAMENTO_ESTOQUE[MOVIMENTAÇÃO],$E$5,LANÇAMENTO_ESTOQUE[INSUMOS],C8)</f>
        <v>0</v>
      </c>
      <c r="F8" s="17">
        <f t="shared" si="0"/>
        <v>13</v>
      </c>
      <c r="G8" s="17" t="s">
        <v>25</v>
      </c>
      <c r="H8" s="17" t="str">
        <f>IF(Tabela15[[#This Row],[PRODUTO-CADASTRO]]=CADASTRO_INSUMO_ESTOQUE[[#This Row],[CADASTRO_INSUMO_ESTOQUE]],IF(Tabela15[[#This Row],[SALDO]]&lt;=15,"COMPRAR","OK"),8)</f>
        <v>COMPRAR</v>
      </c>
      <c r="I8" s="17">
        <f t="shared" si="1"/>
        <v>1</v>
      </c>
      <c r="L8" s="23">
        <v>6092021</v>
      </c>
      <c r="M8" s="6" t="s">
        <v>12</v>
      </c>
      <c r="N8" s="6" t="s">
        <v>69</v>
      </c>
      <c r="O8" s="6">
        <v>13</v>
      </c>
      <c r="P8" s="6" t="s">
        <v>25</v>
      </c>
      <c r="Y8" s="6" t="s">
        <v>69</v>
      </c>
      <c r="AA8" s="6" t="s">
        <v>20</v>
      </c>
    </row>
    <row r="9" spans="3:27" x14ac:dyDescent="0.25">
      <c r="C9" s="17" t="str">
        <f>CADASTRO_INSUMO_ESTOQUE[[#This Row],[CADASTRO_INSUMO_ESTOQUE]]</f>
        <v>CAIXA 6 UN</v>
      </c>
      <c r="D9" s="17">
        <f>SUMIFS(LANÇAMENTO_ESTOQUE[QNT.],LANÇAMENTO_ESTOQUE[MOVIMENTAÇÃO],$D$5,LANÇAMENTO_ESTOQUE[INSUMOS],C9)</f>
        <v>0</v>
      </c>
      <c r="E9" s="17">
        <f>SUMIFS(LANÇAMENTO_ESTOQUE[QNT.],LANÇAMENTO_ESTOQUE[MOVIMENTAÇÃO],$E$5,LANÇAMENTO_ESTOQUE[INSUMOS],C9)</f>
        <v>0</v>
      </c>
      <c r="F9" s="17">
        <f t="shared" si="0"/>
        <v>0</v>
      </c>
      <c r="G9" s="17" t="s">
        <v>25</v>
      </c>
      <c r="H9" s="17" t="str">
        <f>IF(Tabela15[[#This Row],[PRODUTO-CADASTRO]]=CADASTRO_INSUMO_ESTOQUE[[#This Row],[CADASTRO_INSUMO_ESTOQUE]],IF(Tabela15[[#This Row],[SALDO]]&lt;=500,"COMPRAR","OK"),8)</f>
        <v>COMPRAR</v>
      </c>
      <c r="I9" s="17">
        <f t="shared" si="1"/>
        <v>1</v>
      </c>
      <c r="L9" s="23">
        <v>6092021</v>
      </c>
      <c r="M9" s="9" t="s">
        <v>12</v>
      </c>
      <c r="N9" s="6" t="s">
        <v>49</v>
      </c>
      <c r="O9" s="6">
        <v>360</v>
      </c>
      <c r="P9" s="6" t="s">
        <v>11</v>
      </c>
      <c r="Y9" s="6" t="s">
        <v>70</v>
      </c>
      <c r="AA9" s="6" t="s">
        <v>25</v>
      </c>
    </row>
    <row r="10" spans="3:27" x14ac:dyDescent="0.25">
      <c r="C10" s="17" t="str">
        <f>CADASTRO_INSUMO_ESTOQUE[[#This Row],[CADASTRO_INSUMO_ESTOQUE]]</f>
        <v>CREME DE LEITE</v>
      </c>
      <c r="D10" s="17">
        <f>SUMIFS(LANÇAMENTO_ESTOQUE[QNT.],LANÇAMENTO_ESTOQUE[MOVIMENTAÇÃO],$D$5,LANÇAMENTO_ESTOQUE[INSUMOS],C10)</f>
        <v>2600</v>
      </c>
      <c r="E10" s="17">
        <f>SUMIFS(LANÇAMENTO_ESTOQUE[QNT.],LANÇAMENTO_ESTOQUE[MOVIMENTAÇÃO],$E$5,LANÇAMENTO_ESTOQUE[INSUMOS],C10)</f>
        <v>0</v>
      </c>
      <c r="F10" s="17">
        <f t="shared" si="0"/>
        <v>2600</v>
      </c>
      <c r="G10" s="17" t="s">
        <v>11</v>
      </c>
      <c r="H10" s="17" t="str">
        <f>IF(Tabela15[[#This Row],[PRODUTO-CADASTRO]]=CADASTRO_INSUMO_ESTOQUE[[#This Row],[CADASTRO_INSUMO_ESTOQUE]],IF(Tabela15[[#This Row],[SALDO]]&lt;=15,"COMPRAR","OK"),8)</f>
        <v>OK</v>
      </c>
      <c r="I10" s="17">
        <f t="shared" si="1"/>
        <v>0</v>
      </c>
      <c r="L10" s="23">
        <v>6092021</v>
      </c>
      <c r="M10" s="6" t="s">
        <v>12</v>
      </c>
      <c r="N10" s="6" t="s">
        <v>46</v>
      </c>
      <c r="O10" s="6">
        <v>49</v>
      </c>
      <c r="P10" s="6" t="s">
        <v>25</v>
      </c>
      <c r="Y10" s="6" t="s">
        <v>15</v>
      </c>
    </row>
    <row r="11" spans="3:27" x14ac:dyDescent="0.25">
      <c r="C11" s="17" t="str">
        <f>CADASTRO_INSUMO_ESTOQUE[[#This Row],[CADASTRO_INSUMO_ESTOQUE]]</f>
        <v>FORMA 05 PRE.</v>
      </c>
      <c r="D11" s="17">
        <f>SUMIFS(LANÇAMENTO_ESTOQUE[QNT.],LANÇAMENTO_ESTOQUE[MOVIMENTAÇÃO],$D$5,LANÇAMENTO_ESTOQUE[INSUMOS],C11)</f>
        <v>0</v>
      </c>
      <c r="E11" s="17">
        <f>SUMIFS(LANÇAMENTO_ESTOQUE[QNT.],LANÇAMENTO_ESTOQUE[MOVIMENTAÇÃO],$E$5,LANÇAMENTO_ESTOQUE[INSUMOS],C11)</f>
        <v>0</v>
      </c>
      <c r="F11" s="17">
        <f t="shared" si="0"/>
        <v>0</v>
      </c>
      <c r="G11" s="17" t="s">
        <v>25</v>
      </c>
      <c r="H11" s="17" t="str">
        <f>IF(Tabela15[[#This Row],[PRODUTO-CADASTRO]]=CADASTRO_INSUMO_ESTOQUE[[#This Row],[CADASTRO_INSUMO_ESTOQUE]],IF(Tabela15[[#This Row],[SALDO]]&lt;=15,"COMPRAR","OK"),8)</f>
        <v>COMPRAR</v>
      </c>
      <c r="I11" s="17">
        <f t="shared" si="1"/>
        <v>1</v>
      </c>
      <c r="L11" s="23">
        <v>6092021</v>
      </c>
      <c r="M11" s="6" t="s">
        <v>12</v>
      </c>
      <c r="N11" s="6" t="s">
        <v>19</v>
      </c>
      <c r="O11" s="6">
        <v>200</v>
      </c>
      <c r="P11" s="6" t="s">
        <v>11</v>
      </c>
      <c r="Y11" s="6" t="s">
        <v>68</v>
      </c>
    </row>
    <row r="12" spans="3:27" x14ac:dyDescent="0.25">
      <c r="C12" s="17" t="str">
        <f>CADASTRO_INSUMO_ESTOQUE[[#This Row],[CADASTRO_INSUMO_ESTOQUE]]</f>
        <v>FORMA 05 VERM.</v>
      </c>
      <c r="D12" s="17">
        <f>SUMIFS(LANÇAMENTO_ESTOQUE[QNT.],LANÇAMENTO_ESTOQUE[MOVIMENTAÇÃO],$D$5,LANÇAMENTO_ESTOQUE[INSUMOS],C12)</f>
        <v>0</v>
      </c>
      <c r="E12" s="17">
        <f>SUMIFS(LANÇAMENTO_ESTOQUE[QNT.],LANÇAMENTO_ESTOQUE[MOVIMENTAÇÃO],$E$5,LANÇAMENTO_ESTOQUE[INSUMOS],C12)</f>
        <v>0</v>
      </c>
      <c r="F12" s="17">
        <f t="shared" si="0"/>
        <v>0</v>
      </c>
      <c r="G12" s="17" t="s">
        <v>25</v>
      </c>
      <c r="H12" s="17" t="str">
        <f>IF(Tabela15[[#This Row],[PRODUTO-CADASTRO]]=CADASTRO_INSUMO_ESTOQUE[[#This Row],[CADASTRO_INSUMO_ESTOQUE]],IF(Tabela15[[#This Row],[SALDO]]&lt;=15,"COMPRAR","OK"),8)</f>
        <v>COMPRAR</v>
      </c>
      <c r="I12" s="17">
        <f t="shared" si="1"/>
        <v>1</v>
      </c>
      <c r="L12" s="23">
        <v>6092021</v>
      </c>
      <c r="M12" s="6" t="s">
        <v>12</v>
      </c>
      <c r="N12" s="6" t="s">
        <v>84</v>
      </c>
      <c r="O12" s="6">
        <v>580</v>
      </c>
      <c r="P12" s="6" t="s">
        <v>11</v>
      </c>
      <c r="Y12" s="6" t="s">
        <v>67</v>
      </c>
    </row>
    <row r="13" spans="3:27" x14ac:dyDescent="0.25">
      <c r="C13" s="17" t="str">
        <f>CADASTRO_INSUMO_ESTOQUE[[#This Row],[CADASTRO_INSUMO_ESTOQUE]]</f>
        <v>FORMA 06 PRETA</v>
      </c>
      <c r="D13" s="17">
        <f>SUMIFS(LANÇAMENTO_ESTOQUE[QNT.],LANÇAMENTO_ESTOQUE[MOVIMENTAÇÃO],$D$5,LANÇAMENTO_ESTOQUE[INSUMOS],C13)</f>
        <v>100</v>
      </c>
      <c r="E13" s="17">
        <f>SUMIFS(LANÇAMENTO_ESTOQUE[QNT.],LANÇAMENTO_ESTOQUE[MOVIMENTAÇÃO],$E$5,LANÇAMENTO_ESTOQUE[INSUMOS],C13)</f>
        <v>0</v>
      </c>
      <c r="F13" s="17">
        <f t="shared" si="0"/>
        <v>100</v>
      </c>
      <c r="G13" s="17" t="s">
        <v>25</v>
      </c>
      <c r="H13" s="17" t="str">
        <f>IF(Tabela15[[#This Row],[PRODUTO-CADASTRO]]=CADASTRO_INSUMO_ESTOQUE[[#This Row],[CADASTRO_INSUMO_ESTOQUE]],IF(Tabela15[[#This Row],[SALDO]]&lt;=15,"COMPRAR","OK"),8)</f>
        <v>OK</v>
      </c>
      <c r="I13" s="17">
        <f t="shared" si="1"/>
        <v>0</v>
      </c>
      <c r="L13" s="23">
        <v>6092021</v>
      </c>
      <c r="M13" s="6" t="s">
        <v>12</v>
      </c>
      <c r="N13" s="6" t="s">
        <v>85</v>
      </c>
      <c r="O13" s="6">
        <v>500</v>
      </c>
      <c r="P13" s="6" t="s">
        <v>11</v>
      </c>
      <c r="Y13" s="6" t="s">
        <v>83</v>
      </c>
    </row>
    <row r="14" spans="3:27" x14ac:dyDescent="0.25">
      <c r="C14" s="17" t="str">
        <f>CADASTRO_INSUMO_ESTOQUE[[#This Row],[CADASTRO_INSUMO_ESTOQUE]]</f>
        <v>GRANULADO BRANCO</v>
      </c>
      <c r="D14" s="17">
        <f>SUMIFS(LANÇAMENTO_ESTOQUE[QNT.],LANÇAMENTO_ESTOQUE[MOVIMENTAÇÃO],$D$5,LANÇAMENTO_ESTOQUE[INSUMOS],C14)</f>
        <v>500</v>
      </c>
      <c r="E14" s="17">
        <f>SUMIFS(LANÇAMENTO_ESTOQUE[QNT.],LANÇAMENTO_ESTOQUE[MOVIMENTAÇÃO],$E$5,LANÇAMENTO_ESTOQUE[INSUMOS],C14)</f>
        <v>0</v>
      </c>
      <c r="F14" s="17">
        <f t="shared" si="0"/>
        <v>500</v>
      </c>
      <c r="G14" s="17" t="s">
        <v>11</v>
      </c>
      <c r="H14" s="17" t="str">
        <f>IF(Tabela15[[#This Row],[PRODUTO-CADASTRO]]=CADASTRO_INSUMO_ESTOQUE[[#This Row],[CADASTRO_INSUMO_ESTOQUE]],IF(Tabela15[[#This Row],[SALDO]]&lt;=1000,"COMPRAR","OK"),8)</f>
        <v>COMPRAR</v>
      </c>
      <c r="I14" s="17">
        <f t="shared" si="1"/>
        <v>1</v>
      </c>
      <c r="L14" s="23">
        <v>6092021</v>
      </c>
      <c r="M14" s="6" t="s">
        <v>12</v>
      </c>
      <c r="N14" s="6" t="s">
        <v>86</v>
      </c>
      <c r="O14" s="6">
        <v>500</v>
      </c>
      <c r="P14" s="6" t="s">
        <v>11</v>
      </c>
      <c r="Y14" s="6" t="s">
        <v>85</v>
      </c>
    </row>
    <row r="15" spans="3:27" x14ac:dyDescent="0.25">
      <c r="C15" s="17" t="str">
        <f>CADASTRO_INSUMO_ESTOQUE[[#This Row],[CADASTRO_INSUMO_ESTOQUE]]</f>
        <v>GRANULADO PÉROLA BRANCO</v>
      </c>
      <c r="D15" s="17">
        <f>SUMIFS(LANÇAMENTO_ESTOQUE[QNT.],LANÇAMENTO_ESTOQUE[MOVIMENTAÇÃO],$D$5,LANÇAMENTO_ESTOQUE[INSUMOS],C15)</f>
        <v>500</v>
      </c>
      <c r="E15" s="17">
        <f>SUMIFS(LANÇAMENTO_ESTOQUE[QNT.],LANÇAMENTO_ESTOQUE[MOVIMENTAÇÃO],$E$5,LANÇAMENTO_ESTOQUE[INSUMOS],C15)</f>
        <v>0</v>
      </c>
      <c r="F15" s="17">
        <f t="shared" si="0"/>
        <v>500</v>
      </c>
      <c r="G15" s="17" t="s">
        <v>11</v>
      </c>
      <c r="H15" s="17" t="str">
        <f>IF(Tabela15[[#This Row],[PRODUTO-CADASTRO]]=CADASTRO_INSUMO_ESTOQUE[[#This Row],[CADASTRO_INSUMO_ESTOQUE]],IF(Tabela15[[#This Row],[SALDO]]&lt;=15,"COMPRAR","OK"),8)</f>
        <v>OK</v>
      </c>
      <c r="I15" s="17">
        <f t="shared" si="1"/>
        <v>0</v>
      </c>
      <c r="L15" s="23">
        <v>6092021</v>
      </c>
      <c r="M15" s="6" t="s">
        <v>12</v>
      </c>
      <c r="N15" s="6" t="s">
        <v>10</v>
      </c>
      <c r="O15" s="6">
        <v>5135</v>
      </c>
      <c r="P15" s="6" t="s">
        <v>11</v>
      </c>
      <c r="Y15" s="6" t="s">
        <v>86</v>
      </c>
    </row>
    <row r="16" spans="3:27" x14ac:dyDescent="0.25">
      <c r="C16" s="17" t="str">
        <f>CADASTRO_INSUMO_ESTOQUE[[#This Row],[CADASTRO_INSUMO_ESTOQUE]]</f>
        <v>GRANULADO TRADICIONAL</v>
      </c>
      <c r="D16" s="17">
        <f>SUMIFS(LANÇAMENTO_ESTOQUE[QNT.],LANÇAMENTO_ESTOQUE[MOVIMENTAÇÃO],$D$5,LANÇAMENTO_ESTOQUE[INSUMOS],C16)</f>
        <v>200</v>
      </c>
      <c r="E16" s="17">
        <f>SUMIFS(LANÇAMENTO_ESTOQUE[QNT.],LANÇAMENTO_ESTOQUE[MOVIMENTAÇÃO],$E$5,LANÇAMENTO_ESTOQUE[INSUMOS],C16)</f>
        <v>0</v>
      </c>
      <c r="F16" s="17">
        <f t="shared" si="0"/>
        <v>200</v>
      </c>
      <c r="G16" s="17" t="s">
        <v>11</v>
      </c>
      <c r="H16" s="17" t="str">
        <f>IF(Tabela15[[#This Row],[PRODUTO-CADASTRO]]=CADASTRO_INSUMO_ESTOQUE[[#This Row],[CADASTRO_INSUMO_ESTOQUE]],IF(Tabela15[[#This Row],[SALDO]]&lt;=15,"COMPRAR","OK"),8)</f>
        <v>OK</v>
      </c>
      <c r="I16" s="17">
        <f t="shared" si="1"/>
        <v>0</v>
      </c>
      <c r="L16" s="23">
        <v>6092021</v>
      </c>
      <c r="M16" s="6" t="s">
        <v>12</v>
      </c>
      <c r="N16" s="6" t="s">
        <v>24</v>
      </c>
      <c r="O16" s="6">
        <v>700</v>
      </c>
      <c r="P16" s="6" t="s">
        <v>25</v>
      </c>
      <c r="Y16" s="6" t="s">
        <v>19</v>
      </c>
    </row>
    <row r="17" spans="3:25" x14ac:dyDescent="0.25">
      <c r="C17" s="17" t="str">
        <f>CADASTRO_INSUMO_ESTOQUE[[#This Row],[CADASTRO_INSUMO_ESTOQUE]]</f>
        <v>JUTA</v>
      </c>
      <c r="D17" s="17">
        <f>SUMIFS(LANÇAMENTO_ESTOQUE[QNT.],LANÇAMENTO_ESTOQUE[MOVIMENTAÇÃO],$D$5,LANÇAMENTO_ESTOQUE[INSUMOS],C17)</f>
        <v>700</v>
      </c>
      <c r="E17" s="17">
        <f>SUMIFS(LANÇAMENTO_ESTOQUE[QNT.],LANÇAMENTO_ESTOQUE[MOVIMENTAÇÃO],$E$5,LANÇAMENTO_ESTOQUE[INSUMOS],C17)</f>
        <v>0</v>
      </c>
      <c r="F17" s="17">
        <f t="shared" si="0"/>
        <v>700</v>
      </c>
      <c r="G17" s="17" t="s">
        <v>25</v>
      </c>
      <c r="H17" s="17" t="str">
        <f>IF(Tabela15[[#This Row],[PRODUTO-CADASTRO]]=CADASTRO_INSUMO_ESTOQUE[[#This Row],[CADASTRO_INSUMO_ESTOQUE]],IF(Tabela15[[#This Row],[SALDO]]&lt;=15,"COMPRAR","OK"),8)</f>
        <v>OK</v>
      </c>
      <c r="I17" s="17">
        <f t="shared" si="1"/>
        <v>0</v>
      </c>
      <c r="L17" s="23">
        <v>6092021</v>
      </c>
      <c r="M17" s="6" t="s">
        <v>12</v>
      </c>
      <c r="N17" s="6" t="s">
        <v>15</v>
      </c>
      <c r="O17" s="6">
        <v>2600</v>
      </c>
      <c r="P17" s="6" t="s">
        <v>11</v>
      </c>
      <c r="Y17" s="6" t="s">
        <v>24</v>
      </c>
    </row>
    <row r="18" spans="3:25" x14ac:dyDescent="0.25">
      <c r="C18" s="17" t="str">
        <f>CADASTRO_INSUMO_ESTOQUE[[#This Row],[CADASTRO_INSUMO_ESTOQUE]]</f>
        <v>LEITE CONDENSADO</v>
      </c>
      <c r="D18" s="17">
        <f>SUMIFS(LANÇAMENTO_ESTOQUE[QNT.],LANÇAMENTO_ESTOQUE[MOVIMENTAÇÃO],$D$5,LANÇAMENTO_ESTOQUE[INSUMOS],C18)</f>
        <v>5135</v>
      </c>
      <c r="E18" s="17">
        <f>SUMIFS(LANÇAMENTO_ESTOQUE[QNT.],LANÇAMENTO_ESTOQUE[MOVIMENTAÇÃO],$E$5,LANÇAMENTO_ESTOQUE[INSUMOS],C18)</f>
        <v>0</v>
      </c>
      <c r="F18" s="17">
        <f t="shared" si="0"/>
        <v>5135</v>
      </c>
      <c r="G18" s="17" t="s">
        <v>11</v>
      </c>
      <c r="H18" s="17" t="str">
        <f>IF(Tabela15[[#This Row],[PRODUTO-CADASTRO]]=CADASTRO_INSUMO_ESTOQUE[[#This Row],[CADASTRO_INSUMO_ESTOQUE]],IF(Tabela15[[#This Row],[SALDO]]&lt;=15,"COMPRAR","OK"),8)</f>
        <v>OK</v>
      </c>
      <c r="I18" s="17">
        <f t="shared" si="1"/>
        <v>0</v>
      </c>
      <c r="L18" s="23">
        <v>6092021</v>
      </c>
      <c r="M18" s="6" t="s">
        <v>12</v>
      </c>
      <c r="N18" s="6" t="s">
        <v>83</v>
      </c>
      <c r="O18" s="6">
        <v>100</v>
      </c>
      <c r="P18" s="6" t="s">
        <v>25</v>
      </c>
      <c r="Y18" s="6" t="s">
        <v>10</v>
      </c>
    </row>
    <row r="19" spans="3:25" x14ac:dyDescent="0.25">
      <c r="C19" s="17" t="str">
        <f>CADASTRO_INSUMO_ESTOQUE[[#This Row],[CADASTRO_INSUMO_ESTOQUE]]</f>
        <v>LEITE EM PÓ</v>
      </c>
      <c r="D19" s="17">
        <f>SUMIFS(LANÇAMENTO_ESTOQUE[QNT.],LANÇAMENTO_ESTOQUE[MOVIMENTAÇÃO],$D$5,LANÇAMENTO_ESTOQUE[INSUMOS],C19)</f>
        <v>360</v>
      </c>
      <c r="E19" s="17">
        <f>SUMIFS(LANÇAMENTO_ESTOQUE[QNT.],LANÇAMENTO_ESTOQUE[MOVIMENTAÇÃO],$E$5,LANÇAMENTO_ESTOQUE[INSUMOS],C19)</f>
        <v>0</v>
      </c>
      <c r="F19" s="17">
        <f t="shared" si="0"/>
        <v>360</v>
      </c>
      <c r="G19" s="17" t="s">
        <v>11</v>
      </c>
      <c r="H19" s="17" t="str">
        <f>IF(Tabela15[[#This Row],[PRODUTO-CADASTRO]]=CADASTRO_INSUMO_ESTOQUE[[#This Row],[CADASTRO_INSUMO_ESTOQUE]],IF(Tabela15[[#This Row],[SALDO]]&lt;=15,"COMPRAR","OK"),8)</f>
        <v>OK</v>
      </c>
      <c r="I19" s="17">
        <f t="shared" si="1"/>
        <v>0</v>
      </c>
      <c r="Y19" s="6" t="s">
        <v>49</v>
      </c>
    </row>
    <row r="20" spans="3:25" x14ac:dyDescent="0.25">
      <c r="C20" s="17" t="str">
        <f>CADASTRO_INSUMO_ESTOQUE[[#This Row],[CADASTRO_INSUMO_ESTOQUE]]</f>
        <v>MANTEIGA</v>
      </c>
      <c r="D20" s="17">
        <f>SUMIFS(LANÇAMENTO_ESTOQUE[QNT.],LANÇAMENTO_ESTOQUE[MOVIMENTAÇÃO],$D$5,LANÇAMENTO_ESTOQUE[INSUMOS],C20)</f>
        <v>0</v>
      </c>
      <c r="E20" s="17">
        <f>SUMIFS(LANÇAMENTO_ESTOQUE[QNT.],LANÇAMENTO_ESTOQUE[MOVIMENTAÇÃO],$E$5,LANÇAMENTO_ESTOQUE[INSUMOS],C20)</f>
        <v>0</v>
      </c>
      <c r="F20" s="17">
        <f>D20-E20</f>
        <v>0</v>
      </c>
      <c r="G20" s="17" t="s">
        <v>11</v>
      </c>
      <c r="H20" s="17" t="str">
        <f>IF(Tabela15[[#This Row],[PRODUTO-CADASTRO]]=CADASTRO_INSUMO_ESTOQUE[[#This Row],[CADASTRO_INSUMO_ESTOQUE]],IF(Tabela15[[#This Row],[SALDO]]&lt;=15,"COMPRAR","OK"),8)</f>
        <v>COMPRAR</v>
      </c>
      <c r="I20" s="17">
        <f>IF(H20="COMPRAR",1,0)</f>
        <v>1</v>
      </c>
      <c r="Y20" s="6" t="s">
        <v>16</v>
      </c>
    </row>
    <row r="21" spans="3:25" x14ac:dyDescent="0.25">
      <c r="C21" s="17" t="str">
        <f>CADASTRO_INSUMO_ESTOQUE[[#This Row],[CADASTRO_INSUMO_ESTOQUE]]</f>
        <v>NESQUIK</v>
      </c>
      <c r="D21" s="17">
        <f>SUMIFS(LANÇAMENTO_ESTOQUE[QNT.],LANÇAMENTO_ESTOQUE[MOVIMENTAÇÃO],$D$5,LANÇAMENTO_ESTOQUE[INSUMOS],C21)</f>
        <v>380</v>
      </c>
      <c r="E21" s="17">
        <f>SUMIFS(LANÇAMENTO_ESTOQUE[QNT.],LANÇAMENTO_ESTOQUE[MOVIMENTAÇÃO],$E$5,LANÇAMENTO_ESTOQUE[INSUMOS],C21)</f>
        <v>0</v>
      </c>
      <c r="F21" s="17">
        <f>D21-E21</f>
        <v>380</v>
      </c>
      <c r="G21" s="17" t="s">
        <v>11</v>
      </c>
      <c r="H21" s="17" t="str">
        <f>IF(Tabela15[[#This Row],[PRODUTO-CADASTRO]]=CADASTRO_INSUMO_ESTOQUE[[#This Row],[CADASTRO_INSUMO_ESTOQUE]],IF(Tabela15[[#This Row],[SALDO]]&lt;=15,"COMPRAR","OK"),8)</f>
        <v>OK</v>
      </c>
      <c r="I21" s="17">
        <f>IF(H21="COMPRAR",1,0)</f>
        <v>0</v>
      </c>
      <c r="Y21" s="6" t="s">
        <v>82</v>
      </c>
    </row>
    <row r="22" spans="3:25" x14ac:dyDescent="0.25">
      <c r="C22" s="17" t="str">
        <f>CADASTRO_INSUMO_ESTOQUE[[#This Row],[CADASTRO_INSUMO_ESTOQUE]]</f>
        <v>PAÇOCA</v>
      </c>
      <c r="D22" s="17">
        <f>SUMIFS(LANÇAMENTO_ESTOQUE[QNT.],LANÇAMENTO_ESTOQUE[MOVIMENTAÇÃO],$D$5,LANÇAMENTO_ESTOQUE[INSUMOS],C22)</f>
        <v>49</v>
      </c>
      <c r="E22" s="17">
        <f>SUMIFS(LANÇAMENTO_ESTOQUE[QNT.],LANÇAMENTO_ESTOQUE[MOVIMENTAÇÃO],$E$5,LANÇAMENTO_ESTOQUE[INSUMOS],C22)</f>
        <v>0</v>
      </c>
      <c r="F22" s="17">
        <f>D22-E22</f>
        <v>49</v>
      </c>
      <c r="G22" s="17" t="s">
        <v>25</v>
      </c>
      <c r="H22" s="17" t="str">
        <f>IF(Tabela15[[#This Row],[PRODUTO-CADASTRO]]=CADASTRO_INSUMO_ESTOQUE[[#This Row],[CADASTRO_INSUMO_ESTOQUE]],IF(Tabela15[[#This Row],[SALDO]]&lt;=15,"COMPRAR","OK"),8)</f>
        <v>OK</v>
      </c>
      <c r="I22" s="17">
        <f>IF(H22="COMPRAR",1,0)</f>
        <v>0</v>
      </c>
      <c r="Y22" s="6" t="s">
        <v>46</v>
      </c>
    </row>
    <row r="23" spans="3:25" x14ac:dyDescent="0.25">
      <c r="C23" s="17" t="str">
        <f>CADASTRO_INSUMO_ESTOQUE[[#This Row],[CADASTRO_INSUMO_ESTOQUE]]</f>
        <v>PAPEL KRAFT (CARTÃO)</v>
      </c>
      <c r="D23" s="17">
        <f>SUMIFS(LANÇAMENTO_ESTOQUE[QNT.],LANÇAMENTO_ESTOQUE[MOVIMENTAÇÃO],$D$5,LANÇAMENTO_ESTOQUE[INSUMOS],C23)</f>
        <v>0</v>
      </c>
      <c r="E23" s="17">
        <f>SUMIFS(LANÇAMENTO_ESTOQUE[QNT.],LANÇAMENTO_ESTOQUE[MOVIMENTAÇÃO],$E$5,LANÇAMENTO_ESTOQUE[INSUMOS],C23)</f>
        <v>0</v>
      </c>
      <c r="F23" s="17">
        <f>D23-E23</f>
        <v>0</v>
      </c>
      <c r="G23" s="17" t="s">
        <v>25</v>
      </c>
      <c r="H23" s="17" t="str">
        <f>IF(Tabela15[[#This Row],[PRODUTO-CADASTRO]]=CADASTRO_INSUMO_ESTOQUE[[#This Row],[CADASTRO_INSUMO_ESTOQUE]],IF(Tabela15[[#This Row],[SALDO]]&lt;=15,"COMPRAR","OK"),8)</f>
        <v>COMPRAR</v>
      </c>
      <c r="I23" s="17">
        <f>IF(H23="COMPRAR",1,0)</f>
        <v>1</v>
      </c>
      <c r="Y23" s="6" t="s">
        <v>26</v>
      </c>
    </row>
    <row r="24" spans="3:25" x14ac:dyDescent="0.25">
      <c r="C24" s="31" t="str">
        <f>CADASTRO_INSUMO_ESTOQUE[[#This Row],[CADASTRO_INSUMO_ESTOQUE]]</f>
        <v>TINTA CARIMBO</v>
      </c>
      <c r="D24" s="31">
        <f>SUMIFS(LANÇAMENTO_ESTOQUE[QNT.],LANÇAMENTO_ESTOQUE[MOVIMENTAÇÃO],$D$5,LANÇAMENTO_ESTOQUE[INSUMOS],C24)</f>
        <v>0</v>
      </c>
      <c r="E24" s="31">
        <f>SUMIFS(LANÇAMENTO_ESTOQUE[QNT.],LANÇAMENTO_ESTOQUE[MOVIMENTAÇÃO],$E$5,LANÇAMENTO_ESTOQUE[INSUMOS],C24)</f>
        <v>0</v>
      </c>
      <c r="F24" s="31">
        <f>D24-E24</f>
        <v>0</v>
      </c>
      <c r="G24" s="31" t="s">
        <v>25</v>
      </c>
      <c r="H24" s="31" t="str">
        <f>IF(Tabela15[[#This Row],[PRODUTO-CADASTRO]]=CADASTRO_INSUMO_ESTOQUE[[#This Row],[CADASTRO_INSUMO_ESTOQUE]],IF(Tabela15[[#This Row],[SALDO]]&lt;=15,"COMPRAR","OK"),8)</f>
        <v>COMPRAR</v>
      </c>
      <c r="I24" s="31">
        <f>IF(H24="COMPRAR",1,0)</f>
        <v>1</v>
      </c>
      <c r="Y24" s="6" t="s">
        <v>71</v>
      </c>
    </row>
  </sheetData>
  <dataValidations count="3">
    <dataValidation type="list" allowBlank="1" showInputMessage="1" showErrorMessage="1" sqref="M6:M1048576" xr:uid="{1B37F097-33A3-46CD-BEFE-B40C62D9314B}">
      <formula1>INDIRECT("CADASTRO_MOVIMENTAÇÃO_ESTOQUE")</formula1>
    </dataValidation>
    <dataValidation type="list" allowBlank="1" showInputMessage="1" showErrorMessage="1" sqref="N6:N1048576 C6:C1048576" xr:uid="{0F90265D-C4FE-4EE0-A67B-F31949AC1B9B}">
      <formula1>INDIRECT("CADASTRO_INSUMO_ESTOQUE")</formula1>
    </dataValidation>
    <dataValidation type="list" allowBlank="1" showInputMessage="1" showErrorMessage="1" sqref="P6:P1048576 G6:G1048576" xr:uid="{23586ACC-327B-4586-8BDA-5D97080D8A04}">
      <formula1>INDIRECT("CADASTRO_UN_ESTOQUE")</formula1>
    </dataValidation>
  </dataValidations>
  <pageMargins left="0.511811024" right="0.511811024" top="0.78740157499999996" bottom="0.78740157499999996" header="0.31496062000000002" footer="0.31496062000000002"/>
  <drawing r:id="rId1"/>
  <tableParts count="5">
    <tablePart r:id="rId2"/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2B6349D7-0E2D-4F86-87E1-F315479A887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2"/>
              <x14:cfIcon iconSet="3Triangles" iconId="2"/>
              <x14:cfIcon iconSet="3Triangles" iconId="0"/>
            </x14:iconSet>
          </x14:cfRule>
          <xm:sqref>I6:I24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82340-916B-4392-A5FE-EF0A81534589}">
  <dimension ref="A1:AL271"/>
  <sheetViews>
    <sheetView showGridLines="0" showRowColHeaders="0" zoomScaleNormal="100" workbookViewId="0">
      <selection activeCell="K225" sqref="K225"/>
    </sheetView>
  </sheetViews>
  <sheetFormatPr defaultRowHeight="15" x14ac:dyDescent="0.25"/>
  <cols>
    <col min="1" max="1" width="19.42578125" style="5" customWidth="1"/>
    <col min="2" max="2" width="1.42578125" style="5" customWidth="1"/>
    <col min="3" max="3" width="14.7109375" style="5" customWidth="1"/>
    <col min="4" max="4" width="10.7109375" style="18" customWidth="1"/>
    <col min="5" max="5" width="15.7109375" style="24" customWidth="1"/>
    <col min="6" max="6" width="15.7109375" style="5" customWidth="1"/>
    <col min="7" max="8" width="0.85546875" style="5" customWidth="1"/>
    <col min="9" max="10" width="13.7109375" style="6" customWidth="1"/>
    <col min="11" max="11" width="24.28515625" style="6" customWidth="1"/>
    <col min="12" max="12" width="17.7109375" style="6" customWidth="1"/>
    <col min="13" max="13" width="10.7109375" style="6" customWidth="1"/>
    <col min="14" max="14" width="18.7109375" style="6" customWidth="1"/>
    <col min="15" max="15" width="21.140625" style="6" customWidth="1"/>
    <col min="16" max="16" width="14.85546875" style="24" customWidth="1"/>
    <col min="17" max="17" width="13.140625" style="6" customWidth="1"/>
    <col min="18" max="18" width="0" style="6" hidden="1" customWidth="1"/>
    <col min="19" max="19" width="9.140625" style="6"/>
    <col min="20" max="20" width="45.42578125" style="6" customWidth="1"/>
    <col min="21" max="21" width="11.140625" style="6" bestFit="1" customWidth="1"/>
    <col min="22" max="22" width="13.42578125" style="6" customWidth="1"/>
    <col min="23" max="23" width="1.7109375" style="6" customWidth="1"/>
    <col min="24" max="24" width="17.5703125" style="6" customWidth="1"/>
    <col min="25" max="25" width="21.85546875" style="6" customWidth="1"/>
    <col min="26" max="26" width="22.28515625" style="6" customWidth="1"/>
    <col min="27" max="27" width="1" style="6" customWidth="1"/>
    <col min="28" max="28" width="30.7109375" customWidth="1"/>
    <col min="29" max="29" width="1.140625" style="6" customWidth="1"/>
    <col min="30" max="30" width="27.42578125" style="6" customWidth="1"/>
    <col min="31" max="32" width="9.140625" style="6"/>
    <col min="33" max="33" width="12.7109375" style="6" bestFit="1" customWidth="1"/>
    <col min="34" max="34" width="9.140625" style="6"/>
    <col min="35" max="35" width="15.7109375" style="6" customWidth="1"/>
    <col min="36" max="36" width="12.85546875" style="6" customWidth="1"/>
    <col min="37" max="37" width="11.7109375" style="6" customWidth="1"/>
    <col min="38" max="38" width="11.85546875" style="6" customWidth="1"/>
    <col min="39" max="16384" width="9.140625" style="6"/>
  </cols>
  <sheetData>
    <row r="1" spans="1:38" s="10" customFormat="1" ht="36" customHeight="1" x14ac:dyDescent="0.25">
      <c r="A1" s="16"/>
      <c r="B1" s="16"/>
      <c r="C1" s="16"/>
      <c r="D1" s="16"/>
      <c r="E1" s="16"/>
      <c r="F1" s="16"/>
      <c r="G1" s="16"/>
      <c r="H1" s="16"/>
      <c r="AB1"/>
    </row>
    <row r="2" spans="1:38" ht="39.950000000000003" customHeight="1" x14ac:dyDescent="0.25">
      <c r="E2" s="5"/>
      <c r="I2" s="35"/>
      <c r="P2"/>
    </row>
    <row r="3" spans="1:38" x14ac:dyDescent="0.25">
      <c r="E3" s="5"/>
      <c r="I3" s="35"/>
      <c r="J3"/>
      <c r="K3"/>
      <c r="L3"/>
      <c r="M3"/>
      <c r="N3"/>
      <c r="O3"/>
      <c r="P3"/>
      <c r="Q3"/>
    </row>
    <row r="4" spans="1:38" ht="8.1" customHeight="1" x14ac:dyDescent="0.25">
      <c r="E4" s="5"/>
      <c r="P4"/>
    </row>
    <row r="5" spans="1:38" x14ac:dyDescent="0.25">
      <c r="C5" s="11" t="s">
        <v>3</v>
      </c>
      <c r="D5" s="19" t="s">
        <v>4</v>
      </c>
      <c r="E5" s="11" t="s">
        <v>34</v>
      </c>
      <c r="F5" s="11" t="s">
        <v>35</v>
      </c>
      <c r="I5" s="15" t="s">
        <v>0</v>
      </c>
      <c r="J5" s="15" t="s">
        <v>2</v>
      </c>
      <c r="K5" s="15" t="s">
        <v>1</v>
      </c>
      <c r="L5" s="15" t="s">
        <v>87</v>
      </c>
      <c r="M5" s="15" t="s">
        <v>4</v>
      </c>
      <c r="N5" s="15" t="s">
        <v>3</v>
      </c>
      <c r="O5" s="15" t="s">
        <v>72</v>
      </c>
      <c r="P5" s="15" t="s">
        <v>5</v>
      </c>
      <c r="Q5" s="15" t="s">
        <v>6</v>
      </c>
      <c r="R5" s="15" t="s">
        <v>102</v>
      </c>
      <c r="X5" s="6" t="s">
        <v>54</v>
      </c>
      <c r="Y5" t="s">
        <v>50</v>
      </c>
      <c r="Z5" s="6" t="s">
        <v>51</v>
      </c>
      <c r="AB5" t="s">
        <v>60</v>
      </c>
      <c r="AD5" s="6" t="s">
        <v>88</v>
      </c>
      <c r="AI5" s="6" t="s">
        <v>98</v>
      </c>
      <c r="AJ5" s="6" t="s">
        <v>99</v>
      </c>
      <c r="AK5" s="6" t="s">
        <v>100</v>
      </c>
      <c r="AL5" s="6" t="s">
        <v>101</v>
      </c>
    </row>
    <row r="6" spans="1:38" x14ac:dyDescent="0.25">
      <c r="C6" s="12" t="str">
        <f>CADASTRO_UNIDADE_VENDAS[[#This Row],[CADASTRO_UNIDADE]]</f>
        <v>CONST. UN</v>
      </c>
      <c r="D6" s="12">
        <f>SUMIFS(Tabela4[QNT],Tabela4[SITUAÇÃO],$V$10,Tabela4[PRODUTO],C6)</f>
        <v>0</v>
      </c>
      <c r="E6" s="26">
        <f>SUMIFS(Tabela4[VALOR],Tabela4[SITUAÇÃO],$V$6,Tabela4[PRODUTO],C6)</f>
        <v>0</v>
      </c>
      <c r="F6" s="13">
        <f>E6/$V$8</f>
        <v>0</v>
      </c>
      <c r="I6" s="33">
        <v>44439</v>
      </c>
      <c r="J6" s="6" t="s">
        <v>27</v>
      </c>
      <c r="K6" s="6" t="s">
        <v>171</v>
      </c>
      <c r="L6" s="6" t="s">
        <v>89</v>
      </c>
      <c r="M6" s="6">
        <v>1</v>
      </c>
      <c r="N6" s="6" t="s">
        <v>40</v>
      </c>
      <c r="O6" s="6" t="s">
        <v>91</v>
      </c>
      <c r="P6" s="24">
        <v>16.5</v>
      </c>
      <c r="Q6" s="6" t="s">
        <v>32</v>
      </c>
      <c r="R6" s="6" t="str">
        <f>TEXT(Tabela4[[#This Row],[DATA]],"MMM")</f>
        <v>ago</v>
      </c>
      <c r="V6" s="6" t="s">
        <v>32</v>
      </c>
      <c r="X6" s="6" t="s">
        <v>28</v>
      </c>
      <c r="Y6" t="s">
        <v>133</v>
      </c>
      <c r="Z6" s="6" t="s">
        <v>105</v>
      </c>
      <c r="AB6" t="s">
        <v>32</v>
      </c>
      <c r="AD6" s="6" t="s">
        <v>89</v>
      </c>
      <c r="AI6" s="34">
        <v>44197</v>
      </c>
      <c r="AL6" s="6">
        <f>AJ6-AK6</f>
        <v>0</v>
      </c>
    </row>
    <row r="7" spans="1:38" x14ac:dyDescent="0.25">
      <c r="C7" s="12" t="str">
        <f>CADASTRO_UNIDADE_VENDAS[[#This Row],[CADASTRO_UNIDADE]]</f>
        <v>CONSTELAÇÃO</v>
      </c>
      <c r="D7" s="12">
        <f>SUMIFS(Tabela4[QNT],Tabela4[SITUAÇÃO],$V$10,Tabela4[PRODUTO],C7)</f>
        <v>0</v>
      </c>
      <c r="E7" s="26">
        <f>SUMIFS(Tabela4[VALOR],Tabela4[SITUAÇÃO],$V$6,Tabela4[PRODUTO],C7)</f>
        <v>0</v>
      </c>
      <c r="F7" s="13">
        <f>E7/$V$8</f>
        <v>0</v>
      </c>
      <c r="I7" s="33">
        <v>44439</v>
      </c>
      <c r="J7" s="6" t="s">
        <v>27</v>
      </c>
      <c r="K7" s="6" t="s">
        <v>171</v>
      </c>
      <c r="L7" s="6" t="s">
        <v>89</v>
      </c>
      <c r="M7" s="6">
        <v>1</v>
      </c>
      <c r="N7" s="6" t="s">
        <v>40</v>
      </c>
      <c r="O7" s="6" t="s">
        <v>91</v>
      </c>
      <c r="P7" s="24">
        <v>16.5</v>
      </c>
      <c r="Q7" s="6" t="s">
        <v>32</v>
      </c>
      <c r="R7" s="6" t="str">
        <f>TEXT(Tabela4[[#This Row],[DATA]],"MMM")</f>
        <v>ago</v>
      </c>
      <c r="V7" s="6" t="s">
        <v>33</v>
      </c>
      <c r="X7" s="6" t="s">
        <v>27</v>
      </c>
      <c r="Y7" t="s">
        <v>122</v>
      </c>
      <c r="Z7" s="6" t="s">
        <v>141</v>
      </c>
      <c r="AB7" t="s">
        <v>33</v>
      </c>
      <c r="AD7" s="6" t="s">
        <v>90</v>
      </c>
      <c r="AI7" s="34">
        <v>44228</v>
      </c>
      <c r="AL7" s="6">
        <f t="shared" ref="AL7:AL17" si="0">AJ7-AK7</f>
        <v>0</v>
      </c>
    </row>
    <row r="8" spans="1:38" x14ac:dyDescent="0.25">
      <c r="C8" s="12" t="str">
        <f>CADASTRO_UNIDADE_VENDAS[[#This Row],[CADASTRO_UNIDADE]]</f>
        <v>CX. 4. UN</v>
      </c>
      <c r="D8" s="12">
        <f>SUMIFS(Tabela4[QNT],Tabela4[SITUAÇÃO],$V$10,Tabela4[PRODUTO],C8)</f>
        <v>0</v>
      </c>
      <c r="E8" s="26">
        <f>SUMIFS(Tabela4[VALOR],Tabela4[SITUAÇÃO],$V$6,Tabela4[PRODUTO],C8)</f>
        <v>0</v>
      </c>
      <c r="F8" s="13">
        <f>E8/$V$8</f>
        <v>0</v>
      </c>
      <c r="I8" s="33">
        <v>44439</v>
      </c>
      <c r="J8" s="6" t="s">
        <v>27</v>
      </c>
      <c r="K8" s="6" t="s">
        <v>171</v>
      </c>
      <c r="L8" s="6" t="s">
        <v>89</v>
      </c>
      <c r="M8" s="6">
        <v>1</v>
      </c>
      <c r="N8" s="6" t="s">
        <v>40</v>
      </c>
      <c r="O8" s="6" t="s">
        <v>91</v>
      </c>
      <c r="P8" s="24">
        <v>15</v>
      </c>
      <c r="Q8" s="6" t="s">
        <v>32</v>
      </c>
      <c r="R8" s="6" t="str">
        <f>TEXT(Tabela4[[#This Row],[DATA]],"MMM")</f>
        <v>ago</v>
      </c>
      <c r="U8" s="6" t="s">
        <v>42</v>
      </c>
      <c r="V8" s="25">
        <f>SUM(Tabela4[VALOR])</f>
        <v>1626.6</v>
      </c>
      <c r="Y8" t="s">
        <v>136</v>
      </c>
      <c r="Z8" s="6" t="s">
        <v>142</v>
      </c>
      <c r="AI8" s="34">
        <v>44256</v>
      </c>
      <c r="AL8" s="6">
        <f t="shared" si="0"/>
        <v>0</v>
      </c>
    </row>
    <row r="9" spans="1:38" x14ac:dyDescent="0.25">
      <c r="C9" s="12" t="str">
        <f>CADASTRO_UNIDADE_VENDAS[[#This Row],[CADASTRO_UNIDADE]]</f>
        <v>CX.10.UN</v>
      </c>
      <c r="D9" s="12">
        <f>SUMIFS(Tabela4[QNT],Tabela4[SITUAÇÃO],$V$10,Tabela4[PRODUTO],C9)</f>
        <v>98</v>
      </c>
      <c r="E9" s="26">
        <f>SUMIFS(Tabela4[VALOR],Tabela4[SITUAÇÃO],$V$6,Tabela4[PRODUTO],C9)</f>
        <v>1604</v>
      </c>
      <c r="F9" s="13">
        <f>E9/$V$8</f>
        <v>0.98610598795032589</v>
      </c>
      <c r="I9" s="33">
        <v>44439</v>
      </c>
      <c r="J9" s="6" t="s">
        <v>27</v>
      </c>
      <c r="K9" s="6" t="s">
        <v>171</v>
      </c>
      <c r="L9" s="6" t="s">
        <v>89</v>
      </c>
      <c r="M9" s="6">
        <v>2</v>
      </c>
      <c r="N9" s="6" t="s">
        <v>40</v>
      </c>
      <c r="O9" s="6" t="s">
        <v>91</v>
      </c>
      <c r="P9" s="24">
        <v>33</v>
      </c>
      <c r="Q9" s="6" t="s">
        <v>32</v>
      </c>
      <c r="R9" s="6" t="str">
        <f>TEXT(Tabela4[[#This Row],[DATA]],"MMM")</f>
        <v>ago</v>
      </c>
      <c r="Y9" t="s">
        <v>40</v>
      </c>
      <c r="Z9" s="6" t="s">
        <v>151</v>
      </c>
      <c r="AI9" s="34">
        <v>44287</v>
      </c>
      <c r="AL9" s="6">
        <f t="shared" si="0"/>
        <v>0</v>
      </c>
    </row>
    <row r="10" spans="1:38" x14ac:dyDescent="0.25">
      <c r="C10" s="12" t="str">
        <f>CADASTRO_UNIDADE_VENDAS[[#This Row],[CADASTRO_UNIDADE]]</f>
        <v>CX.12.UN</v>
      </c>
      <c r="D10" s="12">
        <f>SUMIFS(Tabela4[QNT],Tabela4[SITUAÇÃO],$V$10,Tabela4[PRODUTO],C10)</f>
        <v>0</v>
      </c>
      <c r="E10" s="26">
        <f>SUMIFS(Tabela4[VALOR],Tabela4[SITUAÇÃO],$V$6,Tabela4[PRODUTO],C10)</f>
        <v>0</v>
      </c>
      <c r="F10" s="13">
        <f t="shared" ref="F10:F13" si="1">E10/$V$8</f>
        <v>0</v>
      </c>
      <c r="I10" s="33">
        <v>44439</v>
      </c>
      <c r="J10" s="6" t="s">
        <v>27</v>
      </c>
      <c r="K10" s="6" t="s">
        <v>171</v>
      </c>
      <c r="L10" s="6" t="s">
        <v>89</v>
      </c>
      <c r="M10" s="6">
        <v>1</v>
      </c>
      <c r="N10" s="6" t="s">
        <v>40</v>
      </c>
      <c r="O10" s="6" t="s">
        <v>91</v>
      </c>
      <c r="P10" s="24">
        <v>16.5</v>
      </c>
      <c r="Q10" s="6" t="s">
        <v>32</v>
      </c>
      <c r="R10" s="6" t="str">
        <f>TEXT(Tabela4[[#This Row],[DATA]],"MMM")</f>
        <v>ago</v>
      </c>
      <c r="V10" s="6" t="s">
        <v>32</v>
      </c>
      <c r="Y10" t="s">
        <v>58</v>
      </c>
      <c r="Z10" s="6" t="s">
        <v>154</v>
      </c>
      <c r="AI10" s="34">
        <v>44317</v>
      </c>
      <c r="AL10" s="6">
        <f t="shared" si="0"/>
        <v>0</v>
      </c>
    </row>
    <row r="11" spans="1:38" x14ac:dyDescent="0.25">
      <c r="C11" s="12" t="str">
        <f>CADASTRO_UNIDADE_VENDAS[[#This Row],[CADASTRO_UNIDADE]]</f>
        <v>CX.6.UN</v>
      </c>
      <c r="D11" s="12">
        <f>SUMIFS(Tabela4[QNT],Tabela4[SITUAÇÃO],$V$10,Tabela4[PRODUTO],C11)</f>
        <v>1</v>
      </c>
      <c r="E11" s="26">
        <f>SUMIFS(Tabela4[VALOR],Tabela4[SITUAÇÃO],$V$6,Tabela4[PRODUTO],C11)</f>
        <v>9</v>
      </c>
      <c r="F11" s="13">
        <f t="shared" si="1"/>
        <v>5.5330136481003319E-3</v>
      </c>
      <c r="I11" s="33">
        <v>44439</v>
      </c>
      <c r="J11" s="6" t="s">
        <v>27</v>
      </c>
      <c r="K11" s="6" t="s">
        <v>171</v>
      </c>
      <c r="L11" s="6" t="s">
        <v>89</v>
      </c>
      <c r="M11" s="6">
        <v>1</v>
      </c>
      <c r="N11" s="6" t="s">
        <v>40</v>
      </c>
      <c r="O11" s="6" t="s">
        <v>91</v>
      </c>
      <c r="P11" s="24">
        <v>16.5</v>
      </c>
      <c r="Q11" s="6" t="s">
        <v>32</v>
      </c>
      <c r="R11" s="6" t="str">
        <f>TEXT(Tabela4[[#This Row],[DATA]],"MMM")</f>
        <v>ago</v>
      </c>
      <c r="V11" s="6" t="s">
        <v>33</v>
      </c>
      <c r="Y11" t="s">
        <v>44</v>
      </c>
      <c r="Z11" s="6" t="s">
        <v>59</v>
      </c>
      <c r="AI11" s="34">
        <v>44348</v>
      </c>
      <c r="AL11" s="6">
        <f t="shared" si="0"/>
        <v>0</v>
      </c>
    </row>
    <row r="12" spans="1:38" x14ac:dyDescent="0.25">
      <c r="C12" s="12" t="str">
        <f>CADASTRO_UNIDADE_VENDAS[[#This Row],[CADASTRO_UNIDADE]]</f>
        <v>NINH.UN</v>
      </c>
      <c r="D12" s="12">
        <f>SUMIFS(Tabela4[QNT],Tabela4[SITUAÇÃO],$V$10,Tabela4[PRODUTO],C12)</f>
        <v>12</v>
      </c>
      <c r="E12" s="26">
        <f>SUMIFS(Tabela4[VALOR],Tabela4[SITUAÇÃO],$V$6,Tabela4[PRODUTO],C12)</f>
        <v>13.6</v>
      </c>
      <c r="F12" s="13">
        <f t="shared" si="1"/>
        <v>8.3609984015738346E-3</v>
      </c>
      <c r="I12" s="33">
        <v>44439</v>
      </c>
      <c r="J12" s="6" t="s">
        <v>27</v>
      </c>
      <c r="K12" s="6" t="s">
        <v>171</v>
      </c>
      <c r="L12" s="6" t="s">
        <v>89</v>
      </c>
      <c r="M12" s="6">
        <v>1</v>
      </c>
      <c r="N12" s="6" t="s">
        <v>40</v>
      </c>
      <c r="O12" s="6" t="s">
        <v>91</v>
      </c>
      <c r="P12" s="24">
        <v>16.5</v>
      </c>
      <c r="Q12" s="6" t="s">
        <v>32</v>
      </c>
      <c r="R12" s="6" t="str">
        <f>TEXT(Tabela4[[#This Row],[DATA]],"MMM")</f>
        <v>ago</v>
      </c>
      <c r="U12" s="6" t="s">
        <v>52</v>
      </c>
      <c r="V12" s="6">
        <f>SUM(M6:M71)</f>
        <v>111</v>
      </c>
      <c r="Y12" t="s">
        <v>56</v>
      </c>
      <c r="Z12" s="6" t="s">
        <v>45</v>
      </c>
      <c r="AI12" s="34">
        <v>44378</v>
      </c>
      <c r="AL12" s="6">
        <f t="shared" si="0"/>
        <v>0</v>
      </c>
    </row>
    <row r="13" spans="1:38" x14ac:dyDescent="0.25">
      <c r="C13" s="12" t="str">
        <f>CADASTRO_UNIDADE_VENDAS[[#This Row],[CADASTRO_UNIDADE]]</f>
        <v>NUTEL.UN</v>
      </c>
      <c r="D13" s="12">
        <f>SUMIFS(Tabela4[QNT],Tabela4[SITUAÇÃO],$V$10,Tabela4[PRODUTO],C13)</f>
        <v>0</v>
      </c>
      <c r="E13" s="26">
        <f>SUMIFS(Tabela4[VALOR],Tabela4[SITUAÇÃO],$V$6,Tabela4[PRODUTO],C13)</f>
        <v>0</v>
      </c>
      <c r="F13" s="13">
        <f t="shared" si="1"/>
        <v>0</v>
      </c>
      <c r="I13" s="33">
        <v>44439</v>
      </c>
      <c r="J13" s="6" t="s">
        <v>27</v>
      </c>
      <c r="K13" s="6" t="s">
        <v>171</v>
      </c>
      <c r="L13" s="6" t="s">
        <v>89</v>
      </c>
      <c r="M13" s="6">
        <v>1</v>
      </c>
      <c r="N13" s="6" t="s">
        <v>40</v>
      </c>
      <c r="O13" s="6" t="s">
        <v>91</v>
      </c>
      <c r="P13" s="24">
        <v>16.5</v>
      </c>
      <c r="Q13" s="6" t="s">
        <v>32</v>
      </c>
      <c r="R13" s="6" t="str">
        <f>TEXT(Tabela4[[#This Row],[DATA]],"MMM")</f>
        <v>ago</v>
      </c>
      <c r="Y13" t="s">
        <v>57</v>
      </c>
      <c r="Z13" s="6" t="s">
        <v>61</v>
      </c>
      <c r="AG13" s="25"/>
      <c r="AI13" s="34">
        <v>44409</v>
      </c>
      <c r="AJ13" s="25">
        <f>SUM(E6:E71)</f>
        <v>1626.6</v>
      </c>
      <c r="AL13" s="6">
        <f t="shared" si="0"/>
        <v>1626.6</v>
      </c>
    </row>
    <row r="14" spans="1:38" x14ac:dyDescent="0.25">
      <c r="C14" s="12" t="str">
        <f>CADASTRO_UNIDADE_VENDAS[[#This Row],[CADASTRO_UNIDADE]]</f>
        <v>PAÇO.UN</v>
      </c>
      <c r="D14" s="12">
        <f>SUMIFS(Tabela4[QNT],Tabela4[SITUAÇÃO],$V$10,Tabela4[PRODUTO],C14)</f>
        <v>0</v>
      </c>
      <c r="E14" s="26">
        <f>SUMIFS(Tabela4[VALOR],Tabela4[SITUAÇÃO],$V$6,Tabela4[PRODUTO],C14)</f>
        <v>0</v>
      </c>
      <c r="F14" s="13">
        <f t="shared" ref="F14" si="2">E14/$V$8</f>
        <v>0</v>
      </c>
      <c r="I14" s="33">
        <v>44439</v>
      </c>
      <c r="J14" s="6" t="s">
        <v>27</v>
      </c>
      <c r="K14" s="6" t="s">
        <v>171</v>
      </c>
      <c r="L14" s="6" t="s">
        <v>89</v>
      </c>
      <c r="M14" s="6">
        <v>1</v>
      </c>
      <c r="N14" s="6" t="s">
        <v>40</v>
      </c>
      <c r="O14" s="6" t="s">
        <v>91</v>
      </c>
      <c r="P14" s="24">
        <v>20</v>
      </c>
      <c r="Q14" s="6" t="s">
        <v>32</v>
      </c>
      <c r="R14" s="6" t="str">
        <f>TEXT(Tabela4[[#This Row],[DATA]],"MMM")</f>
        <v>ago</v>
      </c>
      <c r="Y14" t="s">
        <v>55</v>
      </c>
      <c r="Z14" s="6" t="s">
        <v>140</v>
      </c>
      <c r="AI14" s="34">
        <v>44440</v>
      </c>
      <c r="AL14" s="6">
        <f t="shared" si="0"/>
        <v>0</v>
      </c>
    </row>
    <row r="15" spans="1:38" x14ac:dyDescent="0.25">
      <c r="C15" s="12" t="str">
        <f>CADASTRO_UNIDADE_VENDAS[[#This Row],[CADASTRO_UNIDADE]]</f>
        <v>SICILI. UN</v>
      </c>
      <c r="D15" s="12">
        <f>SUMIFS(Tabela4[QNT],Tabela4[SITUAÇÃO],$V$10,Tabela4[PRODUTO],C15)</f>
        <v>0</v>
      </c>
      <c r="E15" s="26">
        <f>SUMIFS(Tabela4[VALOR],Tabela4[SITUAÇÃO],$V$6,Tabela4[PRODUTO],C15)</f>
        <v>0</v>
      </c>
      <c r="F15" s="13">
        <f t="shared" ref="F15" si="3">E15/$V$8</f>
        <v>0</v>
      </c>
      <c r="I15" s="33">
        <v>44439</v>
      </c>
      <c r="J15" s="6" t="s">
        <v>27</v>
      </c>
      <c r="K15" s="6" t="s">
        <v>171</v>
      </c>
      <c r="L15" s="6" t="s">
        <v>89</v>
      </c>
      <c r="M15" s="6">
        <v>1</v>
      </c>
      <c r="N15" s="6" t="s">
        <v>40</v>
      </c>
      <c r="O15" s="6" t="s">
        <v>91</v>
      </c>
      <c r="P15" s="24">
        <v>15</v>
      </c>
      <c r="Q15" s="6" t="s">
        <v>32</v>
      </c>
      <c r="R15" s="6" t="str">
        <f>TEXT(Tabela4[[#This Row],[DATA]],"MMM")</f>
        <v>ago</v>
      </c>
      <c r="Y15" t="s">
        <v>150</v>
      </c>
      <c r="Z15" s="6" t="s">
        <v>158</v>
      </c>
      <c r="AI15" s="34">
        <v>44470</v>
      </c>
      <c r="AL15" s="6">
        <f t="shared" si="0"/>
        <v>0</v>
      </c>
    </row>
    <row r="16" spans="1:38" x14ac:dyDescent="0.25">
      <c r="C16" s="12" t="str">
        <f>CADASTRO_UNIDADE_VENDAS[[#This Row],[CADASTRO_UNIDADE]]</f>
        <v>TRAD.UN</v>
      </c>
      <c r="D16" s="12">
        <f>SUMIFS(Tabela4[QNT],Tabela4[SITUAÇÃO],$V$10,Tabela4[PRODUTO],C16)</f>
        <v>0</v>
      </c>
      <c r="E16" s="26">
        <f>SUMIFS(Tabela4[VALOR],Tabela4[SITUAÇÃO],$V$6,Tabela4[PRODUTO],C16)</f>
        <v>0</v>
      </c>
      <c r="F16" s="13">
        <f t="shared" ref="F16" si="4">E16/$V$8</f>
        <v>0</v>
      </c>
      <c r="I16" s="33">
        <v>44439</v>
      </c>
      <c r="J16" s="6" t="s">
        <v>27</v>
      </c>
      <c r="K16" s="6" t="s">
        <v>171</v>
      </c>
      <c r="L16" s="6" t="s">
        <v>89</v>
      </c>
      <c r="M16" s="6">
        <v>1</v>
      </c>
      <c r="N16" s="6" t="s">
        <v>40</v>
      </c>
      <c r="O16" s="6" t="s">
        <v>91</v>
      </c>
      <c r="P16" s="24">
        <v>15</v>
      </c>
      <c r="Q16" s="6" t="s">
        <v>32</v>
      </c>
      <c r="R16" s="6" t="str">
        <f>TEXT(Tabela4[[#This Row],[DATA]],"MMM")</f>
        <v>ago</v>
      </c>
      <c r="Y16" t="s">
        <v>53</v>
      </c>
      <c r="Z16" s="6" t="s">
        <v>156</v>
      </c>
      <c r="AI16" s="34">
        <v>44501</v>
      </c>
      <c r="AL16" s="6">
        <f t="shared" si="0"/>
        <v>0</v>
      </c>
    </row>
    <row r="17" spans="3:38" x14ac:dyDescent="0.25">
      <c r="C17"/>
      <c r="D17"/>
      <c r="E17"/>
      <c r="F17"/>
      <c r="I17" s="33">
        <v>44439</v>
      </c>
      <c r="J17" s="6" t="s">
        <v>27</v>
      </c>
      <c r="K17" s="6" t="s">
        <v>171</v>
      </c>
      <c r="L17" s="6" t="s">
        <v>90</v>
      </c>
      <c r="M17" s="6">
        <v>1</v>
      </c>
      <c r="N17" s="6" t="s">
        <v>40</v>
      </c>
      <c r="O17" s="6" t="s">
        <v>91</v>
      </c>
      <c r="P17" s="24">
        <v>16.5</v>
      </c>
      <c r="Q17" s="6" t="s">
        <v>32</v>
      </c>
      <c r="R17" s="6" t="str">
        <f>TEXT(Tabela4[[#This Row],[DATA]],"MMM")</f>
        <v>ago</v>
      </c>
      <c r="Y17"/>
      <c r="Z17" s="6" t="s">
        <v>152</v>
      </c>
      <c r="AI17" s="34">
        <v>44531</v>
      </c>
      <c r="AL17" s="6">
        <f t="shared" si="0"/>
        <v>0</v>
      </c>
    </row>
    <row r="18" spans="3:38" x14ac:dyDescent="0.25">
      <c r="I18" s="33">
        <v>44439</v>
      </c>
      <c r="J18" s="6" t="s">
        <v>27</v>
      </c>
      <c r="K18" s="6" t="s">
        <v>171</v>
      </c>
      <c r="L18" s="6" t="s">
        <v>89</v>
      </c>
      <c r="M18" s="6">
        <v>1</v>
      </c>
      <c r="N18" s="6" t="s">
        <v>40</v>
      </c>
      <c r="O18" s="6" t="s">
        <v>91</v>
      </c>
      <c r="P18" s="24">
        <v>15</v>
      </c>
      <c r="Q18" s="6" t="s">
        <v>32</v>
      </c>
      <c r="R18" s="6" t="str">
        <f>TEXT(Tabela4[[#This Row],[DATA]],"MMM")</f>
        <v>ago</v>
      </c>
      <c r="Z18" s="6" t="s">
        <v>92</v>
      </c>
    </row>
    <row r="19" spans="3:38" x14ac:dyDescent="0.25">
      <c r="I19" s="33">
        <v>44439</v>
      </c>
      <c r="J19" s="6" t="s">
        <v>27</v>
      </c>
      <c r="K19" s="6" t="s">
        <v>171</v>
      </c>
      <c r="L19" s="6" t="s">
        <v>89</v>
      </c>
      <c r="M19" s="6">
        <v>2</v>
      </c>
      <c r="N19" s="6" t="s">
        <v>40</v>
      </c>
      <c r="O19" s="6" t="s">
        <v>91</v>
      </c>
      <c r="P19" s="24">
        <v>32</v>
      </c>
      <c r="Q19" s="6" t="s">
        <v>32</v>
      </c>
      <c r="R19" s="6" t="str">
        <f>TEXT(Tabela4[[#This Row],[DATA]],"MMM")</f>
        <v>ago</v>
      </c>
      <c r="Z19" s="6" t="s">
        <v>155</v>
      </c>
    </row>
    <row r="20" spans="3:38" x14ac:dyDescent="0.25">
      <c r="I20" s="33">
        <v>44439</v>
      </c>
      <c r="J20" s="6" t="s">
        <v>27</v>
      </c>
      <c r="K20" s="6" t="s">
        <v>171</v>
      </c>
      <c r="M20" s="6">
        <v>1</v>
      </c>
      <c r="N20" s="6" t="s">
        <v>40</v>
      </c>
      <c r="O20" s="6" t="s">
        <v>91</v>
      </c>
      <c r="P20" s="24">
        <v>15</v>
      </c>
      <c r="Q20" s="6" t="s">
        <v>32</v>
      </c>
      <c r="R20" s="6" t="str">
        <f>TEXT(Tabela4[[#This Row],[DATA]],"MMM")</f>
        <v>ago</v>
      </c>
      <c r="Z20" s="6" t="s">
        <v>157</v>
      </c>
    </row>
    <row r="21" spans="3:38" x14ac:dyDescent="0.25">
      <c r="I21" s="33">
        <v>44439</v>
      </c>
      <c r="J21" s="6" t="s">
        <v>27</v>
      </c>
      <c r="K21" s="6" t="s">
        <v>171</v>
      </c>
      <c r="L21" s="6" t="s">
        <v>90</v>
      </c>
      <c r="M21" s="6">
        <v>1</v>
      </c>
      <c r="N21" s="6" t="s">
        <v>40</v>
      </c>
      <c r="O21" s="6" t="s">
        <v>91</v>
      </c>
      <c r="P21" s="24">
        <v>16.5</v>
      </c>
      <c r="Q21" s="6" t="s">
        <v>32</v>
      </c>
      <c r="R21" s="6" t="str">
        <f>TEXT(Tabela4[[#This Row],[DATA]],"MMM")</f>
        <v>ago</v>
      </c>
      <c r="Z21" s="6" t="s">
        <v>164</v>
      </c>
    </row>
    <row r="22" spans="3:38" x14ac:dyDescent="0.25">
      <c r="I22" s="33">
        <v>44439</v>
      </c>
      <c r="J22" s="6" t="s">
        <v>27</v>
      </c>
      <c r="K22" s="6" t="s">
        <v>171</v>
      </c>
      <c r="L22" s="6" t="s">
        <v>90</v>
      </c>
      <c r="M22" s="6">
        <v>1</v>
      </c>
      <c r="N22" s="6" t="s">
        <v>40</v>
      </c>
      <c r="O22" s="6" t="s">
        <v>91</v>
      </c>
      <c r="P22" s="24">
        <v>16.5</v>
      </c>
      <c r="Q22" s="6" t="s">
        <v>32</v>
      </c>
      <c r="R22" s="6" t="str">
        <f>TEXT(Tabela4[[#This Row],[DATA]],"MMM")</f>
        <v>ago</v>
      </c>
      <c r="Z22" s="6" t="s">
        <v>123</v>
      </c>
    </row>
    <row r="23" spans="3:38" x14ac:dyDescent="0.25">
      <c r="I23" s="33">
        <v>44439</v>
      </c>
      <c r="J23" s="6" t="s">
        <v>28</v>
      </c>
      <c r="K23" s="6" t="s">
        <v>171</v>
      </c>
      <c r="L23" s="6" t="s">
        <v>90</v>
      </c>
      <c r="M23" s="6">
        <v>2</v>
      </c>
      <c r="N23" s="6" t="s">
        <v>40</v>
      </c>
      <c r="O23" s="6" t="s">
        <v>91</v>
      </c>
      <c r="P23" s="24">
        <v>33</v>
      </c>
      <c r="Q23" s="6" t="s">
        <v>32</v>
      </c>
      <c r="R23" s="6" t="str">
        <f>TEXT(Tabela4[[#This Row],[DATA]],"MMM")</f>
        <v>ago</v>
      </c>
      <c r="Z23" s="6" t="s">
        <v>121</v>
      </c>
    </row>
    <row r="24" spans="3:38" x14ac:dyDescent="0.25">
      <c r="I24" s="33">
        <v>44439</v>
      </c>
      <c r="J24" s="6" t="s">
        <v>27</v>
      </c>
      <c r="K24" s="6" t="s">
        <v>171</v>
      </c>
      <c r="L24" s="6" t="s">
        <v>89</v>
      </c>
      <c r="M24" s="6">
        <v>1</v>
      </c>
      <c r="N24" s="6" t="s">
        <v>40</v>
      </c>
      <c r="O24" s="6" t="s">
        <v>91</v>
      </c>
      <c r="P24" s="24">
        <v>17</v>
      </c>
      <c r="Q24" s="6" t="s">
        <v>32</v>
      </c>
      <c r="R24" s="6" t="str">
        <f>TEXT(Tabela4[[#This Row],[DATA]],"MMM")</f>
        <v>ago</v>
      </c>
      <c r="Z24" s="6" t="s">
        <v>104</v>
      </c>
    </row>
    <row r="25" spans="3:38" x14ac:dyDescent="0.25">
      <c r="I25" s="33">
        <v>44439</v>
      </c>
      <c r="J25" s="6" t="s">
        <v>27</v>
      </c>
      <c r="K25" s="6" t="s">
        <v>171</v>
      </c>
      <c r="L25" s="6" t="s">
        <v>90</v>
      </c>
      <c r="M25" s="6">
        <v>1</v>
      </c>
      <c r="N25" s="6" t="s">
        <v>40</v>
      </c>
      <c r="O25" s="6" t="s">
        <v>91</v>
      </c>
      <c r="P25" s="24">
        <v>16.5</v>
      </c>
      <c r="Q25" s="6" t="s">
        <v>32</v>
      </c>
      <c r="R25" s="6" t="str">
        <f>TEXT(Tabela4[[#This Row],[DATA]],"MMM")</f>
        <v>ago</v>
      </c>
      <c r="Z25" s="6" t="s">
        <v>139</v>
      </c>
    </row>
    <row r="26" spans="3:38" x14ac:dyDescent="0.25">
      <c r="I26" s="33">
        <v>44439</v>
      </c>
      <c r="J26" s="6" t="s">
        <v>27</v>
      </c>
      <c r="K26" s="6" t="s">
        <v>171</v>
      </c>
      <c r="L26" s="6" t="s">
        <v>90</v>
      </c>
      <c r="M26" s="6">
        <v>8</v>
      </c>
      <c r="N26" s="6" t="s">
        <v>40</v>
      </c>
      <c r="O26" s="6" t="s">
        <v>91</v>
      </c>
      <c r="P26" s="24">
        <v>132</v>
      </c>
      <c r="Q26" s="6" t="s">
        <v>32</v>
      </c>
      <c r="R26" s="6" t="str">
        <f>TEXT(Tabela4[[#This Row],[DATA]],"MMM")</f>
        <v>ago</v>
      </c>
      <c r="Z26" s="6" t="s">
        <v>139</v>
      </c>
    </row>
    <row r="27" spans="3:38" x14ac:dyDescent="0.25">
      <c r="I27" s="33">
        <v>44439</v>
      </c>
      <c r="J27" s="6" t="s">
        <v>27</v>
      </c>
      <c r="K27" s="6" t="s">
        <v>171</v>
      </c>
      <c r="L27" s="6" t="s">
        <v>89</v>
      </c>
      <c r="M27" s="6">
        <v>3</v>
      </c>
      <c r="N27" s="6" t="s">
        <v>40</v>
      </c>
      <c r="O27" s="6" t="s">
        <v>91</v>
      </c>
      <c r="P27" s="24">
        <v>49.5</v>
      </c>
      <c r="Q27" s="6" t="s">
        <v>32</v>
      </c>
      <c r="R27" s="6" t="str">
        <f>TEXT(Tabela4[[#This Row],[DATA]],"MMM")</f>
        <v>ago</v>
      </c>
      <c r="Z27" s="6" t="s">
        <v>103</v>
      </c>
    </row>
    <row r="28" spans="3:38" x14ac:dyDescent="0.25">
      <c r="F28" s="25"/>
      <c r="I28" s="33">
        <v>44439</v>
      </c>
      <c r="J28" s="6" t="s">
        <v>27</v>
      </c>
      <c r="K28" s="6" t="s">
        <v>171</v>
      </c>
      <c r="L28" s="6" t="s">
        <v>89</v>
      </c>
      <c r="M28" s="6">
        <v>1</v>
      </c>
      <c r="N28" s="6" t="s">
        <v>40</v>
      </c>
      <c r="O28" s="6" t="s">
        <v>91</v>
      </c>
      <c r="P28" s="24">
        <v>16.5</v>
      </c>
      <c r="Q28" s="6" t="s">
        <v>32</v>
      </c>
      <c r="R28" s="6" t="str">
        <f>TEXT(Tabela4[[#This Row],[DATA]],"MMM")</f>
        <v>ago</v>
      </c>
      <c r="Z28" s="6" t="s">
        <v>91</v>
      </c>
    </row>
    <row r="29" spans="3:38" x14ac:dyDescent="0.25">
      <c r="I29" s="33">
        <v>44439</v>
      </c>
      <c r="J29" s="6" t="s">
        <v>27</v>
      </c>
      <c r="K29" s="6" t="s">
        <v>171</v>
      </c>
      <c r="L29" s="6" t="s">
        <v>89</v>
      </c>
      <c r="M29" s="6">
        <v>2</v>
      </c>
      <c r="N29" s="6" t="s">
        <v>40</v>
      </c>
      <c r="O29" s="6" t="s">
        <v>91</v>
      </c>
      <c r="P29" s="24">
        <v>33</v>
      </c>
      <c r="Q29" s="6" t="s">
        <v>32</v>
      </c>
      <c r="R29" s="6" t="str">
        <f>TEXT(Tabela4[[#This Row],[DATA]],"MMM")</f>
        <v>ago</v>
      </c>
    </row>
    <row r="30" spans="3:38" x14ac:dyDescent="0.25">
      <c r="I30" s="33">
        <v>44439</v>
      </c>
      <c r="J30" s="6" t="s">
        <v>27</v>
      </c>
      <c r="K30" s="6" t="s">
        <v>171</v>
      </c>
      <c r="L30" s="6" t="s">
        <v>89</v>
      </c>
      <c r="M30" s="6">
        <v>1</v>
      </c>
      <c r="N30" s="6" t="s">
        <v>40</v>
      </c>
      <c r="O30" s="6" t="s">
        <v>91</v>
      </c>
      <c r="P30" s="24">
        <v>16.5</v>
      </c>
      <c r="Q30" s="6" t="s">
        <v>32</v>
      </c>
      <c r="R30" s="6" t="str">
        <f>TEXT(Tabela4[[#This Row],[DATA]],"MMM")</f>
        <v>ago</v>
      </c>
    </row>
    <row r="31" spans="3:38" x14ac:dyDescent="0.25">
      <c r="I31" s="33">
        <v>44439</v>
      </c>
      <c r="J31" s="6" t="s">
        <v>27</v>
      </c>
      <c r="K31" s="6" t="s">
        <v>171</v>
      </c>
      <c r="L31" s="6" t="s">
        <v>89</v>
      </c>
      <c r="M31" s="6">
        <v>1</v>
      </c>
      <c r="N31" s="6" t="s">
        <v>40</v>
      </c>
      <c r="O31" s="6" t="s">
        <v>91</v>
      </c>
      <c r="P31" s="24">
        <v>16.5</v>
      </c>
      <c r="Q31" s="6" t="s">
        <v>32</v>
      </c>
      <c r="R31" s="6" t="str">
        <f>TEXT(Tabela4[[#This Row],[DATA]],"MMM")</f>
        <v>ago</v>
      </c>
    </row>
    <row r="32" spans="3:38" x14ac:dyDescent="0.25">
      <c r="I32" s="33">
        <v>44439</v>
      </c>
      <c r="J32" s="6" t="s">
        <v>27</v>
      </c>
      <c r="K32" s="6" t="s">
        <v>171</v>
      </c>
      <c r="L32" s="6" t="s">
        <v>89</v>
      </c>
      <c r="M32" s="6">
        <v>1</v>
      </c>
      <c r="N32" s="6" t="s">
        <v>40</v>
      </c>
      <c r="O32" s="6" t="s">
        <v>91</v>
      </c>
      <c r="P32" s="24">
        <v>16.5</v>
      </c>
      <c r="Q32" s="6" t="s">
        <v>32</v>
      </c>
      <c r="R32" s="6" t="str">
        <f>TEXT(Tabela4[[#This Row],[DATA]],"MMM")</f>
        <v>ago</v>
      </c>
    </row>
    <row r="33" spans="9:18" x14ac:dyDescent="0.25">
      <c r="I33" s="33">
        <v>44439</v>
      </c>
      <c r="J33" s="6" t="s">
        <v>27</v>
      </c>
      <c r="K33" s="6" t="s">
        <v>171</v>
      </c>
      <c r="L33" s="6" t="s">
        <v>89</v>
      </c>
      <c r="M33" s="6">
        <v>1</v>
      </c>
      <c r="N33" s="6" t="s">
        <v>40</v>
      </c>
      <c r="O33" s="6" t="s">
        <v>91</v>
      </c>
      <c r="P33" s="24">
        <v>16.5</v>
      </c>
      <c r="Q33" s="6" t="s">
        <v>32</v>
      </c>
      <c r="R33" s="6" t="str">
        <f>TEXT(Tabela4[[#This Row],[DATA]],"MMM")</f>
        <v>ago</v>
      </c>
    </row>
    <row r="34" spans="9:18" x14ac:dyDescent="0.25">
      <c r="I34" s="33">
        <v>44439</v>
      </c>
      <c r="J34" s="6" t="s">
        <v>27</v>
      </c>
      <c r="K34" s="6" t="s">
        <v>171</v>
      </c>
      <c r="L34" s="6" t="s">
        <v>90</v>
      </c>
      <c r="M34" s="6">
        <v>2</v>
      </c>
      <c r="N34" s="6" t="s">
        <v>40</v>
      </c>
      <c r="O34" s="6" t="s">
        <v>91</v>
      </c>
      <c r="P34" s="24">
        <v>33</v>
      </c>
      <c r="Q34" s="6" t="s">
        <v>32</v>
      </c>
      <c r="R34" s="6" t="str">
        <f>TEXT(Tabela4[[#This Row],[DATA]],"MMM")</f>
        <v>ago</v>
      </c>
    </row>
    <row r="35" spans="9:18" x14ac:dyDescent="0.25">
      <c r="I35" s="33">
        <v>44439</v>
      </c>
      <c r="J35" s="6" t="s">
        <v>27</v>
      </c>
      <c r="K35" s="6" t="s">
        <v>171</v>
      </c>
      <c r="L35" s="6" t="s">
        <v>90</v>
      </c>
      <c r="M35" s="6">
        <v>1</v>
      </c>
      <c r="N35" s="6" t="s">
        <v>40</v>
      </c>
      <c r="O35" s="6" t="s">
        <v>91</v>
      </c>
      <c r="P35" s="24">
        <v>12.5</v>
      </c>
      <c r="Q35" s="6" t="s">
        <v>32</v>
      </c>
      <c r="R35" s="6" t="str">
        <f>TEXT(Tabela4[[#This Row],[DATA]],"MMM")</f>
        <v>ago</v>
      </c>
    </row>
    <row r="36" spans="9:18" x14ac:dyDescent="0.25">
      <c r="I36" s="33">
        <v>44439</v>
      </c>
      <c r="J36" s="6" t="s">
        <v>27</v>
      </c>
      <c r="K36" s="6" t="s">
        <v>171</v>
      </c>
      <c r="L36" s="6" t="s">
        <v>90</v>
      </c>
      <c r="M36" s="6">
        <v>6</v>
      </c>
      <c r="N36" s="6" t="s">
        <v>40</v>
      </c>
      <c r="O36" s="6" t="s">
        <v>91</v>
      </c>
      <c r="P36" s="24">
        <v>99</v>
      </c>
      <c r="Q36" s="6" t="s">
        <v>32</v>
      </c>
      <c r="R36" s="6" t="str">
        <f>TEXT(Tabela4[[#This Row],[DATA]],"MMM")</f>
        <v>ago</v>
      </c>
    </row>
    <row r="37" spans="9:18" x14ac:dyDescent="0.25">
      <c r="I37" s="33">
        <v>44439</v>
      </c>
      <c r="J37" s="6" t="s">
        <v>27</v>
      </c>
      <c r="K37" s="6" t="s">
        <v>171</v>
      </c>
      <c r="L37" s="6" t="s">
        <v>89</v>
      </c>
      <c r="M37" s="6">
        <v>1</v>
      </c>
      <c r="N37" s="6" t="s">
        <v>40</v>
      </c>
      <c r="O37" s="6" t="s">
        <v>91</v>
      </c>
      <c r="P37" s="24">
        <v>16.5</v>
      </c>
      <c r="Q37" s="6" t="s">
        <v>32</v>
      </c>
      <c r="R37" s="6" t="str">
        <f>TEXT(Tabela4[[#This Row],[DATA]],"MMM")</f>
        <v>ago</v>
      </c>
    </row>
    <row r="38" spans="9:18" x14ac:dyDescent="0.25">
      <c r="I38" s="33">
        <v>44439</v>
      </c>
      <c r="J38" s="6" t="s">
        <v>27</v>
      </c>
      <c r="K38" s="6" t="s">
        <v>171</v>
      </c>
      <c r="L38" s="6" t="s">
        <v>89</v>
      </c>
      <c r="M38" s="6">
        <v>1</v>
      </c>
      <c r="N38" s="6" t="s">
        <v>40</v>
      </c>
      <c r="O38" s="6" t="s">
        <v>91</v>
      </c>
      <c r="P38" s="24">
        <v>16.5</v>
      </c>
      <c r="Q38" s="6" t="s">
        <v>32</v>
      </c>
      <c r="R38" s="6" t="str">
        <f>TEXT(Tabela4[[#This Row],[DATA]],"MMM")</f>
        <v>ago</v>
      </c>
    </row>
    <row r="39" spans="9:18" x14ac:dyDescent="0.25">
      <c r="I39" s="33">
        <v>44439</v>
      </c>
      <c r="J39" s="6" t="s">
        <v>27</v>
      </c>
      <c r="K39" s="6" t="s">
        <v>171</v>
      </c>
      <c r="L39" s="6" t="s">
        <v>89</v>
      </c>
      <c r="M39" s="6">
        <v>1</v>
      </c>
      <c r="N39" s="6" t="s">
        <v>40</v>
      </c>
      <c r="O39" s="6" t="s">
        <v>91</v>
      </c>
      <c r="P39" s="24">
        <v>16.5</v>
      </c>
      <c r="Q39" s="6" t="s">
        <v>32</v>
      </c>
      <c r="R39" s="6" t="str">
        <f>TEXT(Tabela4[[#This Row],[DATA]],"MMM")</f>
        <v>ago</v>
      </c>
    </row>
    <row r="40" spans="9:18" x14ac:dyDescent="0.25">
      <c r="I40" s="33">
        <v>44439</v>
      </c>
      <c r="J40" s="6" t="s">
        <v>27</v>
      </c>
      <c r="K40" s="6" t="s">
        <v>171</v>
      </c>
      <c r="L40" s="6" t="s">
        <v>90</v>
      </c>
      <c r="M40" s="6">
        <v>1</v>
      </c>
      <c r="N40" s="6" t="s">
        <v>40</v>
      </c>
      <c r="O40" s="6" t="s">
        <v>91</v>
      </c>
      <c r="P40" s="24">
        <v>16.5</v>
      </c>
      <c r="Q40" s="6" t="s">
        <v>32</v>
      </c>
      <c r="R40" s="6" t="str">
        <f>TEXT(Tabela4[[#This Row],[DATA]],"MMM")</f>
        <v>ago</v>
      </c>
    </row>
    <row r="41" spans="9:18" x14ac:dyDescent="0.25">
      <c r="I41" s="33">
        <v>44439</v>
      </c>
      <c r="J41" s="6" t="s">
        <v>27</v>
      </c>
      <c r="K41" s="6" t="s">
        <v>171</v>
      </c>
      <c r="L41" s="6" t="s">
        <v>89</v>
      </c>
      <c r="M41" s="6">
        <v>1</v>
      </c>
      <c r="N41" s="6" t="s">
        <v>40</v>
      </c>
      <c r="O41" s="6" t="s">
        <v>91</v>
      </c>
      <c r="P41" s="24">
        <v>14</v>
      </c>
      <c r="Q41" s="6" t="s">
        <v>32</v>
      </c>
      <c r="R41" s="6" t="str">
        <f>TEXT(Tabela4[[#This Row],[DATA]],"MMM")</f>
        <v>ago</v>
      </c>
    </row>
    <row r="42" spans="9:18" x14ac:dyDescent="0.25">
      <c r="I42" s="33">
        <v>44439</v>
      </c>
      <c r="J42" s="6" t="s">
        <v>27</v>
      </c>
      <c r="K42" s="6" t="s">
        <v>171</v>
      </c>
      <c r="L42" s="6" t="s">
        <v>90</v>
      </c>
      <c r="M42" s="6">
        <v>1</v>
      </c>
      <c r="N42" s="6" t="s">
        <v>40</v>
      </c>
      <c r="O42" s="6" t="s">
        <v>91</v>
      </c>
      <c r="P42" s="24">
        <v>16</v>
      </c>
      <c r="Q42" s="6" t="s">
        <v>32</v>
      </c>
      <c r="R42" s="6" t="str">
        <f>TEXT(Tabela4[[#This Row],[DATA]],"MMM")</f>
        <v>ago</v>
      </c>
    </row>
    <row r="43" spans="9:18" x14ac:dyDescent="0.25">
      <c r="I43" s="33">
        <v>44439</v>
      </c>
      <c r="J43" s="6" t="s">
        <v>27</v>
      </c>
      <c r="K43" s="6" t="s">
        <v>171</v>
      </c>
      <c r="L43" s="6" t="s">
        <v>89</v>
      </c>
      <c r="M43" s="6">
        <v>1</v>
      </c>
      <c r="N43" s="6" t="s">
        <v>40</v>
      </c>
      <c r="O43" s="6" t="s">
        <v>91</v>
      </c>
      <c r="P43" s="24">
        <v>15</v>
      </c>
      <c r="Q43" s="6" t="s">
        <v>32</v>
      </c>
      <c r="R43" s="6" t="str">
        <f>TEXT(Tabela4[[#This Row],[DATA]],"MMM")</f>
        <v>ago</v>
      </c>
    </row>
    <row r="44" spans="9:18" x14ac:dyDescent="0.25">
      <c r="I44" s="33">
        <v>44439</v>
      </c>
      <c r="J44" s="6" t="s">
        <v>27</v>
      </c>
      <c r="K44" s="6" t="s">
        <v>171</v>
      </c>
      <c r="L44" s="6" t="s">
        <v>89</v>
      </c>
      <c r="M44" s="6">
        <v>1</v>
      </c>
      <c r="N44" s="6" t="s">
        <v>40</v>
      </c>
      <c r="O44" s="6" t="s">
        <v>91</v>
      </c>
      <c r="P44" s="24">
        <v>16.5</v>
      </c>
      <c r="Q44" s="6" t="s">
        <v>32</v>
      </c>
      <c r="R44" s="6" t="str">
        <f>TEXT(Tabela4[[#This Row],[DATA]],"MMM")</f>
        <v>ago</v>
      </c>
    </row>
    <row r="45" spans="9:18" x14ac:dyDescent="0.25">
      <c r="I45" s="33">
        <v>44439</v>
      </c>
      <c r="J45" s="6" t="s">
        <v>27</v>
      </c>
      <c r="K45" s="6" t="s">
        <v>171</v>
      </c>
      <c r="L45" s="6" t="s">
        <v>89</v>
      </c>
      <c r="M45" s="6">
        <v>2</v>
      </c>
      <c r="N45" s="6" t="s">
        <v>40</v>
      </c>
      <c r="O45" s="6" t="s">
        <v>91</v>
      </c>
      <c r="P45" s="24">
        <v>33</v>
      </c>
      <c r="Q45" s="6" t="s">
        <v>32</v>
      </c>
      <c r="R45" s="6" t="str">
        <f>TEXT(Tabela4[[#This Row],[DATA]],"MMM")</f>
        <v>ago</v>
      </c>
    </row>
    <row r="46" spans="9:18" x14ac:dyDescent="0.25">
      <c r="I46" s="33">
        <v>44439</v>
      </c>
      <c r="J46" s="6" t="s">
        <v>27</v>
      </c>
      <c r="K46" s="6" t="s">
        <v>171</v>
      </c>
      <c r="L46" s="6" t="s">
        <v>89</v>
      </c>
      <c r="M46" s="6">
        <v>12</v>
      </c>
      <c r="N46" s="6" t="s">
        <v>56</v>
      </c>
      <c r="O46" s="6" t="s">
        <v>92</v>
      </c>
      <c r="P46" s="24">
        <v>13.6</v>
      </c>
      <c r="Q46" s="6" t="s">
        <v>32</v>
      </c>
      <c r="R46" s="6" t="str">
        <f>TEXT(Tabela4[[#This Row],[DATA]],"MMM")</f>
        <v>ago</v>
      </c>
    </row>
    <row r="47" spans="9:18" x14ac:dyDescent="0.25">
      <c r="I47" s="33">
        <v>44439</v>
      </c>
      <c r="J47" s="6" t="s">
        <v>27</v>
      </c>
      <c r="K47" s="6" t="s">
        <v>171</v>
      </c>
      <c r="L47" s="6" t="s">
        <v>89</v>
      </c>
      <c r="M47" s="6">
        <v>1</v>
      </c>
      <c r="N47" s="6" t="s">
        <v>40</v>
      </c>
      <c r="O47" s="6" t="s">
        <v>91</v>
      </c>
      <c r="P47" s="24">
        <v>16.5</v>
      </c>
      <c r="Q47" s="6" t="s">
        <v>32</v>
      </c>
      <c r="R47" s="6" t="str">
        <f>TEXT(Tabela4[[#This Row],[DATA]],"MMM")</f>
        <v>ago</v>
      </c>
    </row>
    <row r="48" spans="9:18" x14ac:dyDescent="0.25">
      <c r="I48" s="33">
        <v>44439</v>
      </c>
      <c r="J48" s="6" t="s">
        <v>27</v>
      </c>
      <c r="K48" s="6" t="s">
        <v>171</v>
      </c>
      <c r="L48" s="6" t="s">
        <v>89</v>
      </c>
      <c r="M48" s="6">
        <v>1</v>
      </c>
      <c r="N48" s="6" t="s">
        <v>40</v>
      </c>
      <c r="O48" s="6" t="s">
        <v>91</v>
      </c>
      <c r="P48" s="24">
        <v>16.5</v>
      </c>
      <c r="Q48" s="6" t="s">
        <v>32</v>
      </c>
      <c r="R48" s="6" t="str">
        <f>TEXT(Tabela4[[#This Row],[DATA]],"MMM")</f>
        <v>ago</v>
      </c>
    </row>
    <row r="49" spans="9:18" x14ac:dyDescent="0.25">
      <c r="I49" s="33">
        <v>44439</v>
      </c>
      <c r="J49" s="6" t="s">
        <v>27</v>
      </c>
      <c r="K49" s="6" t="s">
        <v>171</v>
      </c>
      <c r="L49" s="6" t="s">
        <v>89</v>
      </c>
      <c r="M49" s="6">
        <v>1</v>
      </c>
      <c r="N49" s="6" t="s">
        <v>40</v>
      </c>
      <c r="O49" s="6" t="s">
        <v>91</v>
      </c>
      <c r="P49" s="24">
        <v>16.5</v>
      </c>
      <c r="Q49" s="6" t="s">
        <v>32</v>
      </c>
      <c r="R49" s="6" t="str">
        <f>TEXT(Tabela4[[#This Row],[DATA]],"MMM")</f>
        <v>ago</v>
      </c>
    </row>
    <row r="50" spans="9:18" x14ac:dyDescent="0.25">
      <c r="I50" s="33">
        <v>44439</v>
      </c>
      <c r="J50" s="6" t="s">
        <v>27</v>
      </c>
      <c r="K50" s="6" t="s">
        <v>171</v>
      </c>
      <c r="L50" s="6" t="s">
        <v>89</v>
      </c>
      <c r="M50" s="6">
        <v>2</v>
      </c>
      <c r="N50" s="6" t="s">
        <v>40</v>
      </c>
      <c r="O50" s="6" t="s">
        <v>91</v>
      </c>
      <c r="P50" s="24">
        <v>33</v>
      </c>
      <c r="Q50" s="6" t="s">
        <v>32</v>
      </c>
      <c r="R50" s="6" t="str">
        <f>TEXT(Tabela4[[#This Row],[DATA]],"MMM")</f>
        <v>ago</v>
      </c>
    </row>
    <row r="51" spans="9:18" x14ac:dyDescent="0.25">
      <c r="I51" s="33">
        <v>44439</v>
      </c>
      <c r="J51" s="6" t="s">
        <v>27</v>
      </c>
      <c r="K51" s="6" t="s">
        <v>171</v>
      </c>
      <c r="L51" s="6" t="s">
        <v>89</v>
      </c>
      <c r="M51" s="6">
        <v>1</v>
      </c>
      <c r="N51" s="6" t="s">
        <v>40</v>
      </c>
      <c r="O51" s="6" t="s">
        <v>91</v>
      </c>
      <c r="P51" s="24">
        <v>16.5</v>
      </c>
      <c r="Q51" s="6" t="s">
        <v>32</v>
      </c>
      <c r="R51" s="6" t="str">
        <f>TEXT(Tabela4[[#This Row],[DATA]],"MMM")</f>
        <v>ago</v>
      </c>
    </row>
    <row r="52" spans="9:18" x14ac:dyDescent="0.25">
      <c r="I52" s="33">
        <v>44439</v>
      </c>
      <c r="J52" s="6" t="s">
        <v>27</v>
      </c>
      <c r="K52" s="6" t="s">
        <v>171</v>
      </c>
      <c r="L52" s="6" t="s">
        <v>89</v>
      </c>
      <c r="M52" s="6">
        <v>1</v>
      </c>
      <c r="N52" s="6" t="s">
        <v>40</v>
      </c>
      <c r="O52" s="6" t="s">
        <v>91</v>
      </c>
      <c r="P52" s="24">
        <v>16.5</v>
      </c>
      <c r="Q52" s="6" t="s">
        <v>32</v>
      </c>
      <c r="R52" s="6" t="str">
        <f>TEXT(Tabela4[[#This Row],[DATA]],"MMM")</f>
        <v>ago</v>
      </c>
    </row>
    <row r="53" spans="9:18" x14ac:dyDescent="0.25">
      <c r="I53" s="33">
        <v>44439</v>
      </c>
      <c r="J53" s="6" t="s">
        <v>27</v>
      </c>
      <c r="K53" s="6" t="s">
        <v>171</v>
      </c>
      <c r="L53" s="6" t="s">
        <v>89</v>
      </c>
      <c r="M53" s="6">
        <v>1</v>
      </c>
      <c r="N53" s="6" t="s">
        <v>40</v>
      </c>
      <c r="O53" s="6" t="s">
        <v>91</v>
      </c>
      <c r="P53" s="24">
        <v>16.5</v>
      </c>
      <c r="Q53" s="6" t="s">
        <v>32</v>
      </c>
      <c r="R53" s="6" t="str">
        <f>TEXT(Tabela4[[#This Row],[DATA]],"MMM")</f>
        <v>ago</v>
      </c>
    </row>
    <row r="54" spans="9:18" x14ac:dyDescent="0.25">
      <c r="I54" s="33">
        <v>44439</v>
      </c>
      <c r="J54" s="6" t="s">
        <v>27</v>
      </c>
      <c r="K54" s="6" t="s">
        <v>171</v>
      </c>
      <c r="L54" s="6" t="s">
        <v>89</v>
      </c>
      <c r="M54" s="6">
        <v>1</v>
      </c>
      <c r="N54" s="6" t="s">
        <v>40</v>
      </c>
      <c r="O54" s="6" t="s">
        <v>91</v>
      </c>
      <c r="P54" s="24">
        <v>16.5</v>
      </c>
      <c r="Q54" s="6" t="s">
        <v>32</v>
      </c>
      <c r="R54" s="6" t="str">
        <f>TEXT(Tabela4[[#This Row],[DATA]],"MMM")</f>
        <v>ago</v>
      </c>
    </row>
    <row r="55" spans="9:18" x14ac:dyDescent="0.25">
      <c r="I55" s="33">
        <v>44439</v>
      </c>
      <c r="J55" s="6" t="s">
        <v>27</v>
      </c>
      <c r="K55" s="6" t="s">
        <v>171</v>
      </c>
      <c r="L55" s="6" t="s">
        <v>89</v>
      </c>
      <c r="M55" s="6">
        <v>1</v>
      </c>
      <c r="N55" s="6" t="s">
        <v>40</v>
      </c>
      <c r="O55" s="6" t="s">
        <v>91</v>
      </c>
      <c r="P55" s="24">
        <v>16.5</v>
      </c>
      <c r="Q55" s="6" t="s">
        <v>32</v>
      </c>
      <c r="R55" s="6" t="str">
        <f>TEXT(Tabela4[[#This Row],[DATA]],"MMM")</f>
        <v>ago</v>
      </c>
    </row>
    <row r="56" spans="9:18" x14ac:dyDescent="0.25">
      <c r="I56" s="33">
        <v>44439</v>
      </c>
      <c r="J56" s="6" t="s">
        <v>27</v>
      </c>
      <c r="K56" s="6" t="s">
        <v>171</v>
      </c>
      <c r="L56" s="6" t="s">
        <v>89</v>
      </c>
      <c r="M56" s="6">
        <v>1</v>
      </c>
      <c r="N56" s="6" t="s">
        <v>40</v>
      </c>
      <c r="O56" s="6" t="s">
        <v>91</v>
      </c>
      <c r="P56" s="24">
        <v>16.5</v>
      </c>
      <c r="Q56" s="6" t="s">
        <v>32</v>
      </c>
      <c r="R56" s="6" t="str">
        <f>TEXT(Tabela4[[#This Row],[DATA]],"MMM")</f>
        <v>ago</v>
      </c>
    </row>
    <row r="57" spans="9:18" x14ac:dyDescent="0.25">
      <c r="I57" s="33">
        <v>44439</v>
      </c>
      <c r="J57" s="6" t="s">
        <v>27</v>
      </c>
      <c r="K57" s="6" t="s">
        <v>171</v>
      </c>
      <c r="L57" s="6" t="s">
        <v>89</v>
      </c>
      <c r="M57" s="6">
        <v>1</v>
      </c>
      <c r="N57" s="6" t="s">
        <v>40</v>
      </c>
      <c r="O57" s="6" t="s">
        <v>91</v>
      </c>
      <c r="P57" s="24">
        <v>16.5</v>
      </c>
      <c r="Q57" s="6" t="s">
        <v>32</v>
      </c>
      <c r="R57" s="6" t="str">
        <f>TEXT(Tabela4[[#This Row],[DATA]],"MMM")</f>
        <v>ago</v>
      </c>
    </row>
    <row r="58" spans="9:18" x14ac:dyDescent="0.25">
      <c r="I58" s="33">
        <v>44439</v>
      </c>
      <c r="J58" s="6" t="s">
        <v>27</v>
      </c>
      <c r="K58" s="6" t="s">
        <v>171</v>
      </c>
      <c r="L58" s="6" t="s">
        <v>89</v>
      </c>
      <c r="M58" s="6">
        <v>1</v>
      </c>
      <c r="N58" s="6" t="s">
        <v>40</v>
      </c>
      <c r="O58" s="6" t="s">
        <v>91</v>
      </c>
      <c r="P58" s="24">
        <v>16.5</v>
      </c>
      <c r="Q58" s="6" t="s">
        <v>32</v>
      </c>
      <c r="R58" s="6" t="str">
        <f>TEXT(Tabela4[[#This Row],[DATA]],"MMM")</f>
        <v>ago</v>
      </c>
    </row>
    <row r="59" spans="9:18" x14ac:dyDescent="0.25">
      <c r="I59" s="33">
        <v>44439</v>
      </c>
      <c r="J59" s="6" t="s">
        <v>27</v>
      </c>
      <c r="K59" s="6" t="s">
        <v>171</v>
      </c>
      <c r="L59" s="6" t="s">
        <v>89</v>
      </c>
      <c r="M59" s="6">
        <v>1</v>
      </c>
      <c r="N59" s="6" t="s">
        <v>40</v>
      </c>
      <c r="O59" s="6" t="s">
        <v>91</v>
      </c>
      <c r="P59" s="24">
        <v>16.5</v>
      </c>
      <c r="Q59" s="6" t="s">
        <v>32</v>
      </c>
      <c r="R59" s="6" t="str">
        <f>TEXT(Tabela4[[#This Row],[DATA]],"MMM")</f>
        <v>ago</v>
      </c>
    </row>
    <row r="60" spans="9:18" x14ac:dyDescent="0.25">
      <c r="I60" s="33">
        <v>44439</v>
      </c>
      <c r="J60" s="6" t="s">
        <v>27</v>
      </c>
      <c r="K60" s="6" t="s">
        <v>171</v>
      </c>
      <c r="L60" s="6" t="s">
        <v>89</v>
      </c>
      <c r="M60" s="6">
        <v>1</v>
      </c>
      <c r="N60" s="6" t="s">
        <v>40</v>
      </c>
      <c r="O60" s="6" t="s">
        <v>91</v>
      </c>
      <c r="P60" s="24">
        <v>16.5</v>
      </c>
      <c r="Q60" s="6" t="s">
        <v>32</v>
      </c>
      <c r="R60" s="6" t="str">
        <f>TEXT(Tabela4[[#This Row],[DATA]],"MMM")</f>
        <v>ago</v>
      </c>
    </row>
    <row r="61" spans="9:18" x14ac:dyDescent="0.25">
      <c r="I61" s="33">
        <v>44439</v>
      </c>
      <c r="J61" s="6" t="s">
        <v>27</v>
      </c>
      <c r="K61" s="6" t="s">
        <v>171</v>
      </c>
      <c r="L61" s="6" t="s">
        <v>89</v>
      </c>
      <c r="M61" s="6">
        <v>1</v>
      </c>
      <c r="N61" s="6" t="s">
        <v>40</v>
      </c>
      <c r="O61" s="6" t="s">
        <v>91</v>
      </c>
      <c r="P61" s="24">
        <v>16.5</v>
      </c>
      <c r="Q61" s="6" t="s">
        <v>32</v>
      </c>
      <c r="R61" s="6" t="str">
        <f>TEXT(Tabela4[[#This Row],[DATA]],"MMM")</f>
        <v>ago</v>
      </c>
    </row>
    <row r="62" spans="9:18" x14ac:dyDescent="0.25">
      <c r="I62" s="33">
        <v>44439</v>
      </c>
      <c r="J62" s="6" t="s">
        <v>27</v>
      </c>
      <c r="K62" s="6" t="s">
        <v>171</v>
      </c>
      <c r="L62" s="6" t="s">
        <v>90</v>
      </c>
      <c r="M62" s="6">
        <v>2</v>
      </c>
      <c r="N62" s="6" t="s">
        <v>40</v>
      </c>
      <c r="O62" s="6" t="s">
        <v>91</v>
      </c>
      <c r="P62" s="24">
        <v>33</v>
      </c>
      <c r="Q62" s="6" t="s">
        <v>32</v>
      </c>
      <c r="R62" s="6" t="str">
        <f>TEXT(Tabela4[[#This Row],[DATA]],"MMM")</f>
        <v>ago</v>
      </c>
    </row>
    <row r="63" spans="9:18" x14ac:dyDescent="0.25">
      <c r="I63" s="33">
        <v>44439</v>
      </c>
      <c r="J63" s="6" t="s">
        <v>27</v>
      </c>
      <c r="K63" s="6" t="s">
        <v>171</v>
      </c>
      <c r="L63" s="6" t="s">
        <v>89</v>
      </c>
      <c r="M63" s="6">
        <v>2</v>
      </c>
      <c r="N63" s="6" t="s">
        <v>40</v>
      </c>
      <c r="O63" s="6" t="s">
        <v>91</v>
      </c>
      <c r="P63" s="24">
        <v>33</v>
      </c>
      <c r="Q63" s="6" t="s">
        <v>32</v>
      </c>
      <c r="R63" s="6" t="str">
        <f>TEXT(Tabela4[[#This Row],[DATA]],"MMM")</f>
        <v>ago</v>
      </c>
    </row>
    <row r="64" spans="9:18" x14ac:dyDescent="0.25">
      <c r="I64" s="33">
        <v>44439</v>
      </c>
      <c r="J64" s="6" t="s">
        <v>27</v>
      </c>
      <c r="K64" s="6" t="s">
        <v>171</v>
      </c>
      <c r="L64" s="6" t="s">
        <v>89</v>
      </c>
      <c r="M64" s="6">
        <v>1</v>
      </c>
      <c r="N64" s="6" t="s">
        <v>40</v>
      </c>
      <c r="O64" s="6" t="s">
        <v>91</v>
      </c>
      <c r="P64" s="24">
        <v>16.5</v>
      </c>
      <c r="Q64" s="6" t="s">
        <v>32</v>
      </c>
      <c r="R64" s="6" t="str">
        <f>TEXT(Tabela4[[#This Row],[DATA]],"MMM")</f>
        <v>ago</v>
      </c>
    </row>
    <row r="65" spans="1:30" x14ac:dyDescent="0.25">
      <c r="I65" s="33">
        <v>44439</v>
      </c>
      <c r="J65" s="6" t="s">
        <v>27</v>
      </c>
      <c r="K65" s="6" t="s">
        <v>171</v>
      </c>
      <c r="L65" s="6" t="s">
        <v>89</v>
      </c>
      <c r="M65" s="6">
        <v>1</v>
      </c>
      <c r="N65" s="6" t="s">
        <v>44</v>
      </c>
      <c r="O65" s="6" t="s">
        <v>91</v>
      </c>
      <c r="P65" s="24">
        <v>9</v>
      </c>
      <c r="Q65" s="6" t="s">
        <v>32</v>
      </c>
      <c r="R65" s="6" t="str">
        <f>TEXT(Tabela4[[#This Row],[DATA]],"MMM")</f>
        <v>ago</v>
      </c>
    </row>
    <row r="66" spans="1:30" x14ac:dyDescent="0.25">
      <c r="I66" s="33">
        <v>44439</v>
      </c>
      <c r="J66" s="6" t="s">
        <v>27</v>
      </c>
      <c r="K66" s="6" t="s">
        <v>171</v>
      </c>
      <c r="L66" s="6" t="s">
        <v>90</v>
      </c>
      <c r="M66" s="6">
        <v>1</v>
      </c>
      <c r="N66" s="6" t="s">
        <v>40</v>
      </c>
      <c r="O66" s="6" t="s">
        <v>91</v>
      </c>
      <c r="P66" s="24">
        <v>16.5</v>
      </c>
      <c r="Q66" s="6" t="s">
        <v>32</v>
      </c>
      <c r="R66" s="6" t="str">
        <f>TEXT(Tabela4[[#This Row],[DATA]],"MMM")</f>
        <v>ago</v>
      </c>
    </row>
    <row r="67" spans="1:30" x14ac:dyDescent="0.25">
      <c r="I67" s="33">
        <v>44439</v>
      </c>
      <c r="J67" s="6" t="s">
        <v>27</v>
      </c>
      <c r="K67" s="6" t="s">
        <v>171</v>
      </c>
      <c r="L67" s="6" t="s">
        <v>89</v>
      </c>
      <c r="M67" s="6">
        <v>1</v>
      </c>
      <c r="N67" s="6" t="s">
        <v>40</v>
      </c>
      <c r="O67" s="6" t="s">
        <v>91</v>
      </c>
      <c r="P67" s="24">
        <v>16.5</v>
      </c>
      <c r="Q67" s="6" t="s">
        <v>32</v>
      </c>
      <c r="R67" s="6" t="str">
        <f>TEXT(Tabela4[[#This Row],[DATA]],"MMM")</f>
        <v>ago</v>
      </c>
    </row>
    <row r="68" spans="1:30" x14ac:dyDescent="0.25">
      <c r="I68" s="33">
        <v>44439</v>
      </c>
      <c r="J68" s="6" t="s">
        <v>27</v>
      </c>
      <c r="K68" s="6" t="s">
        <v>171</v>
      </c>
      <c r="L68" s="6" t="s">
        <v>90</v>
      </c>
      <c r="M68" s="6">
        <v>1</v>
      </c>
      <c r="N68" s="6" t="s">
        <v>40</v>
      </c>
      <c r="O68" s="6" t="s">
        <v>91</v>
      </c>
      <c r="P68" s="24">
        <v>16.5</v>
      </c>
      <c r="Q68" s="6" t="s">
        <v>32</v>
      </c>
      <c r="R68" s="6" t="str">
        <f>TEXT(Tabela4[[#This Row],[DATA]],"MMM")</f>
        <v>ago</v>
      </c>
    </row>
    <row r="69" spans="1:30" x14ac:dyDescent="0.25">
      <c r="I69" s="33">
        <v>44439</v>
      </c>
      <c r="J69" s="6" t="s">
        <v>27</v>
      </c>
      <c r="K69" s="6" t="s">
        <v>171</v>
      </c>
      <c r="L69" s="6" t="s">
        <v>90</v>
      </c>
      <c r="M69" s="6">
        <v>3</v>
      </c>
      <c r="N69" s="6" t="s">
        <v>40</v>
      </c>
      <c r="O69" s="6" t="s">
        <v>91</v>
      </c>
      <c r="P69" s="24">
        <v>49.5</v>
      </c>
      <c r="Q69" s="6" t="s">
        <v>32</v>
      </c>
      <c r="R69" s="6" t="str">
        <f>TEXT(Tabela4[[#This Row],[DATA]],"MMM")</f>
        <v>ago</v>
      </c>
    </row>
    <row r="70" spans="1:30" x14ac:dyDescent="0.25">
      <c r="I70" s="33">
        <v>44439</v>
      </c>
      <c r="J70" s="6" t="s">
        <v>27</v>
      </c>
      <c r="K70" s="6" t="s">
        <v>171</v>
      </c>
      <c r="L70" s="6" t="s">
        <v>90</v>
      </c>
      <c r="M70" s="6">
        <v>5</v>
      </c>
      <c r="N70" s="6" t="s">
        <v>40</v>
      </c>
      <c r="O70" s="6" t="s">
        <v>91</v>
      </c>
      <c r="P70" s="24">
        <v>82.5</v>
      </c>
      <c r="Q70" s="6" t="s">
        <v>32</v>
      </c>
      <c r="R70" s="6" t="str">
        <f>TEXT(Tabela4[[#This Row],[DATA]],"MMM")</f>
        <v>ago</v>
      </c>
    </row>
    <row r="71" spans="1:30" x14ac:dyDescent="0.25">
      <c r="I71" s="33">
        <v>44439</v>
      </c>
      <c r="J71" s="6" t="s">
        <v>27</v>
      </c>
      <c r="K71" s="6" t="s">
        <v>171</v>
      </c>
      <c r="L71" s="6" t="s">
        <v>90</v>
      </c>
      <c r="M71" s="6">
        <v>6</v>
      </c>
      <c r="N71" s="6" t="s">
        <v>40</v>
      </c>
      <c r="O71" s="6" t="s">
        <v>91</v>
      </c>
      <c r="P71" s="24">
        <v>99</v>
      </c>
      <c r="Q71" s="6" t="s">
        <v>32</v>
      </c>
      <c r="R71" s="6" t="str">
        <f>TEXT(Tabela4[[#This Row],[DATA]],"MMM")</f>
        <v>ago</v>
      </c>
    </row>
    <row r="72" spans="1:30" ht="39.950000000000003" customHeight="1" x14ac:dyDescent="0.25">
      <c r="A72" s="18"/>
      <c r="B72" s="18"/>
      <c r="C72" s="18"/>
      <c r="E72" s="18"/>
      <c r="F72" s="18"/>
      <c r="G72" s="18"/>
      <c r="H72" s="18"/>
      <c r="I72" s="35"/>
      <c r="P72"/>
    </row>
    <row r="73" spans="1:30" x14ac:dyDescent="0.25">
      <c r="A73" s="18"/>
      <c r="B73" s="18"/>
      <c r="C73" s="18"/>
      <c r="E73" s="18"/>
      <c r="F73" s="18"/>
      <c r="G73" s="18"/>
      <c r="H73" s="18"/>
      <c r="I73" s="35"/>
      <c r="J73"/>
      <c r="K73"/>
      <c r="L73"/>
      <c r="M73"/>
      <c r="N73"/>
      <c r="O73"/>
      <c r="P73"/>
      <c r="Q73"/>
    </row>
    <row r="74" spans="1:30" ht="8.1" customHeight="1" x14ac:dyDescent="0.25">
      <c r="A74" s="18"/>
      <c r="B74" s="18"/>
      <c r="C74" s="18"/>
      <c r="E74" s="18"/>
      <c r="F74" s="18"/>
      <c r="G74" s="18"/>
      <c r="H74" s="18"/>
      <c r="P74"/>
    </row>
    <row r="75" spans="1:30" x14ac:dyDescent="0.25">
      <c r="A75" s="18"/>
      <c r="B75" s="18"/>
      <c r="C75" s="32" t="s">
        <v>3</v>
      </c>
      <c r="D75" s="32" t="s">
        <v>4</v>
      </c>
      <c r="E75" s="32" t="s">
        <v>34</v>
      </c>
      <c r="F75" s="32" t="s">
        <v>35</v>
      </c>
      <c r="G75" s="18"/>
      <c r="H75" s="18"/>
      <c r="I75" s="15" t="s">
        <v>0</v>
      </c>
      <c r="J75" s="15" t="s">
        <v>2</v>
      </c>
      <c r="K75" s="15" t="s">
        <v>1</v>
      </c>
      <c r="L75" s="15" t="s">
        <v>87</v>
      </c>
      <c r="M75" s="15" t="s">
        <v>4</v>
      </c>
      <c r="N75" s="15" t="s">
        <v>3</v>
      </c>
      <c r="O75" s="15" t="s">
        <v>72</v>
      </c>
      <c r="P75" s="15" t="s">
        <v>5</v>
      </c>
      <c r="Q75" s="15" t="s">
        <v>6</v>
      </c>
      <c r="X75" s="6" t="s">
        <v>54</v>
      </c>
      <c r="Y75" t="s">
        <v>50</v>
      </c>
      <c r="Z75" s="6" t="s">
        <v>51</v>
      </c>
      <c r="AB75" t="s">
        <v>60</v>
      </c>
      <c r="AD75" s="6" t="s">
        <v>88</v>
      </c>
    </row>
    <row r="76" spans="1:30" x14ac:dyDescent="0.25">
      <c r="A76" s="18"/>
      <c r="B76" s="18"/>
      <c r="C76" s="12" t="str">
        <f>CADASTRO_UNIDADE_VENDAS26[[#This Row],[CADASTRO_UNIDADE]]</f>
        <v>CONST. UN</v>
      </c>
      <c r="D76" s="12">
        <f>SUMIFS(Tabela424[QNT],Tabela424[SITUAÇÃO],$V$10,Tabela424[PRODUTO],C76)</f>
        <v>50</v>
      </c>
      <c r="E76" s="26">
        <f>SUMIFS(Tabela424[VALOR],Tabela424[SITUAÇÃO],$V$6,Tabela424[PRODUTO],C76)</f>
        <v>53</v>
      </c>
      <c r="F76" s="13">
        <f>E76/$V$78</f>
        <v>2.8401326824249375E-2</v>
      </c>
      <c r="G76" s="18"/>
      <c r="H76" s="18"/>
      <c r="I76" s="33">
        <v>44447</v>
      </c>
      <c r="J76" s="6" t="s">
        <v>28</v>
      </c>
      <c r="K76" s="6" t="s">
        <v>171</v>
      </c>
      <c r="L76" s="6" t="s">
        <v>89</v>
      </c>
      <c r="M76" s="6">
        <v>50</v>
      </c>
      <c r="N76" s="6" t="s">
        <v>122</v>
      </c>
      <c r="O76" s="6" t="s">
        <v>123</v>
      </c>
      <c r="P76" s="24">
        <v>50</v>
      </c>
      <c r="Q76" s="6" t="s">
        <v>32</v>
      </c>
      <c r="V76" s="6" t="s">
        <v>32</v>
      </c>
      <c r="X76" s="6" t="s">
        <v>28</v>
      </c>
      <c r="Y76" t="s">
        <v>133</v>
      </c>
      <c r="Z76" s="6" t="s">
        <v>59</v>
      </c>
      <c r="AB76" t="s">
        <v>32</v>
      </c>
      <c r="AD76" s="6" t="s">
        <v>89</v>
      </c>
    </row>
    <row r="77" spans="1:30" x14ac:dyDescent="0.25">
      <c r="A77" s="18"/>
      <c r="B77" s="18"/>
      <c r="C77" s="12" t="str">
        <f>CADASTRO_UNIDADE_VENDAS26[[#This Row],[CADASTRO_UNIDADE]]</f>
        <v>CONSTELAÇÃO</v>
      </c>
      <c r="D77" s="12">
        <f>SUMIFS(Tabela424[QNT],Tabela424[SITUAÇÃO],$V$10,Tabela424[PRODUTO],C77)</f>
        <v>150</v>
      </c>
      <c r="E77" s="26">
        <f>SUMIFS(Tabela424[VALOR],Tabela424[SITUAÇÃO],$V$6,Tabela424[PRODUTO],C77)</f>
        <v>142</v>
      </c>
      <c r="F77" s="13">
        <f t="shared" ref="F77:F83" si="5">E77/$V$78</f>
        <v>7.6094120925347383E-2</v>
      </c>
      <c r="G77" s="18"/>
      <c r="H77" s="18"/>
      <c r="I77" s="33">
        <v>44449</v>
      </c>
      <c r="J77" s="6" t="s">
        <v>28</v>
      </c>
      <c r="K77" s="6" t="s">
        <v>171</v>
      </c>
      <c r="L77" s="6" t="s">
        <v>90</v>
      </c>
      <c r="M77" s="6">
        <v>2</v>
      </c>
      <c r="N77" s="6" t="s">
        <v>40</v>
      </c>
      <c r="O77" s="6" t="s">
        <v>91</v>
      </c>
      <c r="P77" s="24">
        <v>33</v>
      </c>
      <c r="Q77" s="6" t="s">
        <v>32</v>
      </c>
      <c r="V77" s="6" t="s">
        <v>33</v>
      </c>
      <c r="X77" s="6" t="s">
        <v>27</v>
      </c>
      <c r="Y77" t="s">
        <v>122</v>
      </c>
      <c r="Z77" s="6" t="s">
        <v>45</v>
      </c>
      <c r="AB77" t="s">
        <v>33</v>
      </c>
      <c r="AD77" s="6" t="s">
        <v>90</v>
      </c>
    </row>
    <row r="78" spans="1:30" x14ac:dyDescent="0.25">
      <c r="A78" s="18"/>
      <c r="B78" s="18"/>
      <c r="C78" s="12" t="str">
        <f>CADASTRO_UNIDADE_VENDAS26[[#This Row],[CADASTRO_UNIDADE]]</f>
        <v>CX. 4. UN</v>
      </c>
      <c r="D78" s="12">
        <f>SUMIFS(Tabela424[QNT],Tabela424[SITUAÇÃO],$V$10,Tabela424[PRODUTO],C78)</f>
        <v>1</v>
      </c>
      <c r="E78" s="26">
        <f>SUMIFS(Tabela424[VALOR],Tabela424[SITUAÇÃO],$V$6,Tabela424[PRODUTO],C78)</f>
        <v>7</v>
      </c>
      <c r="F78" s="13">
        <f t="shared" si="5"/>
        <v>3.7511186371650121E-3</v>
      </c>
      <c r="G78" s="18"/>
      <c r="H78" s="18"/>
      <c r="I78" s="33">
        <v>44449</v>
      </c>
      <c r="J78" s="6" t="s">
        <v>28</v>
      </c>
      <c r="K78" s="6" t="s">
        <v>171</v>
      </c>
      <c r="L78" s="6" t="s">
        <v>89</v>
      </c>
      <c r="M78" s="6">
        <v>1</v>
      </c>
      <c r="N78" s="6" t="s">
        <v>40</v>
      </c>
      <c r="O78" s="6" t="s">
        <v>123</v>
      </c>
      <c r="P78" s="24">
        <v>16.5</v>
      </c>
      <c r="Q78" s="6" t="s">
        <v>32</v>
      </c>
      <c r="U78" s="6" t="s">
        <v>42</v>
      </c>
      <c r="V78" s="25">
        <f>SUM(Tabela424[VALOR])</f>
        <v>1866.11</v>
      </c>
      <c r="Y78" t="s">
        <v>136</v>
      </c>
      <c r="Z78" s="6" t="s">
        <v>61</v>
      </c>
    </row>
    <row r="79" spans="1:30" x14ac:dyDescent="0.25">
      <c r="A79" s="18"/>
      <c r="B79" s="18"/>
      <c r="C79" s="12" t="str">
        <f>CADASTRO_UNIDADE_VENDAS26[[#This Row],[CADASTRO_UNIDADE]]</f>
        <v>CX.10.UN</v>
      </c>
      <c r="D79" s="12">
        <f>SUMIFS(Tabela424[QNT],Tabela424[SITUAÇÃO],$V$10,Tabela424[PRODUTO],C79)</f>
        <v>54</v>
      </c>
      <c r="E79" s="26">
        <f>SUMIFS(Tabela424[VALOR],Tabela424[SITUAÇÃO],$V$6,Tabela424[PRODUTO],C79)</f>
        <v>1292.51</v>
      </c>
      <c r="F79" s="13">
        <f t="shared" si="5"/>
        <v>0.69262262138887853</v>
      </c>
      <c r="G79" s="18"/>
      <c r="H79" s="18"/>
      <c r="I79" s="33">
        <v>44449</v>
      </c>
      <c r="J79" s="6" t="s">
        <v>28</v>
      </c>
      <c r="K79" s="6" t="s">
        <v>171</v>
      </c>
      <c r="L79" s="6" t="s">
        <v>90</v>
      </c>
      <c r="M79" s="6">
        <v>1</v>
      </c>
      <c r="N79" s="6" t="s">
        <v>40</v>
      </c>
      <c r="O79" s="6" t="s">
        <v>91</v>
      </c>
      <c r="P79" s="24">
        <v>16.5</v>
      </c>
      <c r="Q79" s="6" t="s">
        <v>32</v>
      </c>
      <c r="Y79" t="s">
        <v>40</v>
      </c>
      <c r="Z79" s="6" t="s">
        <v>91</v>
      </c>
    </row>
    <row r="80" spans="1:30" x14ac:dyDescent="0.25">
      <c r="A80" s="18"/>
      <c r="B80" s="18"/>
      <c r="C80" s="12" t="str">
        <f>CADASTRO_UNIDADE_VENDAS26[[#This Row],[CADASTRO_UNIDADE]]</f>
        <v>CX.12.UN</v>
      </c>
      <c r="D80" s="12">
        <f>SUMIFS(Tabela424[QNT],Tabela424[SITUAÇÃO],$V$10,Tabela424[PRODUTO],C80)</f>
        <v>0</v>
      </c>
      <c r="E80" s="26">
        <f>SUMIFS(Tabela424[VALOR],Tabela424[SITUAÇÃO],$V$6,Tabela424[PRODUTO],C80)</f>
        <v>0</v>
      </c>
      <c r="F80" s="13">
        <f t="shared" si="5"/>
        <v>0</v>
      </c>
      <c r="G80" s="18"/>
      <c r="H80" s="18"/>
      <c r="I80" s="33">
        <v>44449</v>
      </c>
      <c r="J80" s="6" t="s">
        <v>28</v>
      </c>
      <c r="K80" s="6" t="s">
        <v>171</v>
      </c>
      <c r="L80" s="6" t="s">
        <v>90</v>
      </c>
      <c r="M80" s="6">
        <v>1</v>
      </c>
      <c r="N80" s="6" t="s">
        <v>40</v>
      </c>
      <c r="O80" s="6" t="s">
        <v>91</v>
      </c>
      <c r="P80" s="24">
        <v>16.5</v>
      </c>
      <c r="Q80" s="6" t="s">
        <v>32</v>
      </c>
      <c r="V80" s="6" t="s">
        <v>32</v>
      </c>
      <c r="Y80" t="s">
        <v>58</v>
      </c>
      <c r="Z80" s="6" t="s">
        <v>92</v>
      </c>
    </row>
    <row r="81" spans="1:25" x14ac:dyDescent="0.25">
      <c r="A81" s="18"/>
      <c r="B81" s="18"/>
      <c r="C81" s="12" t="str">
        <f>CADASTRO_UNIDADE_VENDAS26[[#This Row],[CADASTRO_UNIDADE]]</f>
        <v>CX.6.UN</v>
      </c>
      <c r="D81" s="12">
        <f>SUMIFS(Tabela424[QNT],Tabela424[SITUAÇÃO],$V$10,Tabela424[PRODUTO],C81)</f>
        <v>1</v>
      </c>
      <c r="E81" s="26">
        <f>SUMIFS(Tabela424[VALOR],Tabela424[SITUAÇÃO],$V$6,Tabela424[PRODUTO],C81)</f>
        <v>10</v>
      </c>
      <c r="F81" s="13">
        <f t="shared" si="5"/>
        <v>5.3587409102357313E-3</v>
      </c>
      <c r="G81" s="18"/>
      <c r="H81" s="18"/>
      <c r="I81" s="33">
        <v>44449</v>
      </c>
      <c r="J81" s="6" t="s">
        <v>28</v>
      </c>
      <c r="K81" s="6" t="s">
        <v>171</v>
      </c>
      <c r="L81" s="6" t="s">
        <v>90</v>
      </c>
      <c r="M81" s="6">
        <v>1</v>
      </c>
      <c r="N81" s="6" t="s">
        <v>40</v>
      </c>
      <c r="O81" s="6" t="s">
        <v>91</v>
      </c>
      <c r="P81" s="24">
        <v>16.5</v>
      </c>
      <c r="Q81" s="6" t="s">
        <v>32</v>
      </c>
      <c r="V81" s="6" t="s">
        <v>33</v>
      </c>
      <c r="Y81" t="s">
        <v>44</v>
      </c>
    </row>
    <row r="82" spans="1:25" x14ac:dyDescent="0.25">
      <c r="A82" s="18"/>
      <c r="B82" s="18"/>
      <c r="C82" s="12" t="str">
        <f>CADASTRO_UNIDADE_VENDAS26[[#This Row],[CADASTRO_UNIDADE]]</f>
        <v>NINH.UN</v>
      </c>
      <c r="D82" s="12">
        <f>SUMIFS(Tabela424[QNT],Tabela424[SITUAÇÃO],$V$10,Tabela424[PRODUTO],C82)</f>
        <v>160</v>
      </c>
      <c r="E82" s="26">
        <f>SUMIFS(Tabela424[VALOR],Tabela424[SITUAÇÃO],$V$6,Tabela424[PRODUTO],C82)</f>
        <v>155.6</v>
      </c>
      <c r="F82" s="13">
        <f t="shared" si="5"/>
        <v>8.3382008563267981E-2</v>
      </c>
      <c r="G82" s="18"/>
      <c r="H82" s="18"/>
      <c r="I82" s="33">
        <v>44449</v>
      </c>
      <c r="J82" s="6" t="s">
        <v>28</v>
      </c>
      <c r="K82" s="6" t="s">
        <v>171</v>
      </c>
      <c r="L82" s="6" t="s">
        <v>90</v>
      </c>
      <c r="M82" s="6">
        <v>1</v>
      </c>
      <c r="N82" s="6" t="s">
        <v>40</v>
      </c>
      <c r="O82" s="6" t="s">
        <v>91</v>
      </c>
      <c r="P82" s="24">
        <v>16.5</v>
      </c>
      <c r="Q82" s="6" t="s">
        <v>32</v>
      </c>
      <c r="U82" s="6" t="s">
        <v>52</v>
      </c>
      <c r="V82" s="6">
        <f>SUM(Tabela424[QNT])</f>
        <v>632</v>
      </c>
      <c r="Y82" t="s">
        <v>56</v>
      </c>
    </row>
    <row r="83" spans="1:25" x14ac:dyDescent="0.25">
      <c r="A83" s="18"/>
      <c r="B83" s="18"/>
      <c r="C83" s="12" t="str">
        <f>CADASTRO_UNIDADE_VENDAS26[[#This Row],[CADASTRO_UNIDADE]]</f>
        <v>NUTEL.UN</v>
      </c>
      <c r="D83" s="12">
        <f>SUMIFS(Tabela424[QNT],Tabela424[SITUAÇÃO],$V$10,Tabela424[PRODUTO],C83)</f>
        <v>0</v>
      </c>
      <c r="E83" s="26">
        <f>SUMIFS(Tabela424[VALOR],Tabela424[SITUAÇÃO],$V$6,Tabela424[PRODUTO],C83)</f>
        <v>0</v>
      </c>
      <c r="F83" s="13">
        <f t="shared" si="5"/>
        <v>0</v>
      </c>
      <c r="G83" s="18"/>
      <c r="H83" s="18"/>
      <c r="I83" s="33">
        <v>44449</v>
      </c>
      <c r="J83" s="6" t="s">
        <v>28</v>
      </c>
      <c r="K83" s="6" t="s">
        <v>171</v>
      </c>
      <c r="L83" s="6" t="s">
        <v>90</v>
      </c>
      <c r="M83" s="6">
        <v>1</v>
      </c>
      <c r="N83" s="6" t="s">
        <v>40</v>
      </c>
      <c r="O83" s="6" t="s">
        <v>91</v>
      </c>
      <c r="P83" s="24">
        <v>16.5</v>
      </c>
      <c r="Q83" s="6" t="s">
        <v>32</v>
      </c>
      <c r="Y83" t="s">
        <v>57</v>
      </c>
    </row>
    <row r="84" spans="1:25" x14ac:dyDescent="0.25">
      <c r="A84" s="18"/>
      <c r="B84" s="18"/>
      <c r="C84" s="12" t="str">
        <f>CADASTRO_UNIDADE_VENDAS26[[#This Row],[CADASTRO_UNIDADE]]</f>
        <v>PAÇO.UN</v>
      </c>
      <c r="D84" s="12">
        <f>SUMIFS(Tabela424[QNT],Tabela424[SITUAÇÃO],$V$10,Tabela424[PRODUTO],C84)</f>
        <v>26</v>
      </c>
      <c r="E84" s="26">
        <f>SUMIFS(Tabela424[VALOR],Tabela424[SITUAÇÃO],$V$6,Tabela424[PRODUTO],C84)</f>
        <v>18.600000000000001</v>
      </c>
      <c r="F84" s="13">
        <f t="shared" ref="F84" si="6">E84/$V$78</f>
        <v>9.9672580930384603E-3</v>
      </c>
      <c r="G84" s="18"/>
      <c r="H84" s="18"/>
      <c r="I84" s="33">
        <v>44449</v>
      </c>
      <c r="J84" s="6" t="s">
        <v>28</v>
      </c>
      <c r="K84" s="6" t="s">
        <v>171</v>
      </c>
      <c r="L84" s="6" t="s">
        <v>90</v>
      </c>
      <c r="M84" s="6">
        <v>1</v>
      </c>
      <c r="N84" s="6" t="s">
        <v>40</v>
      </c>
      <c r="O84" s="6" t="s">
        <v>91</v>
      </c>
      <c r="P84" s="24">
        <v>16.5</v>
      </c>
      <c r="Q84" s="6" t="s">
        <v>32</v>
      </c>
      <c r="Y84" t="s">
        <v>55</v>
      </c>
    </row>
    <row r="85" spans="1:25" x14ac:dyDescent="0.25">
      <c r="A85" s="18"/>
      <c r="B85" s="18"/>
      <c r="C85" s="12" t="str">
        <f>CADASTRO_UNIDADE_VENDAS26[[#This Row],[CADASTRO_UNIDADE]]</f>
        <v>SICILI. UN</v>
      </c>
      <c r="D85" s="12">
        <f>SUMIFS(Tabela424[QNT],Tabela424[SITUAÇÃO],$V$10,Tabela424[PRODUTO],C85)</f>
        <v>0</v>
      </c>
      <c r="E85" s="26">
        <f>SUMIFS(Tabela424[VALOR],Tabela424[SITUAÇÃO],$V$6,Tabela424[PRODUTO],C85)</f>
        <v>0</v>
      </c>
      <c r="F85" s="13">
        <f t="shared" ref="F85" si="7">E85/$V$78</f>
        <v>0</v>
      </c>
      <c r="G85" s="18"/>
      <c r="H85" s="18"/>
      <c r="I85" s="33">
        <v>44449</v>
      </c>
      <c r="J85" s="6" t="s">
        <v>28</v>
      </c>
      <c r="K85" s="6" t="s">
        <v>171</v>
      </c>
      <c r="L85" s="6" t="s">
        <v>90</v>
      </c>
      <c r="M85" s="6">
        <v>3</v>
      </c>
      <c r="N85" s="6" t="s">
        <v>40</v>
      </c>
      <c r="O85" s="6" t="s">
        <v>91</v>
      </c>
      <c r="P85" s="24">
        <v>49.5</v>
      </c>
      <c r="Q85" s="6" t="s">
        <v>32</v>
      </c>
      <c r="Y85" t="s">
        <v>150</v>
      </c>
    </row>
    <row r="86" spans="1:25" x14ac:dyDescent="0.25">
      <c r="A86" s="18"/>
      <c r="B86" s="18"/>
      <c r="C86" s="12" t="str">
        <f>CADASTRO_UNIDADE_VENDAS26[[#This Row],[CADASTRO_UNIDADE]]</f>
        <v>TRAD.UN</v>
      </c>
      <c r="D86" s="12">
        <f>SUMIFS(Tabela424[QNT],Tabela424[SITUAÇÃO],$V$10,Tabela424[PRODUTO],C86)</f>
        <v>190</v>
      </c>
      <c r="E86" s="26">
        <f>SUMIFS(Tabela424[VALOR],Tabela424[SITUAÇÃO],$V$6,Tabela424[PRODUTO],C86)</f>
        <v>187.4</v>
      </c>
      <c r="F86" s="13">
        <f t="shared" ref="F86" si="8">E86/$V$78</f>
        <v>0.10042280465781761</v>
      </c>
      <c r="G86" s="18"/>
      <c r="H86" s="18"/>
      <c r="I86" s="33">
        <v>44449</v>
      </c>
      <c r="J86" s="6" t="s">
        <v>28</v>
      </c>
      <c r="K86" s="6" t="s">
        <v>171</v>
      </c>
      <c r="L86" s="6" t="s">
        <v>90</v>
      </c>
      <c r="M86" s="6">
        <v>1</v>
      </c>
      <c r="N86" s="6" t="s">
        <v>40</v>
      </c>
      <c r="O86" s="6" t="s">
        <v>123</v>
      </c>
      <c r="P86" s="24">
        <v>18.5</v>
      </c>
      <c r="Q86" s="6" t="s">
        <v>32</v>
      </c>
      <c r="Y86" t="s">
        <v>53</v>
      </c>
    </row>
    <row r="87" spans="1:25" x14ac:dyDescent="0.25">
      <c r="A87" s="18"/>
      <c r="B87" s="18"/>
      <c r="C87"/>
      <c r="D87"/>
      <c r="E87"/>
      <c r="F87"/>
      <c r="G87" s="18"/>
      <c r="H87" s="18"/>
      <c r="I87" s="33">
        <v>44449</v>
      </c>
      <c r="J87" s="6" t="s">
        <v>28</v>
      </c>
      <c r="K87" s="6" t="s">
        <v>171</v>
      </c>
      <c r="L87" s="6" t="s">
        <v>90</v>
      </c>
      <c r="M87" s="6">
        <v>1</v>
      </c>
      <c r="N87" s="6" t="s">
        <v>40</v>
      </c>
      <c r="O87" s="6" t="s">
        <v>104</v>
      </c>
      <c r="P87" s="24">
        <v>16.5</v>
      </c>
      <c r="Q87" s="6" t="s">
        <v>32</v>
      </c>
      <c r="Y87"/>
    </row>
    <row r="88" spans="1:25" x14ac:dyDescent="0.25">
      <c r="A88" s="18"/>
      <c r="B88" s="18"/>
      <c r="C88" s="18"/>
      <c r="F88" s="25"/>
      <c r="G88" s="18"/>
      <c r="H88" s="18"/>
      <c r="I88" s="33">
        <v>44449</v>
      </c>
      <c r="J88" s="6" t="s">
        <v>28</v>
      </c>
      <c r="K88" s="6" t="s">
        <v>171</v>
      </c>
      <c r="L88" s="6" t="s">
        <v>90</v>
      </c>
      <c r="M88" s="6">
        <v>1</v>
      </c>
      <c r="N88" s="6" t="s">
        <v>40</v>
      </c>
      <c r="O88" s="6" t="s">
        <v>103</v>
      </c>
      <c r="P88" s="24">
        <v>16.5</v>
      </c>
      <c r="Q88" s="6" t="s">
        <v>32</v>
      </c>
    </row>
    <row r="89" spans="1:25" x14ac:dyDescent="0.25">
      <c r="A89" s="18"/>
      <c r="B89" s="18"/>
      <c r="C89" s="18"/>
      <c r="F89" s="18"/>
      <c r="G89" s="18"/>
      <c r="H89" s="18"/>
      <c r="I89" s="33">
        <v>44449</v>
      </c>
      <c r="J89" s="6" t="s">
        <v>28</v>
      </c>
      <c r="K89" s="6" t="s">
        <v>171</v>
      </c>
      <c r="L89" s="6" t="s">
        <v>90</v>
      </c>
      <c r="M89" s="6">
        <v>1</v>
      </c>
      <c r="N89" s="6" t="s">
        <v>40</v>
      </c>
      <c r="O89" s="6" t="s">
        <v>103</v>
      </c>
      <c r="P89" s="24">
        <v>16.5</v>
      </c>
      <c r="Q89" s="6" t="s">
        <v>32</v>
      </c>
    </row>
    <row r="90" spans="1:25" x14ac:dyDescent="0.25">
      <c r="A90" s="18"/>
      <c r="B90" s="18"/>
      <c r="C90" s="18"/>
      <c r="F90" s="18"/>
      <c r="G90" s="18"/>
      <c r="H90" s="18"/>
      <c r="I90" s="33">
        <v>44449</v>
      </c>
      <c r="J90" s="6" t="s">
        <v>28</v>
      </c>
      <c r="K90" s="6" t="s">
        <v>171</v>
      </c>
      <c r="L90" s="6" t="s">
        <v>90</v>
      </c>
      <c r="M90" s="6">
        <v>1</v>
      </c>
      <c r="N90" s="6" t="s">
        <v>40</v>
      </c>
      <c r="O90" s="6" t="s">
        <v>103</v>
      </c>
      <c r="P90" s="24">
        <v>16.5</v>
      </c>
      <c r="Q90" s="6" t="s">
        <v>32</v>
      </c>
    </row>
    <row r="91" spans="1:25" x14ac:dyDescent="0.25">
      <c r="A91" s="18"/>
      <c r="B91" s="18"/>
      <c r="C91" s="18"/>
      <c r="F91" s="18"/>
      <c r="G91" s="18"/>
      <c r="H91" s="18"/>
      <c r="I91" s="33">
        <v>44449</v>
      </c>
      <c r="J91" s="6" t="s">
        <v>28</v>
      </c>
      <c r="K91" s="6" t="s">
        <v>171</v>
      </c>
      <c r="L91" s="6" t="s">
        <v>90</v>
      </c>
      <c r="M91" s="6">
        <v>1</v>
      </c>
      <c r="N91" s="6" t="s">
        <v>40</v>
      </c>
      <c r="O91" s="6" t="s">
        <v>105</v>
      </c>
      <c r="P91" s="24">
        <v>16.5</v>
      </c>
      <c r="Q91" s="6" t="s">
        <v>32</v>
      </c>
    </row>
    <row r="92" spans="1:25" x14ac:dyDescent="0.25">
      <c r="A92" s="18"/>
      <c r="B92" s="18"/>
      <c r="C92" s="18"/>
      <c r="F92" s="18"/>
      <c r="G92" s="18"/>
      <c r="H92" s="18"/>
      <c r="I92" s="33">
        <v>44420</v>
      </c>
      <c r="J92" s="6" t="s">
        <v>28</v>
      </c>
      <c r="K92" s="6" t="s">
        <v>171</v>
      </c>
      <c r="L92" s="6" t="s">
        <v>90</v>
      </c>
      <c r="M92" s="6">
        <v>30</v>
      </c>
      <c r="N92" s="6" t="s">
        <v>53</v>
      </c>
      <c r="O92" s="6" t="s">
        <v>103</v>
      </c>
      <c r="P92" s="24">
        <v>31.8</v>
      </c>
      <c r="Q92" s="6" t="s">
        <v>32</v>
      </c>
    </row>
    <row r="93" spans="1:25" x14ac:dyDescent="0.25">
      <c r="A93" s="18"/>
      <c r="B93" s="18"/>
      <c r="C93" s="18"/>
      <c r="F93" s="18"/>
      <c r="G93" s="18"/>
      <c r="H93" s="18"/>
      <c r="I93" s="33">
        <v>44420</v>
      </c>
      <c r="J93" s="6" t="s">
        <v>28</v>
      </c>
      <c r="K93" s="6" t="s">
        <v>171</v>
      </c>
      <c r="L93" s="6" t="s">
        <v>90</v>
      </c>
      <c r="M93" s="6">
        <v>20</v>
      </c>
      <c r="N93" s="6" t="s">
        <v>55</v>
      </c>
      <c r="O93" s="6" t="s">
        <v>104</v>
      </c>
      <c r="P93" s="24">
        <v>10.6</v>
      </c>
      <c r="Q93" s="6" t="s">
        <v>32</v>
      </c>
    </row>
    <row r="94" spans="1:25" x14ac:dyDescent="0.25">
      <c r="A94" s="18"/>
      <c r="B94" s="18"/>
      <c r="C94" s="18"/>
      <c r="F94" s="18"/>
      <c r="G94" s="18"/>
      <c r="H94" s="18"/>
      <c r="I94" s="33">
        <v>44420</v>
      </c>
      <c r="J94" s="6" t="s">
        <v>28</v>
      </c>
      <c r="K94" s="6" t="s">
        <v>171</v>
      </c>
      <c r="L94" s="6" t="s">
        <v>90</v>
      </c>
      <c r="M94" s="6">
        <v>10</v>
      </c>
      <c r="N94" s="6" t="s">
        <v>56</v>
      </c>
      <c r="O94" s="6" t="s">
        <v>121</v>
      </c>
      <c r="P94" s="24">
        <v>10.6</v>
      </c>
      <c r="Q94" s="6" t="s">
        <v>32</v>
      </c>
    </row>
    <row r="95" spans="1:25" x14ac:dyDescent="0.25">
      <c r="A95" s="18"/>
      <c r="B95" s="18"/>
      <c r="C95" s="18"/>
      <c r="F95" s="18"/>
      <c r="G95" s="18"/>
      <c r="H95" s="18"/>
      <c r="I95" s="33">
        <v>44457</v>
      </c>
      <c r="J95" s="6" t="s">
        <v>28</v>
      </c>
      <c r="K95" s="6" t="s">
        <v>171</v>
      </c>
      <c r="L95" s="6" t="s">
        <v>90</v>
      </c>
      <c r="M95" s="6">
        <v>100</v>
      </c>
      <c r="N95" s="6" t="s">
        <v>53</v>
      </c>
      <c r="O95" s="6" t="s">
        <v>103</v>
      </c>
      <c r="P95" s="24">
        <v>92</v>
      </c>
      <c r="Q95" s="6" t="s">
        <v>32</v>
      </c>
    </row>
    <row r="96" spans="1:25" x14ac:dyDescent="0.25">
      <c r="A96" s="18"/>
      <c r="B96" s="18"/>
      <c r="C96" s="18"/>
      <c r="F96" s="18"/>
      <c r="G96" s="18"/>
      <c r="H96" s="18"/>
      <c r="I96" s="33">
        <v>44457</v>
      </c>
      <c r="J96" s="6" t="s">
        <v>28</v>
      </c>
      <c r="K96" s="6" t="s">
        <v>171</v>
      </c>
      <c r="L96" s="6" t="s">
        <v>90</v>
      </c>
      <c r="M96" s="6">
        <v>100</v>
      </c>
      <c r="N96" s="6" t="s">
        <v>122</v>
      </c>
      <c r="O96" s="6" t="s">
        <v>123</v>
      </c>
      <c r="P96" s="24">
        <v>92</v>
      </c>
      <c r="Q96" s="6" t="s">
        <v>32</v>
      </c>
    </row>
    <row r="97" spans="1:20" x14ac:dyDescent="0.25">
      <c r="A97" s="18"/>
      <c r="B97" s="18"/>
      <c r="C97" s="18"/>
      <c r="F97" s="18"/>
      <c r="G97" s="18"/>
      <c r="H97" s="18"/>
      <c r="I97" s="33">
        <v>44457</v>
      </c>
      <c r="J97" s="6" t="s">
        <v>28</v>
      </c>
      <c r="K97" s="6" t="s">
        <v>171</v>
      </c>
      <c r="L97" s="6" t="s">
        <v>90</v>
      </c>
      <c r="M97" s="6">
        <v>100</v>
      </c>
      <c r="N97" s="6" t="s">
        <v>56</v>
      </c>
      <c r="O97" s="6" t="s">
        <v>121</v>
      </c>
      <c r="P97" s="24">
        <v>92</v>
      </c>
      <c r="Q97" s="6" t="s">
        <v>32</v>
      </c>
    </row>
    <row r="98" spans="1:20" x14ac:dyDescent="0.25">
      <c r="A98" s="18"/>
      <c r="B98" s="18"/>
      <c r="C98" s="18"/>
      <c r="F98" s="18"/>
      <c r="G98" s="18"/>
      <c r="H98" s="18"/>
      <c r="I98" s="33">
        <v>44457</v>
      </c>
      <c r="J98" s="6" t="s">
        <v>27</v>
      </c>
      <c r="K98" s="6" t="s">
        <v>171</v>
      </c>
      <c r="L98" s="6" t="s">
        <v>90</v>
      </c>
      <c r="M98" s="6">
        <v>2</v>
      </c>
      <c r="N98" s="6" t="s">
        <v>40</v>
      </c>
      <c r="O98" s="6" t="s">
        <v>91</v>
      </c>
      <c r="P98" s="24">
        <v>33</v>
      </c>
      <c r="Q98" s="6" t="s">
        <v>32</v>
      </c>
    </row>
    <row r="99" spans="1:20" x14ac:dyDescent="0.25">
      <c r="A99" s="18"/>
      <c r="B99" s="18"/>
      <c r="C99" s="18"/>
      <c r="F99" s="18"/>
      <c r="G99" s="18"/>
      <c r="H99" s="18"/>
      <c r="I99" s="33">
        <v>44457</v>
      </c>
      <c r="J99" s="6" t="s">
        <v>27</v>
      </c>
      <c r="K99" s="6" t="s">
        <v>171</v>
      </c>
      <c r="L99" s="6" t="s">
        <v>90</v>
      </c>
      <c r="M99" s="6">
        <v>2</v>
      </c>
      <c r="N99" s="6" t="s">
        <v>40</v>
      </c>
      <c r="O99" s="6" t="s">
        <v>91</v>
      </c>
      <c r="P99" s="24">
        <v>33</v>
      </c>
      <c r="Q99" s="6" t="s">
        <v>32</v>
      </c>
    </row>
    <row r="100" spans="1:20" x14ac:dyDescent="0.25">
      <c r="A100" s="18"/>
      <c r="B100" s="18"/>
      <c r="C100" s="18"/>
      <c r="F100" s="18"/>
      <c r="G100" s="18"/>
      <c r="H100" s="18"/>
      <c r="I100" s="33">
        <v>44457</v>
      </c>
      <c r="J100" s="6" t="s">
        <v>27</v>
      </c>
      <c r="K100" s="6" t="s">
        <v>171</v>
      </c>
      <c r="L100" s="6" t="s">
        <v>90</v>
      </c>
      <c r="M100" s="6">
        <v>1</v>
      </c>
      <c r="N100" s="6" t="s">
        <v>40</v>
      </c>
      <c r="O100" s="6" t="s">
        <v>123</v>
      </c>
      <c r="P100" s="24">
        <v>16.5</v>
      </c>
      <c r="Q100" s="6" t="s">
        <v>32</v>
      </c>
    </row>
    <row r="101" spans="1:20" x14ac:dyDescent="0.25">
      <c r="A101" s="18"/>
      <c r="B101" s="18"/>
      <c r="C101" s="18"/>
      <c r="F101" s="18"/>
      <c r="G101" s="18"/>
      <c r="H101" s="18"/>
      <c r="I101" s="33">
        <v>44457</v>
      </c>
      <c r="J101" s="6" t="s">
        <v>27</v>
      </c>
      <c r="K101" s="6" t="s">
        <v>171</v>
      </c>
      <c r="L101" s="6" t="s">
        <v>90</v>
      </c>
      <c r="M101" s="6">
        <v>1</v>
      </c>
      <c r="N101" s="6" t="s">
        <v>40</v>
      </c>
      <c r="O101" s="6" t="s">
        <v>91</v>
      </c>
      <c r="P101" s="24">
        <v>20</v>
      </c>
      <c r="Q101" s="6" t="s">
        <v>32</v>
      </c>
      <c r="T101" s="25"/>
    </row>
    <row r="102" spans="1:20" x14ac:dyDescent="0.25">
      <c r="A102" s="18"/>
      <c r="B102" s="18"/>
      <c r="C102" s="18"/>
      <c r="F102" s="18"/>
      <c r="G102" s="18"/>
      <c r="H102" s="18"/>
      <c r="I102" s="33">
        <v>44458</v>
      </c>
      <c r="J102" s="6" t="s">
        <v>27</v>
      </c>
      <c r="K102" s="6" t="s">
        <v>171</v>
      </c>
      <c r="L102" s="6" t="s">
        <v>89</v>
      </c>
      <c r="M102" s="6">
        <v>1</v>
      </c>
      <c r="N102" s="6" t="s">
        <v>40</v>
      </c>
      <c r="O102" s="6" t="s">
        <v>91</v>
      </c>
      <c r="P102" s="24">
        <v>16.5</v>
      </c>
      <c r="Q102" s="6" t="s">
        <v>32</v>
      </c>
      <c r="T102" s="25"/>
    </row>
    <row r="103" spans="1:20" x14ac:dyDescent="0.25">
      <c r="A103" s="18"/>
      <c r="B103" s="18"/>
      <c r="C103" s="18"/>
      <c r="F103" s="18"/>
      <c r="G103" s="18"/>
      <c r="H103" s="18"/>
      <c r="I103" s="33">
        <v>44458</v>
      </c>
      <c r="J103" s="6" t="s">
        <v>28</v>
      </c>
      <c r="K103" s="6" t="s">
        <v>171</v>
      </c>
      <c r="L103" s="6" t="s">
        <v>90</v>
      </c>
      <c r="M103" s="6">
        <v>30</v>
      </c>
      <c r="N103" s="6" t="s">
        <v>53</v>
      </c>
      <c r="O103" s="6" t="s">
        <v>103</v>
      </c>
      <c r="P103" s="24">
        <v>31.8</v>
      </c>
      <c r="Q103" s="6" t="s">
        <v>32</v>
      </c>
    </row>
    <row r="104" spans="1:20" x14ac:dyDescent="0.25">
      <c r="A104" s="18"/>
      <c r="B104" s="18"/>
      <c r="C104" s="18"/>
      <c r="F104" s="18"/>
      <c r="G104" s="18"/>
      <c r="H104" s="18"/>
      <c r="I104" s="33">
        <v>44458</v>
      </c>
      <c r="J104" s="6" t="s">
        <v>28</v>
      </c>
      <c r="K104" s="6" t="s">
        <v>171</v>
      </c>
      <c r="L104" s="6" t="s">
        <v>90</v>
      </c>
      <c r="M104" s="6">
        <v>20</v>
      </c>
      <c r="N104" s="6" t="s">
        <v>56</v>
      </c>
      <c r="O104" s="6" t="s">
        <v>121</v>
      </c>
      <c r="P104" s="24">
        <v>21.2</v>
      </c>
      <c r="Q104" s="6" t="s">
        <v>32</v>
      </c>
    </row>
    <row r="105" spans="1:20" x14ac:dyDescent="0.25">
      <c r="A105" s="18"/>
      <c r="B105" s="18"/>
      <c r="C105" s="18"/>
      <c r="F105" s="18"/>
      <c r="G105" s="18"/>
      <c r="H105" s="18"/>
      <c r="I105" s="33">
        <v>44458</v>
      </c>
      <c r="J105" s="6" t="s">
        <v>28</v>
      </c>
      <c r="K105" s="6" t="s">
        <v>171</v>
      </c>
      <c r="L105" s="6" t="s">
        <v>90</v>
      </c>
      <c r="M105" s="6">
        <v>20</v>
      </c>
      <c r="N105" s="6" t="s">
        <v>133</v>
      </c>
      <c r="O105" s="6" t="s">
        <v>123</v>
      </c>
      <c r="P105" s="24">
        <v>21.2</v>
      </c>
      <c r="Q105" s="6" t="s">
        <v>32</v>
      </c>
      <c r="T105" s="25"/>
    </row>
    <row r="106" spans="1:20" x14ac:dyDescent="0.25">
      <c r="A106" s="18"/>
      <c r="B106" s="18"/>
      <c r="C106" s="18"/>
      <c r="F106" s="18"/>
      <c r="G106" s="18"/>
      <c r="H106" s="18"/>
      <c r="I106" s="33">
        <v>44458</v>
      </c>
      <c r="K106" s="6" t="s">
        <v>171</v>
      </c>
      <c r="L106" s="6" t="s">
        <v>90</v>
      </c>
      <c r="M106" s="6">
        <v>1</v>
      </c>
      <c r="N106" s="6" t="s">
        <v>40</v>
      </c>
      <c r="O106" s="6" t="s">
        <v>91</v>
      </c>
      <c r="P106" s="24">
        <v>414.01</v>
      </c>
      <c r="Q106" s="6" t="s">
        <v>32</v>
      </c>
    </row>
    <row r="107" spans="1:20" x14ac:dyDescent="0.25">
      <c r="A107" s="18"/>
      <c r="B107" s="18"/>
      <c r="C107" s="18"/>
      <c r="F107" s="18"/>
      <c r="G107" s="18"/>
      <c r="H107" s="18"/>
      <c r="I107" s="33">
        <v>44458</v>
      </c>
      <c r="J107" s="6" t="s">
        <v>27</v>
      </c>
      <c r="K107" s="6" t="s">
        <v>171</v>
      </c>
      <c r="L107" s="6" t="s">
        <v>90</v>
      </c>
      <c r="M107" s="6">
        <v>1</v>
      </c>
      <c r="N107" s="6" t="s">
        <v>40</v>
      </c>
      <c r="O107" s="6" t="s">
        <v>91</v>
      </c>
      <c r="P107" s="24">
        <v>16.5</v>
      </c>
      <c r="Q107" s="6" t="s">
        <v>32</v>
      </c>
    </row>
    <row r="108" spans="1:20" x14ac:dyDescent="0.25">
      <c r="A108" s="18"/>
      <c r="B108" s="18"/>
      <c r="C108" s="18"/>
      <c r="F108" s="18"/>
      <c r="G108" s="18"/>
      <c r="H108" s="18"/>
      <c r="I108" s="33">
        <v>44463</v>
      </c>
      <c r="J108" s="6" t="s">
        <v>28</v>
      </c>
      <c r="K108" s="6" t="s">
        <v>171</v>
      </c>
      <c r="L108" s="6" t="s">
        <v>90</v>
      </c>
      <c r="M108" s="6">
        <v>30</v>
      </c>
      <c r="N108" s="6" t="s">
        <v>53</v>
      </c>
      <c r="O108" s="6" t="s">
        <v>103</v>
      </c>
      <c r="P108" s="24">
        <v>31.8</v>
      </c>
      <c r="Q108" s="6" t="s">
        <v>32</v>
      </c>
    </row>
    <row r="109" spans="1:20" x14ac:dyDescent="0.25">
      <c r="A109" s="18"/>
      <c r="B109" s="18"/>
      <c r="C109" s="18"/>
      <c r="F109" s="18"/>
      <c r="G109" s="18"/>
      <c r="H109" s="18"/>
      <c r="I109" s="33">
        <v>44463</v>
      </c>
      <c r="J109" s="6" t="s">
        <v>28</v>
      </c>
      <c r="K109" s="6" t="s">
        <v>171</v>
      </c>
      <c r="L109" s="6" t="s">
        <v>90</v>
      </c>
      <c r="M109" s="6">
        <v>30</v>
      </c>
      <c r="N109" s="6" t="s">
        <v>56</v>
      </c>
      <c r="O109" s="6" t="s">
        <v>121</v>
      </c>
      <c r="P109" s="24">
        <v>31.8</v>
      </c>
      <c r="Q109" s="6" t="s">
        <v>32</v>
      </c>
    </row>
    <row r="110" spans="1:20" x14ac:dyDescent="0.25">
      <c r="A110" s="18"/>
      <c r="B110" s="18"/>
      <c r="C110" s="18"/>
      <c r="F110" s="18"/>
      <c r="G110" s="18"/>
      <c r="H110" s="18"/>
      <c r="I110" s="33">
        <v>44463</v>
      </c>
      <c r="J110" s="6" t="s">
        <v>28</v>
      </c>
      <c r="K110" s="6" t="s">
        <v>171</v>
      </c>
      <c r="L110" s="6" t="s">
        <v>90</v>
      </c>
      <c r="M110" s="6">
        <v>30</v>
      </c>
      <c r="N110" s="6" t="s">
        <v>133</v>
      </c>
      <c r="O110" s="6" t="s">
        <v>123</v>
      </c>
      <c r="P110" s="24">
        <v>31.8</v>
      </c>
      <c r="Q110" s="6" t="s">
        <v>32</v>
      </c>
    </row>
    <row r="111" spans="1:20" x14ac:dyDescent="0.25">
      <c r="A111" s="18"/>
      <c r="B111" s="18"/>
      <c r="C111" s="18"/>
      <c r="F111" s="18"/>
      <c r="G111" s="18"/>
      <c r="H111" s="18"/>
      <c r="I111" s="33">
        <v>44463</v>
      </c>
      <c r="J111" s="6" t="s">
        <v>27</v>
      </c>
      <c r="K111" s="6" t="s">
        <v>171</v>
      </c>
      <c r="L111" s="6" t="s">
        <v>90</v>
      </c>
      <c r="M111" s="6">
        <v>1</v>
      </c>
      <c r="N111" s="6" t="s">
        <v>40</v>
      </c>
      <c r="O111" s="6" t="s">
        <v>139</v>
      </c>
      <c r="P111" s="24">
        <v>16.5</v>
      </c>
      <c r="Q111" s="6" t="s">
        <v>32</v>
      </c>
    </row>
    <row r="112" spans="1:20" x14ac:dyDescent="0.25">
      <c r="A112" s="18"/>
      <c r="B112" s="18"/>
      <c r="C112" s="18"/>
      <c r="F112" s="18"/>
      <c r="G112" s="18"/>
      <c r="H112" s="18"/>
      <c r="I112" s="33">
        <v>44463</v>
      </c>
      <c r="J112" s="6" t="s">
        <v>27</v>
      </c>
      <c r="K112" s="6" t="s">
        <v>171</v>
      </c>
      <c r="L112" s="6" t="s">
        <v>90</v>
      </c>
      <c r="M112" s="6">
        <v>1</v>
      </c>
      <c r="N112" s="6" t="s">
        <v>40</v>
      </c>
      <c r="O112" s="6" t="s">
        <v>103</v>
      </c>
      <c r="P112" s="24">
        <v>16.5</v>
      </c>
      <c r="Q112" s="6" t="s">
        <v>32</v>
      </c>
    </row>
    <row r="113" spans="1:21" x14ac:dyDescent="0.25">
      <c r="A113" s="18"/>
      <c r="B113" s="18"/>
      <c r="C113" s="18"/>
      <c r="F113" s="18"/>
      <c r="G113" s="18"/>
      <c r="H113" s="18"/>
      <c r="I113" s="33">
        <v>44463</v>
      </c>
      <c r="J113" s="6" t="s">
        <v>27</v>
      </c>
      <c r="K113" s="6" t="s">
        <v>171</v>
      </c>
      <c r="L113" s="6" t="s">
        <v>90</v>
      </c>
      <c r="M113" s="6">
        <v>1</v>
      </c>
      <c r="N113" s="6" t="s">
        <v>40</v>
      </c>
      <c r="O113" s="6" t="s">
        <v>123</v>
      </c>
      <c r="P113" s="24">
        <v>16.5</v>
      </c>
      <c r="Q113" s="6" t="s">
        <v>32</v>
      </c>
    </row>
    <row r="114" spans="1:21" x14ac:dyDescent="0.25">
      <c r="A114" s="18"/>
      <c r="B114" s="18"/>
      <c r="C114" s="18"/>
      <c r="F114" s="18"/>
      <c r="G114" s="18"/>
      <c r="H114" s="18"/>
      <c r="I114" s="33">
        <v>44463</v>
      </c>
      <c r="J114" s="6" t="s">
        <v>27</v>
      </c>
      <c r="K114" s="6" t="s">
        <v>171</v>
      </c>
      <c r="L114" s="6" t="s">
        <v>90</v>
      </c>
      <c r="M114" s="6">
        <v>1</v>
      </c>
      <c r="N114" s="6" t="s">
        <v>40</v>
      </c>
      <c r="O114" s="6" t="s">
        <v>140</v>
      </c>
      <c r="P114" s="24">
        <v>16.5</v>
      </c>
      <c r="Q114" s="6" t="s">
        <v>32</v>
      </c>
    </row>
    <row r="115" spans="1:21" x14ac:dyDescent="0.25">
      <c r="A115" s="18"/>
      <c r="B115" s="18"/>
      <c r="C115" s="18"/>
      <c r="F115" s="18"/>
      <c r="G115" s="18"/>
      <c r="H115" s="18"/>
      <c r="I115" s="33">
        <v>44463</v>
      </c>
      <c r="J115" s="6" t="s">
        <v>27</v>
      </c>
      <c r="K115" s="6" t="s">
        <v>171</v>
      </c>
      <c r="L115" s="6" t="s">
        <v>90</v>
      </c>
      <c r="M115" s="6">
        <v>1</v>
      </c>
      <c r="N115" s="6" t="s">
        <v>40</v>
      </c>
      <c r="O115" s="6" t="s">
        <v>104</v>
      </c>
      <c r="P115" s="24">
        <v>16.5</v>
      </c>
      <c r="Q115" s="6" t="s">
        <v>32</v>
      </c>
    </row>
    <row r="116" spans="1:21" x14ac:dyDescent="0.25">
      <c r="A116" s="18"/>
      <c r="B116" s="18"/>
      <c r="C116" s="18"/>
      <c r="F116" s="18"/>
      <c r="G116" s="18"/>
      <c r="H116" s="18"/>
      <c r="I116" s="33">
        <v>44463</v>
      </c>
      <c r="J116" s="6" t="s">
        <v>27</v>
      </c>
      <c r="K116" s="6" t="s">
        <v>171</v>
      </c>
      <c r="L116" s="6" t="s">
        <v>90</v>
      </c>
      <c r="M116" s="6">
        <v>1</v>
      </c>
      <c r="N116" s="6" t="s">
        <v>40</v>
      </c>
      <c r="O116" s="6" t="s">
        <v>140</v>
      </c>
      <c r="P116" s="24">
        <v>16.5</v>
      </c>
      <c r="Q116" s="6" t="s">
        <v>32</v>
      </c>
    </row>
    <row r="117" spans="1:21" x14ac:dyDescent="0.25">
      <c r="A117" s="18"/>
      <c r="B117" s="18"/>
      <c r="C117" s="18"/>
      <c r="F117" s="18"/>
      <c r="G117" s="18"/>
      <c r="H117" s="18"/>
      <c r="I117" s="33">
        <v>44463</v>
      </c>
      <c r="J117" s="6" t="s">
        <v>27</v>
      </c>
      <c r="K117" s="6" t="s">
        <v>171</v>
      </c>
      <c r="L117" s="6" t="s">
        <v>90</v>
      </c>
      <c r="M117" s="6">
        <v>1</v>
      </c>
      <c r="N117" s="6" t="s">
        <v>40</v>
      </c>
      <c r="O117" s="6" t="s">
        <v>140</v>
      </c>
      <c r="P117" s="24">
        <v>16.5</v>
      </c>
      <c r="Q117" s="6" t="s">
        <v>32</v>
      </c>
    </row>
    <row r="118" spans="1:21" x14ac:dyDescent="0.25">
      <c r="A118" s="18"/>
      <c r="B118" s="18"/>
      <c r="C118" s="18"/>
      <c r="F118" s="18"/>
      <c r="G118" s="18"/>
      <c r="H118" s="18"/>
      <c r="I118" s="33">
        <v>44463</v>
      </c>
      <c r="J118" s="6" t="s">
        <v>27</v>
      </c>
      <c r="K118" s="6" t="s">
        <v>171</v>
      </c>
      <c r="L118" s="6" t="s">
        <v>90</v>
      </c>
      <c r="M118" s="6">
        <v>1</v>
      </c>
      <c r="N118" s="6" t="s">
        <v>40</v>
      </c>
      <c r="O118" s="6" t="s">
        <v>141</v>
      </c>
      <c r="P118" s="24">
        <v>16.5</v>
      </c>
      <c r="Q118" s="6" t="s">
        <v>32</v>
      </c>
    </row>
    <row r="119" spans="1:21" x14ac:dyDescent="0.25">
      <c r="A119" s="18"/>
      <c r="B119" s="18"/>
      <c r="C119" s="18"/>
      <c r="F119" s="18"/>
      <c r="G119" s="18"/>
      <c r="H119" s="18"/>
      <c r="I119" s="33">
        <v>44463</v>
      </c>
      <c r="J119" s="6" t="s">
        <v>27</v>
      </c>
      <c r="K119" s="6" t="s">
        <v>171</v>
      </c>
      <c r="L119" s="6" t="s">
        <v>90</v>
      </c>
      <c r="M119" s="6">
        <v>1</v>
      </c>
      <c r="N119" s="6" t="s">
        <v>40</v>
      </c>
      <c r="O119" s="6" t="s">
        <v>139</v>
      </c>
      <c r="P119" s="24">
        <v>16.5</v>
      </c>
      <c r="Q119" s="6" t="s">
        <v>32</v>
      </c>
    </row>
    <row r="120" spans="1:21" x14ac:dyDescent="0.25">
      <c r="A120" s="18"/>
      <c r="B120" s="18"/>
      <c r="C120" s="18"/>
      <c r="F120" s="18"/>
      <c r="G120" s="18"/>
      <c r="H120" s="18"/>
      <c r="I120" s="33">
        <v>44463</v>
      </c>
      <c r="J120" s="6" t="s">
        <v>27</v>
      </c>
      <c r="K120" s="6" t="s">
        <v>171</v>
      </c>
      <c r="L120" s="6" t="s">
        <v>90</v>
      </c>
      <c r="M120" s="6">
        <v>1</v>
      </c>
      <c r="N120" s="6" t="s">
        <v>136</v>
      </c>
      <c r="O120" s="6" t="s">
        <v>139</v>
      </c>
      <c r="P120" s="24">
        <v>7</v>
      </c>
      <c r="Q120" s="6" t="s">
        <v>32</v>
      </c>
      <c r="U120" s="25"/>
    </row>
    <row r="121" spans="1:21" x14ac:dyDescent="0.25">
      <c r="A121" s="18"/>
      <c r="B121" s="18"/>
      <c r="C121" s="18"/>
      <c r="F121" s="18"/>
      <c r="G121" s="18"/>
      <c r="H121" s="18"/>
      <c r="I121" s="33">
        <v>44463</v>
      </c>
      <c r="J121" s="6" t="s">
        <v>27</v>
      </c>
      <c r="K121" s="6" t="s">
        <v>171</v>
      </c>
      <c r="L121" s="6" t="s">
        <v>90</v>
      </c>
      <c r="M121" s="6">
        <v>1</v>
      </c>
      <c r="N121" s="6" t="s">
        <v>40</v>
      </c>
      <c r="O121" s="6" t="s">
        <v>142</v>
      </c>
      <c r="P121" s="24">
        <v>16.5</v>
      </c>
      <c r="Q121" s="6" t="s">
        <v>32</v>
      </c>
      <c r="U121" s="25"/>
    </row>
    <row r="122" spans="1:21" x14ac:dyDescent="0.25">
      <c r="A122" s="18"/>
      <c r="B122" s="18"/>
      <c r="C122" s="18"/>
      <c r="F122" s="18"/>
      <c r="G122" s="18"/>
      <c r="H122" s="18"/>
      <c r="I122" s="33">
        <v>44463</v>
      </c>
      <c r="J122" s="6" t="s">
        <v>27</v>
      </c>
      <c r="K122" s="6" t="s">
        <v>171</v>
      </c>
      <c r="L122" s="6" t="s">
        <v>90</v>
      </c>
      <c r="M122" s="6">
        <v>1</v>
      </c>
      <c r="N122" s="6" t="s">
        <v>44</v>
      </c>
      <c r="O122" s="6" t="s">
        <v>141</v>
      </c>
      <c r="P122" s="24">
        <v>10</v>
      </c>
      <c r="Q122" s="6" t="s">
        <v>32</v>
      </c>
    </row>
    <row r="123" spans="1:21" x14ac:dyDescent="0.25">
      <c r="A123" s="18"/>
      <c r="B123" s="18"/>
      <c r="C123" s="18"/>
      <c r="F123" s="18"/>
      <c r="G123" s="18"/>
      <c r="H123" s="18"/>
      <c r="I123" s="33">
        <v>44463</v>
      </c>
      <c r="J123" s="6" t="s">
        <v>27</v>
      </c>
      <c r="K123" s="6" t="s">
        <v>171</v>
      </c>
      <c r="L123" s="6" t="s">
        <v>90</v>
      </c>
      <c r="M123" s="6">
        <v>1</v>
      </c>
      <c r="N123" s="6" t="s">
        <v>40</v>
      </c>
      <c r="O123" s="6" t="s">
        <v>142</v>
      </c>
      <c r="P123" s="24">
        <v>16.5</v>
      </c>
      <c r="Q123" s="6" t="s">
        <v>32</v>
      </c>
    </row>
    <row r="124" spans="1:21" x14ac:dyDescent="0.25">
      <c r="A124" s="18"/>
      <c r="B124" s="18"/>
      <c r="C124" s="18"/>
      <c r="F124" s="18"/>
      <c r="G124" s="18"/>
      <c r="H124" s="18"/>
      <c r="I124" s="33">
        <v>44463</v>
      </c>
      <c r="J124" s="6" t="s">
        <v>27</v>
      </c>
      <c r="K124" s="6" t="s">
        <v>171</v>
      </c>
      <c r="L124" s="6" t="s">
        <v>89</v>
      </c>
      <c r="M124" s="6">
        <v>1</v>
      </c>
      <c r="N124" s="6" t="s">
        <v>40</v>
      </c>
      <c r="O124" s="6" t="s">
        <v>140</v>
      </c>
      <c r="P124" s="24">
        <v>16.5</v>
      </c>
      <c r="Q124" s="6" t="s">
        <v>32</v>
      </c>
    </row>
    <row r="125" spans="1:21" x14ac:dyDescent="0.25">
      <c r="A125" s="18"/>
      <c r="B125" s="18"/>
      <c r="C125" s="18"/>
      <c r="F125" s="18"/>
      <c r="G125" s="18"/>
      <c r="H125" s="18"/>
      <c r="I125" s="33">
        <v>44463</v>
      </c>
      <c r="J125" s="6" t="s">
        <v>27</v>
      </c>
      <c r="K125" s="6" t="s">
        <v>171</v>
      </c>
      <c r="L125" s="6" t="s">
        <v>90</v>
      </c>
      <c r="M125" s="6">
        <v>6</v>
      </c>
      <c r="N125" s="6" t="s">
        <v>55</v>
      </c>
      <c r="O125" s="6" t="s">
        <v>104</v>
      </c>
      <c r="P125" s="24">
        <v>8</v>
      </c>
      <c r="Q125" s="6" t="s">
        <v>32</v>
      </c>
    </row>
    <row r="126" spans="1:21" x14ac:dyDescent="0.25">
      <c r="A126" s="18"/>
      <c r="B126" s="18"/>
      <c r="C126" s="18"/>
      <c r="F126" s="18"/>
      <c r="G126" s="18"/>
      <c r="H126" s="18"/>
      <c r="I126" s="33">
        <v>44467</v>
      </c>
      <c r="J126" s="6" t="s">
        <v>27</v>
      </c>
      <c r="K126" s="6" t="s">
        <v>171</v>
      </c>
      <c r="L126" s="6" t="s">
        <v>90</v>
      </c>
      <c r="M126" s="6">
        <v>1</v>
      </c>
      <c r="N126" s="6" t="s">
        <v>40</v>
      </c>
      <c r="O126" s="6" t="s">
        <v>140</v>
      </c>
      <c r="P126" s="24">
        <v>16.5</v>
      </c>
      <c r="Q126" s="6" t="s">
        <v>32</v>
      </c>
    </row>
    <row r="127" spans="1:21" x14ac:dyDescent="0.25">
      <c r="A127" s="18"/>
      <c r="B127" s="18"/>
      <c r="C127" s="18"/>
      <c r="F127" s="18"/>
      <c r="G127" s="18"/>
      <c r="H127" s="18"/>
      <c r="I127" s="33">
        <v>44467</v>
      </c>
      <c r="J127" s="6" t="s">
        <v>27</v>
      </c>
      <c r="K127" s="6" t="s">
        <v>171</v>
      </c>
      <c r="L127" s="6" t="s">
        <v>89</v>
      </c>
      <c r="M127" s="6">
        <v>1</v>
      </c>
      <c r="N127" s="6" t="s">
        <v>40</v>
      </c>
      <c r="O127" s="6" t="s">
        <v>140</v>
      </c>
      <c r="P127" s="24">
        <v>16</v>
      </c>
      <c r="Q127" s="6" t="s">
        <v>32</v>
      </c>
    </row>
    <row r="128" spans="1:21" x14ac:dyDescent="0.25">
      <c r="A128" s="18"/>
      <c r="B128" s="18"/>
      <c r="C128" s="18"/>
      <c r="F128" s="18"/>
      <c r="G128" s="18"/>
      <c r="H128" s="18"/>
      <c r="I128" s="33">
        <v>44467</v>
      </c>
      <c r="J128" s="6" t="s">
        <v>27</v>
      </c>
      <c r="K128" s="6" t="s">
        <v>171</v>
      </c>
      <c r="L128" s="6" t="s">
        <v>89</v>
      </c>
      <c r="M128" s="6">
        <v>1</v>
      </c>
      <c r="N128" s="6" t="s">
        <v>40</v>
      </c>
      <c r="O128" s="6" t="s">
        <v>140</v>
      </c>
      <c r="P128" s="24">
        <v>15</v>
      </c>
      <c r="Q128" s="6" t="s">
        <v>32</v>
      </c>
    </row>
    <row r="129" spans="1:38" x14ac:dyDescent="0.25">
      <c r="A129" s="18"/>
      <c r="B129" s="18"/>
      <c r="C129" s="18"/>
      <c r="F129" s="18"/>
      <c r="G129" s="18"/>
      <c r="H129" s="18"/>
      <c r="I129" s="33">
        <v>44467</v>
      </c>
      <c r="J129" s="6" t="s">
        <v>27</v>
      </c>
      <c r="K129" s="6" t="s">
        <v>171</v>
      </c>
      <c r="L129" s="6" t="s">
        <v>89</v>
      </c>
      <c r="M129" s="6">
        <v>1</v>
      </c>
      <c r="N129" s="6" t="s">
        <v>40</v>
      </c>
      <c r="O129" s="6" t="s">
        <v>140</v>
      </c>
      <c r="P129" s="24">
        <v>16.5</v>
      </c>
      <c r="Q129" s="6" t="s">
        <v>32</v>
      </c>
    </row>
    <row r="130" spans="1:38" x14ac:dyDescent="0.25">
      <c r="A130" s="18"/>
      <c r="B130" s="18"/>
      <c r="C130" s="18"/>
      <c r="F130" s="18"/>
      <c r="G130" s="18"/>
      <c r="H130" s="18"/>
      <c r="I130" s="33">
        <v>44469</v>
      </c>
      <c r="J130" s="6" t="s">
        <v>28</v>
      </c>
      <c r="K130" s="6" t="s">
        <v>171</v>
      </c>
      <c r="L130" s="6" t="s">
        <v>90</v>
      </c>
      <c r="M130" s="6">
        <v>1</v>
      </c>
      <c r="N130" s="6" t="s">
        <v>40</v>
      </c>
      <c r="O130" s="6" t="s">
        <v>140</v>
      </c>
      <c r="P130" s="24">
        <v>16.5</v>
      </c>
      <c r="Q130" s="6" t="s">
        <v>32</v>
      </c>
    </row>
    <row r="131" spans="1:38" x14ac:dyDescent="0.25">
      <c r="A131" s="18"/>
      <c r="B131" s="18"/>
      <c r="C131" s="18"/>
      <c r="F131" s="18"/>
      <c r="G131" s="18"/>
      <c r="H131" s="18"/>
      <c r="I131" s="33">
        <v>44469</v>
      </c>
      <c r="J131" s="6" t="s">
        <v>28</v>
      </c>
      <c r="K131" s="6" t="s">
        <v>171</v>
      </c>
      <c r="L131" s="6" t="s">
        <v>90</v>
      </c>
      <c r="M131" s="6">
        <v>1</v>
      </c>
      <c r="N131" s="6" t="s">
        <v>40</v>
      </c>
      <c r="O131" s="6" t="s">
        <v>140</v>
      </c>
      <c r="P131" s="24">
        <v>16.5</v>
      </c>
      <c r="Q131" s="6" t="s">
        <v>32</v>
      </c>
    </row>
    <row r="132" spans="1:38" x14ac:dyDescent="0.25">
      <c r="A132" s="18"/>
      <c r="B132" s="18"/>
      <c r="C132" s="18"/>
      <c r="F132" s="18"/>
      <c r="G132" s="18"/>
      <c r="H132" s="18"/>
      <c r="I132" s="33">
        <v>44469</v>
      </c>
      <c r="J132" s="6" t="s">
        <v>28</v>
      </c>
      <c r="K132" s="6" t="s">
        <v>171</v>
      </c>
      <c r="L132" s="6" t="s">
        <v>90</v>
      </c>
      <c r="M132" s="6">
        <v>1</v>
      </c>
      <c r="N132" s="6" t="s">
        <v>40</v>
      </c>
      <c r="O132" s="6" t="s">
        <v>140</v>
      </c>
      <c r="P132" s="24">
        <v>16.5</v>
      </c>
      <c r="Q132" s="6" t="s">
        <v>32</v>
      </c>
    </row>
    <row r="133" spans="1:38" x14ac:dyDescent="0.25">
      <c r="A133" s="18"/>
      <c r="B133" s="18"/>
      <c r="C133" s="18"/>
      <c r="F133" s="18"/>
      <c r="G133" s="18"/>
      <c r="H133" s="18"/>
      <c r="I133" s="33">
        <v>44469</v>
      </c>
      <c r="J133" s="6" t="s">
        <v>28</v>
      </c>
      <c r="K133" s="6" t="s">
        <v>171</v>
      </c>
      <c r="L133" s="6" t="s">
        <v>90</v>
      </c>
      <c r="M133" s="6">
        <v>1</v>
      </c>
      <c r="N133" s="6" t="s">
        <v>40</v>
      </c>
      <c r="O133" s="6" t="s">
        <v>140</v>
      </c>
      <c r="P133" s="24">
        <v>16.5</v>
      </c>
      <c r="Q133" s="6" t="s">
        <v>32</v>
      </c>
    </row>
    <row r="134" spans="1:38" x14ac:dyDescent="0.25">
      <c r="A134" s="18"/>
      <c r="B134" s="18"/>
      <c r="C134" s="18"/>
      <c r="F134" s="18"/>
      <c r="G134" s="18"/>
      <c r="H134" s="18"/>
      <c r="I134" s="33">
        <v>44469</v>
      </c>
      <c r="J134" s="6" t="s">
        <v>28</v>
      </c>
      <c r="K134" s="6" t="s">
        <v>171</v>
      </c>
      <c r="L134" s="6" t="s">
        <v>90</v>
      </c>
      <c r="M134" s="6">
        <v>1</v>
      </c>
      <c r="N134" s="6" t="s">
        <v>40</v>
      </c>
      <c r="O134" s="6" t="s">
        <v>140</v>
      </c>
      <c r="P134" s="24">
        <v>17</v>
      </c>
      <c r="Q134" s="6" t="s">
        <v>32</v>
      </c>
    </row>
    <row r="135" spans="1:38" x14ac:dyDescent="0.25">
      <c r="A135" s="18"/>
      <c r="B135" s="18"/>
      <c r="C135" s="18"/>
      <c r="F135" s="18"/>
      <c r="G135" s="18"/>
      <c r="H135" s="18"/>
      <c r="I135" s="33">
        <v>44469</v>
      </c>
      <c r="J135" s="6" t="s">
        <v>28</v>
      </c>
      <c r="K135" s="6" t="s">
        <v>171</v>
      </c>
      <c r="L135" s="6" t="s">
        <v>90</v>
      </c>
      <c r="M135" s="6">
        <v>1</v>
      </c>
      <c r="N135" s="6" t="s">
        <v>40</v>
      </c>
      <c r="O135" s="6" t="s">
        <v>140</v>
      </c>
      <c r="P135" s="24">
        <v>16.5</v>
      </c>
      <c r="Q135" s="6" t="s">
        <v>32</v>
      </c>
    </row>
    <row r="136" spans="1:38" x14ac:dyDescent="0.25">
      <c r="A136" s="18"/>
      <c r="B136" s="18"/>
      <c r="C136" s="18"/>
      <c r="F136" s="18"/>
      <c r="G136" s="18"/>
      <c r="H136" s="18"/>
      <c r="I136" s="33">
        <v>44469</v>
      </c>
      <c r="J136" s="6" t="s">
        <v>28</v>
      </c>
      <c r="K136" s="6" t="s">
        <v>171</v>
      </c>
      <c r="L136" s="6" t="s">
        <v>90</v>
      </c>
      <c r="M136" s="6">
        <v>1</v>
      </c>
      <c r="N136" s="6" t="s">
        <v>40</v>
      </c>
      <c r="O136" s="6" t="s">
        <v>140</v>
      </c>
      <c r="P136" s="24">
        <v>16.5</v>
      </c>
      <c r="Q136" s="6" t="s">
        <v>32</v>
      </c>
    </row>
    <row r="137" spans="1:38" x14ac:dyDescent="0.25">
      <c r="A137" s="18"/>
      <c r="B137" s="18"/>
      <c r="C137" s="18"/>
      <c r="F137" s="18"/>
      <c r="G137" s="18"/>
      <c r="H137" s="18"/>
      <c r="I137" s="33">
        <v>44469</v>
      </c>
      <c r="J137" s="6" t="s">
        <v>28</v>
      </c>
      <c r="K137" s="6" t="s">
        <v>171</v>
      </c>
      <c r="L137" s="6" t="s">
        <v>90</v>
      </c>
      <c r="M137" s="6">
        <v>1</v>
      </c>
      <c r="N137" s="6" t="s">
        <v>40</v>
      </c>
      <c r="O137" s="6" t="s">
        <v>140</v>
      </c>
      <c r="P137" s="24">
        <v>16.5</v>
      </c>
      <c r="Q137" s="6" t="s">
        <v>32</v>
      </c>
    </row>
    <row r="138" spans="1:38" x14ac:dyDescent="0.25">
      <c r="A138" s="18"/>
      <c r="B138" s="18"/>
      <c r="C138" s="18"/>
      <c r="F138" s="18"/>
      <c r="G138" s="18"/>
      <c r="H138" s="18"/>
      <c r="I138" s="33">
        <v>44469</v>
      </c>
      <c r="J138" s="6" t="s">
        <v>28</v>
      </c>
      <c r="K138" s="6" t="s">
        <v>171</v>
      </c>
      <c r="L138" s="6" t="s">
        <v>90</v>
      </c>
      <c r="M138" s="6">
        <v>1</v>
      </c>
      <c r="N138" s="6" t="s">
        <v>40</v>
      </c>
      <c r="O138" s="6" t="s">
        <v>140</v>
      </c>
      <c r="P138" s="24">
        <v>16.5</v>
      </c>
      <c r="Q138" s="6" t="s">
        <v>32</v>
      </c>
    </row>
    <row r="139" spans="1:38" x14ac:dyDescent="0.25">
      <c r="A139" s="18"/>
      <c r="B139" s="18"/>
      <c r="C139" s="18"/>
      <c r="F139" s="18"/>
      <c r="G139" s="18"/>
      <c r="H139" s="18"/>
      <c r="I139" s="33">
        <v>44469</v>
      </c>
      <c r="J139" s="6" t="s">
        <v>28</v>
      </c>
      <c r="K139" s="6" t="s">
        <v>171</v>
      </c>
      <c r="L139" s="6" t="s">
        <v>90</v>
      </c>
      <c r="M139" s="6">
        <v>1</v>
      </c>
      <c r="N139" s="6" t="s">
        <v>40</v>
      </c>
      <c r="O139" s="6" t="s">
        <v>140</v>
      </c>
      <c r="P139" s="24">
        <v>16.5</v>
      </c>
      <c r="Q139" s="6" t="s">
        <v>32</v>
      </c>
    </row>
    <row r="140" spans="1:38" x14ac:dyDescent="0.25">
      <c r="A140" s="18"/>
      <c r="B140" s="18"/>
      <c r="C140" s="18"/>
      <c r="F140" s="18"/>
      <c r="G140" s="18"/>
      <c r="H140" s="18"/>
      <c r="I140" s="33">
        <v>44469</v>
      </c>
      <c r="J140" s="6" t="s">
        <v>28</v>
      </c>
      <c r="K140" s="6" t="s">
        <v>171</v>
      </c>
      <c r="L140" s="6" t="s">
        <v>90</v>
      </c>
      <c r="M140" s="6">
        <v>1</v>
      </c>
      <c r="N140" s="6" t="s">
        <v>40</v>
      </c>
      <c r="O140" s="6" t="s">
        <v>140</v>
      </c>
      <c r="P140" s="24">
        <v>16.5</v>
      </c>
      <c r="Q140" s="6" t="s">
        <v>32</v>
      </c>
    </row>
    <row r="141" spans="1:38" ht="39.950000000000003" customHeight="1" x14ac:dyDescent="0.25">
      <c r="A141" s="18"/>
      <c r="B141" s="18"/>
      <c r="C141" s="18"/>
      <c r="E141" s="18"/>
      <c r="F141" s="18"/>
      <c r="G141" s="18"/>
      <c r="H141" s="18"/>
      <c r="I141" s="35"/>
      <c r="P141"/>
    </row>
    <row r="142" spans="1:38" x14ac:dyDescent="0.25">
      <c r="A142" s="18"/>
      <c r="B142" s="18"/>
      <c r="C142" s="18"/>
      <c r="E142" s="18"/>
      <c r="F142" s="18"/>
      <c r="G142" s="18"/>
      <c r="H142" s="18"/>
      <c r="I142" s="35"/>
      <c r="J142"/>
      <c r="K142"/>
      <c r="L142"/>
      <c r="M142"/>
      <c r="N142"/>
      <c r="O142"/>
      <c r="P142"/>
      <c r="Q142"/>
    </row>
    <row r="143" spans="1:38" ht="8.1" customHeight="1" x14ac:dyDescent="0.25">
      <c r="A143" s="18"/>
      <c r="B143" s="18"/>
      <c r="C143" s="18"/>
      <c r="E143" s="18"/>
      <c r="F143" s="18"/>
      <c r="G143" s="18"/>
      <c r="H143" s="18"/>
      <c r="P143"/>
    </row>
    <row r="144" spans="1:38" x14ac:dyDescent="0.25">
      <c r="A144" s="18"/>
      <c r="B144" s="18"/>
      <c r="C144" s="56" t="s">
        <v>3</v>
      </c>
      <c r="D144" s="56" t="s">
        <v>4</v>
      </c>
      <c r="E144" s="56" t="s">
        <v>34</v>
      </c>
      <c r="F144" s="56" t="s">
        <v>35</v>
      </c>
      <c r="G144" s="18"/>
      <c r="H144" s="18"/>
      <c r="I144" s="15" t="s">
        <v>0</v>
      </c>
      <c r="J144" s="15" t="s">
        <v>2</v>
      </c>
      <c r="K144" s="15" t="s">
        <v>1</v>
      </c>
      <c r="L144" s="15" t="s">
        <v>87</v>
      </c>
      <c r="M144" s="15" t="s">
        <v>4</v>
      </c>
      <c r="N144" s="15" t="s">
        <v>3</v>
      </c>
      <c r="O144" s="15" t="s">
        <v>72</v>
      </c>
      <c r="P144" s="15" t="s">
        <v>5</v>
      </c>
      <c r="Q144" s="15" t="s">
        <v>6</v>
      </c>
      <c r="R144" s="15" t="s">
        <v>102</v>
      </c>
      <c r="X144" s="6" t="s">
        <v>54</v>
      </c>
      <c r="Y144" t="s">
        <v>50</v>
      </c>
      <c r="Z144" s="6" t="s">
        <v>51</v>
      </c>
      <c r="AB144" t="s">
        <v>60</v>
      </c>
      <c r="AD144" s="6" t="s">
        <v>88</v>
      </c>
      <c r="AI144" s="6" t="s">
        <v>98</v>
      </c>
      <c r="AJ144" s="6" t="s">
        <v>99</v>
      </c>
      <c r="AK144" s="6" t="s">
        <v>100</v>
      </c>
      <c r="AL144" s="6" t="s">
        <v>101</v>
      </c>
    </row>
    <row r="145" spans="1:38" x14ac:dyDescent="0.25">
      <c r="A145" s="18"/>
      <c r="B145" s="18"/>
      <c r="C145" s="12" t="str">
        <f>CADASTRO_UNIDADE_VENDAS41[[#This Row],[CADASTRO_UNIDADE]]</f>
        <v>CONST. UN</v>
      </c>
      <c r="D145" s="12">
        <f>SUMIFS(Tabela439[QNT],Tabela439[SITUAÇÃO],$V$10,Tabela439[PRODUTO],C145)</f>
        <v>20</v>
      </c>
      <c r="E145" s="26">
        <f>SUMIFS(Tabela439[VALOR],Tabela439[SITUAÇÃO],$V$6,Tabela439[PRODUTO],C145)</f>
        <v>18.399999999999999</v>
      </c>
      <c r="F145" s="13">
        <f t="shared" ref="F145:F154" si="9">E145/$V$147</f>
        <v>3.5986700567181687E-2</v>
      </c>
      <c r="G145" s="18"/>
      <c r="H145" s="18"/>
      <c r="I145" s="33">
        <v>44475</v>
      </c>
      <c r="J145" s="6" t="s">
        <v>27</v>
      </c>
      <c r="K145" s="6" t="s">
        <v>171</v>
      </c>
      <c r="L145" s="6" t="s">
        <v>90</v>
      </c>
      <c r="M145" s="6">
        <v>1</v>
      </c>
      <c r="N145" s="6" t="s">
        <v>40</v>
      </c>
      <c r="O145" s="6" t="s">
        <v>140</v>
      </c>
      <c r="P145" s="24">
        <v>16.5</v>
      </c>
      <c r="Q145" s="6" t="s">
        <v>32</v>
      </c>
      <c r="R145" s="6" t="str">
        <f>TEXT(Tabela439[[#This Row],[DATA]],"MMM")</f>
        <v>out</v>
      </c>
      <c r="V145" s="6" t="s">
        <v>32</v>
      </c>
      <c r="X145" s="6" t="s">
        <v>28</v>
      </c>
      <c r="Y145" t="s">
        <v>133</v>
      </c>
      <c r="Z145" s="6" t="s">
        <v>105</v>
      </c>
      <c r="AB145" t="s">
        <v>32</v>
      </c>
      <c r="AD145" s="6" t="s">
        <v>89</v>
      </c>
      <c r="AI145" s="34">
        <v>44197</v>
      </c>
      <c r="AL145" s="6">
        <f>AJ145-AK145</f>
        <v>0</v>
      </c>
    </row>
    <row r="146" spans="1:38" x14ac:dyDescent="0.25">
      <c r="A146" s="18"/>
      <c r="B146" s="18"/>
      <c r="C146" s="12" t="str">
        <f>CADASTRO_UNIDADE_VENDAS41[[#This Row],[CADASTRO_UNIDADE]]</f>
        <v>CONSTELAÇÃO</v>
      </c>
      <c r="D146" s="12">
        <f>SUMIFS(Tabela439[QNT],Tabela439[SITUAÇÃO],$V$10,Tabela439[PRODUTO],C146)</f>
        <v>0</v>
      </c>
      <c r="E146" s="26">
        <f>SUMIFS(Tabela439[VALOR],Tabela439[SITUAÇÃO],$V$6,Tabela439[PRODUTO],C146)</f>
        <v>0</v>
      </c>
      <c r="F146" s="13">
        <f t="shared" si="9"/>
        <v>0</v>
      </c>
      <c r="G146" s="18"/>
      <c r="H146" s="18"/>
      <c r="I146" s="33">
        <v>44475</v>
      </c>
      <c r="J146" s="6" t="s">
        <v>27</v>
      </c>
      <c r="K146" s="6" t="s">
        <v>171</v>
      </c>
      <c r="L146" s="6" t="s">
        <v>90</v>
      </c>
      <c r="M146" s="6">
        <v>1</v>
      </c>
      <c r="N146" s="6" t="s">
        <v>40</v>
      </c>
      <c r="O146" s="6" t="s">
        <v>140</v>
      </c>
      <c r="P146" s="24">
        <v>16.5</v>
      </c>
      <c r="Q146" s="6" t="s">
        <v>32</v>
      </c>
      <c r="R146" s="6" t="str">
        <f>TEXT(Tabela439[[#This Row],[DATA]],"MMM")</f>
        <v>out</v>
      </c>
      <c r="V146" s="6" t="s">
        <v>33</v>
      </c>
      <c r="X146" s="6" t="s">
        <v>27</v>
      </c>
      <c r="Y146" t="s">
        <v>122</v>
      </c>
      <c r="Z146" s="6" t="s">
        <v>141</v>
      </c>
      <c r="AB146" t="s">
        <v>33</v>
      </c>
      <c r="AD146" s="6" t="s">
        <v>90</v>
      </c>
      <c r="AI146" s="34">
        <v>44228</v>
      </c>
      <c r="AL146" s="6">
        <f t="shared" ref="AL146:AL156" si="10">AJ146-AK146</f>
        <v>0</v>
      </c>
    </row>
    <row r="147" spans="1:38" x14ac:dyDescent="0.25">
      <c r="A147" s="18"/>
      <c r="B147" s="18"/>
      <c r="C147" s="12" t="str">
        <f>CADASTRO_UNIDADE_VENDAS41[[#This Row],[CADASTRO_UNIDADE]]</f>
        <v>CX. 4. UN</v>
      </c>
      <c r="D147" s="12">
        <f>SUMIFS(Tabela439[QNT],Tabela439[SITUAÇÃO],$V$10,Tabela439[PRODUTO],C147)</f>
        <v>15</v>
      </c>
      <c r="E147" s="26">
        <f>SUMIFS(Tabela439[VALOR],Tabela439[SITUAÇÃO],$V$6,Tabela439[PRODUTO],C147)</f>
        <v>108.5</v>
      </c>
      <c r="F147" s="13">
        <f t="shared" si="9"/>
        <v>0.21220418540973987</v>
      </c>
      <c r="G147" s="18"/>
      <c r="H147" s="18"/>
      <c r="I147" s="58">
        <v>44477</v>
      </c>
      <c r="J147" s="6" t="s">
        <v>27</v>
      </c>
      <c r="K147" s="6" t="s">
        <v>171</v>
      </c>
      <c r="L147" s="6" t="s">
        <v>90</v>
      </c>
      <c r="M147" s="6">
        <v>1</v>
      </c>
      <c r="N147" s="6" t="s">
        <v>40</v>
      </c>
      <c r="O147" s="6" t="s">
        <v>140</v>
      </c>
      <c r="P147" s="24">
        <v>16.5</v>
      </c>
      <c r="Q147" s="6" t="s">
        <v>32</v>
      </c>
      <c r="R147" s="6" t="str">
        <f>TEXT(Tabela439[[#This Row],[DATA]],"MMM")</f>
        <v>out</v>
      </c>
      <c r="U147" s="6" t="s">
        <v>42</v>
      </c>
      <c r="V147" s="25">
        <f>SUM(Tabela439[VALOR])</f>
        <v>511.3</v>
      </c>
      <c r="Y147" t="s">
        <v>136</v>
      </c>
      <c r="Z147" s="6" t="s">
        <v>142</v>
      </c>
      <c r="AI147" s="34">
        <v>44256</v>
      </c>
      <c r="AL147" s="6">
        <f t="shared" si="10"/>
        <v>0</v>
      </c>
    </row>
    <row r="148" spans="1:38" x14ac:dyDescent="0.25">
      <c r="A148" s="18"/>
      <c r="B148" s="18"/>
      <c r="C148" s="12" t="str">
        <f>CADASTRO_UNIDADE_VENDAS41[[#This Row],[CADASTRO_UNIDADE]]</f>
        <v>CX.10.UN</v>
      </c>
      <c r="D148" s="12">
        <f>SUMIFS(Tabela439[QNT],Tabela439[SITUAÇÃO],$V$10,Tabela439[PRODUTO],C148)</f>
        <v>17</v>
      </c>
      <c r="E148" s="26">
        <f>SUMIFS(Tabela439[VALOR],Tabela439[SITUAÇÃO],$V$6,Tabela439[PRODUTO],C148)</f>
        <v>280.5</v>
      </c>
      <c r="F148" s="13">
        <f t="shared" si="9"/>
        <v>0.548601603755134</v>
      </c>
      <c r="G148" s="18"/>
      <c r="H148" s="18"/>
      <c r="I148" s="33">
        <v>44477</v>
      </c>
      <c r="J148" s="6" t="s">
        <v>28</v>
      </c>
      <c r="K148" s="6" t="s">
        <v>171</v>
      </c>
      <c r="L148" s="6" t="s">
        <v>90</v>
      </c>
      <c r="M148" s="6">
        <v>10</v>
      </c>
      <c r="N148" s="6" t="s">
        <v>53</v>
      </c>
      <c r="O148" s="6" t="s">
        <v>103</v>
      </c>
      <c r="P148" s="24">
        <v>9.1999999999999993</v>
      </c>
      <c r="Q148" s="6" t="s">
        <v>32</v>
      </c>
      <c r="R148" s="6" t="str">
        <f>TEXT(Tabela439[[#This Row],[DATA]],"MMM")</f>
        <v>out</v>
      </c>
      <c r="Y148" t="s">
        <v>40</v>
      </c>
      <c r="Z148" s="6" t="s">
        <v>59</v>
      </c>
      <c r="AI148" s="34">
        <v>44287</v>
      </c>
      <c r="AL148" s="6">
        <f t="shared" si="10"/>
        <v>0</v>
      </c>
    </row>
    <row r="149" spans="1:38" x14ac:dyDescent="0.25">
      <c r="A149" s="18"/>
      <c r="B149" s="18"/>
      <c r="C149" s="12" t="str">
        <f>CADASTRO_UNIDADE_VENDAS41[[#This Row],[CADASTRO_UNIDADE]]</f>
        <v>CX.12.UN</v>
      </c>
      <c r="D149" s="12">
        <f>SUMIFS(Tabela439[QNT],Tabela439[SITUAÇÃO],$V$10,Tabela439[PRODUTO],C149)</f>
        <v>0</v>
      </c>
      <c r="E149" s="26">
        <f>SUMIFS(Tabela439[VALOR],Tabela439[SITUAÇÃO],$V$6,Tabela439[PRODUTO],C149)</f>
        <v>0</v>
      </c>
      <c r="F149" s="13">
        <f t="shared" si="9"/>
        <v>0</v>
      </c>
      <c r="G149" s="18"/>
      <c r="H149" s="18"/>
      <c r="I149" s="33">
        <v>44477</v>
      </c>
      <c r="J149" s="6" t="s">
        <v>28</v>
      </c>
      <c r="K149" s="6" t="s">
        <v>171</v>
      </c>
      <c r="L149" s="6" t="s">
        <v>90</v>
      </c>
      <c r="M149" s="6">
        <v>10</v>
      </c>
      <c r="N149" s="6" t="s">
        <v>56</v>
      </c>
      <c r="O149" s="6" t="s">
        <v>121</v>
      </c>
      <c r="P149" s="24">
        <v>9.1999999999999993</v>
      </c>
      <c r="Q149" s="6" t="s">
        <v>32</v>
      </c>
      <c r="R149" s="6" t="str">
        <f>TEXT(Tabela439[[#This Row],[DATA]],"MMM")</f>
        <v>out</v>
      </c>
      <c r="V149" s="6" t="s">
        <v>32</v>
      </c>
      <c r="Y149" t="s">
        <v>58</v>
      </c>
      <c r="Z149" s="6" t="s">
        <v>45</v>
      </c>
      <c r="AI149" s="34">
        <v>44317</v>
      </c>
      <c r="AL149" s="6">
        <f t="shared" si="10"/>
        <v>0</v>
      </c>
    </row>
    <row r="150" spans="1:38" x14ac:dyDescent="0.25">
      <c r="A150" s="18"/>
      <c r="B150" s="18"/>
      <c r="C150" s="12" t="str">
        <f>CADASTRO_UNIDADE_VENDAS41[[#This Row],[CADASTRO_UNIDADE]]</f>
        <v>CX.6.UN</v>
      </c>
      <c r="D150" s="12">
        <f>SUMIFS(Tabela439[QNT],Tabela439[SITUAÇÃO],$V$10,Tabela439[PRODUTO],C150)</f>
        <v>0</v>
      </c>
      <c r="E150" s="26">
        <f>SUMIFS(Tabela439[VALOR],Tabela439[SITUAÇÃO],$V$6,Tabela439[PRODUTO],C150)</f>
        <v>0</v>
      </c>
      <c r="F150" s="13">
        <f t="shared" si="9"/>
        <v>0</v>
      </c>
      <c r="G150" s="18"/>
      <c r="H150" s="18"/>
      <c r="I150" s="33">
        <v>44477</v>
      </c>
      <c r="J150" s="6" t="s">
        <v>28</v>
      </c>
      <c r="K150" s="6" t="s">
        <v>171</v>
      </c>
      <c r="L150" s="6" t="s">
        <v>90</v>
      </c>
      <c r="M150" s="6">
        <v>10</v>
      </c>
      <c r="N150" s="6" t="s">
        <v>55</v>
      </c>
      <c r="O150" s="6" t="s">
        <v>104</v>
      </c>
      <c r="P150" s="24">
        <v>9.1999999999999993</v>
      </c>
      <c r="Q150" s="6" t="s">
        <v>32</v>
      </c>
      <c r="R150" s="6" t="str">
        <f>TEXT(Tabela439[[#This Row],[DATA]],"MMM")</f>
        <v>out</v>
      </c>
      <c r="V150" s="6" t="s">
        <v>33</v>
      </c>
      <c r="Y150" t="s">
        <v>44</v>
      </c>
      <c r="Z150" s="6" t="s">
        <v>61</v>
      </c>
      <c r="AI150" s="34">
        <v>44348</v>
      </c>
      <c r="AL150" s="6">
        <f t="shared" si="10"/>
        <v>0</v>
      </c>
    </row>
    <row r="151" spans="1:38" x14ac:dyDescent="0.25">
      <c r="A151" s="18"/>
      <c r="B151" s="18"/>
      <c r="C151" s="12" t="str">
        <f>CADASTRO_UNIDADE_VENDAS41[[#This Row],[CADASTRO_UNIDADE]]</f>
        <v>NINH.UN</v>
      </c>
      <c r="D151" s="12">
        <f>SUMIFS(Tabela439[QNT],Tabela439[SITUAÇÃO],$V$10,Tabela439[PRODUTO],C151)</f>
        <v>19</v>
      </c>
      <c r="E151" s="26">
        <f>SUMIFS(Tabela439[VALOR],Tabela439[SITUAÇÃO],$V$6,Tabela439[PRODUTO],C151)</f>
        <v>17.479999999999997</v>
      </c>
      <c r="F151" s="13">
        <f t="shared" si="9"/>
        <v>3.4187365538822602E-2</v>
      </c>
      <c r="G151" s="18"/>
      <c r="H151" s="18"/>
      <c r="I151" s="33">
        <v>44477</v>
      </c>
      <c r="J151" s="6" t="s">
        <v>28</v>
      </c>
      <c r="K151" s="6" t="s">
        <v>171</v>
      </c>
      <c r="L151" s="6" t="s">
        <v>90</v>
      </c>
      <c r="M151" s="6">
        <v>10</v>
      </c>
      <c r="N151" s="6" t="s">
        <v>133</v>
      </c>
      <c r="O151" s="6" t="s">
        <v>123</v>
      </c>
      <c r="P151" s="24">
        <v>9.1999999999999993</v>
      </c>
      <c r="Q151" s="6" t="s">
        <v>32</v>
      </c>
      <c r="R151" s="6" t="str">
        <f>TEXT(Tabela439[[#This Row],[DATA]],"MMM")</f>
        <v>out</v>
      </c>
      <c r="U151" s="6" t="s">
        <v>52</v>
      </c>
      <c r="V151" s="6">
        <f>SUM(M145:M175)</f>
        <v>148</v>
      </c>
      <c r="Y151" t="s">
        <v>56</v>
      </c>
      <c r="Z151" s="6" t="s">
        <v>140</v>
      </c>
      <c r="AI151" s="34">
        <v>44378</v>
      </c>
      <c r="AL151" s="6">
        <f t="shared" si="10"/>
        <v>0</v>
      </c>
    </row>
    <row r="152" spans="1:38" x14ac:dyDescent="0.25">
      <c r="A152" s="18"/>
      <c r="B152" s="18"/>
      <c r="C152" s="12" t="str">
        <f>CADASTRO_UNIDADE_VENDAS41[[#This Row],[CADASTRO_UNIDADE]]</f>
        <v>NUTEL.UN</v>
      </c>
      <c r="D152" s="12">
        <f>SUMIFS(Tabela439[QNT],Tabela439[SITUAÇÃO],$V$10,Tabela439[PRODUTO],C152)</f>
        <v>0</v>
      </c>
      <c r="E152" s="26">
        <f>SUMIFS(Tabela439[VALOR],Tabela439[SITUAÇÃO],$V$6,Tabela439[PRODUTO],C152)</f>
        <v>0</v>
      </c>
      <c r="F152" s="13">
        <f t="shared" si="9"/>
        <v>0</v>
      </c>
      <c r="G152" s="18"/>
      <c r="H152" s="18"/>
      <c r="I152" s="33">
        <v>44477</v>
      </c>
      <c r="J152" s="6" t="s">
        <v>28</v>
      </c>
      <c r="K152" s="6" t="s">
        <v>171</v>
      </c>
      <c r="L152" s="6" t="s">
        <v>90</v>
      </c>
      <c r="M152" s="6">
        <v>10</v>
      </c>
      <c r="N152" s="6" t="s">
        <v>150</v>
      </c>
      <c r="O152" s="6" t="s">
        <v>139</v>
      </c>
      <c r="P152" s="24">
        <v>9.1999999999999993</v>
      </c>
      <c r="Q152" s="6" t="s">
        <v>32</v>
      </c>
      <c r="R152" s="6" t="str">
        <f>TEXT(Tabela439[[#This Row],[DATA]],"MMM")</f>
        <v>out</v>
      </c>
      <c r="Y152" t="s">
        <v>57</v>
      </c>
      <c r="Z152" s="6" t="s">
        <v>92</v>
      </c>
      <c r="AG152" s="25"/>
      <c r="AI152" s="34">
        <v>44409</v>
      </c>
      <c r="AJ152" s="25">
        <f>SUM(E145:E210)</f>
        <v>1216.7599999999998</v>
      </c>
      <c r="AL152" s="6">
        <f t="shared" si="10"/>
        <v>1216.7599999999998</v>
      </c>
    </row>
    <row r="153" spans="1:38" x14ac:dyDescent="0.25">
      <c r="A153" s="18"/>
      <c r="B153" s="18"/>
      <c r="C153" s="12" t="str">
        <f>CADASTRO_UNIDADE_VENDAS41[[#This Row],[CADASTRO_UNIDADE]]</f>
        <v>PAÇO.UN</v>
      </c>
      <c r="D153" s="12">
        <f>SUMIFS(Tabela439[QNT],Tabela439[SITUAÇÃO],$V$10,Tabela439[PRODUTO],C153)</f>
        <v>26</v>
      </c>
      <c r="E153" s="26">
        <f>SUMIFS(Tabela439[VALOR],Tabela439[SITUAÇÃO],$V$6,Tabela439[PRODUTO],C153)</f>
        <v>23.92</v>
      </c>
      <c r="F153" s="13">
        <f t="shared" si="9"/>
        <v>4.6782710737336204E-2</v>
      </c>
      <c r="G153" s="18"/>
      <c r="H153" s="18"/>
      <c r="I153" s="33">
        <v>44477</v>
      </c>
      <c r="J153" s="6" t="s">
        <v>27</v>
      </c>
      <c r="K153" s="6" t="s">
        <v>171</v>
      </c>
      <c r="L153" s="6" t="s">
        <v>90</v>
      </c>
      <c r="M153" s="6">
        <v>1</v>
      </c>
      <c r="N153" s="6" t="s">
        <v>40</v>
      </c>
      <c r="O153" s="6" t="s">
        <v>151</v>
      </c>
      <c r="P153" s="24">
        <v>16.5</v>
      </c>
      <c r="Q153" s="6" t="s">
        <v>32</v>
      </c>
      <c r="R153" s="6" t="str">
        <f>TEXT(Tabela439[[#This Row],[DATA]],"MMM")</f>
        <v>out</v>
      </c>
      <c r="Y153" t="s">
        <v>55</v>
      </c>
      <c r="Z153" s="6" t="s">
        <v>123</v>
      </c>
      <c r="AI153" s="34">
        <v>44440</v>
      </c>
      <c r="AL153" s="6">
        <f t="shared" si="10"/>
        <v>0</v>
      </c>
    </row>
    <row r="154" spans="1:38" x14ac:dyDescent="0.25">
      <c r="A154" s="18"/>
      <c r="B154" s="18"/>
      <c r="C154" s="12" t="str">
        <f>CADASTRO_UNIDADE_VENDAS41[[#This Row],[CADASTRO_UNIDADE]]</f>
        <v>SICILI. UN</v>
      </c>
      <c r="D154" s="12">
        <f>SUMIFS(Tabela439[QNT],Tabela439[SITUAÇÃO],$V$10,Tabela439[PRODUTO],C154)</f>
        <v>10</v>
      </c>
      <c r="E154" s="26">
        <f>SUMIFS(Tabela439[VALOR],Tabela439[SITUAÇÃO],$V$6,Tabela439[PRODUTO],C154)</f>
        <v>9.1999999999999993</v>
      </c>
      <c r="F154" s="13">
        <f t="shared" si="9"/>
        <v>1.7993350283590843E-2</v>
      </c>
      <c r="G154" s="18"/>
      <c r="H154" s="18"/>
      <c r="I154" s="33">
        <v>44477</v>
      </c>
      <c r="J154" s="6" t="s">
        <v>27</v>
      </c>
      <c r="K154" s="6" t="s">
        <v>171</v>
      </c>
      <c r="L154" s="6" t="s">
        <v>90</v>
      </c>
      <c r="M154" s="6">
        <v>1</v>
      </c>
      <c r="N154" s="6" t="s">
        <v>40</v>
      </c>
      <c r="O154" s="6" t="s">
        <v>140</v>
      </c>
      <c r="P154" s="24">
        <v>16.5</v>
      </c>
      <c r="Q154" s="6" t="s">
        <v>32</v>
      </c>
      <c r="R154" s="6" t="str">
        <f>TEXT(Tabela439[[#This Row],[DATA]],"MMM")</f>
        <v>out</v>
      </c>
      <c r="Y154" t="s">
        <v>150</v>
      </c>
      <c r="Z154" s="6" t="s">
        <v>121</v>
      </c>
      <c r="AI154" s="34">
        <v>44470</v>
      </c>
      <c r="AL154" s="6">
        <f t="shared" si="10"/>
        <v>0</v>
      </c>
    </row>
    <row r="155" spans="1:38" x14ac:dyDescent="0.25">
      <c r="A155" s="18"/>
      <c r="B155" s="18"/>
      <c r="C155" s="12" t="str">
        <f>CADASTRO_UNIDADE_VENDAS41[[#This Row],[CADASTRO_UNIDADE]]</f>
        <v>TRAD.UN</v>
      </c>
      <c r="D155" s="12">
        <f>SUMIFS(Tabela439[QNT],Tabela439[SITUAÇÃO],$V$10,Tabela439[PRODUTO],C155)</f>
        <v>40</v>
      </c>
      <c r="E155" s="26">
        <f>SUMIFS(Tabela439[VALOR],Tabela439[SITUAÇÃO],$V$6,Tabela439[PRODUTO],C155)</f>
        <v>36.799999999999997</v>
      </c>
      <c r="F155" s="13">
        <f t="shared" ref="F155" si="11">E155/$V$147</f>
        <v>7.1973401134363374E-2</v>
      </c>
      <c r="G155" s="18"/>
      <c r="H155" s="18"/>
      <c r="I155" s="33">
        <v>44477</v>
      </c>
      <c r="J155" s="6" t="s">
        <v>27</v>
      </c>
      <c r="K155" s="6" t="s">
        <v>171</v>
      </c>
      <c r="L155" s="6" t="s">
        <v>90</v>
      </c>
      <c r="M155" s="6">
        <v>1</v>
      </c>
      <c r="N155" s="6" t="s">
        <v>40</v>
      </c>
      <c r="O155" s="6" t="s">
        <v>152</v>
      </c>
      <c r="P155" s="24">
        <v>16.5</v>
      </c>
      <c r="Q155" s="6" t="s">
        <v>32</v>
      </c>
      <c r="R155" s="6" t="str">
        <f>TEXT(Tabela439[[#This Row],[DATA]],"MMM")</f>
        <v>out</v>
      </c>
      <c r="Y155" t="s">
        <v>53</v>
      </c>
      <c r="Z155" s="6" t="s">
        <v>104</v>
      </c>
      <c r="AI155" s="34">
        <v>44501</v>
      </c>
      <c r="AL155" s="6">
        <f t="shared" si="10"/>
        <v>0</v>
      </c>
    </row>
    <row r="156" spans="1:38" x14ac:dyDescent="0.25">
      <c r="A156" s="18"/>
      <c r="B156" s="18"/>
      <c r="C156"/>
      <c r="D156"/>
      <c r="E156"/>
      <c r="F156"/>
      <c r="G156" s="18"/>
      <c r="H156" s="18"/>
      <c r="I156" s="33">
        <v>44477</v>
      </c>
      <c r="J156" s="6" t="s">
        <v>27</v>
      </c>
      <c r="K156" s="6" t="s">
        <v>171</v>
      </c>
      <c r="L156" s="6" t="s">
        <v>90</v>
      </c>
      <c r="M156" s="6">
        <v>1</v>
      </c>
      <c r="N156" s="6" t="s">
        <v>40</v>
      </c>
      <c r="O156" s="6" t="s">
        <v>154</v>
      </c>
      <c r="P156" s="24">
        <v>16.5</v>
      </c>
      <c r="Q156" s="6" t="s">
        <v>32</v>
      </c>
      <c r="R156" s="6" t="str">
        <f>TEXT(Tabela439[[#This Row],[DATA]],"MMM")</f>
        <v>out</v>
      </c>
      <c r="Y156"/>
      <c r="Z156" s="6" t="s">
        <v>139</v>
      </c>
      <c r="AI156" s="34">
        <v>44531</v>
      </c>
      <c r="AL156" s="6">
        <f t="shared" si="10"/>
        <v>0</v>
      </c>
    </row>
    <row r="157" spans="1:38" x14ac:dyDescent="0.25">
      <c r="A157" s="18"/>
      <c r="B157" s="18"/>
      <c r="C157" s="18"/>
      <c r="F157" s="18"/>
      <c r="G157" s="18"/>
      <c r="H157" s="18"/>
      <c r="I157" s="33">
        <v>44477</v>
      </c>
      <c r="J157" s="6" t="s">
        <v>27</v>
      </c>
      <c r="K157" s="6" t="s">
        <v>171</v>
      </c>
      <c r="L157" s="6" t="s">
        <v>90</v>
      </c>
      <c r="M157" s="6">
        <v>1</v>
      </c>
      <c r="N157" s="6" t="s">
        <v>136</v>
      </c>
      <c r="O157" s="6" t="s">
        <v>155</v>
      </c>
      <c r="P157" s="24">
        <v>9.5</v>
      </c>
      <c r="Q157" s="6" t="s">
        <v>32</v>
      </c>
      <c r="R157" s="6" t="str">
        <f>TEXT(Tabela439[[#This Row],[DATA]],"MMM")</f>
        <v>out</v>
      </c>
      <c r="Z157" s="6" t="s">
        <v>139</v>
      </c>
    </row>
    <row r="158" spans="1:38" x14ac:dyDescent="0.25">
      <c r="A158" s="18"/>
      <c r="B158" s="18"/>
      <c r="C158" s="18"/>
      <c r="F158" s="18"/>
      <c r="G158" s="18"/>
      <c r="H158" s="18"/>
      <c r="I158" s="33">
        <v>44447</v>
      </c>
      <c r="J158" s="6" t="s">
        <v>27</v>
      </c>
      <c r="K158" s="6" t="s">
        <v>171</v>
      </c>
      <c r="L158" s="6" t="s">
        <v>90</v>
      </c>
      <c r="M158" s="6">
        <v>1</v>
      </c>
      <c r="N158" s="6" t="s">
        <v>40</v>
      </c>
      <c r="O158" s="6" t="s">
        <v>103</v>
      </c>
      <c r="P158" s="24">
        <v>16.5</v>
      </c>
      <c r="Q158" s="6" t="s">
        <v>32</v>
      </c>
      <c r="R158" s="6" t="str">
        <f>TEXT(Tabela439[[#This Row],[DATA]],"MMM")</f>
        <v>set</v>
      </c>
      <c r="Z158" s="6" t="s">
        <v>103</v>
      </c>
    </row>
    <row r="159" spans="1:38" x14ac:dyDescent="0.25">
      <c r="A159" s="18"/>
      <c r="B159" s="18"/>
      <c r="C159" s="18"/>
      <c r="F159" s="18"/>
      <c r="G159" s="18"/>
      <c r="H159" s="18"/>
      <c r="I159" s="33">
        <v>44447</v>
      </c>
      <c r="J159" s="6" t="s">
        <v>27</v>
      </c>
      <c r="K159" s="6" t="s">
        <v>171</v>
      </c>
      <c r="L159" s="6" t="s">
        <v>90</v>
      </c>
      <c r="M159" s="6">
        <v>1</v>
      </c>
      <c r="N159" s="6" t="s">
        <v>40</v>
      </c>
      <c r="O159" s="6" t="s">
        <v>121</v>
      </c>
      <c r="P159" s="24">
        <v>16.5</v>
      </c>
      <c r="Q159" s="6" t="s">
        <v>32</v>
      </c>
      <c r="R159" s="6" t="str">
        <f>TEXT(Tabela439[[#This Row],[DATA]],"MMM")</f>
        <v>set</v>
      </c>
      <c r="Z159" s="6" t="s">
        <v>91</v>
      </c>
    </row>
    <row r="160" spans="1:38" x14ac:dyDescent="0.25">
      <c r="A160" s="18"/>
      <c r="B160" s="18"/>
      <c r="C160" s="18"/>
      <c r="F160" s="18"/>
      <c r="G160" s="18"/>
      <c r="H160" s="18"/>
      <c r="I160" s="33">
        <v>44447</v>
      </c>
      <c r="J160" s="6" t="s">
        <v>27</v>
      </c>
      <c r="K160" s="6" t="s">
        <v>171</v>
      </c>
      <c r="L160" s="6" t="s">
        <v>90</v>
      </c>
      <c r="M160" s="6">
        <v>1</v>
      </c>
      <c r="N160" s="6" t="s">
        <v>40</v>
      </c>
      <c r="O160" s="6" t="s">
        <v>123</v>
      </c>
      <c r="P160" s="24">
        <v>16.5</v>
      </c>
      <c r="Q160" s="6" t="s">
        <v>32</v>
      </c>
      <c r="R160" s="6" t="str">
        <f>TEXT(Tabela439[[#This Row],[DATA]],"MMM")</f>
        <v>set</v>
      </c>
      <c r="Z160" s="6" t="s">
        <v>153</v>
      </c>
    </row>
    <row r="161" spans="1:18" x14ac:dyDescent="0.25">
      <c r="A161" s="18"/>
      <c r="B161" s="18"/>
      <c r="C161" s="18"/>
      <c r="F161" s="18"/>
      <c r="G161" s="18"/>
      <c r="H161" s="18"/>
      <c r="I161" s="33">
        <v>44478</v>
      </c>
      <c r="J161" s="6" t="s">
        <v>27</v>
      </c>
      <c r="K161" s="6" t="s">
        <v>171</v>
      </c>
      <c r="M161" s="6">
        <v>1</v>
      </c>
      <c r="N161" s="6" t="s">
        <v>40</v>
      </c>
      <c r="O161" s="6" t="s">
        <v>156</v>
      </c>
      <c r="P161" s="24">
        <v>16.5</v>
      </c>
      <c r="R161" s="6" t="str">
        <f>TEXT(Tabela439[[#This Row],[DATA]],"MMM")</f>
        <v>out</v>
      </c>
    </row>
    <row r="162" spans="1:18" x14ac:dyDescent="0.25">
      <c r="A162" s="18"/>
      <c r="B162" s="18"/>
      <c r="C162" s="18"/>
      <c r="F162" s="18"/>
      <c r="G162" s="18"/>
      <c r="H162" s="18"/>
      <c r="I162" s="33">
        <v>44480</v>
      </c>
      <c r="J162" s="6" t="s">
        <v>27</v>
      </c>
      <c r="K162" s="6" t="s">
        <v>171</v>
      </c>
      <c r="L162" s="6" t="s">
        <v>90</v>
      </c>
      <c r="M162" s="6">
        <v>1</v>
      </c>
      <c r="N162" s="6" t="s">
        <v>40</v>
      </c>
      <c r="O162" s="6" t="s">
        <v>158</v>
      </c>
      <c r="P162" s="24">
        <v>16.5</v>
      </c>
      <c r="Q162" s="6" t="s">
        <v>32</v>
      </c>
      <c r="R162" s="6" t="str">
        <f>TEXT(Tabela439[[#This Row],[DATA]],"MMM")</f>
        <v>out</v>
      </c>
    </row>
    <row r="163" spans="1:18" x14ac:dyDescent="0.25">
      <c r="A163" s="18"/>
      <c r="B163" s="18"/>
      <c r="C163" s="18"/>
      <c r="F163" s="18"/>
      <c r="G163" s="18"/>
      <c r="H163" s="18"/>
      <c r="I163" s="33">
        <v>44480</v>
      </c>
      <c r="J163" s="6" t="s">
        <v>27</v>
      </c>
      <c r="K163" s="6" t="s">
        <v>171</v>
      </c>
      <c r="L163" s="6" t="s">
        <v>90</v>
      </c>
      <c r="M163" s="6">
        <v>1</v>
      </c>
      <c r="N163" s="6" t="s">
        <v>136</v>
      </c>
      <c r="O163" s="6" t="s">
        <v>157</v>
      </c>
      <c r="P163" s="24">
        <v>8</v>
      </c>
      <c r="Q163" s="6" t="s">
        <v>32</v>
      </c>
      <c r="R163" s="6" t="str">
        <f>TEXT(Tabela439[[#This Row],[DATA]],"MMM")</f>
        <v>out</v>
      </c>
    </row>
    <row r="164" spans="1:18" x14ac:dyDescent="0.25">
      <c r="A164" s="18"/>
      <c r="B164" s="18"/>
      <c r="C164" s="18"/>
      <c r="F164" s="18"/>
      <c r="G164" s="18"/>
      <c r="H164" s="18"/>
      <c r="I164" s="33">
        <v>44484</v>
      </c>
      <c r="J164" s="6" t="s">
        <v>27</v>
      </c>
      <c r="K164" s="6" t="s">
        <v>171</v>
      </c>
      <c r="L164" s="6" t="s">
        <v>90</v>
      </c>
      <c r="M164" s="6">
        <v>10</v>
      </c>
      <c r="N164" s="6" t="s">
        <v>136</v>
      </c>
      <c r="O164" s="6" t="s">
        <v>158</v>
      </c>
      <c r="P164" s="24">
        <v>70</v>
      </c>
      <c r="Q164" s="6" t="s">
        <v>32</v>
      </c>
      <c r="R164" s="6" t="str">
        <f>TEXT(Tabela439[[#This Row],[DATA]],"MMM")</f>
        <v>out</v>
      </c>
    </row>
    <row r="165" spans="1:18" x14ac:dyDescent="0.25">
      <c r="A165" s="18"/>
      <c r="B165" s="18"/>
      <c r="C165" s="18"/>
      <c r="F165" s="18"/>
      <c r="G165" s="18"/>
      <c r="H165" s="18"/>
      <c r="I165" s="33">
        <v>44488</v>
      </c>
      <c r="J165" s="6" t="s">
        <v>27</v>
      </c>
      <c r="K165" s="6" t="s">
        <v>171</v>
      </c>
      <c r="L165" s="6" t="s">
        <v>90</v>
      </c>
      <c r="M165" s="6">
        <v>1</v>
      </c>
      <c r="N165" s="6" t="s">
        <v>40</v>
      </c>
      <c r="O165" s="6" t="s">
        <v>157</v>
      </c>
      <c r="P165" s="24">
        <v>16.5</v>
      </c>
      <c r="Q165" s="6" t="s">
        <v>32</v>
      </c>
    </row>
    <row r="166" spans="1:18" x14ac:dyDescent="0.25">
      <c r="A166" s="18"/>
      <c r="B166" s="18"/>
      <c r="C166" s="18"/>
      <c r="F166" s="18"/>
      <c r="G166" s="18"/>
      <c r="H166" s="18"/>
      <c r="I166" s="33">
        <v>44488</v>
      </c>
      <c r="J166" s="6" t="s">
        <v>27</v>
      </c>
      <c r="K166" s="6" t="s">
        <v>171</v>
      </c>
      <c r="L166" s="6" t="s">
        <v>90</v>
      </c>
      <c r="M166" s="6">
        <v>1</v>
      </c>
      <c r="N166" s="6" t="s">
        <v>40</v>
      </c>
      <c r="O166" s="6" t="s">
        <v>158</v>
      </c>
      <c r="P166" s="24">
        <v>16.5</v>
      </c>
      <c r="Q166" s="6" t="s">
        <v>32</v>
      </c>
      <c r="R166" s="6" t="str">
        <f>TEXT(Tabela439[[#This Row],[DATA]],"MMM")</f>
        <v>out</v>
      </c>
    </row>
    <row r="167" spans="1:18" x14ac:dyDescent="0.25">
      <c r="A167" s="18"/>
      <c r="B167" s="18"/>
      <c r="C167" s="18"/>
      <c r="F167" s="25"/>
      <c r="G167" s="18"/>
      <c r="H167" s="18"/>
      <c r="I167" s="33">
        <v>44488</v>
      </c>
      <c r="J167" s="6" t="s">
        <v>27</v>
      </c>
      <c r="K167" s="6" t="s">
        <v>171</v>
      </c>
      <c r="L167" s="6" t="s">
        <v>90</v>
      </c>
      <c r="M167" s="6">
        <v>1</v>
      </c>
      <c r="N167" s="6" t="s">
        <v>40</v>
      </c>
      <c r="O167" s="6" t="s">
        <v>158</v>
      </c>
      <c r="P167" s="24">
        <v>16.5</v>
      </c>
      <c r="Q167" s="6" t="s">
        <v>32</v>
      </c>
      <c r="R167" s="6" t="str">
        <f>TEXT(Tabela439[[#This Row],[DATA]],"MMM")</f>
        <v>out</v>
      </c>
    </row>
    <row r="168" spans="1:18" x14ac:dyDescent="0.25">
      <c r="A168" s="18"/>
      <c r="B168" s="18"/>
      <c r="C168" s="18"/>
      <c r="F168" s="18"/>
      <c r="G168" s="18"/>
      <c r="H168" s="18"/>
      <c r="I168" s="33">
        <v>44489</v>
      </c>
      <c r="J168" s="6" t="s">
        <v>27</v>
      </c>
      <c r="K168" s="6" t="s">
        <v>171</v>
      </c>
      <c r="L168" s="6" t="s">
        <v>90</v>
      </c>
      <c r="M168" s="6">
        <v>1</v>
      </c>
      <c r="N168" s="6" t="s">
        <v>40</v>
      </c>
      <c r="O168" s="6" t="s">
        <v>158</v>
      </c>
      <c r="P168" s="24">
        <v>16.5</v>
      </c>
      <c r="Q168" s="6" t="s">
        <v>32</v>
      </c>
      <c r="R168" s="6" t="str">
        <f>TEXT(Tabela439[[#This Row],[DATA]],"MMM")</f>
        <v>out</v>
      </c>
    </row>
    <row r="169" spans="1:18" x14ac:dyDescent="0.25">
      <c r="A169" s="18"/>
      <c r="B169" s="18"/>
      <c r="C169" s="18"/>
      <c r="F169" s="18"/>
      <c r="G169" s="18"/>
      <c r="H169" s="18"/>
      <c r="I169" s="33">
        <v>44489</v>
      </c>
      <c r="J169" s="6" t="s">
        <v>27</v>
      </c>
      <c r="K169" s="6" t="s">
        <v>171</v>
      </c>
      <c r="L169" s="6" t="s">
        <v>90</v>
      </c>
      <c r="M169" s="6">
        <v>1</v>
      </c>
      <c r="N169" s="6" t="s">
        <v>40</v>
      </c>
      <c r="O169" s="6" t="s">
        <v>158</v>
      </c>
      <c r="P169" s="24">
        <v>16.5</v>
      </c>
      <c r="Q169" s="6" t="s">
        <v>32</v>
      </c>
      <c r="R169" s="6" t="str">
        <f>TEXT(Tabela439[[#This Row],[DATA]],"MMM")</f>
        <v>out</v>
      </c>
    </row>
    <row r="170" spans="1:18" x14ac:dyDescent="0.25">
      <c r="A170" s="18"/>
      <c r="B170" s="18"/>
      <c r="C170" s="18"/>
      <c r="F170" s="18"/>
      <c r="G170" s="18"/>
      <c r="H170" s="18"/>
      <c r="I170" s="33">
        <v>44489</v>
      </c>
      <c r="J170" s="6" t="s">
        <v>27</v>
      </c>
      <c r="K170" s="6" t="s">
        <v>171</v>
      </c>
      <c r="L170" s="6" t="s">
        <v>90</v>
      </c>
      <c r="M170" s="6">
        <v>3</v>
      </c>
      <c r="N170" s="6" t="s">
        <v>136</v>
      </c>
      <c r="O170" s="6" t="s">
        <v>158</v>
      </c>
      <c r="P170" s="24">
        <v>21</v>
      </c>
      <c r="Q170" s="6" t="s">
        <v>32</v>
      </c>
      <c r="R170" s="6" t="str">
        <f>TEXT(Tabela439[[#This Row],[DATA]],"MMM")</f>
        <v>out</v>
      </c>
    </row>
    <row r="171" spans="1:18" x14ac:dyDescent="0.25">
      <c r="A171" s="18"/>
      <c r="B171" s="18"/>
      <c r="C171" s="18"/>
      <c r="F171" s="18"/>
      <c r="G171" s="18"/>
      <c r="H171" s="18"/>
      <c r="I171" s="33">
        <v>44492</v>
      </c>
      <c r="J171" s="6" t="s">
        <v>27</v>
      </c>
      <c r="K171" s="6" t="s">
        <v>171</v>
      </c>
      <c r="L171" s="6" t="s">
        <v>89</v>
      </c>
      <c r="M171" s="6">
        <v>30</v>
      </c>
      <c r="N171" s="6" t="s">
        <v>53</v>
      </c>
      <c r="O171" s="6" t="s">
        <v>61</v>
      </c>
      <c r="P171" s="24">
        <v>27.6</v>
      </c>
      <c r="Q171" s="6" t="s">
        <v>32</v>
      </c>
      <c r="R171" s="6" t="str">
        <f>TEXT(Tabela439[[#This Row],[DATA]],"MMM")</f>
        <v>out</v>
      </c>
    </row>
    <row r="172" spans="1:18" x14ac:dyDescent="0.25">
      <c r="A172" s="18"/>
      <c r="B172" s="18"/>
      <c r="C172" s="18"/>
      <c r="F172" s="18"/>
      <c r="G172" s="18"/>
      <c r="H172" s="18"/>
      <c r="I172" s="33">
        <v>44492</v>
      </c>
      <c r="J172" s="6" t="s">
        <v>27</v>
      </c>
      <c r="K172" s="6" t="s">
        <v>171</v>
      </c>
      <c r="L172" s="6" t="s">
        <v>89</v>
      </c>
      <c r="M172" s="6">
        <v>16</v>
      </c>
      <c r="N172" s="6" t="s">
        <v>55</v>
      </c>
      <c r="O172" s="6" t="s">
        <v>61</v>
      </c>
      <c r="P172" s="24">
        <v>14.72</v>
      </c>
      <c r="Q172" s="6" t="s">
        <v>32</v>
      </c>
      <c r="R172" s="6" t="str">
        <f>TEXT(Tabela439[[#This Row],[DATA]],"MMM")</f>
        <v>out</v>
      </c>
    </row>
    <row r="173" spans="1:18" x14ac:dyDescent="0.25">
      <c r="A173" s="18"/>
      <c r="B173" s="18"/>
      <c r="C173" s="18"/>
      <c r="F173" s="18"/>
      <c r="G173" s="18"/>
      <c r="H173" s="18"/>
      <c r="I173" s="33">
        <v>44492</v>
      </c>
      <c r="J173" s="6" t="s">
        <v>27</v>
      </c>
      <c r="K173" s="6" t="s">
        <v>171</v>
      </c>
      <c r="L173" s="6" t="s">
        <v>89</v>
      </c>
      <c r="M173" s="6">
        <v>9</v>
      </c>
      <c r="N173" s="6" t="s">
        <v>56</v>
      </c>
      <c r="O173" s="6" t="s">
        <v>61</v>
      </c>
      <c r="P173" s="24">
        <v>8.2799999999999994</v>
      </c>
      <c r="Q173" s="6" t="s">
        <v>32</v>
      </c>
      <c r="R173" s="6" t="str">
        <f>TEXT(Tabela439[[#This Row],[DATA]],"MMM")</f>
        <v>out</v>
      </c>
    </row>
    <row r="174" spans="1:18" x14ac:dyDescent="0.25">
      <c r="A174" s="18"/>
      <c r="B174" s="18"/>
      <c r="C174" s="18"/>
      <c r="F174" s="18"/>
      <c r="G174" s="18"/>
      <c r="H174" s="18"/>
      <c r="I174" s="33">
        <v>44492</v>
      </c>
      <c r="J174" s="6" t="s">
        <v>27</v>
      </c>
      <c r="K174" s="6" t="s">
        <v>171</v>
      </c>
      <c r="L174" s="6" t="s">
        <v>89</v>
      </c>
      <c r="M174" s="6">
        <v>10</v>
      </c>
      <c r="N174" s="6" t="s">
        <v>133</v>
      </c>
      <c r="O174" s="6" t="s">
        <v>61</v>
      </c>
      <c r="P174" s="24">
        <v>9.1999999999999993</v>
      </c>
      <c r="Q174" s="6" t="s">
        <v>32</v>
      </c>
      <c r="R174" s="6" t="str">
        <f>TEXT(Tabela439[[#This Row],[DATA]],"MMM")</f>
        <v>out</v>
      </c>
    </row>
    <row r="175" spans="1:18" x14ac:dyDescent="0.25">
      <c r="A175" s="18"/>
      <c r="B175" s="18"/>
      <c r="C175" s="18"/>
      <c r="F175" s="18"/>
      <c r="G175" s="18"/>
      <c r="H175" s="18"/>
      <c r="I175" s="33">
        <v>44493</v>
      </c>
      <c r="J175" s="6" t="s">
        <v>27</v>
      </c>
      <c r="K175" s="6" t="s">
        <v>171</v>
      </c>
      <c r="L175" s="6" t="s">
        <v>90</v>
      </c>
      <c r="M175" s="6">
        <v>1</v>
      </c>
      <c r="N175" s="6" t="s">
        <v>40</v>
      </c>
      <c r="O175" s="6" t="s">
        <v>158</v>
      </c>
      <c r="P175" s="24">
        <v>16.5</v>
      </c>
      <c r="Q175" s="6" t="s">
        <v>32</v>
      </c>
      <c r="R175" s="6" t="str">
        <f>TEXT(Tabela439[[#This Row],[DATA]],"MMM")</f>
        <v>out</v>
      </c>
    </row>
    <row r="176" spans="1:18" ht="39.950000000000003" customHeight="1" x14ac:dyDescent="0.25">
      <c r="A176" s="18"/>
      <c r="B176" s="18"/>
      <c r="C176" s="18"/>
      <c r="F176" s="18"/>
      <c r="G176" s="18"/>
      <c r="H176" s="18"/>
      <c r="R176" s="6" t="e">
        <f>TEXT(Tabela439[[#This Row],[DATA]],"MMM")</f>
        <v>#VALUE!</v>
      </c>
    </row>
    <row r="177" spans="1:38" ht="15" customHeight="1" x14ac:dyDescent="0.25">
      <c r="A177" s="18"/>
      <c r="B177" s="18"/>
      <c r="C177" s="18"/>
      <c r="E177" s="18"/>
      <c r="F177" s="18"/>
      <c r="G177" s="18"/>
      <c r="H177" s="18"/>
      <c r="I177" s="35"/>
      <c r="J177"/>
      <c r="K177"/>
      <c r="L177"/>
      <c r="M177"/>
      <c r="N177"/>
      <c r="O177"/>
      <c r="P177"/>
      <c r="Q177"/>
    </row>
    <row r="178" spans="1:38" ht="8.1" customHeight="1" x14ac:dyDescent="0.25">
      <c r="A178" s="18"/>
      <c r="B178" s="18"/>
      <c r="C178" s="18"/>
      <c r="E178" s="18"/>
      <c r="F178" s="18"/>
      <c r="G178" s="18"/>
      <c r="H178" s="18"/>
      <c r="P178"/>
    </row>
    <row r="179" spans="1:38" x14ac:dyDescent="0.25">
      <c r="A179" s="18"/>
      <c r="B179" s="18"/>
      <c r="C179" s="59" t="s">
        <v>3</v>
      </c>
      <c r="D179" s="59" t="s">
        <v>4</v>
      </c>
      <c r="E179" s="59" t="s">
        <v>34</v>
      </c>
      <c r="F179" s="59" t="s">
        <v>35</v>
      </c>
      <c r="G179" s="18"/>
      <c r="H179" s="18"/>
      <c r="I179" s="15" t="s">
        <v>0</v>
      </c>
      <c r="J179" s="15" t="s">
        <v>2</v>
      </c>
      <c r="K179" s="15" t="s">
        <v>1</v>
      </c>
      <c r="L179" s="15" t="s">
        <v>87</v>
      </c>
      <c r="M179" s="15" t="s">
        <v>4</v>
      </c>
      <c r="N179" s="15" t="s">
        <v>3</v>
      </c>
      <c r="O179" s="15" t="s">
        <v>72</v>
      </c>
      <c r="P179" s="15" t="s">
        <v>5</v>
      </c>
      <c r="Q179" s="15" t="s">
        <v>6</v>
      </c>
      <c r="R179" s="15" t="s">
        <v>102</v>
      </c>
      <c r="X179" s="6" t="s">
        <v>54</v>
      </c>
      <c r="Y179" t="s">
        <v>50</v>
      </c>
      <c r="Z179" s="6" t="s">
        <v>51</v>
      </c>
      <c r="AB179" t="s">
        <v>60</v>
      </c>
      <c r="AD179" s="6" t="s">
        <v>88</v>
      </c>
      <c r="AI179" s="6" t="s">
        <v>98</v>
      </c>
      <c r="AJ179" s="6" t="s">
        <v>99</v>
      </c>
      <c r="AK179" s="6" t="s">
        <v>100</v>
      </c>
      <c r="AL179" s="6" t="s">
        <v>101</v>
      </c>
    </row>
    <row r="180" spans="1:38" x14ac:dyDescent="0.25">
      <c r="A180" s="18"/>
      <c r="B180" s="18"/>
      <c r="C180" s="12" t="str">
        <f>CADASTRO_UNIDADE_VENDAS47[[#This Row],[CADASTRO_UNIDADE]]</f>
        <v>CONST. UN</v>
      </c>
      <c r="D180" s="12">
        <f>SUMIFS(Tabela445[QNT],Tabela445[SITUAÇÃO],$V$10,Tabela445[PRODUTO],C180)</f>
        <v>6</v>
      </c>
      <c r="E180" s="26">
        <f>SUMIFS(Tabela445[VALOR],Tabela445[SITUAÇÃO],$V$6,Tabela445[PRODUTO],C180)</f>
        <v>5.52</v>
      </c>
      <c r="F180" s="13">
        <f>E180/$V$8</f>
        <v>3.3935817041682035E-3</v>
      </c>
      <c r="G180" s="18"/>
      <c r="H180" s="18"/>
      <c r="I180" s="33">
        <v>44502</v>
      </c>
      <c r="J180" s="6" t="s">
        <v>27</v>
      </c>
      <c r="K180" s="6" t="s">
        <v>171</v>
      </c>
      <c r="L180" s="6" t="s">
        <v>90</v>
      </c>
      <c r="M180" s="6">
        <v>1</v>
      </c>
      <c r="N180" s="6" t="s">
        <v>40</v>
      </c>
      <c r="O180" s="6" t="s">
        <v>158</v>
      </c>
      <c r="P180" s="24">
        <v>16.5</v>
      </c>
      <c r="Q180" s="6" t="s">
        <v>32</v>
      </c>
      <c r="R180" s="6" t="str">
        <f>TEXT(Tabela445[[#This Row],[DATA]],"MMM")</f>
        <v>nov</v>
      </c>
      <c r="V180" s="6" t="s">
        <v>32</v>
      </c>
      <c r="X180" s="6" t="s">
        <v>28</v>
      </c>
      <c r="Y180" t="s">
        <v>133</v>
      </c>
      <c r="Z180" s="6" t="s">
        <v>105</v>
      </c>
      <c r="AB180" t="s">
        <v>32</v>
      </c>
      <c r="AD180" s="6" t="s">
        <v>89</v>
      </c>
      <c r="AI180" s="34">
        <v>44197</v>
      </c>
      <c r="AL180" s="6">
        <f>AJ180-AK180</f>
        <v>0</v>
      </c>
    </row>
    <row r="181" spans="1:38" x14ac:dyDescent="0.25">
      <c r="A181" s="18"/>
      <c r="B181" s="18"/>
      <c r="C181" s="12" t="str">
        <f>CADASTRO_UNIDADE_VENDAS47[[#This Row],[CADASTRO_UNIDADE]]</f>
        <v>CONSTELAÇÃO</v>
      </c>
      <c r="D181" s="12">
        <f>SUMIFS(Tabela445[QNT],Tabela445[SITUAÇÃO],$V$10,Tabela445[PRODUTO],C181)</f>
        <v>0</v>
      </c>
      <c r="E181" s="26">
        <f>SUMIFS(Tabela445[VALOR],Tabela445[SITUAÇÃO],$V$6,Tabela445[PRODUTO],C181)</f>
        <v>0</v>
      </c>
      <c r="F181" s="13">
        <f>E181/$V$8</f>
        <v>0</v>
      </c>
      <c r="G181" s="18"/>
      <c r="H181" s="18"/>
      <c r="I181" s="33">
        <v>44507</v>
      </c>
      <c r="J181" s="6" t="s">
        <v>27</v>
      </c>
      <c r="K181" s="6" t="s">
        <v>171</v>
      </c>
      <c r="L181" s="6" t="s">
        <v>90</v>
      </c>
      <c r="M181" s="6">
        <v>21</v>
      </c>
      <c r="N181" s="6" t="s">
        <v>53</v>
      </c>
      <c r="O181" s="6" t="s">
        <v>103</v>
      </c>
      <c r="P181" s="24">
        <v>19.32</v>
      </c>
      <c r="Q181" s="6" t="s">
        <v>32</v>
      </c>
      <c r="R181" s="6" t="str">
        <f>TEXT(Tabela445[[#This Row],[DATA]],"MMM")</f>
        <v>nov</v>
      </c>
      <c r="V181" s="6" t="s">
        <v>33</v>
      </c>
      <c r="X181" s="6" t="s">
        <v>27</v>
      </c>
      <c r="Y181" t="s">
        <v>122</v>
      </c>
      <c r="Z181" s="6" t="s">
        <v>141</v>
      </c>
      <c r="AB181" t="s">
        <v>33</v>
      </c>
      <c r="AD181" s="6" t="s">
        <v>90</v>
      </c>
      <c r="AI181" s="34">
        <v>44228</v>
      </c>
      <c r="AL181" s="6">
        <f t="shared" ref="AL181:AL191" si="12">AJ181-AK181</f>
        <v>0</v>
      </c>
    </row>
    <row r="182" spans="1:38" x14ac:dyDescent="0.25">
      <c r="A182" s="18"/>
      <c r="B182" s="18"/>
      <c r="C182" s="12" t="str">
        <f>CADASTRO_UNIDADE_VENDAS47[[#This Row],[CADASTRO_UNIDADE]]</f>
        <v>CX. 4. UN</v>
      </c>
      <c r="D182" s="12">
        <f>SUMIFS(Tabela445[QNT],Tabela445[SITUAÇÃO],$V$10,Tabela445[PRODUTO],C182)</f>
        <v>1</v>
      </c>
      <c r="E182" s="26">
        <f>SUMIFS(Tabela445[VALOR],Tabela445[SITUAÇÃO],$V$6,Tabela445[PRODUTO],C182)</f>
        <v>8</v>
      </c>
      <c r="F182" s="13">
        <f>E182/$V$8</f>
        <v>4.9182343538669623E-3</v>
      </c>
      <c r="G182" s="18"/>
      <c r="H182" s="18"/>
      <c r="I182" s="33">
        <v>44507</v>
      </c>
      <c r="J182" s="6" t="s">
        <v>27</v>
      </c>
      <c r="K182" s="6" t="s">
        <v>171</v>
      </c>
      <c r="L182" s="6" t="s">
        <v>90</v>
      </c>
      <c r="M182" s="6">
        <v>21</v>
      </c>
      <c r="N182" s="6" t="s">
        <v>56</v>
      </c>
      <c r="O182" s="6" t="s">
        <v>121</v>
      </c>
      <c r="P182" s="24">
        <v>19.32</v>
      </c>
      <c r="Q182" s="6" t="s">
        <v>32</v>
      </c>
      <c r="R182" s="6" t="str">
        <f>TEXT(Tabela445[[#This Row],[DATA]],"MMM")</f>
        <v>nov</v>
      </c>
      <c r="U182" s="6" t="s">
        <v>42</v>
      </c>
      <c r="V182" s="25">
        <f>SUM(Tabela445[VALOR])</f>
        <v>371.65999999999997</v>
      </c>
      <c r="Y182" t="s">
        <v>136</v>
      </c>
      <c r="Z182" s="6" t="s">
        <v>142</v>
      </c>
      <c r="AI182" s="34">
        <v>44256</v>
      </c>
      <c r="AL182" s="6">
        <f t="shared" si="12"/>
        <v>0</v>
      </c>
    </row>
    <row r="183" spans="1:38" x14ac:dyDescent="0.25">
      <c r="A183" s="18"/>
      <c r="B183" s="18"/>
      <c r="C183" s="12" t="str">
        <f>CADASTRO_UNIDADE_VENDAS47[[#This Row],[CADASTRO_UNIDADE]]</f>
        <v>CX.10.UN</v>
      </c>
      <c r="D183" s="12">
        <f>SUMIFS(Tabela445[QNT],Tabela445[SITUAÇÃO],$V$10,Tabela445[PRODUTO],C183)</f>
        <v>7</v>
      </c>
      <c r="E183" s="26">
        <f>SUMIFS(Tabela445[VALOR],Tabela445[SITUAÇÃO],$V$6,Tabela445[PRODUTO],C183)</f>
        <v>115.5</v>
      </c>
      <c r="F183" s="13">
        <f>E183/$V$8</f>
        <v>7.1007008483954262E-2</v>
      </c>
      <c r="G183" s="18"/>
      <c r="H183" s="18"/>
      <c r="I183" s="33">
        <v>44507</v>
      </c>
      <c r="J183" s="6" t="s">
        <v>27</v>
      </c>
      <c r="K183" s="6" t="s">
        <v>171</v>
      </c>
      <c r="L183" s="6" t="s">
        <v>90</v>
      </c>
      <c r="M183" s="6">
        <v>6</v>
      </c>
      <c r="N183" s="6" t="s">
        <v>133</v>
      </c>
      <c r="O183" s="6" t="s">
        <v>123</v>
      </c>
      <c r="P183" s="24">
        <v>5.52</v>
      </c>
      <c r="Q183" s="6" t="s">
        <v>32</v>
      </c>
      <c r="R183" s="6" t="str">
        <f>TEXT(Tabela445[[#This Row],[DATA]],"MMM")</f>
        <v>nov</v>
      </c>
      <c r="Y183" t="s">
        <v>40</v>
      </c>
      <c r="Z183" s="6" t="s">
        <v>151</v>
      </c>
      <c r="AI183" s="34">
        <v>44287</v>
      </c>
      <c r="AL183" s="6">
        <f t="shared" si="12"/>
        <v>0</v>
      </c>
    </row>
    <row r="184" spans="1:38" x14ac:dyDescent="0.25">
      <c r="A184" s="18"/>
      <c r="B184" s="18"/>
      <c r="C184" s="12" t="str">
        <f>CADASTRO_UNIDADE_VENDAS47[[#This Row],[CADASTRO_UNIDADE]]</f>
        <v>CX.12.UN</v>
      </c>
      <c r="D184" s="12">
        <f>SUMIFS(Tabela445[QNT],Tabela445[SITUAÇÃO],$V$10,Tabela445[PRODUTO],C184)</f>
        <v>0</v>
      </c>
      <c r="E184" s="26">
        <f>SUMIFS(Tabela445[VALOR],Tabela445[SITUAÇÃO],$V$6,Tabela445[PRODUTO],C184)</f>
        <v>0</v>
      </c>
      <c r="F184" s="13">
        <f t="shared" ref="F184:F190" si="13">E184/$V$8</f>
        <v>0</v>
      </c>
      <c r="G184" s="18"/>
      <c r="H184" s="18"/>
      <c r="I184" s="33">
        <v>44511</v>
      </c>
      <c r="J184" s="6" t="s">
        <v>27</v>
      </c>
      <c r="K184" s="6" t="s">
        <v>171</v>
      </c>
      <c r="L184" s="6" t="s">
        <v>90</v>
      </c>
      <c r="M184" s="6">
        <v>1</v>
      </c>
      <c r="N184" s="6" t="s">
        <v>40</v>
      </c>
      <c r="O184" s="6" t="s">
        <v>140</v>
      </c>
      <c r="P184" s="24">
        <v>16.5</v>
      </c>
      <c r="Q184" s="6" t="s">
        <v>32</v>
      </c>
      <c r="R184" s="6" t="str">
        <f>TEXT(Tabela445[[#This Row],[DATA]],"MMM")</f>
        <v>nov</v>
      </c>
      <c r="V184" s="6" t="s">
        <v>32</v>
      </c>
      <c r="Y184" t="s">
        <v>58</v>
      </c>
      <c r="Z184" s="6" t="s">
        <v>154</v>
      </c>
      <c r="AI184" s="34">
        <v>44317</v>
      </c>
      <c r="AL184" s="6">
        <f t="shared" si="12"/>
        <v>0</v>
      </c>
    </row>
    <row r="185" spans="1:38" x14ac:dyDescent="0.25">
      <c r="A185" s="18"/>
      <c r="B185" s="18"/>
      <c r="C185" s="12" t="str">
        <f>CADASTRO_UNIDADE_VENDAS47[[#This Row],[CADASTRO_UNIDADE]]</f>
        <v>CX.6.UN</v>
      </c>
      <c r="D185" s="12">
        <f>SUMIFS(Tabela445[QNT],Tabela445[SITUAÇÃO],$V$10,Tabela445[PRODUTO],C185)</f>
        <v>0</v>
      </c>
      <c r="E185" s="26">
        <f>SUMIFS(Tabela445[VALOR],Tabela445[SITUAÇÃO],$V$6,Tabela445[PRODUTO],C185)</f>
        <v>0</v>
      </c>
      <c r="F185" s="13">
        <f t="shared" si="13"/>
        <v>0</v>
      </c>
      <c r="G185" s="18"/>
      <c r="H185" s="18"/>
      <c r="I185" s="33">
        <v>44511</v>
      </c>
      <c r="J185" s="6" t="s">
        <v>27</v>
      </c>
      <c r="K185" s="6" t="s">
        <v>171</v>
      </c>
      <c r="L185" s="6" t="s">
        <v>90</v>
      </c>
      <c r="M185" s="6">
        <v>1</v>
      </c>
      <c r="N185" s="6" t="s">
        <v>40</v>
      </c>
      <c r="O185" s="6" t="s">
        <v>91</v>
      </c>
      <c r="P185" s="24">
        <v>16.5</v>
      </c>
      <c r="Q185" s="6" t="s">
        <v>32</v>
      </c>
      <c r="R185" s="6" t="str">
        <f>TEXT(Tabela445[[#This Row],[DATA]],"MMM")</f>
        <v>nov</v>
      </c>
      <c r="V185" s="6" t="s">
        <v>33</v>
      </c>
      <c r="Y185" t="s">
        <v>44</v>
      </c>
      <c r="Z185" s="6" t="s">
        <v>59</v>
      </c>
      <c r="AI185" s="34">
        <v>44348</v>
      </c>
      <c r="AL185" s="6">
        <f t="shared" si="12"/>
        <v>0</v>
      </c>
    </row>
    <row r="186" spans="1:38" x14ac:dyDescent="0.25">
      <c r="A186" s="18"/>
      <c r="B186" s="18"/>
      <c r="C186" s="12" t="str">
        <f>CADASTRO_UNIDADE_VENDAS47[[#This Row],[CADASTRO_UNIDADE]]</f>
        <v>NINH.UN</v>
      </c>
      <c r="D186" s="12">
        <f>SUMIFS(Tabela445[QNT],Tabela445[SITUAÇÃO],$V$10,Tabela445[PRODUTO],C186)</f>
        <v>77</v>
      </c>
      <c r="E186" s="26">
        <f>SUMIFS(Tabela445[VALOR],Tabela445[SITUAÇÃO],$V$6,Tabela445[PRODUTO],C186)</f>
        <v>75.22</v>
      </c>
      <c r="F186" s="13">
        <f t="shared" si="13"/>
        <v>4.6243698512234109E-2</v>
      </c>
      <c r="G186" s="18"/>
      <c r="H186" s="18"/>
      <c r="I186" s="33">
        <v>44511</v>
      </c>
      <c r="J186" s="6" t="s">
        <v>27</v>
      </c>
      <c r="K186" s="6" t="s">
        <v>171</v>
      </c>
      <c r="L186" s="6" t="s">
        <v>90</v>
      </c>
      <c r="M186" s="6">
        <v>1</v>
      </c>
      <c r="N186" s="6" t="s">
        <v>136</v>
      </c>
      <c r="O186" s="6" t="s">
        <v>141</v>
      </c>
      <c r="P186" s="24">
        <v>8</v>
      </c>
      <c r="Q186" s="6" t="s">
        <v>32</v>
      </c>
      <c r="R186" s="6" t="str">
        <f>TEXT(Tabela445[[#This Row],[DATA]],"MMM")</f>
        <v>nov</v>
      </c>
      <c r="U186" s="6" t="s">
        <v>52</v>
      </c>
      <c r="V186" s="6">
        <f>SUM(M180:M201)</f>
        <v>237</v>
      </c>
      <c r="Y186" t="s">
        <v>56</v>
      </c>
      <c r="Z186" s="6" t="s">
        <v>45</v>
      </c>
      <c r="AI186" s="34">
        <v>44378</v>
      </c>
      <c r="AL186" s="6">
        <f t="shared" si="12"/>
        <v>0</v>
      </c>
    </row>
    <row r="187" spans="1:38" x14ac:dyDescent="0.25">
      <c r="A187" s="18"/>
      <c r="B187" s="18"/>
      <c r="C187" s="12" t="str">
        <f>CADASTRO_UNIDADE_VENDAS47[[#This Row],[CADASTRO_UNIDADE]]</f>
        <v>NUTEL.UN</v>
      </c>
      <c r="D187" s="12">
        <f>SUMIFS(Tabela445[QNT],Tabela445[SITUAÇÃO],$V$10,Tabela445[PRODUTO],C187)</f>
        <v>0</v>
      </c>
      <c r="E187" s="26">
        <f>SUMIFS(Tabela445[VALOR],Tabela445[SITUAÇÃO],$V$6,Tabela445[PRODUTO],C187)</f>
        <v>0</v>
      </c>
      <c r="F187" s="13">
        <f t="shared" si="13"/>
        <v>0</v>
      </c>
      <c r="G187" s="18"/>
      <c r="H187" s="18"/>
      <c r="I187" s="33">
        <v>44511</v>
      </c>
      <c r="J187" s="6" t="s">
        <v>27</v>
      </c>
      <c r="K187" s="6" t="s">
        <v>171</v>
      </c>
      <c r="L187" s="6" t="s">
        <v>90</v>
      </c>
      <c r="M187" s="6">
        <v>1</v>
      </c>
      <c r="N187" s="6" t="s">
        <v>40</v>
      </c>
      <c r="O187" s="6" t="s">
        <v>140</v>
      </c>
      <c r="P187" s="24">
        <v>16.5</v>
      </c>
      <c r="Q187" s="6" t="s">
        <v>32</v>
      </c>
      <c r="R187" s="6" t="str">
        <f>TEXT(Tabela445[[#This Row],[DATA]],"MMM")</f>
        <v>nov</v>
      </c>
      <c r="Y187" t="s">
        <v>57</v>
      </c>
      <c r="Z187" s="6" t="s">
        <v>61</v>
      </c>
      <c r="AG187" s="25"/>
      <c r="AI187" s="34">
        <v>44409</v>
      </c>
      <c r="AJ187" s="25">
        <f>SUM(E180:E245)</f>
        <v>887.56</v>
      </c>
      <c r="AL187" s="6">
        <f t="shared" si="12"/>
        <v>887.56</v>
      </c>
    </row>
    <row r="188" spans="1:38" x14ac:dyDescent="0.25">
      <c r="A188" s="18"/>
      <c r="B188" s="18"/>
      <c r="C188" s="12" t="str">
        <f>CADASTRO_UNIDADE_VENDAS47[[#This Row],[CADASTRO_UNIDADE]]</f>
        <v>PAÇO.UN</v>
      </c>
      <c r="D188" s="12">
        <f>SUMIFS(Tabela445[QNT],Tabela445[SITUAÇÃO],$V$10,Tabela445[PRODUTO],C188)</f>
        <v>56</v>
      </c>
      <c r="E188" s="26">
        <f>SUMIFS(Tabela445[VALOR],Tabela445[SITUAÇÃO],$V$6,Tabela445[PRODUTO],C188)</f>
        <v>55.9</v>
      </c>
      <c r="F188" s="13">
        <f t="shared" si="13"/>
        <v>3.4366162547645393E-2</v>
      </c>
      <c r="G188" s="18"/>
      <c r="H188" s="18"/>
      <c r="I188" s="33">
        <v>44514</v>
      </c>
      <c r="J188" s="6" t="s">
        <v>27</v>
      </c>
      <c r="K188" s="6" t="s">
        <v>171</v>
      </c>
      <c r="L188" s="6" t="s">
        <v>90</v>
      </c>
      <c r="M188" s="6">
        <v>18</v>
      </c>
      <c r="N188" s="6" t="s">
        <v>53</v>
      </c>
      <c r="O188" s="6" t="s">
        <v>103</v>
      </c>
      <c r="P188" s="24">
        <v>29.7</v>
      </c>
      <c r="Q188" s="6" t="s">
        <v>32</v>
      </c>
      <c r="R188" s="6" t="str">
        <f>TEXT(Tabela445[[#This Row],[DATA]],"MMM")</f>
        <v>nov</v>
      </c>
      <c r="Y188" t="s">
        <v>55</v>
      </c>
      <c r="Z188" s="6" t="s">
        <v>140</v>
      </c>
      <c r="AI188" s="34">
        <v>44440</v>
      </c>
      <c r="AL188" s="6">
        <f t="shared" si="12"/>
        <v>0</v>
      </c>
    </row>
    <row r="189" spans="1:38" x14ac:dyDescent="0.25">
      <c r="A189" s="18"/>
      <c r="B189" s="18"/>
      <c r="C189" s="12" t="str">
        <f>CADASTRO_UNIDADE_VENDAS47[[#This Row],[CADASTRO_UNIDADE]]</f>
        <v>SICILI. UN</v>
      </c>
      <c r="D189" s="12">
        <f>SUMIFS(Tabela445[QNT],Tabela445[SITUAÇÃO],$V$10,Tabela445[PRODUTO],C189)</f>
        <v>0</v>
      </c>
      <c r="E189" s="26">
        <f>SUMIFS(Tabela445[VALOR],Tabela445[SITUAÇÃO],$V$6,Tabela445[PRODUTO],C189)</f>
        <v>0</v>
      </c>
      <c r="F189" s="13">
        <f t="shared" si="13"/>
        <v>0</v>
      </c>
      <c r="G189" s="18"/>
      <c r="H189" s="18"/>
      <c r="I189" s="33">
        <v>44514</v>
      </c>
      <c r="J189" s="6" t="s">
        <v>27</v>
      </c>
      <c r="K189" s="6" t="s">
        <v>171</v>
      </c>
      <c r="L189" s="6" t="s">
        <v>90</v>
      </c>
      <c r="M189" s="6">
        <v>6</v>
      </c>
      <c r="N189" s="6" t="s">
        <v>55</v>
      </c>
      <c r="O189" s="6" t="s">
        <v>104</v>
      </c>
      <c r="P189" s="24">
        <v>9.9</v>
      </c>
      <c r="Q189" s="6" t="s">
        <v>32</v>
      </c>
      <c r="R189" s="6" t="str">
        <f>TEXT(Tabela445[[#This Row],[DATA]],"MMM")</f>
        <v>nov</v>
      </c>
      <c r="Y189" t="s">
        <v>150</v>
      </c>
      <c r="Z189" s="6" t="s">
        <v>158</v>
      </c>
      <c r="AI189" s="34">
        <v>44470</v>
      </c>
      <c r="AL189" s="6">
        <f t="shared" si="12"/>
        <v>0</v>
      </c>
    </row>
    <row r="190" spans="1:38" x14ac:dyDescent="0.25">
      <c r="A190" s="18"/>
      <c r="B190" s="18"/>
      <c r="C190" s="12" t="str">
        <f>CADASTRO_UNIDADE_VENDAS47[[#This Row],[CADASTRO_UNIDADE]]</f>
        <v>TRAD.UN</v>
      </c>
      <c r="D190" s="12">
        <f>SUMIFS(Tabela445[QNT],Tabela445[SITUAÇÃO],$V$10,Tabela445[PRODUTO],C190)</f>
        <v>89</v>
      </c>
      <c r="E190" s="26">
        <f>SUMIFS(Tabela445[VALOR],Tabela445[SITUAÇÃO],$V$6,Tabela445[PRODUTO],C190)</f>
        <v>95.02</v>
      </c>
      <c r="F190" s="13">
        <f t="shared" si="13"/>
        <v>5.841632853805484E-2</v>
      </c>
      <c r="G190" s="18"/>
      <c r="H190" s="18"/>
      <c r="I190" s="33">
        <v>44514</v>
      </c>
      <c r="J190" s="6" t="s">
        <v>27</v>
      </c>
      <c r="K190" s="6" t="s">
        <v>171</v>
      </c>
      <c r="L190" s="6" t="s">
        <v>90</v>
      </c>
      <c r="M190" s="6">
        <v>6</v>
      </c>
      <c r="N190" s="6" t="s">
        <v>56</v>
      </c>
      <c r="O190" s="6" t="s">
        <v>121</v>
      </c>
      <c r="P190" s="24">
        <v>9.9</v>
      </c>
      <c r="Q190" s="6" t="s">
        <v>32</v>
      </c>
      <c r="R190" s="6" t="str">
        <f>TEXT(Tabela445[[#This Row],[DATA]],"MMM")</f>
        <v>nov</v>
      </c>
      <c r="Y190" t="s">
        <v>53</v>
      </c>
      <c r="Z190" s="6" t="s">
        <v>156</v>
      </c>
      <c r="AI190" s="34">
        <v>44501</v>
      </c>
      <c r="AL190" s="6">
        <f t="shared" si="12"/>
        <v>0</v>
      </c>
    </row>
    <row r="191" spans="1:38" x14ac:dyDescent="0.25">
      <c r="A191" s="18"/>
      <c r="B191" s="18"/>
      <c r="C191"/>
      <c r="D191"/>
      <c r="E191"/>
      <c r="F191"/>
      <c r="G191" s="18"/>
      <c r="H191" s="18"/>
      <c r="I191" s="33">
        <v>44514</v>
      </c>
      <c r="J191" s="6" t="s">
        <v>27</v>
      </c>
      <c r="K191" s="6" t="s">
        <v>171</v>
      </c>
      <c r="L191" s="6" t="s">
        <v>90</v>
      </c>
      <c r="M191" s="6">
        <v>1</v>
      </c>
      <c r="N191" s="6" t="s">
        <v>40</v>
      </c>
      <c r="O191" s="6" t="s">
        <v>140</v>
      </c>
      <c r="P191" s="24">
        <v>16.5</v>
      </c>
      <c r="Q191" s="6" t="s">
        <v>32</v>
      </c>
      <c r="R191" s="6" t="str">
        <f>TEXT(Tabela445[[#This Row],[DATA]],"MMM")</f>
        <v>nov</v>
      </c>
      <c r="Y191"/>
      <c r="Z191" s="6" t="s">
        <v>152</v>
      </c>
      <c r="AI191" s="34">
        <v>44531</v>
      </c>
      <c r="AL191" s="6">
        <f t="shared" si="12"/>
        <v>0</v>
      </c>
    </row>
    <row r="192" spans="1:38" x14ac:dyDescent="0.25">
      <c r="A192" s="18"/>
      <c r="B192" s="18"/>
      <c r="C192" s="18"/>
      <c r="F192" s="18"/>
      <c r="G192" s="18"/>
      <c r="H192" s="18"/>
      <c r="I192" s="33">
        <v>44514</v>
      </c>
      <c r="J192" s="6" t="s">
        <v>27</v>
      </c>
      <c r="K192" s="6" t="s">
        <v>171</v>
      </c>
      <c r="M192" s="6">
        <v>1</v>
      </c>
      <c r="N192" s="6" t="s">
        <v>40</v>
      </c>
      <c r="O192" s="6" t="s">
        <v>140</v>
      </c>
      <c r="P192" s="24">
        <v>16.5</v>
      </c>
      <c r="R192" s="6" t="str">
        <f>TEXT(Tabela445[[#This Row],[DATA]],"MMM")</f>
        <v>nov</v>
      </c>
      <c r="Z192" s="6" t="s">
        <v>92</v>
      </c>
    </row>
    <row r="193" spans="1:38" x14ac:dyDescent="0.25">
      <c r="A193" s="18"/>
      <c r="B193" s="18"/>
      <c r="C193" s="18"/>
      <c r="F193" s="18"/>
      <c r="G193" s="18"/>
      <c r="H193" s="18"/>
      <c r="I193" s="33">
        <v>44519</v>
      </c>
      <c r="J193" s="6" t="s">
        <v>27</v>
      </c>
      <c r="K193" s="6" t="s">
        <v>171</v>
      </c>
      <c r="L193" s="6" t="s">
        <v>90</v>
      </c>
      <c r="M193" s="6">
        <v>1</v>
      </c>
      <c r="N193" s="6" t="s">
        <v>40</v>
      </c>
      <c r="O193" s="6" t="s">
        <v>164</v>
      </c>
      <c r="P193" s="24">
        <v>16.5</v>
      </c>
      <c r="Q193" s="6" t="s">
        <v>32</v>
      </c>
      <c r="R193" s="6" t="str">
        <f>TEXT(Tabela445[[#This Row],[DATA]],"MMM")</f>
        <v>nov</v>
      </c>
      <c r="Z193" s="6" t="s">
        <v>155</v>
      </c>
    </row>
    <row r="194" spans="1:38" x14ac:dyDescent="0.25">
      <c r="A194" s="18"/>
      <c r="B194" s="18"/>
      <c r="C194" s="18"/>
      <c r="F194" s="18"/>
      <c r="G194" s="18"/>
      <c r="H194" s="18"/>
      <c r="I194" s="33">
        <v>44519</v>
      </c>
      <c r="J194" s="6" t="s">
        <v>27</v>
      </c>
      <c r="K194" s="6" t="s">
        <v>171</v>
      </c>
      <c r="L194" s="6" t="s">
        <v>90</v>
      </c>
      <c r="M194" s="6">
        <v>1</v>
      </c>
      <c r="N194" s="6" t="s">
        <v>40</v>
      </c>
      <c r="O194" s="6" t="s">
        <v>103</v>
      </c>
      <c r="P194" s="24">
        <v>16.5</v>
      </c>
      <c r="Q194" s="6" t="s">
        <v>32</v>
      </c>
      <c r="R194" s="6" t="str">
        <f>TEXT(Tabela445[[#This Row],[DATA]],"MMM")</f>
        <v>nov</v>
      </c>
      <c r="Z194" s="6" t="s">
        <v>157</v>
      </c>
    </row>
    <row r="195" spans="1:38" x14ac:dyDescent="0.25">
      <c r="A195" s="18"/>
      <c r="B195" s="18"/>
      <c r="C195" s="18"/>
      <c r="F195" s="18"/>
      <c r="G195" s="18"/>
      <c r="H195" s="18"/>
      <c r="I195" s="33">
        <v>44526</v>
      </c>
      <c r="J195" s="6" t="s">
        <v>28</v>
      </c>
      <c r="K195" s="6" t="s">
        <v>171</v>
      </c>
      <c r="L195" s="6" t="s">
        <v>89</v>
      </c>
      <c r="M195" s="6">
        <v>50</v>
      </c>
      <c r="N195" s="6" t="s">
        <v>53</v>
      </c>
      <c r="O195" s="6" t="s">
        <v>103</v>
      </c>
      <c r="P195" s="24">
        <v>46</v>
      </c>
      <c r="Q195" s="6" t="s">
        <v>32</v>
      </c>
      <c r="R195" s="6" t="str">
        <f>TEXT(Tabela445[[#This Row],[DATA]],"MMM")</f>
        <v>nov</v>
      </c>
      <c r="Z195" s="6" t="s">
        <v>123</v>
      </c>
    </row>
    <row r="196" spans="1:38" x14ac:dyDescent="0.25">
      <c r="A196" s="18"/>
      <c r="B196" s="18"/>
      <c r="C196" s="18"/>
      <c r="F196" s="18"/>
      <c r="G196" s="18"/>
      <c r="H196" s="18"/>
      <c r="I196" s="33">
        <v>44526</v>
      </c>
      <c r="J196" s="6" t="s">
        <v>28</v>
      </c>
      <c r="K196" s="6" t="s">
        <v>171</v>
      </c>
      <c r="L196" s="6" t="s">
        <v>89</v>
      </c>
      <c r="M196" s="6">
        <v>50</v>
      </c>
      <c r="N196" s="6" t="s">
        <v>56</v>
      </c>
      <c r="O196" s="6" t="s">
        <v>121</v>
      </c>
      <c r="P196" s="24">
        <v>46</v>
      </c>
      <c r="Q196" s="6" t="s">
        <v>32</v>
      </c>
      <c r="R196" s="6" t="str">
        <f>TEXT(Tabela445[[#This Row],[DATA]],"MMM")</f>
        <v>nov</v>
      </c>
      <c r="Z196" s="6" t="s">
        <v>121</v>
      </c>
    </row>
    <row r="197" spans="1:38" x14ac:dyDescent="0.25">
      <c r="A197" s="18"/>
      <c r="B197" s="18"/>
      <c r="C197" s="18"/>
      <c r="F197" s="18"/>
      <c r="G197" s="18"/>
      <c r="H197" s="18"/>
      <c r="I197" s="33">
        <v>44526</v>
      </c>
      <c r="J197" s="6" t="s">
        <v>28</v>
      </c>
      <c r="K197" s="6" t="s">
        <v>171</v>
      </c>
      <c r="L197" s="6" t="s">
        <v>89</v>
      </c>
      <c r="M197" s="6">
        <v>50</v>
      </c>
      <c r="N197" s="6" t="s">
        <v>55</v>
      </c>
      <c r="O197" s="6" t="s">
        <v>104</v>
      </c>
      <c r="P197" s="24">
        <v>46</v>
      </c>
      <c r="Q197" s="6" t="s">
        <v>32</v>
      </c>
      <c r="R197" s="6" t="str">
        <f>TEXT(Tabela445[[#This Row],[DATA]],"MMM")</f>
        <v>nov</v>
      </c>
      <c r="Z197" s="6" t="s">
        <v>104</v>
      </c>
    </row>
    <row r="198" spans="1:38" x14ac:dyDescent="0.25">
      <c r="A198" s="18"/>
      <c r="B198" s="18"/>
      <c r="C198" s="18"/>
      <c r="F198" s="18"/>
      <c r="G198" s="18"/>
      <c r="H198" s="18"/>
      <c r="I198" s="33"/>
      <c r="R198" s="6" t="str">
        <f>TEXT(Tabela445[[#This Row],[DATA]],"MMM")</f>
        <v>jan</v>
      </c>
      <c r="Z198" s="6" t="s">
        <v>139</v>
      </c>
    </row>
    <row r="199" spans="1:38" x14ac:dyDescent="0.25">
      <c r="A199" s="18"/>
      <c r="B199" s="18"/>
      <c r="C199" s="18"/>
      <c r="F199" s="18"/>
      <c r="G199" s="18"/>
      <c r="H199" s="18"/>
      <c r="R199" s="6" t="str">
        <f>TEXT(Tabela445[[#This Row],[DATA]],"MMM")</f>
        <v>jan</v>
      </c>
      <c r="Z199" s="6" t="s">
        <v>139</v>
      </c>
    </row>
    <row r="200" spans="1:38" x14ac:dyDescent="0.25">
      <c r="A200" s="18"/>
      <c r="B200" s="18"/>
      <c r="C200" s="18"/>
      <c r="F200" s="18"/>
      <c r="G200" s="18"/>
      <c r="H200" s="18"/>
      <c r="R200" s="6" t="str">
        <f>TEXT(Tabela445[[#This Row],[DATA]],"MMM")</f>
        <v>jan</v>
      </c>
      <c r="Z200" s="6" t="s">
        <v>103</v>
      </c>
    </row>
    <row r="201" spans="1:38" x14ac:dyDescent="0.25">
      <c r="A201" s="18"/>
      <c r="B201" s="18"/>
      <c r="C201" s="18"/>
      <c r="F201" s="18"/>
      <c r="G201" s="18"/>
      <c r="H201" s="18"/>
      <c r="R201" s="6" t="str">
        <f>TEXT(Tabela445[[#This Row],[DATA]],"MMM")</f>
        <v>jan</v>
      </c>
      <c r="Z201" s="6" t="s">
        <v>91</v>
      </c>
    </row>
    <row r="202" spans="1:38" ht="39.950000000000003" customHeight="1" x14ac:dyDescent="0.25">
      <c r="A202" s="18"/>
      <c r="B202" s="18"/>
      <c r="C202" s="18"/>
      <c r="E202" s="18"/>
      <c r="F202" s="18"/>
      <c r="G202" s="18"/>
      <c r="H202" s="18"/>
      <c r="I202" s="35"/>
      <c r="P202"/>
    </row>
    <row r="203" spans="1:38" x14ac:dyDescent="0.25">
      <c r="A203" s="18"/>
      <c r="B203" s="18"/>
      <c r="C203" s="18"/>
      <c r="E203" s="18"/>
      <c r="F203" s="18"/>
      <c r="G203" s="18"/>
      <c r="H203" s="18"/>
      <c r="I203" s="35"/>
      <c r="J203"/>
      <c r="K203"/>
      <c r="L203"/>
      <c r="M203"/>
      <c r="N203"/>
      <c r="O203"/>
      <c r="P203"/>
      <c r="Q203"/>
    </row>
    <row r="204" spans="1:38" ht="8.1" customHeight="1" x14ac:dyDescent="0.25">
      <c r="A204" s="18"/>
      <c r="B204" s="18"/>
      <c r="C204" s="18"/>
      <c r="E204" s="18"/>
      <c r="F204" s="18"/>
      <c r="G204" s="18"/>
      <c r="H204" s="18"/>
      <c r="P204"/>
    </row>
    <row r="205" spans="1:38" x14ac:dyDescent="0.25">
      <c r="A205" s="18"/>
      <c r="B205" s="18"/>
      <c r="C205" s="60" t="s">
        <v>3</v>
      </c>
      <c r="D205" s="60" t="s">
        <v>4</v>
      </c>
      <c r="E205" s="60" t="s">
        <v>34</v>
      </c>
      <c r="F205" s="60" t="s">
        <v>35</v>
      </c>
      <c r="G205" s="18"/>
      <c r="H205" s="18"/>
      <c r="I205" s="15" t="s">
        <v>0</v>
      </c>
      <c r="J205" s="15" t="s">
        <v>2</v>
      </c>
      <c r="K205" s="15" t="s">
        <v>1</v>
      </c>
      <c r="L205" s="15" t="s">
        <v>87</v>
      </c>
      <c r="M205" s="15" t="s">
        <v>4</v>
      </c>
      <c r="N205" s="15" t="s">
        <v>3</v>
      </c>
      <c r="O205" s="15" t="s">
        <v>72</v>
      </c>
      <c r="P205" s="15" t="s">
        <v>5</v>
      </c>
      <c r="Q205" s="15" t="s">
        <v>6</v>
      </c>
      <c r="R205" s="15" t="s">
        <v>102</v>
      </c>
      <c r="X205" s="6" t="s">
        <v>54</v>
      </c>
      <c r="Y205" t="s">
        <v>50</v>
      </c>
      <c r="Z205" s="6" t="s">
        <v>51</v>
      </c>
      <c r="AB205" t="s">
        <v>60</v>
      </c>
      <c r="AD205" s="6" t="s">
        <v>88</v>
      </c>
      <c r="AI205" s="6" t="s">
        <v>98</v>
      </c>
      <c r="AJ205" s="6" t="s">
        <v>99</v>
      </c>
      <c r="AK205" s="6" t="s">
        <v>100</v>
      </c>
      <c r="AL205" s="6" t="s">
        <v>101</v>
      </c>
    </row>
    <row r="206" spans="1:38" x14ac:dyDescent="0.25">
      <c r="A206" s="18"/>
      <c r="B206" s="18"/>
      <c r="C206" s="12" t="str">
        <f>CADASTRO_UNIDADE_VENDAS59[[#This Row],[CADASTRO_UNIDADE]]</f>
        <v>CONST. UN</v>
      </c>
      <c r="D206" s="12">
        <f>SUMIFS(Tabela454[QNT],Tabela454[SITUAÇÃO],$V$10,Tabela454[PRODUTO],C206)</f>
        <v>0</v>
      </c>
      <c r="E206" s="26">
        <f>SUMIFS(Tabela454[VALOR],Tabela454[SITUAÇÃO],$V$6,Tabela454[PRODUTO],C206)</f>
        <v>0</v>
      </c>
      <c r="F206" s="13">
        <f>E206/$V$8</f>
        <v>0</v>
      </c>
      <c r="G206" s="18"/>
      <c r="H206" s="18"/>
      <c r="I206" s="33">
        <v>44533</v>
      </c>
      <c r="J206" s="6" t="s">
        <v>27</v>
      </c>
      <c r="K206" s="6" t="s">
        <v>171</v>
      </c>
      <c r="L206" s="6" t="s">
        <v>90</v>
      </c>
      <c r="M206" s="6">
        <v>1</v>
      </c>
      <c r="N206" s="6" t="s">
        <v>40</v>
      </c>
      <c r="O206" s="6" t="s">
        <v>103</v>
      </c>
      <c r="P206" s="24">
        <v>16.5</v>
      </c>
      <c r="Q206" s="6" t="s">
        <v>32</v>
      </c>
      <c r="R206" s="6" t="str">
        <f>TEXT(Tabela454[[#This Row],[DATA]],"MMM")</f>
        <v>dez</v>
      </c>
      <c r="V206" s="6" t="s">
        <v>32</v>
      </c>
      <c r="X206" s="6" t="s">
        <v>28</v>
      </c>
      <c r="Y206" t="s">
        <v>133</v>
      </c>
      <c r="Z206" s="6" t="s">
        <v>105</v>
      </c>
      <c r="AB206" t="s">
        <v>32</v>
      </c>
      <c r="AD206" s="6" t="s">
        <v>89</v>
      </c>
      <c r="AI206" s="34">
        <v>44197</v>
      </c>
      <c r="AL206" s="6">
        <f>AJ206-AK206</f>
        <v>0</v>
      </c>
    </row>
    <row r="207" spans="1:38" x14ac:dyDescent="0.25">
      <c r="A207" s="18"/>
      <c r="B207" s="18"/>
      <c r="C207" s="12" t="str">
        <f>CADASTRO_UNIDADE_VENDAS59[[#This Row],[CADASTRO_UNIDADE]]</f>
        <v>CONSTELAÇÃO</v>
      </c>
      <c r="D207" s="12">
        <f>SUMIFS(Tabela454[QNT],Tabela454[SITUAÇÃO],$V$10,Tabela454[PRODUTO],C207)</f>
        <v>40</v>
      </c>
      <c r="E207" s="26">
        <f>SUMIFS(Tabela454[VALOR],Tabela454[SITUAÇÃO],$V$6,Tabela454[PRODUTO],C207)</f>
        <v>36.799999999999997</v>
      </c>
      <c r="F207" s="13">
        <f>E207/$V$8</f>
        <v>2.2623878027788022E-2</v>
      </c>
      <c r="G207" s="18"/>
      <c r="H207" s="18"/>
      <c r="I207" s="33">
        <v>44533</v>
      </c>
      <c r="J207" s="6" t="s">
        <v>27</v>
      </c>
      <c r="K207" s="6" t="s">
        <v>171</v>
      </c>
      <c r="L207" s="6" t="s">
        <v>90</v>
      </c>
      <c r="M207" s="6">
        <v>1</v>
      </c>
      <c r="N207" s="6" t="s">
        <v>40</v>
      </c>
      <c r="O207" s="6" t="s">
        <v>164</v>
      </c>
      <c r="P207" s="24">
        <v>16.5</v>
      </c>
      <c r="Q207" s="6" t="s">
        <v>32</v>
      </c>
      <c r="R207" s="6" t="str">
        <f>TEXT(Tabela454[[#This Row],[DATA]],"MMM")</f>
        <v>dez</v>
      </c>
      <c r="V207" s="6" t="s">
        <v>33</v>
      </c>
      <c r="X207" s="6" t="s">
        <v>27</v>
      </c>
      <c r="Y207" t="s">
        <v>122</v>
      </c>
      <c r="Z207" s="6" t="s">
        <v>141</v>
      </c>
      <c r="AB207" t="s">
        <v>33</v>
      </c>
      <c r="AD207" s="6" t="s">
        <v>90</v>
      </c>
      <c r="AI207" s="34">
        <v>44228</v>
      </c>
      <c r="AL207" s="6">
        <f t="shared" ref="AL207:AL217" si="14">AJ207-AK207</f>
        <v>0</v>
      </c>
    </row>
    <row r="208" spans="1:38" x14ac:dyDescent="0.25">
      <c r="A208" s="18"/>
      <c r="B208" s="18"/>
      <c r="C208" s="12" t="str">
        <f>CADASTRO_UNIDADE_VENDAS59[[#This Row],[CADASTRO_UNIDADE]]</f>
        <v>CX. 4. UN</v>
      </c>
      <c r="D208" s="12">
        <f>SUMIFS(Tabela454[QNT],Tabela454[SITUAÇÃO],$V$10,Tabela454[PRODUTO],C208)</f>
        <v>0</v>
      </c>
      <c r="E208" s="26">
        <f>SUMIFS(Tabela454[VALOR],Tabela454[SITUAÇÃO],$V$6,Tabela454[PRODUTO],C208)</f>
        <v>0</v>
      </c>
      <c r="F208" s="13">
        <f>E208/$V$8</f>
        <v>0</v>
      </c>
      <c r="G208" s="18"/>
      <c r="H208" s="18"/>
      <c r="I208" s="33">
        <v>44533</v>
      </c>
      <c r="J208" s="6" t="s">
        <v>27</v>
      </c>
      <c r="K208" s="6" t="s">
        <v>171</v>
      </c>
      <c r="L208" s="6" t="s">
        <v>90</v>
      </c>
      <c r="M208" s="6">
        <v>1</v>
      </c>
      <c r="N208" s="6" t="s">
        <v>40</v>
      </c>
      <c r="O208" s="6" t="s">
        <v>104</v>
      </c>
      <c r="P208" s="24">
        <v>16.5</v>
      </c>
      <c r="Q208" s="6" t="s">
        <v>32</v>
      </c>
      <c r="R208" s="6" t="str">
        <f>TEXT(Tabela454[[#This Row],[DATA]],"MMM")</f>
        <v>dez</v>
      </c>
      <c r="U208" s="6" t="s">
        <v>42</v>
      </c>
      <c r="V208" s="25">
        <f>SUM(Tabela454[VALOR])</f>
        <v>705.4</v>
      </c>
      <c r="Y208" t="s">
        <v>136</v>
      </c>
      <c r="Z208" s="6" t="s">
        <v>142</v>
      </c>
      <c r="AI208" s="34">
        <v>44256</v>
      </c>
      <c r="AL208" s="6">
        <f t="shared" si="14"/>
        <v>0</v>
      </c>
    </row>
    <row r="209" spans="1:38" x14ac:dyDescent="0.25">
      <c r="A209" s="18"/>
      <c r="B209" s="18"/>
      <c r="C209" s="12" t="str">
        <f>CADASTRO_UNIDADE_VENDAS59[[#This Row],[CADASTRO_UNIDADE]]</f>
        <v>CX.10.UN</v>
      </c>
      <c r="D209" s="12">
        <f>SUMIFS(Tabela454[QNT],Tabela454[SITUAÇÃO],$V$10,Tabela454[PRODUTO],C209)</f>
        <v>20</v>
      </c>
      <c r="E209" s="26">
        <f>SUMIFS(Tabela454[VALOR],Tabela454[SITUAÇÃO],$V$6,Tabela454[PRODUTO],C209)</f>
        <v>330</v>
      </c>
      <c r="F209" s="13">
        <f>E209/$V$8</f>
        <v>0.20287716709701217</v>
      </c>
      <c r="G209" s="18"/>
      <c r="H209" s="18"/>
      <c r="I209" s="33">
        <v>44541</v>
      </c>
      <c r="J209" s="6" t="s">
        <v>27</v>
      </c>
      <c r="K209" s="6" t="s">
        <v>171</v>
      </c>
      <c r="L209" s="6" t="s">
        <v>90</v>
      </c>
      <c r="M209" s="6">
        <v>40</v>
      </c>
      <c r="N209" s="6" t="s">
        <v>53</v>
      </c>
      <c r="O209" s="6" t="s">
        <v>103</v>
      </c>
      <c r="P209" s="24">
        <v>36.799999999999997</v>
      </c>
      <c r="Q209" s="6" t="s">
        <v>32</v>
      </c>
      <c r="R209" s="6" t="str">
        <f>TEXT(Tabela454[[#This Row],[DATA]],"MMM")</f>
        <v>dez</v>
      </c>
      <c r="Y209" t="s">
        <v>40</v>
      </c>
      <c r="Z209" s="6" t="s">
        <v>151</v>
      </c>
      <c r="AI209" s="34">
        <v>44287</v>
      </c>
      <c r="AL209" s="6">
        <f t="shared" si="14"/>
        <v>0</v>
      </c>
    </row>
    <row r="210" spans="1:38" x14ac:dyDescent="0.25">
      <c r="A210" s="18"/>
      <c r="B210" s="18"/>
      <c r="C210" s="12" t="str">
        <f>CADASTRO_UNIDADE_VENDAS59[[#This Row],[CADASTRO_UNIDADE]]</f>
        <v>CX.12.UN</v>
      </c>
      <c r="D210" s="12">
        <f>SUMIFS(Tabela454[QNT],Tabela454[SITUAÇÃO],$V$10,Tabela454[PRODUTO],C210)</f>
        <v>0</v>
      </c>
      <c r="E210" s="26">
        <f>SUMIFS(Tabela454[VALOR],Tabela454[SITUAÇÃO],$V$6,Tabela454[PRODUTO],C210)</f>
        <v>0</v>
      </c>
      <c r="F210" s="13">
        <f t="shared" ref="F210:F216" si="15">E210/$V$8</f>
        <v>0</v>
      </c>
      <c r="G210" s="18"/>
      <c r="H210" s="18"/>
      <c r="I210" s="33">
        <v>44541</v>
      </c>
      <c r="J210" s="6" t="s">
        <v>27</v>
      </c>
      <c r="K210" s="6" t="s">
        <v>171</v>
      </c>
      <c r="L210" s="6" t="s">
        <v>90</v>
      </c>
      <c r="M210" s="6">
        <v>40</v>
      </c>
      <c r="N210" s="6" t="s">
        <v>56</v>
      </c>
      <c r="O210" s="6" t="s">
        <v>121</v>
      </c>
      <c r="P210" s="24">
        <v>36.799999999999997</v>
      </c>
      <c r="Q210" s="6" t="s">
        <v>32</v>
      </c>
      <c r="R210" s="6" t="str">
        <f>TEXT(Tabela454[[#This Row],[DATA]],"MMM")</f>
        <v>dez</v>
      </c>
      <c r="V210" s="6" t="s">
        <v>32</v>
      </c>
      <c r="Y210" t="s">
        <v>58</v>
      </c>
      <c r="Z210" s="6" t="s">
        <v>154</v>
      </c>
      <c r="AI210" s="34">
        <v>44317</v>
      </c>
      <c r="AL210" s="6">
        <f t="shared" si="14"/>
        <v>0</v>
      </c>
    </row>
    <row r="211" spans="1:38" x14ac:dyDescent="0.25">
      <c r="A211" s="18"/>
      <c r="B211" s="18"/>
      <c r="C211" s="12" t="str">
        <f>CADASTRO_UNIDADE_VENDAS59[[#This Row],[CADASTRO_UNIDADE]]</f>
        <v>CX.6.UN</v>
      </c>
      <c r="D211" s="12">
        <f>SUMIFS(Tabela454[QNT],Tabela454[SITUAÇÃO],$V$10,Tabela454[PRODUTO],C211)</f>
        <v>0</v>
      </c>
      <c r="E211" s="26">
        <f>SUMIFS(Tabela454[VALOR],Tabela454[SITUAÇÃO],$V$6,Tabela454[PRODUTO],C211)</f>
        <v>0</v>
      </c>
      <c r="F211" s="13">
        <f t="shared" si="15"/>
        <v>0</v>
      </c>
      <c r="G211" s="18"/>
      <c r="H211" s="18"/>
      <c r="I211" s="33">
        <v>44541</v>
      </c>
      <c r="J211" s="6" t="s">
        <v>27</v>
      </c>
      <c r="K211" s="6" t="s">
        <v>171</v>
      </c>
      <c r="L211" s="6" t="s">
        <v>90</v>
      </c>
      <c r="M211" s="6">
        <v>40</v>
      </c>
      <c r="N211" s="6" t="s">
        <v>122</v>
      </c>
      <c r="O211" s="6" t="s">
        <v>123</v>
      </c>
      <c r="P211" s="24">
        <v>36.799999999999997</v>
      </c>
      <c r="Q211" s="6" t="s">
        <v>32</v>
      </c>
      <c r="R211" s="6" t="str">
        <f>TEXT(Tabela454[[#This Row],[DATA]],"MMM")</f>
        <v>dez</v>
      </c>
      <c r="V211" s="6" t="s">
        <v>33</v>
      </c>
      <c r="Y211" t="s">
        <v>44</v>
      </c>
      <c r="Z211" s="6" t="s">
        <v>59</v>
      </c>
      <c r="AI211" s="34">
        <v>44348</v>
      </c>
      <c r="AL211" s="6">
        <f t="shared" si="14"/>
        <v>0</v>
      </c>
    </row>
    <row r="212" spans="1:38" x14ac:dyDescent="0.25">
      <c r="A212" s="18"/>
      <c r="B212" s="18"/>
      <c r="C212" s="12" t="str">
        <f>CADASTRO_UNIDADE_VENDAS59[[#This Row],[CADASTRO_UNIDADE]]</f>
        <v>NINH.UN</v>
      </c>
      <c r="D212" s="12">
        <f>SUMIFS(Tabela454[QNT],Tabela454[SITUAÇÃO],$V$10,Tabela454[PRODUTO],C212)</f>
        <v>90</v>
      </c>
      <c r="E212" s="26">
        <f>SUMIFS(Tabela454[VALOR],Tabela454[SITUAÇÃO],$V$6,Tabela454[PRODUTO],C212)</f>
        <v>82.8</v>
      </c>
      <c r="F212" s="13">
        <f t="shared" si="15"/>
        <v>5.0903725562523053E-2</v>
      </c>
      <c r="G212" s="18"/>
      <c r="H212" s="18"/>
      <c r="I212" s="33">
        <v>44542</v>
      </c>
      <c r="J212" s="6" t="s">
        <v>27</v>
      </c>
      <c r="K212" s="6" t="s">
        <v>171</v>
      </c>
      <c r="L212" s="6" t="s">
        <v>90</v>
      </c>
      <c r="M212" s="6">
        <v>50</v>
      </c>
      <c r="N212" s="6" t="s">
        <v>53</v>
      </c>
      <c r="O212" s="6" t="s">
        <v>103</v>
      </c>
      <c r="P212" s="24">
        <v>46</v>
      </c>
      <c r="Q212" s="6" t="s">
        <v>32</v>
      </c>
      <c r="R212" s="6" t="str">
        <f>TEXT(Tabela454[[#This Row],[DATA]],"MMM")</f>
        <v>dez</v>
      </c>
      <c r="U212" s="6" t="s">
        <v>52</v>
      </c>
      <c r="V212" s="6">
        <f>SUM(M206:M227)</f>
        <v>252</v>
      </c>
      <c r="Y212" t="s">
        <v>56</v>
      </c>
      <c r="Z212" s="6" t="s">
        <v>45</v>
      </c>
      <c r="AI212" s="34">
        <v>44378</v>
      </c>
      <c r="AL212" s="6">
        <f t="shared" si="14"/>
        <v>0</v>
      </c>
    </row>
    <row r="213" spans="1:38" x14ac:dyDescent="0.25">
      <c r="A213" s="18"/>
      <c r="B213" s="18"/>
      <c r="C213" s="12" t="str">
        <f>CADASTRO_UNIDADE_VENDAS59[[#This Row],[CADASTRO_UNIDADE]]</f>
        <v>NUTEL.UN</v>
      </c>
      <c r="D213" s="12">
        <f>SUMIFS(Tabela454[QNT],Tabela454[SITUAÇÃO],$V$10,Tabela454[PRODUTO],C213)</f>
        <v>0</v>
      </c>
      <c r="E213" s="26">
        <f>SUMIFS(Tabela454[VALOR],Tabela454[SITUAÇÃO],$V$6,Tabela454[PRODUTO],C213)</f>
        <v>0</v>
      </c>
      <c r="F213" s="13">
        <f t="shared" si="15"/>
        <v>0</v>
      </c>
      <c r="G213" s="18"/>
      <c r="H213" s="18"/>
      <c r="I213" s="33">
        <v>44542</v>
      </c>
      <c r="J213" s="6" t="s">
        <v>27</v>
      </c>
      <c r="K213" s="6" t="s">
        <v>171</v>
      </c>
      <c r="L213" s="6" t="s">
        <v>90</v>
      </c>
      <c r="M213" s="6">
        <v>50</v>
      </c>
      <c r="N213" s="6" t="s">
        <v>56</v>
      </c>
      <c r="O213" s="6" t="s">
        <v>121</v>
      </c>
      <c r="P213" s="24">
        <v>46</v>
      </c>
      <c r="Q213" s="6" t="s">
        <v>32</v>
      </c>
      <c r="R213" s="6" t="str">
        <f>TEXT(Tabela454[[#This Row],[DATA]],"MMM")</f>
        <v>dez</v>
      </c>
      <c r="Y213" t="s">
        <v>57</v>
      </c>
      <c r="Z213" s="6" t="s">
        <v>61</v>
      </c>
      <c r="AG213" s="25"/>
      <c r="AI213" s="34">
        <v>44409</v>
      </c>
      <c r="AJ213" s="25">
        <f>SUM(E206:E271)</f>
        <v>532.4</v>
      </c>
      <c r="AL213" s="6">
        <f t="shared" si="14"/>
        <v>532.4</v>
      </c>
    </row>
    <row r="214" spans="1:38" x14ac:dyDescent="0.25">
      <c r="A214" s="18"/>
      <c r="B214" s="18"/>
      <c r="C214" s="12" t="str">
        <f>CADASTRO_UNIDADE_VENDAS59[[#This Row],[CADASTRO_UNIDADE]]</f>
        <v>PAÇO.UN</v>
      </c>
      <c r="D214" s="12">
        <f>SUMIFS(Tabela454[QNT],Tabela454[SITUAÇÃO],$V$10,Tabela454[PRODUTO],C214)</f>
        <v>0</v>
      </c>
      <c r="E214" s="26">
        <f>SUMIFS(Tabela454[VALOR],Tabela454[SITUAÇÃO],$V$6,Tabela454[PRODUTO],C214)</f>
        <v>0</v>
      </c>
      <c r="F214" s="13">
        <f t="shared" si="15"/>
        <v>0</v>
      </c>
      <c r="G214" s="18"/>
      <c r="H214" s="18"/>
      <c r="I214" s="33">
        <v>44545</v>
      </c>
      <c r="J214" s="6" t="s">
        <v>27</v>
      </c>
      <c r="K214" s="6" t="s">
        <v>171</v>
      </c>
      <c r="L214" s="6" t="s">
        <v>90</v>
      </c>
      <c r="M214" s="6">
        <v>1</v>
      </c>
      <c r="N214" s="6" t="s">
        <v>40</v>
      </c>
      <c r="O214" s="6" t="s">
        <v>91</v>
      </c>
      <c r="P214" s="24">
        <v>16.5</v>
      </c>
      <c r="Q214" s="6" t="s">
        <v>32</v>
      </c>
      <c r="R214" s="6" t="str">
        <f>TEXT(Tabela454[[#This Row],[DATA]],"MMM")</f>
        <v>dez</v>
      </c>
      <c r="Y214" t="s">
        <v>55</v>
      </c>
      <c r="Z214" s="6" t="s">
        <v>140</v>
      </c>
      <c r="AI214" s="34">
        <v>44440</v>
      </c>
      <c r="AL214" s="6">
        <f t="shared" si="14"/>
        <v>0</v>
      </c>
    </row>
    <row r="215" spans="1:38" x14ac:dyDescent="0.25">
      <c r="A215" s="18"/>
      <c r="B215" s="18"/>
      <c r="C215" s="12" t="str">
        <f>CADASTRO_UNIDADE_VENDAS59[[#This Row],[CADASTRO_UNIDADE]]</f>
        <v>SICILI. UN</v>
      </c>
      <c r="D215" s="12">
        <f>SUMIFS(Tabela454[QNT],Tabela454[SITUAÇÃO],$V$10,Tabela454[PRODUTO],C215)</f>
        <v>0</v>
      </c>
      <c r="E215" s="26">
        <f>SUMIFS(Tabela454[VALOR],Tabela454[SITUAÇÃO],$V$6,Tabela454[PRODUTO],C215)</f>
        <v>0</v>
      </c>
      <c r="F215" s="13">
        <f t="shared" si="15"/>
        <v>0</v>
      </c>
      <c r="G215" s="18"/>
      <c r="H215" s="18"/>
      <c r="I215" s="33">
        <v>44545</v>
      </c>
      <c r="J215" s="6" t="s">
        <v>27</v>
      </c>
      <c r="K215" s="6" t="s">
        <v>171</v>
      </c>
      <c r="M215" s="6">
        <v>1</v>
      </c>
      <c r="N215" s="6" t="s">
        <v>40</v>
      </c>
      <c r="O215" s="6" t="s">
        <v>158</v>
      </c>
      <c r="P215" s="24">
        <v>16.5</v>
      </c>
      <c r="R215" s="6" t="str">
        <f>TEXT(Tabela454[[#This Row],[DATA]],"MMM")</f>
        <v>dez</v>
      </c>
      <c r="Y215" t="s">
        <v>150</v>
      </c>
      <c r="Z215" s="6" t="s">
        <v>158</v>
      </c>
      <c r="AI215" s="34">
        <v>44470</v>
      </c>
      <c r="AL215" s="6">
        <f t="shared" si="14"/>
        <v>0</v>
      </c>
    </row>
    <row r="216" spans="1:38" x14ac:dyDescent="0.25">
      <c r="A216" s="18"/>
      <c r="B216" s="18"/>
      <c r="C216" s="12" t="str">
        <f>CADASTRO_UNIDADE_VENDAS59[[#This Row],[CADASTRO_UNIDADE]]</f>
        <v>TRAD.UN</v>
      </c>
      <c r="D216" s="12">
        <f>SUMIFS(Tabela454[QNT],Tabela454[SITUAÇÃO],$V$10,Tabela454[PRODUTO],C216)</f>
        <v>90</v>
      </c>
      <c r="E216" s="26">
        <f>SUMIFS(Tabela454[VALOR],Tabela454[SITUAÇÃO],$V$6,Tabela454[PRODUTO],C216)</f>
        <v>82.8</v>
      </c>
      <c r="F216" s="13">
        <f t="shared" si="15"/>
        <v>5.0903725562523053E-2</v>
      </c>
      <c r="G216" s="18"/>
      <c r="H216" s="18"/>
      <c r="I216" s="33">
        <v>44546</v>
      </c>
      <c r="J216" s="6" t="s">
        <v>27</v>
      </c>
      <c r="K216" s="6" t="s">
        <v>171</v>
      </c>
      <c r="L216" s="6" t="s">
        <v>90</v>
      </c>
      <c r="M216" s="6">
        <v>1</v>
      </c>
      <c r="N216" s="6" t="s">
        <v>40</v>
      </c>
      <c r="O216" s="6" t="s">
        <v>103</v>
      </c>
      <c r="P216" s="24">
        <v>16.5</v>
      </c>
      <c r="Q216" s="6" t="s">
        <v>32</v>
      </c>
      <c r="R216" s="6" t="str">
        <f>TEXT(Tabela454[[#This Row],[DATA]],"MMM")</f>
        <v>dez</v>
      </c>
      <c r="Y216" t="s">
        <v>53</v>
      </c>
      <c r="Z216" s="6" t="s">
        <v>156</v>
      </c>
      <c r="AI216" s="34">
        <v>44501</v>
      </c>
      <c r="AL216" s="6">
        <f t="shared" si="14"/>
        <v>0</v>
      </c>
    </row>
    <row r="217" spans="1:38" x14ac:dyDescent="0.25">
      <c r="A217" s="18"/>
      <c r="B217" s="18"/>
      <c r="C217"/>
      <c r="D217"/>
      <c r="E217"/>
      <c r="F217"/>
      <c r="G217" s="18"/>
      <c r="H217" s="18"/>
      <c r="I217" s="33">
        <v>44546</v>
      </c>
      <c r="J217" s="6" t="s">
        <v>27</v>
      </c>
      <c r="K217" s="6" t="s">
        <v>171</v>
      </c>
      <c r="L217" s="6" t="s">
        <v>90</v>
      </c>
      <c r="M217" s="6">
        <v>3</v>
      </c>
      <c r="N217" s="6" t="s">
        <v>40</v>
      </c>
      <c r="O217" s="6" t="s">
        <v>158</v>
      </c>
      <c r="P217" s="24">
        <v>49.5</v>
      </c>
      <c r="Q217" s="6" t="s">
        <v>32</v>
      </c>
      <c r="R217" s="6" t="str">
        <f>TEXT(Tabela454[[#This Row],[DATA]],"MMM")</f>
        <v>dez</v>
      </c>
      <c r="Y217"/>
      <c r="Z217" s="6" t="s">
        <v>152</v>
      </c>
      <c r="AI217" s="34">
        <v>44531</v>
      </c>
      <c r="AL217" s="6">
        <f t="shared" si="14"/>
        <v>0</v>
      </c>
    </row>
    <row r="218" spans="1:38" x14ac:dyDescent="0.25">
      <c r="A218" s="18"/>
      <c r="B218" s="18"/>
      <c r="C218" s="18"/>
      <c r="F218" s="18"/>
      <c r="G218" s="18"/>
      <c r="H218" s="18"/>
      <c r="I218" s="33">
        <v>44550</v>
      </c>
      <c r="J218" s="6" t="s">
        <v>28</v>
      </c>
      <c r="K218" s="6" t="s">
        <v>171</v>
      </c>
      <c r="M218" s="6">
        <v>1</v>
      </c>
      <c r="N218" s="6" t="s">
        <v>40</v>
      </c>
      <c r="O218" s="6" t="s">
        <v>91</v>
      </c>
      <c r="P218" s="24">
        <v>16.5</v>
      </c>
      <c r="R218" s="6" t="str">
        <f>TEXT(Tabela454[[#This Row],[DATA]],"MMM")</f>
        <v>dez</v>
      </c>
      <c r="Z218" s="6" t="s">
        <v>92</v>
      </c>
    </row>
    <row r="219" spans="1:38" x14ac:dyDescent="0.25">
      <c r="A219" s="18"/>
      <c r="B219" s="18"/>
      <c r="C219" s="18"/>
      <c r="F219" s="18"/>
      <c r="G219" s="18"/>
      <c r="H219" s="18"/>
      <c r="I219" s="33">
        <v>44550</v>
      </c>
      <c r="J219" s="6" t="s">
        <v>27</v>
      </c>
      <c r="K219" s="6" t="s">
        <v>171</v>
      </c>
      <c r="L219" s="6" t="s">
        <v>90</v>
      </c>
      <c r="M219" s="6">
        <v>2</v>
      </c>
      <c r="N219" s="6" t="s">
        <v>40</v>
      </c>
      <c r="O219" s="6" t="s">
        <v>91</v>
      </c>
      <c r="P219" s="24">
        <v>33</v>
      </c>
      <c r="Q219" s="6" t="s">
        <v>32</v>
      </c>
      <c r="R219" s="6" t="str">
        <f>TEXT(Tabela454[[#This Row],[DATA]],"MMM")</f>
        <v>dez</v>
      </c>
      <c r="Z219" s="6" t="s">
        <v>155</v>
      </c>
    </row>
    <row r="220" spans="1:38" x14ac:dyDescent="0.25">
      <c r="A220" s="18"/>
      <c r="B220" s="18"/>
      <c r="C220" s="18"/>
      <c r="F220" s="18"/>
      <c r="G220" s="18"/>
      <c r="H220" s="18"/>
      <c r="I220" s="33">
        <v>44553</v>
      </c>
      <c r="J220" s="6" t="s">
        <v>27</v>
      </c>
      <c r="K220" s="6" t="s">
        <v>171</v>
      </c>
      <c r="M220" s="6">
        <v>5</v>
      </c>
      <c r="N220" s="6" t="s">
        <v>40</v>
      </c>
      <c r="O220" s="6" t="s">
        <v>140</v>
      </c>
      <c r="P220" s="24">
        <v>82.5</v>
      </c>
      <c r="R220" s="6" t="str">
        <f>TEXT(Tabela454[[#This Row],[DATA]],"MMM")</f>
        <v>dez</v>
      </c>
      <c r="Z220" s="6" t="s">
        <v>157</v>
      </c>
    </row>
    <row r="221" spans="1:38" x14ac:dyDescent="0.25">
      <c r="A221" s="18"/>
      <c r="B221" s="18"/>
      <c r="C221" s="18"/>
      <c r="F221" s="18"/>
      <c r="G221" s="18"/>
      <c r="H221" s="18"/>
      <c r="I221" s="33">
        <v>44553</v>
      </c>
      <c r="J221" s="6" t="s">
        <v>27</v>
      </c>
      <c r="K221" s="6" t="s">
        <v>171</v>
      </c>
      <c r="M221" s="6">
        <v>5</v>
      </c>
      <c r="N221" s="6" t="s">
        <v>44</v>
      </c>
      <c r="O221" s="6" t="s">
        <v>140</v>
      </c>
      <c r="P221" s="24">
        <v>57.5</v>
      </c>
      <c r="R221" s="6" t="str">
        <f>TEXT(Tabela454[[#This Row],[DATA]],"MMM")</f>
        <v>dez</v>
      </c>
      <c r="Z221" s="6" t="s">
        <v>164</v>
      </c>
    </row>
    <row r="222" spans="1:38" x14ac:dyDescent="0.25">
      <c r="A222" s="18"/>
      <c r="B222" s="18"/>
      <c r="C222" s="18"/>
      <c r="F222" s="18"/>
      <c r="G222" s="18"/>
      <c r="H222" s="18"/>
      <c r="I222" s="33">
        <v>44553</v>
      </c>
      <c r="J222" s="6" t="s">
        <v>27</v>
      </c>
      <c r="K222" s="6" t="s">
        <v>171</v>
      </c>
      <c r="L222" s="6" t="s">
        <v>90</v>
      </c>
      <c r="M222" s="6">
        <v>9</v>
      </c>
      <c r="N222" s="6" t="s">
        <v>40</v>
      </c>
      <c r="O222" s="6" t="s">
        <v>140</v>
      </c>
      <c r="P222" s="24">
        <v>148.5</v>
      </c>
      <c r="Q222" s="6" t="s">
        <v>32</v>
      </c>
      <c r="R222" s="6" t="str">
        <f>TEXT(Tabela454[[#This Row],[DATA]],"MMM")</f>
        <v>dez</v>
      </c>
      <c r="Z222" s="6" t="s">
        <v>123</v>
      </c>
    </row>
    <row r="223" spans="1:38" x14ac:dyDescent="0.25">
      <c r="A223" s="18"/>
      <c r="B223" s="18"/>
      <c r="C223" s="18"/>
      <c r="F223" s="18"/>
      <c r="G223" s="18"/>
      <c r="H223" s="18"/>
      <c r="I223" s="33">
        <v>44553</v>
      </c>
      <c r="J223" s="6" t="s">
        <v>27</v>
      </c>
      <c r="K223" s="6" t="s">
        <v>171</v>
      </c>
      <c r="L223" s="6" t="s">
        <v>90</v>
      </c>
      <c r="M223" s="6">
        <v>1</v>
      </c>
      <c r="N223" s="6" t="s">
        <v>40</v>
      </c>
      <c r="O223" s="6" t="s">
        <v>103</v>
      </c>
      <c r="P223" s="24">
        <v>16.5</v>
      </c>
      <c r="Q223" s="6" t="s">
        <v>32</v>
      </c>
      <c r="R223" s="6" t="str">
        <f>TEXT(Tabela454[[#This Row],[DATA]],"MMM")</f>
        <v>dez</v>
      </c>
      <c r="Z223" s="6" t="s">
        <v>121</v>
      </c>
    </row>
    <row r="224" spans="1:38" x14ac:dyDescent="0.25">
      <c r="A224" s="18"/>
      <c r="B224" s="18"/>
      <c r="C224" s="18"/>
      <c r="F224" s="18"/>
      <c r="G224" s="18"/>
      <c r="H224" s="18"/>
      <c r="I224" s="33"/>
      <c r="R224" s="6" t="str">
        <f>TEXT(Tabela454[[#This Row],[DATA]],"MMM")</f>
        <v>jan</v>
      </c>
      <c r="Z224" s="6" t="s">
        <v>104</v>
      </c>
    </row>
    <row r="225" spans="1:26" x14ac:dyDescent="0.25">
      <c r="A225" s="18"/>
      <c r="B225" s="18"/>
      <c r="C225" s="18"/>
      <c r="F225" s="18"/>
      <c r="G225" s="18"/>
      <c r="H225" s="18"/>
      <c r="I225" s="33"/>
      <c r="R225" s="6" t="str">
        <f>TEXT(Tabela454[[#This Row],[DATA]],"MMM")</f>
        <v>jan</v>
      </c>
      <c r="Z225" s="6" t="s">
        <v>139</v>
      </c>
    </row>
    <row r="226" spans="1:26" x14ac:dyDescent="0.25">
      <c r="A226" s="18"/>
      <c r="B226" s="18"/>
      <c r="C226" s="18"/>
      <c r="F226" s="18"/>
      <c r="G226" s="18"/>
      <c r="H226" s="18"/>
      <c r="I226" s="33"/>
      <c r="R226" s="6" t="str">
        <f>TEXT(Tabela454[[#This Row],[DATA]],"MMM")</f>
        <v>jan</v>
      </c>
      <c r="Z226" s="6" t="s">
        <v>139</v>
      </c>
    </row>
    <row r="227" spans="1:26" x14ac:dyDescent="0.25">
      <c r="A227" s="18"/>
      <c r="B227" s="18"/>
      <c r="C227" s="18"/>
      <c r="F227" s="18"/>
      <c r="G227" s="18"/>
      <c r="H227" s="18"/>
      <c r="I227" s="33"/>
      <c r="R227" s="6" t="str">
        <f>TEXT(Tabela454[[#This Row],[DATA]],"MMM")</f>
        <v>jan</v>
      </c>
      <c r="Z227" s="6" t="s">
        <v>103</v>
      </c>
    </row>
    <row r="228" spans="1:26" x14ac:dyDescent="0.25">
      <c r="A228" s="18"/>
      <c r="B228" s="18"/>
      <c r="C228" s="18"/>
      <c r="F228" s="25"/>
      <c r="G228" s="18"/>
      <c r="H228" s="18"/>
      <c r="I228" s="33"/>
      <c r="R228" s="6" t="e">
        <f>TEXT(Tabela454[[#This Row],[DATA]],"MMM")</f>
        <v>#VALUE!</v>
      </c>
      <c r="Z228" s="6" t="s">
        <v>91</v>
      </c>
    </row>
    <row r="229" spans="1:26" x14ac:dyDescent="0.25">
      <c r="A229" s="18"/>
      <c r="B229" s="18"/>
      <c r="C229" s="18"/>
      <c r="F229" s="18"/>
      <c r="G229" s="18"/>
      <c r="H229" s="18"/>
      <c r="I229" s="33"/>
      <c r="R229" s="6" t="e">
        <f>TEXT(Tabela454[[#This Row],[DATA]],"MMM")</f>
        <v>#VALUE!</v>
      </c>
    </row>
    <row r="230" spans="1:26" x14ac:dyDescent="0.25">
      <c r="A230" s="18"/>
      <c r="B230" s="18"/>
      <c r="C230" s="18"/>
      <c r="F230" s="18"/>
      <c r="G230" s="18"/>
      <c r="H230" s="18"/>
      <c r="I230" s="33"/>
      <c r="R230" s="6" t="e">
        <f>TEXT(Tabela454[[#This Row],[DATA]],"MMM")</f>
        <v>#VALUE!</v>
      </c>
    </row>
    <row r="231" spans="1:26" x14ac:dyDescent="0.25">
      <c r="A231" s="18"/>
      <c r="B231" s="18"/>
      <c r="C231" s="18"/>
      <c r="F231" s="18"/>
      <c r="G231" s="18"/>
      <c r="H231" s="18"/>
      <c r="I231" s="33"/>
      <c r="R231" s="6" t="e">
        <f>TEXT(Tabela454[[#This Row],[DATA]],"MMM")</f>
        <v>#VALUE!</v>
      </c>
    </row>
    <row r="232" spans="1:26" x14ac:dyDescent="0.25">
      <c r="A232" s="18"/>
      <c r="B232" s="18"/>
      <c r="C232" s="18"/>
      <c r="F232" s="18"/>
      <c r="G232" s="18"/>
      <c r="H232" s="18"/>
      <c r="I232" s="33"/>
      <c r="R232" s="6" t="e">
        <f>TEXT(Tabela454[[#This Row],[DATA]],"MMM")</f>
        <v>#VALUE!</v>
      </c>
    </row>
    <row r="233" spans="1:26" x14ac:dyDescent="0.25">
      <c r="A233" s="18"/>
      <c r="B233" s="18"/>
      <c r="C233" s="18"/>
      <c r="F233" s="18"/>
      <c r="G233" s="18"/>
      <c r="H233" s="18"/>
      <c r="I233" s="33"/>
      <c r="R233" s="6" t="e">
        <f>TEXT(Tabela454[[#This Row],[DATA]],"MMM")</f>
        <v>#VALUE!</v>
      </c>
    </row>
    <row r="234" spans="1:26" x14ac:dyDescent="0.25">
      <c r="A234" s="18"/>
      <c r="B234" s="18"/>
      <c r="C234" s="18"/>
      <c r="F234" s="18"/>
      <c r="G234" s="18"/>
      <c r="H234" s="18"/>
      <c r="I234" s="33"/>
      <c r="R234" s="6" t="e">
        <f>TEXT(Tabela454[[#This Row],[DATA]],"MMM")</f>
        <v>#VALUE!</v>
      </c>
    </row>
    <row r="235" spans="1:26" x14ac:dyDescent="0.25">
      <c r="A235" s="18"/>
      <c r="B235" s="18"/>
      <c r="C235" s="18"/>
      <c r="F235" s="18"/>
      <c r="G235" s="18"/>
      <c r="H235" s="18"/>
      <c r="I235" s="33"/>
      <c r="R235" s="6" t="e">
        <f>TEXT(Tabela454[[#This Row],[DATA]],"MMM")</f>
        <v>#VALUE!</v>
      </c>
    </row>
    <row r="236" spans="1:26" x14ac:dyDescent="0.25">
      <c r="A236" s="18"/>
      <c r="B236" s="18"/>
      <c r="C236" s="18"/>
      <c r="F236" s="18"/>
      <c r="G236" s="18"/>
      <c r="H236" s="18"/>
      <c r="I236" s="33"/>
      <c r="R236" s="6" t="e">
        <f>TEXT(Tabela454[[#This Row],[DATA]],"MMM")</f>
        <v>#VALUE!</v>
      </c>
    </row>
    <row r="237" spans="1:26" x14ac:dyDescent="0.25">
      <c r="A237" s="18"/>
      <c r="B237" s="18"/>
      <c r="C237" s="18"/>
      <c r="F237" s="18"/>
      <c r="G237" s="18"/>
      <c r="H237" s="18"/>
      <c r="I237" s="33"/>
      <c r="R237" s="6" t="e">
        <f>TEXT(Tabela454[[#This Row],[DATA]],"MMM")</f>
        <v>#VALUE!</v>
      </c>
    </row>
    <row r="238" spans="1:26" x14ac:dyDescent="0.25">
      <c r="A238" s="18"/>
      <c r="B238" s="18"/>
      <c r="C238" s="18"/>
      <c r="F238" s="18"/>
      <c r="G238" s="18"/>
      <c r="H238" s="18"/>
      <c r="I238" s="33"/>
      <c r="R238" s="6" t="e">
        <f>TEXT(Tabela454[[#This Row],[DATA]],"MMM")</f>
        <v>#VALUE!</v>
      </c>
    </row>
    <row r="239" spans="1:26" x14ac:dyDescent="0.25">
      <c r="A239" s="18"/>
      <c r="B239" s="18"/>
      <c r="C239" s="18"/>
      <c r="F239" s="18"/>
      <c r="G239" s="18"/>
      <c r="H239" s="18"/>
      <c r="I239" s="33"/>
      <c r="R239" s="6" t="e">
        <f>TEXT(Tabela454[[#This Row],[DATA]],"MMM")</f>
        <v>#VALUE!</v>
      </c>
    </row>
    <row r="240" spans="1:26" x14ac:dyDescent="0.25">
      <c r="A240" s="18"/>
      <c r="B240" s="18"/>
      <c r="C240" s="18"/>
      <c r="F240" s="18"/>
      <c r="G240" s="18"/>
      <c r="H240" s="18"/>
      <c r="I240" s="33"/>
      <c r="R240" s="6" t="e">
        <f>TEXT(Tabela454[[#This Row],[DATA]],"MMM")</f>
        <v>#VALUE!</v>
      </c>
    </row>
    <row r="241" spans="1:18" x14ac:dyDescent="0.25">
      <c r="A241" s="18"/>
      <c r="B241" s="18"/>
      <c r="C241" s="18"/>
      <c r="F241" s="18"/>
      <c r="G241" s="18"/>
      <c r="H241" s="18"/>
      <c r="I241" s="33"/>
      <c r="R241" s="6" t="e">
        <f>TEXT(Tabela454[[#This Row],[DATA]],"MMM")</f>
        <v>#VALUE!</v>
      </c>
    </row>
    <row r="242" spans="1:18" x14ac:dyDescent="0.25">
      <c r="A242" s="18"/>
      <c r="B242" s="18"/>
      <c r="C242" s="18"/>
      <c r="F242" s="18"/>
      <c r="G242" s="18"/>
      <c r="H242" s="18"/>
      <c r="I242" s="33"/>
      <c r="R242" s="6" t="e">
        <f>TEXT(Tabela454[[#This Row],[DATA]],"MMM")</f>
        <v>#VALUE!</v>
      </c>
    </row>
    <row r="243" spans="1:18" x14ac:dyDescent="0.25">
      <c r="A243" s="18"/>
      <c r="B243" s="18"/>
      <c r="C243" s="18"/>
      <c r="F243" s="18"/>
      <c r="G243" s="18"/>
      <c r="H243" s="18"/>
      <c r="I243" s="33"/>
      <c r="R243" s="6" t="e">
        <f>TEXT(Tabela454[[#This Row],[DATA]],"MMM")</f>
        <v>#VALUE!</v>
      </c>
    </row>
    <row r="244" spans="1:18" x14ac:dyDescent="0.25">
      <c r="A244" s="18"/>
      <c r="B244" s="18"/>
      <c r="C244" s="18"/>
      <c r="F244" s="18"/>
      <c r="G244" s="18"/>
      <c r="H244" s="18"/>
      <c r="I244" s="33"/>
      <c r="R244" s="6" t="e">
        <f>TEXT(Tabela454[[#This Row],[DATA]],"MMM")</f>
        <v>#VALUE!</v>
      </c>
    </row>
    <row r="245" spans="1:18" x14ac:dyDescent="0.25">
      <c r="A245" s="18"/>
      <c r="B245" s="18"/>
      <c r="C245" s="18"/>
      <c r="F245" s="18"/>
      <c r="G245" s="18"/>
      <c r="H245" s="18"/>
      <c r="I245" s="33"/>
      <c r="R245" s="6" t="e">
        <f>TEXT(Tabela454[[#This Row],[DATA]],"MMM")</f>
        <v>#VALUE!</v>
      </c>
    </row>
    <row r="246" spans="1:18" x14ac:dyDescent="0.25">
      <c r="A246" s="18"/>
      <c r="B246" s="18"/>
      <c r="C246" s="18"/>
      <c r="F246" s="18"/>
      <c r="G246" s="18"/>
      <c r="H246" s="18"/>
      <c r="I246" s="33"/>
      <c r="R246" s="6" t="e">
        <f>TEXT(Tabela454[[#This Row],[DATA]],"MMM")</f>
        <v>#VALUE!</v>
      </c>
    </row>
    <row r="247" spans="1:18" x14ac:dyDescent="0.25">
      <c r="A247" s="18"/>
      <c r="B247" s="18"/>
      <c r="C247" s="18"/>
      <c r="F247" s="18"/>
      <c r="G247" s="18"/>
      <c r="H247" s="18"/>
      <c r="I247" s="33"/>
      <c r="R247" s="6" t="e">
        <f>TEXT(Tabela454[[#This Row],[DATA]],"MMM")</f>
        <v>#VALUE!</v>
      </c>
    </row>
    <row r="248" spans="1:18" x14ac:dyDescent="0.25">
      <c r="A248" s="18"/>
      <c r="B248" s="18"/>
      <c r="C248" s="18"/>
      <c r="F248" s="18"/>
      <c r="G248" s="18"/>
      <c r="H248" s="18"/>
      <c r="I248" s="33"/>
      <c r="R248" s="6" t="e">
        <f>TEXT(Tabela454[[#This Row],[DATA]],"MMM")</f>
        <v>#VALUE!</v>
      </c>
    </row>
    <row r="249" spans="1:18" x14ac:dyDescent="0.25">
      <c r="A249" s="18"/>
      <c r="B249" s="18"/>
      <c r="C249" s="18"/>
      <c r="F249" s="18"/>
      <c r="G249" s="18"/>
      <c r="H249" s="18"/>
      <c r="I249" s="33"/>
      <c r="R249" s="6" t="e">
        <f>TEXT(Tabela454[[#This Row],[DATA]],"MMM")</f>
        <v>#VALUE!</v>
      </c>
    </row>
    <row r="250" spans="1:18" x14ac:dyDescent="0.25">
      <c r="A250" s="18"/>
      <c r="B250" s="18"/>
      <c r="C250" s="18"/>
      <c r="F250" s="18"/>
      <c r="G250" s="18"/>
      <c r="H250" s="18"/>
      <c r="I250" s="33"/>
      <c r="R250" s="6" t="e">
        <f>TEXT(Tabela454[[#This Row],[DATA]],"MMM")</f>
        <v>#VALUE!</v>
      </c>
    </row>
    <row r="251" spans="1:18" x14ac:dyDescent="0.25">
      <c r="A251" s="18"/>
      <c r="B251" s="18"/>
      <c r="C251" s="18"/>
      <c r="F251" s="18"/>
      <c r="G251" s="18"/>
      <c r="H251" s="18"/>
      <c r="I251" s="33"/>
      <c r="R251" s="6" t="e">
        <f>TEXT(Tabela454[[#This Row],[DATA]],"MMM")</f>
        <v>#VALUE!</v>
      </c>
    </row>
    <row r="252" spans="1:18" x14ac:dyDescent="0.25">
      <c r="A252" s="18"/>
      <c r="B252" s="18"/>
      <c r="C252" s="18"/>
      <c r="F252" s="18"/>
      <c r="G252" s="18"/>
      <c r="H252" s="18"/>
      <c r="I252" s="33"/>
      <c r="R252" s="6" t="e">
        <f>TEXT(Tabela454[[#This Row],[DATA]],"MMM")</f>
        <v>#VALUE!</v>
      </c>
    </row>
    <row r="253" spans="1:18" x14ac:dyDescent="0.25">
      <c r="A253" s="18"/>
      <c r="B253" s="18"/>
      <c r="C253" s="18"/>
      <c r="F253" s="18"/>
      <c r="G253" s="18"/>
      <c r="H253" s="18"/>
      <c r="I253" s="33"/>
      <c r="R253" s="6" t="e">
        <f>TEXT(Tabela454[[#This Row],[DATA]],"MMM")</f>
        <v>#VALUE!</v>
      </c>
    </row>
    <row r="254" spans="1:18" x14ac:dyDescent="0.25">
      <c r="A254" s="18"/>
      <c r="B254" s="18"/>
      <c r="C254" s="18"/>
      <c r="F254" s="18"/>
      <c r="G254" s="18"/>
      <c r="H254" s="18"/>
      <c r="I254" s="33"/>
      <c r="R254" s="6" t="e">
        <f>TEXT(Tabela454[[#This Row],[DATA]],"MMM")</f>
        <v>#VALUE!</v>
      </c>
    </row>
    <row r="255" spans="1:18" x14ac:dyDescent="0.25">
      <c r="A255" s="18"/>
      <c r="B255" s="18"/>
      <c r="C255" s="18"/>
      <c r="F255" s="18"/>
      <c r="G255" s="18"/>
      <c r="H255" s="18"/>
      <c r="I255" s="33"/>
      <c r="R255" s="6" t="e">
        <f>TEXT(Tabela454[[#This Row],[DATA]],"MMM")</f>
        <v>#VALUE!</v>
      </c>
    </row>
    <row r="256" spans="1:18" x14ac:dyDescent="0.25">
      <c r="A256" s="18"/>
      <c r="B256" s="18"/>
      <c r="C256" s="18"/>
      <c r="F256" s="18"/>
      <c r="G256" s="18"/>
      <c r="H256" s="18"/>
      <c r="I256" s="33"/>
      <c r="R256" s="6" t="e">
        <f>TEXT(Tabela454[[#This Row],[DATA]],"MMM")</f>
        <v>#VALUE!</v>
      </c>
    </row>
    <row r="257" spans="1:18" x14ac:dyDescent="0.25">
      <c r="A257" s="18"/>
      <c r="B257" s="18"/>
      <c r="C257" s="18"/>
      <c r="F257" s="18"/>
      <c r="G257" s="18"/>
      <c r="H257" s="18"/>
      <c r="I257" s="33"/>
      <c r="R257" s="6" t="e">
        <f>TEXT(Tabela454[[#This Row],[DATA]],"MMM")</f>
        <v>#VALUE!</v>
      </c>
    </row>
    <row r="258" spans="1:18" x14ac:dyDescent="0.25">
      <c r="A258" s="18"/>
      <c r="B258" s="18"/>
      <c r="C258" s="18"/>
      <c r="F258" s="18"/>
      <c r="G258" s="18"/>
      <c r="H258" s="18"/>
      <c r="I258" s="33"/>
      <c r="R258" s="6" t="e">
        <f>TEXT(Tabela454[[#This Row],[DATA]],"MMM")</f>
        <v>#VALUE!</v>
      </c>
    </row>
    <row r="259" spans="1:18" x14ac:dyDescent="0.25">
      <c r="A259" s="18"/>
      <c r="B259" s="18"/>
      <c r="C259" s="18"/>
      <c r="F259" s="18"/>
      <c r="G259" s="18"/>
      <c r="H259" s="18"/>
      <c r="I259" s="33"/>
      <c r="R259" s="6" t="e">
        <f>TEXT(Tabela454[[#This Row],[DATA]],"MMM")</f>
        <v>#VALUE!</v>
      </c>
    </row>
    <row r="260" spans="1:18" x14ac:dyDescent="0.25">
      <c r="A260" s="18"/>
      <c r="B260" s="18"/>
      <c r="C260" s="18"/>
      <c r="F260" s="18"/>
      <c r="G260" s="18"/>
      <c r="H260" s="18"/>
      <c r="I260" s="33"/>
      <c r="R260" s="6" t="e">
        <f>TEXT(Tabela454[[#This Row],[DATA]],"MMM")</f>
        <v>#VALUE!</v>
      </c>
    </row>
    <row r="261" spans="1:18" x14ac:dyDescent="0.25">
      <c r="A261" s="18"/>
      <c r="B261" s="18"/>
      <c r="C261" s="18"/>
      <c r="F261" s="18"/>
      <c r="G261" s="18"/>
      <c r="H261" s="18"/>
      <c r="I261" s="33"/>
      <c r="R261" s="6" t="e">
        <f>TEXT(Tabela454[[#This Row],[DATA]],"MMM")</f>
        <v>#VALUE!</v>
      </c>
    </row>
    <row r="262" spans="1:18" x14ac:dyDescent="0.25">
      <c r="A262" s="18"/>
      <c r="B262" s="18"/>
      <c r="C262" s="18"/>
      <c r="F262" s="18"/>
      <c r="G262" s="18"/>
      <c r="H262" s="18"/>
      <c r="I262" s="33"/>
      <c r="R262" s="6" t="e">
        <f>TEXT(Tabela454[[#This Row],[DATA]],"MMM")</f>
        <v>#VALUE!</v>
      </c>
    </row>
    <row r="263" spans="1:18" x14ac:dyDescent="0.25">
      <c r="A263" s="18"/>
      <c r="B263" s="18"/>
      <c r="C263" s="18"/>
      <c r="F263" s="18"/>
      <c r="G263" s="18"/>
      <c r="H263" s="18"/>
      <c r="I263" s="33"/>
      <c r="R263" s="6" t="e">
        <f>TEXT(Tabela454[[#This Row],[DATA]],"MMM")</f>
        <v>#VALUE!</v>
      </c>
    </row>
    <row r="264" spans="1:18" x14ac:dyDescent="0.25">
      <c r="A264" s="18"/>
      <c r="B264" s="18"/>
      <c r="C264" s="18"/>
      <c r="F264" s="18"/>
      <c r="G264" s="18"/>
      <c r="H264" s="18"/>
      <c r="I264" s="33"/>
      <c r="R264" s="6" t="e">
        <f>TEXT(Tabela454[[#This Row],[DATA]],"MMM")</f>
        <v>#VALUE!</v>
      </c>
    </row>
    <row r="265" spans="1:18" x14ac:dyDescent="0.25">
      <c r="A265" s="18"/>
      <c r="B265" s="18"/>
      <c r="C265" s="18"/>
      <c r="F265" s="18"/>
      <c r="G265" s="18"/>
      <c r="H265" s="18"/>
      <c r="I265" s="33"/>
      <c r="R265" s="6" t="e">
        <f>TEXT(Tabela454[[#This Row],[DATA]],"MMM")</f>
        <v>#VALUE!</v>
      </c>
    </row>
    <row r="266" spans="1:18" x14ac:dyDescent="0.25">
      <c r="A266" s="18"/>
      <c r="B266" s="18"/>
      <c r="C266" s="18"/>
      <c r="F266" s="18"/>
      <c r="G266" s="18"/>
      <c r="H266" s="18"/>
      <c r="I266" s="33"/>
      <c r="R266" s="6" t="e">
        <f>TEXT(Tabela454[[#This Row],[DATA]],"MMM")</f>
        <v>#VALUE!</v>
      </c>
    </row>
    <row r="267" spans="1:18" x14ac:dyDescent="0.25">
      <c r="A267" s="18"/>
      <c r="B267" s="18"/>
      <c r="C267" s="18"/>
      <c r="F267" s="18"/>
      <c r="G267" s="18"/>
      <c r="H267" s="18"/>
      <c r="I267" s="33"/>
      <c r="R267" s="6" t="e">
        <f>TEXT(Tabela454[[#This Row],[DATA]],"MMM")</f>
        <v>#VALUE!</v>
      </c>
    </row>
    <row r="268" spans="1:18" x14ac:dyDescent="0.25">
      <c r="A268" s="18"/>
      <c r="B268" s="18"/>
      <c r="C268" s="18"/>
      <c r="F268" s="18"/>
      <c r="G268" s="18"/>
      <c r="H268" s="18"/>
      <c r="I268" s="33"/>
      <c r="R268" s="6" t="e">
        <f>TEXT(Tabela454[[#This Row],[DATA]],"MMM")</f>
        <v>#VALUE!</v>
      </c>
    </row>
    <row r="269" spans="1:18" x14ac:dyDescent="0.25">
      <c r="A269" s="18"/>
      <c r="B269" s="18"/>
      <c r="C269" s="18"/>
      <c r="F269" s="18"/>
      <c r="G269" s="18"/>
      <c r="H269" s="18"/>
      <c r="I269" s="33"/>
      <c r="R269" s="6" t="e">
        <f>TEXT(Tabela454[[#This Row],[DATA]],"MMM")</f>
        <v>#VALUE!</v>
      </c>
    </row>
    <row r="270" spans="1:18" x14ac:dyDescent="0.25">
      <c r="A270" s="18"/>
      <c r="B270" s="18"/>
      <c r="C270" s="18"/>
      <c r="F270" s="18"/>
      <c r="G270" s="18"/>
      <c r="H270" s="18"/>
      <c r="I270" s="33"/>
      <c r="R270" s="6" t="e">
        <f>TEXT(Tabela454[[#This Row],[DATA]],"MMM")</f>
        <v>#VALUE!</v>
      </c>
    </row>
    <row r="271" spans="1:18" x14ac:dyDescent="0.25">
      <c r="A271" s="18"/>
      <c r="B271" s="18"/>
      <c r="C271" s="18"/>
      <c r="F271" s="18"/>
      <c r="G271" s="18"/>
      <c r="H271" s="18"/>
      <c r="I271" s="33"/>
      <c r="R271" s="6" t="e">
        <f>TEXT(Tabela454[[#This Row],[DATA]],"MMM")</f>
        <v>#VALUE!</v>
      </c>
    </row>
  </sheetData>
  <dataValidations count="5">
    <dataValidation type="list" allowBlank="1" showInputMessage="1" showErrorMessage="1" sqref="J6:J71 J76:J140 J145:J176 J180:J201 J206:J1048576" xr:uid="{01AE0BD3-688D-413B-9762-A93316D37687}">
      <formula1>INDIRECT("CADASTRO_TIPO_VENDAS")</formula1>
    </dataValidation>
    <dataValidation type="list" allowBlank="1" showInputMessage="1" showErrorMessage="1" sqref="N206:N1048576 C6:C16 C18:C71 N6:N71 C76:C86 N76:N140 C88:C140 C145:C155 C157:C176 N145:N176 C180:C190 N180:N201 C192:C201 C218:C1048576 C206:C216" xr:uid="{1FC2546C-FE2A-42BB-B44A-2EBA53BC03CB}">
      <formula1>INDIRECT("CADASTRO_UNIDADE_VENDAS")</formula1>
    </dataValidation>
    <dataValidation type="list" allowBlank="1" showInputMessage="1" showErrorMessage="1" sqref="O6:O71 O76:O140 O145:O176 O180:O201 O206:O1048576" xr:uid="{98E2CE0B-BCA2-4229-B56E-D78FAC15F16C}">
      <formula1>INDIRECT("CADASTRO_PRODUTO_VENDAS")</formula1>
    </dataValidation>
    <dataValidation type="list" allowBlank="1" showInputMessage="1" showErrorMessage="1" sqref="Q6:Q71 Q76:Q140 Q145:Q176 Q180:Q201 Q206:Q1048576" xr:uid="{335E0AF4-D860-4954-AFC9-8751E983CF97}">
      <formula1>INDIRECT("CADASTRO_SITUAÇÃO_VENDAS")</formula1>
    </dataValidation>
    <dataValidation type="list" allowBlank="1" showInputMessage="1" showErrorMessage="1" sqref="L6:L71 L76:L140 L145:L176 L180:L201 L206:L1048576" xr:uid="{F2B0F470-E34C-4CFC-8397-C36D7B8284EA}">
      <formula1>$AD$6:$AD$7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713A-6628-42EE-B2AE-94F2FBC4AB47}">
  <dimension ref="A1:AA107"/>
  <sheetViews>
    <sheetView showGridLines="0" showRowColHeaders="0" zoomScale="110" zoomScaleNormal="110" workbookViewId="0"/>
  </sheetViews>
  <sheetFormatPr defaultColWidth="14.140625" defaultRowHeight="15" x14ac:dyDescent="0.25"/>
  <cols>
    <col min="1" max="1" width="25.7109375" customWidth="1"/>
    <col min="2" max="2" width="7.7109375" style="5" customWidth="1"/>
    <col min="3" max="3" width="22.7109375" style="5" customWidth="1"/>
    <col min="4" max="5" width="15.7109375" style="5" customWidth="1"/>
    <col min="6" max="7" width="2.7109375" style="5" customWidth="1"/>
    <col min="8" max="8" width="13.7109375" style="6" customWidth="1"/>
    <col min="9" max="9" width="22.7109375" style="5" customWidth="1"/>
    <col min="10" max="10" width="26.7109375" style="5" customWidth="1"/>
    <col min="11" max="11" width="18.7109375" style="5" customWidth="1"/>
    <col min="12" max="12" width="15.7109375" style="24" customWidth="1"/>
    <col min="13" max="13" width="52.140625" style="5" customWidth="1"/>
    <col min="14" max="15" width="14.140625" style="5"/>
    <col min="16" max="16" width="1.28515625" style="5" customWidth="1"/>
    <col min="17" max="17" width="38.42578125" style="5" customWidth="1"/>
    <col min="18" max="18" width="0.7109375" style="5" customWidth="1"/>
    <col min="19" max="19" width="30.140625" style="5" customWidth="1"/>
    <col min="20" max="16384" width="14.140625" style="5"/>
  </cols>
  <sheetData>
    <row r="1" spans="1:27" s="10" customFormat="1" ht="36" customHeight="1" x14ac:dyDescent="0.25"/>
    <row r="2" spans="1:27" ht="39.950000000000003" customHeight="1" x14ac:dyDescent="0.25">
      <c r="H2" s="35"/>
      <c r="L2"/>
    </row>
    <row r="3" spans="1:27" ht="15" customHeight="1" x14ac:dyDescent="0.25">
      <c r="L3" s="5"/>
    </row>
    <row r="4" spans="1:27" ht="8.1" customHeight="1" x14ac:dyDescent="0.25">
      <c r="L4" s="5"/>
    </row>
    <row r="5" spans="1:27" x14ac:dyDescent="0.25">
      <c r="C5" s="11" t="s">
        <v>41</v>
      </c>
      <c r="D5" s="11" t="s">
        <v>34</v>
      </c>
      <c r="E5" s="11" t="s">
        <v>35</v>
      </c>
      <c r="H5" s="7" t="s">
        <v>0</v>
      </c>
      <c r="I5" s="11" t="s">
        <v>41</v>
      </c>
      <c r="J5" s="11" t="s">
        <v>29</v>
      </c>
      <c r="K5" s="11" t="s">
        <v>6</v>
      </c>
      <c r="L5" s="11" t="s">
        <v>5</v>
      </c>
    </row>
    <row r="6" spans="1:27" x14ac:dyDescent="0.25">
      <c r="C6" s="12" t="str">
        <f>Q7</f>
        <v>EMBALAGEM</v>
      </c>
      <c r="D6" s="12">
        <f>SUMIFS(LANÇAMENTO_SAÍDAS[VALOR],LANÇAMENTO_SAÍDAS[SITUAÇÃO],$O$6,LANÇAMENTO_SAÍDAS[CENTRO DE CUSTO],C6)</f>
        <v>297.51</v>
      </c>
      <c r="E6" s="13">
        <f>D6/$O$8</f>
        <v>0.43979127246925259</v>
      </c>
      <c r="H6" s="33">
        <v>44415</v>
      </c>
      <c r="I6" s="5" t="s">
        <v>7</v>
      </c>
      <c r="J6" s="5" t="s">
        <v>127</v>
      </c>
      <c r="K6" s="5" t="s">
        <v>32</v>
      </c>
      <c r="L6" s="24">
        <v>68.040000000000006</v>
      </c>
      <c r="O6" s="5" t="s">
        <v>32</v>
      </c>
      <c r="Q6" s="5" t="s">
        <v>73</v>
      </c>
      <c r="S6" s="5" t="s">
        <v>74</v>
      </c>
    </row>
    <row r="7" spans="1:27" x14ac:dyDescent="0.25">
      <c r="C7" s="12" t="str">
        <f t="shared" ref="C7:C8" si="0">Q8</f>
        <v>FOLHA</v>
      </c>
      <c r="D7" s="12">
        <f>SUMIFS(LANÇAMENTO_SAÍDAS[VALOR],LANÇAMENTO_SAÍDAS[SITUAÇÃO],$O$6,LANÇAMENTO_SAÍDAS[CENTRO DE CUSTO],C7)</f>
        <v>0</v>
      </c>
      <c r="E7" s="13">
        <f>D7/$O$8</f>
        <v>0</v>
      </c>
      <c r="H7" s="33">
        <v>44415</v>
      </c>
      <c r="I7" s="5" t="s">
        <v>124</v>
      </c>
      <c r="J7" s="5" t="s">
        <v>95</v>
      </c>
      <c r="K7" s="5" t="s">
        <v>32</v>
      </c>
      <c r="L7" s="24">
        <v>37.229999999999997</v>
      </c>
      <c r="O7" s="5" t="s">
        <v>33</v>
      </c>
      <c r="Q7" s="5" t="s">
        <v>124</v>
      </c>
      <c r="S7" s="5" t="s">
        <v>32</v>
      </c>
      <c r="W7" s="46"/>
      <c r="X7" s="47"/>
      <c r="Y7" s="47"/>
      <c r="Z7" s="47"/>
      <c r="AA7" s="48"/>
    </row>
    <row r="8" spans="1:27" x14ac:dyDescent="0.25">
      <c r="C8" s="12" t="str">
        <f t="shared" si="0"/>
        <v>INSUMO</v>
      </c>
      <c r="D8" s="12">
        <f>SUMIFS(LANÇAMENTO_SAÍDAS[VALOR],LANÇAMENTO_SAÍDAS[SITUAÇÃO],$O$6,LANÇAMENTO_SAÍDAS[CENTRO DE CUSTO],C8)</f>
        <v>378.97</v>
      </c>
      <c r="E8" s="13">
        <f>D8/$O$8</f>
        <v>0.56020872753074746</v>
      </c>
      <c r="H8" s="33">
        <v>44417</v>
      </c>
      <c r="I8" s="5" t="s">
        <v>7</v>
      </c>
      <c r="J8" s="5" t="s">
        <v>127</v>
      </c>
      <c r="K8" s="5" t="s">
        <v>32</v>
      </c>
      <c r="L8" s="24">
        <v>88.86</v>
      </c>
      <c r="N8" s="5" t="s">
        <v>42</v>
      </c>
      <c r="O8" s="25">
        <f>SUM(L6:L23)</f>
        <v>676.48</v>
      </c>
      <c r="Q8" s="5" t="s">
        <v>43</v>
      </c>
      <c r="S8" s="5" t="s">
        <v>33</v>
      </c>
      <c r="W8" s="49"/>
      <c r="X8" s="50"/>
      <c r="Y8" s="50"/>
      <c r="Z8" s="50"/>
      <c r="AA8" s="51"/>
    </row>
    <row r="9" spans="1:27" x14ac:dyDescent="0.25">
      <c r="C9" s="12" t="str">
        <f t="shared" ref="C9:C10" si="1">Q10</f>
        <v>INVESTIMENTOS</v>
      </c>
      <c r="D9" s="12">
        <f>SUMIFS(LANÇAMENTO_SAÍDAS[VALOR],LANÇAMENTO_SAÍDAS[SITUAÇÃO],$O$6,LANÇAMENTO_SAÍDAS[CENTRO DE CUSTO],C9)</f>
        <v>0</v>
      </c>
      <c r="E9" s="13">
        <f>D9/$O$8</f>
        <v>0</v>
      </c>
      <c r="H9" s="33">
        <v>44417</v>
      </c>
      <c r="I9" s="5" t="s">
        <v>124</v>
      </c>
      <c r="J9" s="5" t="s">
        <v>95</v>
      </c>
      <c r="K9" s="5" t="s">
        <v>32</v>
      </c>
      <c r="L9" s="24">
        <v>65.099999999999994</v>
      </c>
      <c r="Q9" s="18" t="s">
        <v>7</v>
      </c>
      <c r="W9" s="46"/>
      <c r="X9" s="47"/>
      <c r="Y9" s="47"/>
      <c r="Z9" s="47"/>
      <c r="AA9" s="48"/>
    </row>
    <row r="10" spans="1:27" x14ac:dyDescent="0.25">
      <c r="C10" s="12" t="str">
        <f t="shared" si="1"/>
        <v>MARKETING</v>
      </c>
      <c r="D10" s="12">
        <f>SUMIFS(LANÇAMENTO_SAÍDAS[VALOR],LANÇAMENTO_SAÍDAS[SITUAÇÃO],$O$6,LANÇAMENTO_SAÍDAS[CENTRO DE CUSTO],C10)</f>
        <v>0</v>
      </c>
      <c r="E10" s="13">
        <f t="shared" ref="E10" si="2">D10/$O$8</f>
        <v>0</v>
      </c>
      <c r="H10" s="33">
        <v>44420</v>
      </c>
      <c r="I10" s="5" t="s">
        <v>124</v>
      </c>
      <c r="J10" s="5" t="s">
        <v>137</v>
      </c>
      <c r="K10" s="5" t="s">
        <v>32</v>
      </c>
      <c r="L10" s="24">
        <v>4.78</v>
      </c>
      <c r="Q10" s="18" t="s">
        <v>75</v>
      </c>
      <c r="W10" s="49"/>
      <c r="X10" s="50"/>
      <c r="Y10" s="50"/>
      <c r="Z10" s="50"/>
      <c r="AA10" s="51"/>
    </row>
    <row r="11" spans="1:27" x14ac:dyDescent="0.25">
      <c r="C11" s="12" t="str">
        <f t="shared" ref="C11" si="3">Q12</f>
        <v>PROLABORE</v>
      </c>
      <c r="D11" s="12">
        <f>SUMIFS(LANÇAMENTO_SAÍDAS[VALOR],LANÇAMENTO_SAÍDAS[SITUAÇÃO],$O$6,LANÇAMENTO_SAÍDAS[CENTRO DE CUSTO],C11)</f>
        <v>0</v>
      </c>
      <c r="E11" s="13">
        <f>D11/$O$8</f>
        <v>0</v>
      </c>
      <c r="H11" s="33">
        <v>44420</v>
      </c>
      <c r="I11" s="5" t="s">
        <v>7</v>
      </c>
      <c r="J11" s="5" t="s">
        <v>127</v>
      </c>
      <c r="K11" s="5" t="s">
        <v>32</v>
      </c>
      <c r="L11" s="24">
        <v>82.86</v>
      </c>
      <c r="Q11" s="18" t="s">
        <v>96</v>
      </c>
      <c r="W11" s="46"/>
      <c r="X11" s="47"/>
      <c r="Y11" s="47"/>
      <c r="Z11" s="47"/>
      <c r="AA11" s="48"/>
    </row>
    <row r="12" spans="1:27" x14ac:dyDescent="0.25">
      <c r="C12" s="12" t="str">
        <f t="shared" ref="C12" si="4">Q13</f>
        <v>PROPAGANDA</v>
      </c>
      <c r="D12" s="12">
        <f>SUMIFS(LANÇAMENTO_SAÍDAS[VALOR],LANÇAMENTO_SAÍDAS[SITUAÇÃO],$O$6,LANÇAMENTO_SAÍDAS[CENTRO DE CUSTO],C12)</f>
        <v>0</v>
      </c>
      <c r="E12" s="13">
        <f>D12/$O$8</f>
        <v>0</v>
      </c>
      <c r="H12" s="33">
        <v>44420</v>
      </c>
      <c r="I12" s="5" t="s">
        <v>124</v>
      </c>
      <c r="J12" s="5" t="s">
        <v>95</v>
      </c>
      <c r="K12" s="5" t="s">
        <v>32</v>
      </c>
      <c r="L12" s="24">
        <v>27</v>
      </c>
      <c r="Q12" s="18" t="s">
        <v>31</v>
      </c>
      <c r="W12" s="49"/>
      <c r="X12" s="50"/>
      <c r="Y12" s="50"/>
      <c r="Z12" s="50"/>
      <c r="AA12" s="51"/>
    </row>
    <row r="13" spans="1:27" x14ac:dyDescent="0.25">
      <c r="H13" s="33">
        <v>44424</v>
      </c>
      <c r="I13" s="5" t="s">
        <v>7</v>
      </c>
      <c r="J13" s="5" t="s">
        <v>127</v>
      </c>
      <c r="K13" s="5" t="s">
        <v>32</v>
      </c>
      <c r="L13" s="24">
        <v>9.98</v>
      </c>
      <c r="Q13" s="18" t="s">
        <v>30</v>
      </c>
      <c r="W13" s="46"/>
      <c r="X13" s="47"/>
      <c r="Y13" s="47"/>
      <c r="Z13" s="47"/>
      <c r="AA13" s="48"/>
    </row>
    <row r="14" spans="1:27" x14ac:dyDescent="0.25">
      <c r="H14" s="33">
        <v>44424</v>
      </c>
      <c r="I14" s="5" t="s">
        <v>7</v>
      </c>
      <c r="J14" s="5" t="s">
        <v>127</v>
      </c>
      <c r="K14" s="5" t="s">
        <v>32</v>
      </c>
      <c r="L14" s="24">
        <v>28.59</v>
      </c>
      <c r="Q14" s="18" t="s">
        <v>107</v>
      </c>
      <c r="W14" s="49"/>
      <c r="X14" s="50"/>
      <c r="Y14" s="50"/>
      <c r="Z14" s="50"/>
      <c r="AA14" s="51"/>
    </row>
    <row r="15" spans="1:27" x14ac:dyDescent="0.25">
      <c r="H15" s="33">
        <v>44424</v>
      </c>
      <c r="I15" s="5" t="s">
        <v>124</v>
      </c>
      <c r="J15" s="5" t="s">
        <v>95</v>
      </c>
      <c r="K15" s="5" t="s">
        <v>32</v>
      </c>
      <c r="L15" s="24">
        <v>63.3</v>
      </c>
      <c r="W15" s="46"/>
      <c r="X15" s="47"/>
      <c r="Y15" s="47"/>
      <c r="Z15" s="47"/>
      <c r="AA15" s="48"/>
    </row>
    <row r="16" spans="1:27" s="18" customFormat="1" x14ac:dyDescent="0.25">
      <c r="A16"/>
      <c r="H16" s="33">
        <v>44426</v>
      </c>
      <c r="I16" s="18" t="s">
        <v>7</v>
      </c>
      <c r="J16" s="18" t="s">
        <v>127</v>
      </c>
      <c r="K16" s="18" t="s">
        <v>32</v>
      </c>
      <c r="L16" s="24">
        <v>59.55</v>
      </c>
      <c r="W16" s="53"/>
      <c r="X16" s="54"/>
      <c r="Y16" s="54"/>
      <c r="Z16" s="54"/>
      <c r="AA16" s="55"/>
    </row>
    <row r="17" spans="1:27" s="18" customFormat="1" x14ac:dyDescent="0.25">
      <c r="A17"/>
      <c r="H17" s="33">
        <v>44426</v>
      </c>
      <c r="I17" s="18" t="s">
        <v>124</v>
      </c>
      <c r="J17" s="18" t="s">
        <v>95</v>
      </c>
      <c r="K17" s="18" t="s">
        <v>32</v>
      </c>
      <c r="L17" s="24">
        <v>19.5</v>
      </c>
      <c r="W17" s="53"/>
      <c r="X17" s="54"/>
      <c r="Y17" s="54"/>
      <c r="Z17" s="54"/>
      <c r="AA17" s="55"/>
    </row>
    <row r="18" spans="1:27" x14ac:dyDescent="0.25">
      <c r="H18" s="33">
        <v>44427</v>
      </c>
      <c r="I18" s="18" t="s">
        <v>124</v>
      </c>
      <c r="J18" s="18" t="s">
        <v>95</v>
      </c>
      <c r="K18" s="18" t="s">
        <v>32</v>
      </c>
      <c r="L18" s="24">
        <v>3.85</v>
      </c>
    </row>
    <row r="19" spans="1:27" s="18" customFormat="1" x14ac:dyDescent="0.25">
      <c r="A19"/>
      <c r="H19" s="33">
        <v>44432</v>
      </c>
      <c r="I19" s="18" t="s">
        <v>124</v>
      </c>
      <c r="J19" s="18" t="s">
        <v>95</v>
      </c>
      <c r="K19" s="18" t="s">
        <v>32</v>
      </c>
      <c r="L19" s="24">
        <v>8.4499999999999993</v>
      </c>
    </row>
    <row r="20" spans="1:27" s="18" customFormat="1" x14ac:dyDescent="0.25">
      <c r="A20"/>
      <c r="H20" s="33">
        <v>44432</v>
      </c>
      <c r="I20" s="18" t="s">
        <v>7</v>
      </c>
      <c r="J20" s="18" t="s">
        <v>127</v>
      </c>
      <c r="K20" s="18" t="s">
        <v>32</v>
      </c>
      <c r="L20" s="24">
        <v>37.799999999999997</v>
      </c>
    </row>
    <row r="21" spans="1:27" s="18" customFormat="1" x14ac:dyDescent="0.25">
      <c r="A21"/>
      <c r="H21" s="33">
        <v>44432</v>
      </c>
      <c r="I21" s="18" t="s">
        <v>124</v>
      </c>
      <c r="J21" s="18" t="s">
        <v>95</v>
      </c>
      <c r="K21" s="18" t="s">
        <v>32</v>
      </c>
      <c r="L21" s="24">
        <v>50.7</v>
      </c>
    </row>
    <row r="22" spans="1:27" s="18" customFormat="1" x14ac:dyDescent="0.25">
      <c r="A22"/>
      <c r="H22" s="33">
        <v>44433</v>
      </c>
      <c r="I22" s="18" t="s">
        <v>7</v>
      </c>
      <c r="J22" s="18" t="s">
        <v>127</v>
      </c>
      <c r="K22" s="18" t="s">
        <v>32</v>
      </c>
      <c r="L22" s="24">
        <v>3.29</v>
      </c>
    </row>
    <row r="23" spans="1:27" x14ac:dyDescent="0.25">
      <c r="H23" s="33">
        <v>44436</v>
      </c>
      <c r="I23" s="18" t="s">
        <v>124</v>
      </c>
      <c r="J23" s="18" t="s">
        <v>95</v>
      </c>
      <c r="K23" s="18" t="s">
        <v>32</v>
      </c>
      <c r="L23" s="24">
        <v>17.600000000000001</v>
      </c>
    </row>
    <row r="24" spans="1:27" s="18" customFormat="1" ht="39.950000000000003" customHeight="1" x14ac:dyDescent="0.25">
      <c r="A24"/>
      <c r="H24" s="35"/>
      <c r="L24"/>
    </row>
    <row r="25" spans="1:27" s="18" customFormat="1" ht="15" customHeight="1" x14ac:dyDescent="0.25">
      <c r="A25"/>
      <c r="H25" s="6"/>
    </row>
    <row r="26" spans="1:27" s="18" customFormat="1" ht="8.1" customHeight="1" x14ac:dyDescent="0.25">
      <c r="A26"/>
      <c r="H26" s="6"/>
    </row>
    <row r="27" spans="1:27" s="18" customFormat="1" x14ac:dyDescent="0.25">
      <c r="A27"/>
      <c r="C27" s="32" t="s">
        <v>41</v>
      </c>
      <c r="D27" s="32" t="s">
        <v>34</v>
      </c>
      <c r="E27" s="32" t="s">
        <v>35</v>
      </c>
      <c r="H27" s="7" t="s">
        <v>0</v>
      </c>
      <c r="I27" s="32" t="s">
        <v>41</v>
      </c>
      <c r="J27" s="32" t="s">
        <v>29</v>
      </c>
      <c r="K27" s="32" t="s">
        <v>6</v>
      </c>
      <c r="L27" s="32" t="s">
        <v>5</v>
      </c>
    </row>
    <row r="28" spans="1:27" s="18" customFormat="1" x14ac:dyDescent="0.25">
      <c r="A28"/>
      <c r="C28" s="12" t="str">
        <f>Q29</f>
        <v>EMBALAGEM</v>
      </c>
      <c r="D28" s="26">
        <f>SUMIFS(LANÇAMENTO_SAÍDAS30[VALOR],LANÇAMENTO_SAÍDAS30[SITUAÇÃO],$O$6,LANÇAMENTO_SAÍDAS30[CENTRO DE CUSTO],C28)</f>
        <v>143.55000000000001</v>
      </c>
      <c r="E28" s="13">
        <f t="shared" ref="E28:E33" si="5">D28/$O$30</f>
        <v>0.17444403937294933</v>
      </c>
      <c r="H28" s="33">
        <v>44442</v>
      </c>
      <c r="I28" s="18" t="s">
        <v>96</v>
      </c>
      <c r="J28" s="18" t="s">
        <v>97</v>
      </c>
      <c r="K28" s="18" t="s">
        <v>32</v>
      </c>
      <c r="L28" s="24">
        <v>109.98</v>
      </c>
      <c r="O28" s="18" t="s">
        <v>32</v>
      </c>
      <c r="Q28" s="18" t="s">
        <v>73</v>
      </c>
      <c r="S28" s="18" t="s">
        <v>74</v>
      </c>
    </row>
    <row r="29" spans="1:27" s="18" customFormat="1" x14ac:dyDescent="0.25">
      <c r="A29"/>
      <c r="C29" s="12" t="str">
        <f>Q30</f>
        <v>FOLHA</v>
      </c>
      <c r="D29" s="26">
        <f>SUMIFS(LANÇAMENTO_SAÍDAS30[VALOR],LANÇAMENTO_SAÍDAS30[SITUAÇÃO],$O$6,LANÇAMENTO_SAÍDAS30[CENTRO DE CUSTO],C29)</f>
        <v>0</v>
      </c>
      <c r="E29" s="13">
        <f t="shared" si="5"/>
        <v>0</v>
      </c>
      <c r="H29" s="33">
        <v>44445</v>
      </c>
      <c r="I29" s="18" t="s">
        <v>7</v>
      </c>
      <c r="J29" s="18" t="s">
        <v>93</v>
      </c>
      <c r="K29" s="18" t="s">
        <v>32</v>
      </c>
      <c r="L29" s="24">
        <v>9.15</v>
      </c>
      <c r="O29" s="18" t="s">
        <v>33</v>
      </c>
      <c r="Q29" s="18" t="s">
        <v>124</v>
      </c>
      <c r="S29" s="18" t="s">
        <v>32</v>
      </c>
    </row>
    <row r="30" spans="1:27" s="18" customFormat="1" x14ac:dyDescent="0.25">
      <c r="A30"/>
      <c r="C30" s="12" t="str">
        <f t="shared" ref="C30:C32" si="6">Q31</f>
        <v>INSUMO</v>
      </c>
      <c r="D30" s="26">
        <f>SUMIFS(LANÇAMENTO_SAÍDAS30[VALOR],LANÇAMENTO_SAÍDAS30[SITUAÇÃO],$O$6,LANÇAMENTO_SAÍDAS30[CENTRO DE CUSTO],C30)</f>
        <v>449.53000000000003</v>
      </c>
      <c r="E30" s="13">
        <f t="shared" si="5"/>
        <v>0.54627536760238182</v>
      </c>
      <c r="H30" s="33">
        <v>44445</v>
      </c>
      <c r="I30" s="18" t="s">
        <v>7</v>
      </c>
      <c r="J30" s="18" t="s">
        <v>93</v>
      </c>
      <c r="K30" s="18" t="s">
        <v>32</v>
      </c>
      <c r="L30" s="24">
        <v>4.67</v>
      </c>
      <c r="N30" s="18" t="s">
        <v>42</v>
      </c>
      <c r="O30" s="25">
        <f>SUM(LANÇAMENTO_SAÍDAS30[VALOR])</f>
        <v>822.90000000000009</v>
      </c>
      <c r="Q30" s="18" t="s">
        <v>43</v>
      </c>
      <c r="S30" s="18" t="s">
        <v>33</v>
      </c>
    </row>
    <row r="31" spans="1:27" s="18" customFormat="1" x14ac:dyDescent="0.25">
      <c r="A31"/>
      <c r="C31" s="12" t="str">
        <f t="shared" si="6"/>
        <v>INVESTIMENTOS</v>
      </c>
      <c r="D31" s="26">
        <f>SUMIFS(LANÇAMENTO_SAÍDAS30[VALOR],LANÇAMENTO_SAÍDAS30[SITUAÇÃO],$O$6,LANÇAMENTO_SAÍDAS30[CENTRO DE CUSTO],C31)</f>
        <v>0</v>
      </c>
      <c r="E31" s="13">
        <f t="shared" si="5"/>
        <v>0</v>
      </c>
      <c r="H31" s="33">
        <v>44445</v>
      </c>
      <c r="I31" s="18" t="s">
        <v>7</v>
      </c>
      <c r="J31" s="18" t="s">
        <v>93</v>
      </c>
      <c r="K31" s="18" t="s">
        <v>32</v>
      </c>
      <c r="L31" s="24">
        <v>94.41</v>
      </c>
      <c r="Q31" s="18" t="s">
        <v>7</v>
      </c>
    </row>
    <row r="32" spans="1:27" s="18" customFormat="1" x14ac:dyDescent="0.25">
      <c r="A32"/>
      <c r="C32" s="12" t="str">
        <f t="shared" si="6"/>
        <v>MARKETING</v>
      </c>
      <c r="D32" s="26">
        <f>SUMIFS(LANÇAMENTO_SAÍDAS30[VALOR],LANÇAMENTO_SAÍDAS30[SITUAÇÃO],$O$6,LANÇAMENTO_SAÍDAS30[CENTRO DE CUSTO],C32)</f>
        <v>195.18</v>
      </c>
      <c r="E32" s="13">
        <f t="shared" si="5"/>
        <v>0.23718556325191395</v>
      </c>
      <c r="H32" s="33">
        <v>44448</v>
      </c>
      <c r="I32" s="18" t="s">
        <v>124</v>
      </c>
      <c r="J32" s="18" t="s">
        <v>149</v>
      </c>
      <c r="K32" s="18" t="s">
        <v>32</v>
      </c>
      <c r="L32" s="24">
        <v>13.9</v>
      </c>
      <c r="Q32" s="18" t="s">
        <v>75</v>
      </c>
    </row>
    <row r="33" spans="1:17" s="18" customFormat="1" x14ac:dyDescent="0.25">
      <c r="A33"/>
      <c r="C33" s="12" t="str">
        <f t="shared" ref="C33" si="7">Q34</f>
        <v>PROLABORE</v>
      </c>
      <c r="D33" s="26">
        <f>SUMIFS(LANÇAMENTO_SAÍDAS30[VALOR],LANÇAMENTO_SAÍDAS30[SITUAÇÃO],$O$6,LANÇAMENTO_SAÍDAS30[CENTRO DE CUSTO],C33)</f>
        <v>0</v>
      </c>
      <c r="E33" s="13">
        <f t="shared" si="5"/>
        <v>0</v>
      </c>
      <c r="H33" s="33">
        <v>44448</v>
      </c>
      <c r="I33" s="18" t="s">
        <v>96</v>
      </c>
      <c r="J33" s="18" t="s">
        <v>106</v>
      </c>
      <c r="K33" s="18" t="s">
        <v>32</v>
      </c>
      <c r="L33" s="24">
        <v>85.2</v>
      </c>
      <c r="Q33" s="18" t="s">
        <v>96</v>
      </c>
    </row>
    <row r="34" spans="1:17" s="18" customFormat="1" x14ac:dyDescent="0.25">
      <c r="A34"/>
      <c r="C34" s="12" t="str">
        <f t="shared" ref="C34" si="8">Q35</f>
        <v>PROPAGANDA</v>
      </c>
      <c r="D34" s="26">
        <f>SUMIFS(LANÇAMENTO_SAÍDAS30[VALOR],LANÇAMENTO_SAÍDAS30[SITUAÇÃO],$O$6,LANÇAMENTO_SAÍDAS30[CENTRO DE CUSTO],C34)</f>
        <v>0</v>
      </c>
      <c r="E34" s="13">
        <f t="shared" ref="E34" si="9">D34/$O$30</f>
        <v>0</v>
      </c>
      <c r="H34" s="33">
        <v>44449</v>
      </c>
      <c r="I34" s="18" t="s">
        <v>124</v>
      </c>
      <c r="J34" s="18" t="s">
        <v>95</v>
      </c>
      <c r="K34" s="18" t="s">
        <v>32</v>
      </c>
      <c r="L34" s="24">
        <v>19.5</v>
      </c>
      <c r="Q34" s="18" t="s">
        <v>31</v>
      </c>
    </row>
    <row r="35" spans="1:17" s="18" customFormat="1" x14ac:dyDescent="0.25">
      <c r="A35"/>
      <c r="C35" s="12" t="str">
        <f t="shared" ref="C35" si="10">Q36</f>
        <v>UTENSÍLIOS</v>
      </c>
      <c r="D35" s="26">
        <f>SUMIFS(LANÇAMENTO_SAÍDAS30[VALOR],LANÇAMENTO_SAÍDAS30[SITUAÇÃO],$O$6,LANÇAMENTO_SAÍDAS30[CENTRO DE CUSTO],C35)</f>
        <v>34.64</v>
      </c>
      <c r="E35" s="13">
        <f t="shared" ref="E35" si="11">D35/$O$30</f>
        <v>4.2095029772754887E-2</v>
      </c>
      <c r="H35" s="33">
        <v>44449</v>
      </c>
      <c r="I35" s="18" t="s">
        <v>7</v>
      </c>
      <c r="J35" s="18" t="s">
        <v>17</v>
      </c>
      <c r="K35" s="18" t="s">
        <v>32</v>
      </c>
      <c r="L35" s="24">
        <v>9.4499999999999993</v>
      </c>
      <c r="Q35" s="18" t="s">
        <v>30</v>
      </c>
    </row>
    <row r="36" spans="1:17" s="18" customFormat="1" x14ac:dyDescent="0.25">
      <c r="A36"/>
      <c r="H36" s="33">
        <v>44450</v>
      </c>
      <c r="I36" s="18" t="s">
        <v>7</v>
      </c>
      <c r="J36" s="18" t="s">
        <v>125</v>
      </c>
      <c r="K36" s="18" t="s">
        <v>32</v>
      </c>
      <c r="L36" s="24">
        <v>5.68</v>
      </c>
      <c r="Q36" s="18" t="s">
        <v>107</v>
      </c>
    </row>
    <row r="37" spans="1:17" s="18" customFormat="1" x14ac:dyDescent="0.25">
      <c r="A37"/>
      <c r="H37" s="33">
        <v>44452</v>
      </c>
      <c r="I37" s="18" t="s">
        <v>107</v>
      </c>
      <c r="J37" s="18" t="s">
        <v>126</v>
      </c>
      <c r="K37" s="18" t="s">
        <v>32</v>
      </c>
      <c r="L37" s="24">
        <v>26.95</v>
      </c>
    </row>
    <row r="38" spans="1:17" s="18" customFormat="1" x14ac:dyDescent="0.25">
      <c r="A38"/>
      <c r="H38" s="33">
        <v>44455</v>
      </c>
      <c r="I38" s="18" t="s">
        <v>7</v>
      </c>
      <c r="J38" s="18" t="s">
        <v>127</v>
      </c>
      <c r="K38" s="18" t="s">
        <v>32</v>
      </c>
      <c r="L38" s="24">
        <v>85.35</v>
      </c>
    </row>
    <row r="39" spans="1:17" s="18" customFormat="1" x14ac:dyDescent="0.25">
      <c r="A39"/>
      <c r="H39" s="33">
        <v>44455</v>
      </c>
      <c r="I39" s="18" t="s">
        <v>124</v>
      </c>
      <c r="J39" s="18" t="s">
        <v>128</v>
      </c>
      <c r="K39" s="18" t="s">
        <v>32</v>
      </c>
      <c r="L39" s="24">
        <v>18.3</v>
      </c>
    </row>
    <row r="40" spans="1:17" x14ac:dyDescent="0.25">
      <c r="H40" s="33">
        <v>44456</v>
      </c>
      <c r="I40" s="18" t="s">
        <v>124</v>
      </c>
      <c r="J40" s="18" t="s">
        <v>129</v>
      </c>
      <c r="K40" s="18" t="s">
        <v>32</v>
      </c>
      <c r="L40" s="24">
        <v>2.8</v>
      </c>
    </row>
    <row r="41" spans="1:17" x14ac:dyDescent="0.25">
      <c r="H41" s="33">
        <v>44456</v>
      </c>
      <c r="I41" s="18" t="s">
        <v>7</v>
      </c>
      <c r="J41" s="18" t="s">
        <v>127</v>
      </c>
      <c r="K41" s="18" t="s">
        <v>32</v>
      </c>
      <c r="L41" s="24">
        <v>27.78</v>
      </c>
      <c r="M41" s="25"/>
    </row>
    <row r="42" spans="1:17" x14ac:dyDescent="0.25">
      <c r="H42" s="33">
        <v>44456</v>
      </c>
      <c r="I42" s="18" t="s">
        <v>124</v>
      </c>
      <c r="J42" s="18" t="s">
        <v>130</v>
      </c>
      <c r="K42" s="18" t="s">
        <v>32</v>
      </c>
      <c r="L42" s="24">
        <v>11.07</v>
      </c>
    </row>
    <row r="43" spans="1:17" x14ac:dyDescent="0.25">
      <c r="H43" s="33">
        <v>44456</v>
      </c>
      <c r="I43" s="18" t="s">
        <v>124</v>
      </c>
      <c r="J43" s="18" t="s">
        <v>131</v>
      </c>
      <c r="K43" s="18" t="s">
        <v>32</v>
      </c>
      <c r="L43" s="24">
        <v>3.18</v>
      </c>
    </row>
    <row r="44" spans="1:17" x14ac:dyDescent="0.25">
      <c r="H44" s="33">
        <v>44456</v>
      </c>
      <c r="I44" s="18" t="s">
        <v>107</v>
      </c>
      <c r="J44" s="18" t="s">
        <v>132</v>
      </c>
      <c r="K44" s="18" t="s">
        <v>32</v>
      </c>
      <c r="L44" s="24">
        <v>7.69</v>
      </c>
    </row>
    <row r="45" spans="1:17" x14ac:dyDescent="0.25">
      <c r="H45" s="33">
        <v>44456</v>
      </c>
      <c r="I45" s="18" t="s">
        <v>7</v>
      </c>
      <c r="J45" s="18" t="s">
        <v>127</v>
      </c>
      <c r="K45" s="18" t="s">
        <v>32</v>
      </c>
      <c r="L45" s="24">
        <v>99.9</v>
      </c>
    </row>
    <row r="46" spans="1:17" x14ac:dyDescent="0.25">
      <c r="H46" s="33">
        <v>44462</v>
      </c>
      <c r="I46" s="18" t="s">
        <v>7</v>
      </c>
      <c r="J46" s="18" t="s">
        <v>127</v>
      </c>
      <c r="K46" s="18" t="s">
        <v>32</v>
      </c>
      <c r="L46" s="24">
        <v>8.49</v>
      </c>
    </row>
    <row r="47" spans="1:17" x14ac:dyDescent="0.25">
      <c r="H47" s="33">
        <v>44462</v>
      </c>
      <c r="I47" s="18" t="s">
        <v>124</v>
      </c>
      <c r="J47" s="18" t="s">
        <v>95</v>
      </c>
      <c r="K47" s="18" t="s">
        <v>32</v>
      </c>
      <c r="L47" s="24">
        <v>11.7</v>
      </c>
    </row>
    <row r="48" spans="1:17" x14ac:dyDescent="0.25">
      <c r="H48" s="33">
        <v>44462</v>
      </c>
      <c r="I48" s="18" t="s">
        <v>7</v>
      </c>
      <c r="J48" s="18" t="s">
        <v>127</v>
      </c>
      <c r="K48" s="18" t="s">
        <v>32</v>
      </c>
      <c r="L48" s="24">
        <v>7.69</v>
      </c>
    </row>
    <row r="49" spans="1:27" x14ac:dyDescent="0.25">
      <c r="H49" s="33">
        <v>44462</v>
      </c>
      <c r="I49" s="18" t="s">
        <v>7</v>
      </c>
      <c r="J49" s="18" t="s">
        <v>127</v>
      </c>
      <c r="K49" s="18" t="s">
        <v>32</v>
      </c>
      <c r="L49" s="24">
        <v>1.45</v>
      </c>
    </row>
    <row r="50" spans="1:27" x14ac:dyDescent="0.25">
      <c r="H50" s="33">
        <v>44463</v>
      </c>
      <c r="I50" s="18" t="s">
        <v>7</v>
      </c>
      <c r="J50" s="18" t="s">
        <v>127</v>
      </c>
      <c r="K50" s="18" t="s">
        <v>32</v>
      </c>
      <c r="L50" s="24">
        <v>1.5</v>
      </c>
    </row>
    <row r="51" spans="1:27" x14ac:dyDescent="0.25">
      <c r="H51" s="33">
        <v>44463</v>
      </c>
      <c r="I51" s="18" t="s">
        <v>124</v>
      </c>
      <c r="J51" s="18" t="s">
        <v>138</v>
      </c>
      <c r="K51" s="18" t="s">
        <v>32</v>
      </c>
      <c r="L51" s="24">
        <v>6.3</v>
      </c>
    </row>
    <row r="52" spans="1:27" x14ac:dyDescent="0.25">
      <c r="H52" s="33">
        <v>44465</v>
      </c>
      <c r="I52" s="18" t="s">
        <v>7</v>
      </c>
      <c r="J52" s="18" t="s">
        <v>127</v>
      </c>
      <c r="K52" s="18" t="s">
        <v>32</v>
      </c>
      <c r="L52" s="24">
        <v>28.68</v>
      </c>
    </row>
    <row r="53" spans="1:27" x14ac:dyDescent="0.25">
      <c r="H53" s="33">
        <v>44467</v>
      </c>
      <c r="I53" s="18" t="s">
        <v>7</v>
      </c>
      <c r="J53" s="18" t="s">
        <v>127</v>
      </c>
      <c r="K53" s="18" t="s">
        <v>32</v>
      </c>
      <c r="L53" s="24">
        <v>1.49</v>
      </c>
    </row>
    <row r="54" spans="1:27" x14ac:dyDescent="0.25">
      <c r="H54" s="33">
        <v>44468</v>
      </c>
      <c r="I54" s="18" t="s">
        <v>124</v>
      </c>
      <c r="J54" s="18" t="s">
        <v>147</v>
      </c>
      <c r="K54" s="18" t="s">
        <v>32</v>
      </c>
      <c r="L54" s="24">
        <v>52.8</v>
      </c>
    </row>
    <row r="55" spans="1:27" x14ac:dyDescent="0.25">
      <c r="H55" s="33">
        <v>44468</v>
      </c>
      <c r="I55" s="18" t="s">
        <v>7</v>
      </c>
      <c r="J55" s="18" t="s">
        <v>127</v>
      </c>
      <c r="K55" s="18" t="s">
        <v>32</v>
      </c>
      <c r="L55" s="24">
        <v>3.99</v>
      </c>
    </row>
    <row r="56" spans="1:27" x14ac:dyDescent="0.25">
      <c r="H56" s="33">
        <v>44468</v>
      </c>
      <c r="I56" s="18" t="s">
        <v>124</v>
      </c>
      <c r="J56" s="18" t="s">
        <v>148</v>
      </c>
      <c r="K56" s="18" t="s">
        <v>32</v>
      </c>
      <c r="L56" s="24">
        <v>4</v>
      </c>
    </row>
    <row r="57" spans="1:27" x14ac:dyDescent="0.25">
      <c r="H57" s="33">
        <v>44469</v>
      </c>
      <c r="I57" s="18" t="s">
        <v>7</v>
      </c>
      <c r="J57" s="18" t="s">
        <v>127</v>
      </c>
      <c r="K57" s="18" t="s">
        <v>32</v>
      </c>
      <c r="L57" s="24">
        <v>59.85</v>
      </c>
    </row>
    <row r="58" spans="1:27" s="18" customFormat="1" ht="39.950000000000003" customHeight="1" x14ac:dyDescent="0.25">
      <c r="A58"/>
      <c r="H58" s="35"/>
      <c r="L58"/>
    </row>
    <row r="59" spans="1:27" s="18" customFormat="1" ht="15" customHeight="1" x14ac:dyDescent="0.25">
      <c r="A59"/>
      <c r="H59" s="6"/>
    </row>
    <row r="60" spans="1:27" s="18" customFormat="1" ht="8.1" customHeight="1" x14ac:dyDescent="0.25">
      <c r="A60"/>
      <c r="H60" s="6"/>
    </row>
    <row r="61" spans="1:27" s="18" customFormat="1" x14ac:dyDescent="0.25">
      <c r="A61"/>
      <c r="C61" s="56" t="s">
        <v>41</v>
      </c>
      <c r="D61" s="56" t="s">
        <v>34</v>
      </c>
      <c r="E61" s="56" t="s">
        <v>35</v>
      </c>
      <c r="H61" s="7" t="s">
        <v>0</v>
      </c>
      <c r="I61" s="56" t="s">
        <v>41</v>
      </c>
      <c r="J61" s="56" t="s">
        <v>29</v>
      </c>
      <c r="K61" s="56" t="s">
        <v>6</v>
      </c>
      <c r="L61" s="56" t="s">
        <v>5</v>
      </c>
    </row>
    <row r="62" spans="1:27" s="18" customFormat="1" x14ac:dyDescent="0.25">
      <c r="A62"/>
      <c r="C62" s="12" t="str">
        <f>Q63</f>
        <v>EMBALAGEM</v>
      </c>
      <c r="D62" s="12">
        <f>SUMIFS(LANÇAMENTO_SAÍDAS36[VALOR],LANÇAMENTO_SAÍDAS36[SITUAÇÃO],$O$6,LANÇAMENTO_SAÍDAS36[CENTRO DE CUSTO],C62)</f>
        <v>35.479999999999997</v>
      </c>
      <c r="E62" s="13">
        <f t="shared" ref="E62:E69" si="12">D62/$O$64</f>
        <v>0.53716881150643447</v>
      </c>
      <c r="H62" s="33">
        <v>44471</v>
      </c>
      <c r="I62" s="18" t="s">
        <v>7</v>
      </c>
      <c r="J62" s="18" t="s">
        <v>127</v>
      </c>
      <c r="K62" s="18" t="s">
        <v>32</v>
      </c>
      <c r="L62" s="24">
        <v>9</v>
      </c>
      <c r="O62" s="18" t="s">
        <v>32</v>
      </c>
      <c r="Q62" s="18" t="s">
        <v>73</v>
      </c>
      <c r="S62" s="18" t="s">
        <v>74</v>
      </c>
    </row>
    <row r="63" spans="1:27" s="18" customFormat="1" x14ac:dyDescent="0.25">
      <c r="A63"/>
      <c r="C63" s="12" t="str">
        <f t="shared" ref="C63:C68" si="13">Q64</f>
        <v>FOLHA</v>
      </c>
      <c r="D63" s="12">
        <f>SUMIFS(LANÇAMENTO_SAÍDAS36[VALOR],LANÇAMENTO_SAÍDAS36[SITUAÇÃO],$O$6,LANÇAMENTO_SAÍDAS36[CENTRO DE CUSTO],C63)</f>
        <v>0</v>
      </c>
      <c r="E63" s="13">
        <f t="shared" si="12"/>
        <v>0</v>
      </c>
      <c r="H63" s="33">
        <v>44483</v>
      </c>
      <c r="I63" s="18" t="s">
        <v>7</v>
      </c>
      <c r="J63" s="18" t="s">
        <v>127</v>
      </c>
      <c r="K63" s="18" t="s">
        <v>32</v>
      </c>
      <c r="L63" s="24">
        <v>21.57</v>
      </c>
      <c r="O63" s="18" t="s">
        <v>33</v>
      </c>
      <c r="Q63" s="18" t="s">
        <v>124</v>
      </c>
      <c r="S63" s="18" t="s">
        <v>32</v>
      </c>
      <c r="W63" s="46"/>
      <c r="X63" s="47"/>
      <c r="Y63" s="47"/>
      <c r="Z63" s="47"/>
      <c r="AA63" s="48"/>
    </row>
    <row r="64" spans="1:27" s="18" customFormat="1" x14ac:dyDescent="0.25">
      <c r="A64"/>
      <c r="C64" s="12" t="str">
        <f t="shared" si="13"/>
        <v>INSUMO</v>
      </c>
      <c r="D64" s="12">
        <f>SUMIFS(LANÇAMENTO_SAÍDAS36[VALOR],LANÇAMENTO_SAÍDAS36[SITUAÇÃO],$O$6,LANÇAMENTO_SAÍDAS36[CENTRO DE CUSTO],C64)</f>
        <v>30.57</v>
      </c>
      <c r="E64" s="13">
        <f t="shared" si="12"/>
        <v>0.46283118849356553</v>
      </c>
      <c r="H64" s="33">
        <v>44483</v>
      </c>
      <c r="I64" s="18" t="s">
        <v>124</v>
      </c>
      <c r="J64" s="18" t="s">
        <v>159</v>
      </c>
      <c r="K64" s="18" t="s">
        <v>32</v>
      </c>
      <c r="L64" s="24">
        <v>24.15</v>
      </c>
      <c r="N64" s="18" t="s">
        <v>42</v>
      </c>
      <c r="O64" s="25">
        <f>SUM(L62:L69)</f>
        <v>66.05</v>
      </c>
      <c r="Q64" s="18" t="s">
        <v>43</v>
      </c>
      <c r="S64" s="18" t="s">
        <v>33</v>
      </c>
      <c r="W64" s="49"/>
      <c r="X64" s="50"/>
      <c r="Y64" s="50"/>
      <c r="Z64" s="50"/>
      <c r="AA64" s="51"/>
    </row>
    <row r="65" spans="1:27" s="18" customFormat="1" x14ac:dyDescent="0.25">
      <c r="A65"/>
      <c r="C65" s="12" t="str">
        <f t="shared" si="13"/>
        <v>INVESTIMENTOS</v>
      </c>
      <c r="D65" s="12">
        <f>SUMIFS(LANÇAMENTO_SAÍDAS36[VALOR],LANÇAMENTO_SAÍDAS36[SITUAÇÃO],$O$6,LANÇAMENTO_SAÍDAS36[CENTRO DE CUSTO],C65)</f>
        <v>0</v>
      </c>
      <c r="E65" s="13">
        <f t="shared" si="12"/>
        <v>0</v>
      </c>
      <c r="H65" s="33">
        <v>44483</v>
      </c>
      <c r="I65" s="18" t="s">
        <v>124</v>
      </c>
      <c r="J65" s="18" t="s">
        <v>160</v>
      </c>
      <c r="K65" s="18" t="s">
        <v>32</v>
      </c>
      <c r="L65" s="24">
        <v>6</v>
      </c>
      <c r="Q65" s="18" t="s">
        <v>7</v>
      </c>
      <c r="W65" s="46"/>
      <c r="X65" s="47"/>
      <c r="Y65" s="47"/>
      <c r="Z65" s="47"/>
      <c r="AA65" s="48"/>
    </row>
    <row r="66" spans="1:27" s="18" customFormat="1" x14ac:dyDescent="0.25">
      <c r="A66"/>
      <c r="C66" s="12" t="str">
        <f t="shared" si="13"/>
        <v>MARKETING</v>
      </c>
      <c r="D66" s="12">
        <f>SUMIFS(LANÇAMENTO_SAÍDAS36[VALOR],LANÇAMENTO_SAÍDAS36[SITUAÇÃO],$O$6,LANÇAMENTO_SAÍDAS36[CENTRO DE CUSTO],C66)</f>
        <v>0</v>
      </c>
      <c r="E66" s="13">
        <f t="shared" si="12"/>
        <v>0</v>
      </c>
      <c r="H66" s="33">
        <v>44483</v>
      </c>
      <c r="I66" s="18" t="s">
        <v>124</v>
      </c>
      <c r="J66" s="18" t="s">
        <v>161</v>
      </c>
      <c r="K66" s="18" t="s">
        <v>32</v>
      </c>
      <c r="L66" s="24">
        <v>2.25</v>
      </c>
      <c r="Q66" s="18" t="s">
        <v>75</v>
      </c>
      <c r="W66" s="49"/>
      <c r="X66" s="50"/>
      <c r="Y66" s="50"/>
      <c r="Z66" s="50"/>
      <c r="AA66" s="51"/>
    </row>
    <row r="67" spans="1:27" s="18" customFormat="1" x14ac:dyDescent="0.25">
      <c r="A67"/>
      <c r="C67" s="12" t="str">
        <f t="shared" si="13"/>
        <v>PROLABORE</v>
      </c>
      <c r="D67" s="12">
        <f>SUMIFS(LANÇAMENTO_SAÍDAS36[VALOR],LANÇAMENTO_SAÍDAS36[SITUAÇÃO],$O$6,LANÇAMENTO_SAÍDAS36[CENTRO DE CUSTO],C67)</f>
        <v>0</v>
      </c>
      <c r="E67" s="13">
        <f t="shared" si="12"/>
        <v>0</v>
      </c>
      <c r="H67" s="33">
        <v>44490</v>
      </c>
      <c r="I67" s="18" t="s">
        <v>124</v>
      </c>
      <c r="J67" s="18" t="s">
        <v>162</v>
      </c>
      <c r="K67" s="18" t="s">
        <v>32</v>
      </c>
      <c r="L67" s="24">
        <v>3.08</v>
      </c>
      <c r="Q67" s="18" t="s">
        <v>96</v>
      </c>
      <c r="W67" s="46"/>
      <c r="X67" s="47"/>
      <c r="Y67" s="47"/>
      <c r="Z67" s="47"/>
      <c r="AA67" s="48"/>
    </row>
    <row r="68" spans="1:27" s="18" customFormat="1" x14ac:dyDescent="0.25">
      <c r="A68"/>
      <c r="C68" s="12" t="str">
        <f t="shared" si="13"/>
        <v>PROPAGANDA</v>
      </c>
      <c r="D68" s="12">
        <f>SUMIFS(LANÇAMENTO_SAÍDAS36[VALOR],LANÇAMENTO_SAÍDAS36[SITUAÇÃO],$O$6,LANÇAMENTO_SAÍDAS36[CENTRO DE CUSTO],C68)</f>
        <v>0</v>
      </c>
      <c r="E68" s="13">
        <f t="shared" si="12"/>
        <v>0</v>
      </c>
      <c r="H68" s="33"/>
      <c r="L68" s="24"/>
      <c r="Q68" s="18" t="s">
        <v>31</v>
      </c>
      <c r="W68" s="49"/>
      <c r="X68" s="50"/>
      <c r="Y68" s="50"/>
      <c r="Z68" s="50"/>
      <c r="AA68" s="51"/>
    </row>
    <row r="69" spans="1:27" s="18" customFormat="1" x14ac:dyDescent="0.25">
      <c r="A69"/>
      <c r="C69" s="12" t="e">
        <f>#REF!</f>
        <v>#REF!</v>
      </c>
      <c r="D69" s="12">
        <f>SUMIFS(LANÇAMENTO_SAÍDAS36[VALOR],LANÇAMENTO_SAÍDAS36[SITUAÇÃO],$O$6,LANÇAMENTO_SAÍDAS36[CENTRO DE CUSTO],C69)</f>
        <v>0</v>
      </c>
      <c r="E69" s="13">
        <f t="shared" si="12"/>
        <v>0</v>
      </c>
      <c r="H69" s="33"/>
      <c r="L69" s="24"/>
      <c r="Q69" s="18" t="s">
        <v>30</v>
      </c>
      <c r="W69" s="46"/>
      <c r="X69" s="47"/>
      <c r="Y69" s="47"/>
      <c r="Z69" s="47"/>
      <c r="AA69" s="48"/>
    </row>
    <row r="70" spans="1:27" s="18" customFormat="1" ht="39.950000000000003" customHeight="1" x14ac:dyDescent="0.25">
      <c r="A70"/>
      <c r="H70" s="35"/>
      <c r="L70"/>
    </row>
    <row r="71" spans="1:27" s="18" customFormat="1" ht="15" customHeight="1" x14ac:dyDescent="0.25">
      <c r="A71"/>
      <c r="H71" s="6"/>
    </row>
    <row r="72" spans="1:27" s="18" customFormat="1" ht="8.1" customHeight="1" x14ac:dyDescent="0.25">
      <c r="A72"/>
      <c r="H72" s="6"/>
    </row>
    <row r="73" spans="1:27" s="18" customFormat="1" x14ac:dyDescent="0.25">
      <c r="A73"/>
      <c r="C73" s="59" t="s">
        <v>41</v>
      </c>
      <c r="D73" s="59" t="s">
        <v>34</v>
      </c>
      <c r="E73" s="59" t="s">
        <v>35</v>
      </c>
      <c r="H73" s="7" t="s">
        <v>0</v>
      </c>
      <c r="I73" s="59" t="s">
        <v>41</v>
      </c>
      <c r="J73" s="59" t="s">
        <v>29</v>
      </c>
      <c r="K73" s="59" t="s">
        <v>6</v>
      </c>
      <c r="L73" s="59" t="s">
        <v>5</v>
      </c>
    </row>
    <row r="74" spans="1:27" s="18" customFormat="1" x14ac:dyDescent="0.25">
      <c r="A74"/>
      <c r="C74" s="12" t="str">
        <f>Q75</f>
        <v>EMBALAGEM</v>
      </c>
      <c r="D74" s="26">
        <f>SUMIFS(LANÇAMENTO_SAÍDAS3056[VALOR],LANÇAMENTO_SAÍDAS3056[SITUAÇÃO],$O$6,LANÇAMENTO_SAÍDAS3056[CENTRO DE CUSTO],C74)</f>
        <v>25.419999999999998</v>
      </c>
      <c r="E74" s="13">
        <f t="shared" ref="E74:E81" si="14">D74/$O$30</f>
        <v>3.089075221776643E-2</v>
      </c>
      <c r="H74" s="33">
        <v>44508</v>
      </c>
      <c r="I74" s="18" t="s">
        <v>7</v>
      </c>
      <c r="J74" s="18" t="s">
        <v>127</v>
      </c>
      <c r="K74" s="18" t="s">
        <v>32</v>
      </c>
      <c r="L74" s="24">
        <v>5.34</v>
      </c>
      <c r="O74" s="18" t="s">
        <v>32</v>
      </c>
      <c r="Q74" s="18" t="s">
        <v>73</v>
      </c>
      <c r="S74" s="18" t="s">
        <v>74</v>
      </c>
    </row>
    <row r="75" spans="1:27" s="18" customFormat="1" x14ac:dyDescent="0.25">
      <c r="A75"/>
      <c r="C75" s="12" t="str">
        <f>Q76</f>
        <v>FOLHA</v>
      </c>
      <c r="D75" s="26">
        <f>SUMIFS(LANÇAMENTO_SAÍDAS3056[VALOR],LANÇAMENTO_SAÍDAS3056[SITUAÇÃO],$O$6,LANÇAMENTO_SAÍDAS3056[CENTRO DE CUSTO],C75)</f>
        <v>0</v>
      </c>
      <c r="E75" s="13">
        <f t="shared" si="14"/>
        <v>0</v>
      </c>
      <c r="H75" s="33">
        <v>44508</v>
      </c>
      <c r="I75" s="18" t="s">
        <v>124</v>
      </c>
      <c r="J75" s="18" t="s">
        <v>163</v>
      </c>
      <c r="K75" s="18" t="s">
        <v>32</v>
      </c>
      <c r="L75" s="24">
        <v>19.05</v>
      </c>
      <c r="O75" s="18" t="s">
        <v>33</v>
      </c>
      <c r="Q75" s="18" t="s">
        <v>124</v>
      </c>
      <c r="S75" s="18" t="s">
        <v>32</v>
      </c>
    </row>
    <row r="76" spans="1:27" s="18" customFormat="1" x14ac:dyDescent="0.25">
      <c r="A76"/>
      <c r="C76" s="12" t="str">
        <f t="shared" ref="C76:C81" si="15">Q77</f>
        <v>INSUMO</v>
      </c>
      <c r="D76" s="26">
        <f>SUMIFS(LANÇAMENTO_SAÍDAS3056[VALOR],LANÇAMENTO_SAÍDAS3056[SITUAÇÃO],$O$6,LANÇAMENTO_SAÍDAS3056[CENTRO DE CUSTO],C76)</f>
        <v>30.9</v>
      </c>
      <c r="E76" s="13">
        <f t="shared" si="14"/>
        <v>3.7550127597520959E-2</v>
      </c>
      <c r="H76" s="33">
        <v>44510</v>
      </c>
      <c r="I76" s="18" t="s">
        <v>7</v>
      </c>
      <c r="J76" s="18" t="s">
        <v>127</v>
      </c>
      <c r="K76" s="18" t="s">
        <v>32</v>
      </c>
      <c r="L76" s="24">
        <v>14.61</v>
      </c>
      <c r="N76" s="18" t="s">
        <v>42</v>
      </c>
      <c r="O76" s="25">
        <f>SUM(LANÇAMENTO_SAÍDAS3056[VALOR])</f>
        <v>56.32</v>
      </c>
      <c r="Q76" s="18" t="s">
        <v>43</v>
      </c>
      <c r="S76" s="18" t="s">
        <v>33</v>
      </c>
    </row>
    <row r="77" spans="1:27" s="18" customFormat="1" x14ac:dyDescent="0.25">
      <c r="A77"/>
      <c r="C77" s="12" t="str">
        <f t="shared" si="15"/>
        <v>INVESTIMENTOS</v>
      </c>
      <c r="D77" s="26">
        <f>SUMIFS(LANÇAMENTO_SAÍDAS3056[VALOR],LANÇAMENTO_SAÍDAS3056[SITUAÇÃO],$O$6,LANÇAMENTO_SAÍDAS3056[CENTRO DE CUSTO],C77)</f>
        <v>0</v>
      </c>
      <c r="E77" s="13">
        <f t="shared" si="14"/>
        <v>0</v>
      </c>
      <c r="H77" s="33">
        <v>44512</v>
      </c>
      <c r="I77" s="18" t="s">
        <v>7</v>
      </c>
      <c r="J77" s="18" t="s">
        <v>127</v>
      </c>
      <c r="K77" s="18" t="s">
        <v>32</v>
      </c>
      <c r="L77" s="24">
        <v>1.2</v>
      </c>
      <c r="Q77" s="18" t="s">
        <v>7</v>
      </c>
    </row>
    <row r="78" spans="1:27" s="18" customFormat="1" x14ac:dyDescent="0.25">
      <c r="A78"/>
      <c r="C78" s="12" t="str">
        <f t="shared" si="15"/>
        <v>MARKETING</v>
      </c>
      <c r="D78" s="26">
        <f>SUMIFS(LANÇAMENTO_SAÍDAS3056[VALOR],LANÇAMENTO_SAÍDAS3056[SITUAÇÃO],$O$6,LANÇAMENTO_SAÍDAS3056[CENTRO DE CUSTO],C78)</f>
        <v>0</v>
      </c>
      <c r="E78" s="13">
        <f t="shared" si="14"/>
        <v>0</v>
      </c>
      <c r="H78" s="33">
        <v>44524</v>
      </c>
      <c r="I78" s="18" t="s">
        <v>124</v>
      </c>
      <c r="J78" s="18" t="s">
        <v>148</v>
      </c>
      <c r="K78" s="18" t="s">
        <v>32</v>
      </c>
      <c r="L78" s="24">
        <v>1.9</v>
      </c>
      <c r="Q78" s="18" t="s">
        <v>75</v>
      </c>
    </row>
    <row r="79" spans="1:27" s="18" customFormat="1" x14ac:dyDescent="0.25">
      <c r="A79"/>
      <c r="C79" s="12" t="str">
        <f t="shared" si="15"/>
        <v>PROLABORE</v>
      </c>
      <c r="D79" s="26">
        <f>SUMIFS(LANÇAMENTO_SAÍDAS3056[VALOR],LANÇAMENTO_SAÍDAS3056[SITUAÇÃO],$O$6,LANÇAMENTO_SAÍDAS3056[CENTRO DE CUSTO],C79)</f>
        <v>0</v>
      </c>
      <c r="E79" s="13">
        <f t="shared" si="14"/>
        <v>0</v>
      </c>
      <c r="H79" s="33">
        <v>44524</v>
      </c>
      <c r="I79" s="18" t="s">
        <v>124</v>
      </c>
      <c r="J79" s="18" t="s">
        <v>167</v>
      </c>
      <c r="K79" s="18" t="s">
        <v>32</v>
      </c>
      <c r="L79" s="24">
        <v>4.47</v>
      </c>
      <c r="Q79" s="18" t="s">
        <v>96</v>
      </c>
    </row>
    <row r="80" spans="1:27" s="18" customFormat="1" x14ac:dyDescent="0.25">
      <c r="A80"/>
      <c r="C80" s="12" t="str">
        <f t="shared" si="15"/>
        <v>PROPAGANDA</v>
      </c>
      <c r="D80" s="26">
        <f>SUMIFS(LANÇAMENTO_SAÍDAS3056[VALOR],LANÇAMENTO_SAÍDAS3056[SITUAÇÃO],$O$6,LANÇAMENTO_SAÍDAS3056[CENTRO DE CUSTO],C80)</f>
        <v>0</v>
      </c>
      <c r="E80" s="13">
        <f t="shared" si="14"/>
        <v>0</v>
      </c>
      <c r="H80" s="33">
        <v>44524</v>
      </c>
      <c r="I80" s="18" t="s">
        <v>7</v>
      </c>
      <c r="J80" s="18" t="s">
        <v>127</v>
      </c>
      <c r="K80" s="18" t="s">
        <v>32</v>
      </c>
      <c r="L80" s="24">
        <v>9.75</v>
      </c>
      <c r="Q80" s="18" t="s">
        <v>31</v>
      </c>
    </row>
    <row r="81" spans="1:27" s="18" customFormat="1" x14ac:dyDescent="0.25">
      <c r="A81"/>
      <c r="C81" s="12" t="str">
        <f t="shared" si="15"/>
        <v>UTENSÍLIOS</v>
      </c>
      <c r="D81" s="26">
        <f>SUMIFS(LANÇAMENTO_SAÍDAS3056[VALOR],LANÇAMENTO_SAÍDAS3056[SITUAÇÃO],$O$6,LANÇAMENTO_SAÍDAS3056[CENTRO DE CUSTO],C81)</f>
        <v>0</v>
      </c>
      <c r="E81" s="13">
        <f t="shared" si="14"/>
        <v>0</v>
      </c>
      <c r="H81" s="33"/>
      <c r="L81" s="24"/>
      <c r="Q81" s="18" t="s">
        <v>30</v>
      </c>
    </row>
    <row r="82" spans="1:27" s="18" customFormat="1" ht="39.950000000000003" customHeight="1" x14ac:dyDescent="0.25">
      <c r="A82"/>
      <c r="H82" s="33"/>
      <c r="L82" s="24"/>
      <c r="Q82" s="18" t="s">
        <v>107</v>
      </c>
    </row>
    <row r="83" spans="1:27" s="18" customFormat="1" x14ac:dyDescent="0.25">
      <c r="A83"/>
      <c r="H83" s="33"/>
      <c r="L83" s="24"/>
    </row>
    <row r="84" spans="1:27" s="18" customFormat="1" ht="15" customHeight="1" x14ac:dyDescent="0.25">
      <c r="A84"/>
      <c r="H84" s="6"/>
    </row>
    <row r="85" spans="1:27" s="18" customFormat="1" ht="8.1" customHeight="1" x14ac:dyDescent="0.25">
      <c r="A85"/>
      <c r="H85" s="6"/>
    </row>
    <row r="86" spans="1:27" s="18" customFormat="1" x14ac:dyDescent="0.25">
      <c r="A86"/>
      <c r="C86" s="60" t="s">
        <v>41</v>
      </c>
      <c r="D86" s="60" t="s">
        <v>34</v>
      </c>
      <c r="E86" s="60" t="s">
        <v>35</v>
      </c>
      <c r="H86" s="7" t="s">
        <v>0</v>
      </c>
      <c r="I86" s="60" t="s">
        <v>41</v>
      </c>
      <c r="J86" s="60" t="s">
        <v>29</v>
      </c>
      <c r="K86" s="60" t="s">
        <v>6</v>
      </c>
      <c r="L86" s="60" t="s">
        <v>5</v>
      </c>
    </row>
    <row r="87" spans="1:27" s="18" customFormat="1" x14ac:dyDescent="0.25">
      <c r="A87"/>
      <c r="C87" s="12" t="str">
        <f>Q88</f>
        <v>EMBALAGEM</v>
      </c>
      <c r="D87" s="12">
        <f>SUMIFS(LANÇAMENTO_SAÍDAS51[VALOR],LANÇAMENTO_SAÍDAS51[SITUAÇÃO],$O$6,LANÇAMENTO_SAÍDAS51[CENTRO DE CUSTO],C87)</f>
        <v>71.400000000000006</v>
      </c>
      <c r="E87" s="13">
        <f>D87/$O$8</f>
        <v>0.10554635761589405</v>
      </c>
      <c r="H87" s="33">
        <v>44532</v>
      </c>
      <c r="I87" s="18" t="s">
        <v>124</v>
      </c>
      <c r="J87" s="18" t="s">
        <v>95</v>
      </c>
      <c r="K87" s="18" t="s">
        <v>32</v>
      </c>
      <c r="L87" s="24">
        <v>7.8</v>
      </c>
      <c r="O87" s="18" t="s">
        <v>32</v>
      </c>
      <c r="Q87" s="18" t="s">
        <v>73</v>
      </c>
      <c r="S87" s="18" t="s">
        <v>74</v>
      </c>
    </row>
    <row r="88" spans="1:27" s="18" customFormat="1" x14ac:dyDescent="0.25">
      <c r="A88"/>
      <c r="C88" s="12" t="str">
        <f t="shared" ref="C88:C93" si="16">Q89</f>
        <v>FOLHA</v>
      </c>
      <c r="D88" s="12">
        <f>SUMIFS(LANÇAMENTO_SAÍDAS51[VALOR],LANÇAMENTO_SAÍDAS51[SITUAÇÃO],$O$6,LANÇAMENTO_SAÍDAS51[CENTRO DE CUSTO],C88)</f>
        <v>0</v>
      </c>
      <c r="E88" s="13">
        <f>D88/$O$8</f>
        <v>0</v>
      </c>
      <c r="H88" s="33">
        <v>44532</v>
      </c>
      <c r="I88" s="18" t="s">
        <v>7</v>
      </c>
      <c r="J88" s="18" t="s">
        <v>127</v>
      </c>
      <c r="K88" s="18" t="s">
        <v>32</v>
      </c>
      <c r="L88" s="24">
        <v>5.0999999999999996</v>
      </c>
      <c r="O88" s="18" t="s">
        <v>33</v>
      </c>
      <c r="Q88" s="18" t="s">
        <v>124</v>
      </c>
      <c r="S88" s="18" t="s">
        <v>32</v>
      </c>
      <c r="W88" s="46"/>
      <c r="X88" s="47"/>
      <c r="Y88" s="47"/>
      <c r="Z88" s="47"/>
      <c r="AA88" s="48"/>
    </row>
    <row r="89" spans="1:27" s="18" customFormat="1" x14ac:dyDescent="0.25">
      <c r="A89"/>
      <c r="C89" s="12" t="str">
        <f t="shared" si="16"/>
        <v>INSUMO</v>
      </c>
      <c r="D89" s="12">
        <f>SUMIFS(LANÇAMENTO_SAÍDAS51[VALOR],LANÇAMENTO_SAÍDAS51[SITUAÇÃO],$O$6,LANÇAMENTO_SAÍDAS51[CENTRO DE CUSTO],C89)</f>
        <v>165.15</v>
      </c>
      <c r="E89" s="13">
        <f>D89/$O$8</f>
        <v>0.24413138599810785</v>
      </c>
      <c r="H89" s="33">
        <v>44532</v>
      </c>
      <c r="I89" s="18" t="s">
        <v>7</v>
      </c>
      <c r="J89" s="18" t="s">
        <v>127</v>
      </c>
      <c r="K89" s="18" t="s">
        <v>32</v>
      </c>
      <c r="L89" s="24">
        <v>3.47</v>
      </c>
      <c r="N89" s="18" t="s">
        <v>42</v>
      </c>
      <c r="O89" s="25">
        <f>SUM(L87:L99)</f>
        <v>236.55</v>
      </c>
      <c r="Q89" s="18" t="s">
        <v>43</v>
      </c>
      <c r="S89" s="18" t="s">
        <v>33</v>
      </c>
      <c r="W89" s="49"/>
      <c r="X89" s="50"/>
      <c r="Y89" s="50"/>
      <c r="Z89" s="50"/>
      <c r="AA89" s="51"/>
    </row>
    <row r="90" spans="1:27" s="18" customFormat="1" x14ac:dyDescent="0.25">
      <c r="A90"/>
      <c r="C90" s="12" t="str">
        <f t="shared" si="16"/>
        <v>INVESTIMENTOS</v>
      </c>
      <c r="D90" s="12">
        <f>SUMIFS(LANÇAMENTO_SAÍDAS51[VALOR],LANÇAMENTO_SAÍDAS51[SITUAÇÃO],$O$6,LANÇAMENTO_SAÍDAS51[CENTRO DE CUSTO],C90)</f>
        <v>0</v>
      </c>
      <c r="E90" s="13">
        <f>D90/$O$8</f>
        <v>0</v>
      </c>
      <c r="H90" s="33">
        <v>44536</v>
      </c>
      <c r="I90" s="18" t="s">
        <v>124</v>
      </c>
      <c r="J90" s="18" t="s">
        <v>165</v>
      </c>
      <c r="K90" s="18" t="s">
        <v>32</v>
      </c>
      <c r="L90" s="24">
        <v>38.25</v>
      </c>
      <c r="Q90" s="18" t="s">
        <v>7</v>
      </c>
      <c r="W90" s="46"/>
      <c r="X90" s="47"/>
      <c r="Y90" s="47"/>
      <c r="Z90" s="47"/>
      <c r="AA90" s="48"/>
    </row>
    <row r="91" spans="1:27" s="18" customFormat="1" x14ac:dyDescent="0.25">
      <c r="A91"/>
      <c r="C91" s="12" t="str">
        <f t="shared" si="16"/>
        <v>MARKETING</v>
      </c>
      <c r="D91" s="12">
        <f>SUMIFS(LANÇAMENTO_SAÍDAS51[VALOR],LANÇAMENTO_SAÍDAS51[SITUAÇÃO],$O$6,LANÇAMENTO_SAÍDAS51[CENTRO DE CUSTO],C91)</f>
        <v>0</v>
      </c>
      <c r="E91" s="13">
        <f t="shared" ref="E91" si="17">D91/$O$8</f>
        <v>0</v>
      </c>
      <c r="H91" s="33">
        <v>44536</v>
      </c>
      <c r="I91" s="18" t="s">
        <v>7</v>
      </c>
      <c r="J91" s="18" t="s">
        <v>127</v>
      </c>
      <c r="K91" s="18" t="s">
        <v>32</v>
      </c>
      <c r="L91" s="24">
        <v>22.95</v>
      </c>
      <c r="Q91" s="18" t="s">
        <v>75</v>
      </c>
      <c r="W91" s="49"/>
      <c r="X91" s="50"/>
      <c r="Y91" s="50"/>
      <c r="Z91" s="50"/>
      <c r="AA91" s="51"/>
    </row>
    <row r="92" spans="1:27" s="18" customFormat="1" x14ac:dyDescent="0.25">
      <c r="A92"/>
      <c r="C92" s="12" t="str">
        <f t="shared" si="16"/>
        <v>PROLABORE</v>
      </c>
      <c r="D92" s="12">
        <f>SUMIFS(LANÇAMENTO_SAÍDAS51[VALOR],LANÇAMENTO_SAÍDAS51[SITUAÇÃO],$O$6,LANÇAMENTO_SAÍDAS51[CENTRO DE CUSTO],C92)</f>
        <v>0</v>
      </c>
      <c r="E92" s="13">
        <f>D92/$O$8</f>
        <v>0</v>
      </c>
      <c r="H92" s="33">
        <v>44545</v>
      </c>
      <c r="I92" s="18" t="s">
        <v>7</v>
      </c>
      <c r="J92" s="18" t="s">
        <v>127</v>
      </c>
      <c r="K92" s="18" t="s">
        <v>32</v>
      </c>
      <c r="L92" s="24">
        <v>35.909999999999997</v>
      </c>
      <c r="Q92" s="18" t="s">
        <v>96</v>
      </c>
      <c r="W92" s="46"/>
      <c r="X92" s="47"/>
      <c r="Y92" s="47"/>
      <c r="Z92" s="47"/>
      <c r="AA92" s="48"/>
    </row>
    <row r="93" spans="1:27" s="18" customFormat="1" x14ac:dyDescent="0.25">
      <c r="A93"/>
      <c r="C93" s="12" t="str">
        <f t="shared" si="16"/>
        <v>PROPAGANDA</v>
      </c>
      <c r="D93" s="12">
        <f>SUMIFS(LANÇAMENTO_SAÍDAS51[VALOR],LANÇAMENTO_SAÍDAS51[SITUAÇÃO],$O$6,LANÇAMENTO_SAÍDAS51[CENTRO DE CUSTO],C93)</f>
        <v>0</v>
      </c>
      <c r="E93" s="13">
        <f>D93/$O$8</f>
        <v>0</v>
      </c>
      <c r="H93" s="33">
        <v>44545</v>
      </c>
      <c r="I93" s="18" t="s">
        <v>124</v>
      </c>
      <c r="J93" s="18" t="s">
        <v>166</v>
      </c>
      <c r="K93" s="18" t="s">
        <v>32</v>
      </c>
      <c r="L93" s="24">
        <v>11.7</v>
      </c>
      <c r="Q93" s="18" t="s">
        <v>31</v>
      </c>
      <c r="W93" s="49"/>
      <c r="X93" s="50"/>
      <c r="Y93" s="50"/>
      <c r="Z93" s="50"/>
      <c r="AA93" s="51"/>
    </row>
    <row r="94" spans="1:27" s="18" customFormat="1" x14ac:dyDescent="0.25">
      <c r="A94"/>
      <c r="H94" s="33">
        <v>44545</v>
      </c>
      <c r="I94" s="18" t="s">
        <v>7</v>
      </c>
      <c r="J94" s="18" t="s">
        <v>127</v>
      </c>
      <c r="K94" s="18" t="s">
        <v>32</v>
      </c>
      <c r="L94" s="24">
        <v>16.670000000000002</v>
      </c>
      <c r="Q94" s="18" t="s">
        <v>30</v>
      </c>
      <c r="W94" s="46"/>
      <c r="X94" s="47"/>
      <c r="Y94" s="47"/>
      <c r="Z94" s="47"/>
      <c r="AA94" s="48"/>
    </row>
    <row r="95" spans="1:27" s="18" customFormat="1" x14ac:dyDescent="0.25">
      <c r="A95"/>
      <c r="H95" s="33">
        <v>44552</v>
      </c>
      <c r="I95" s="18" t="s">
        <v>7</v>
      </c>
      <c r="J95" s="18" t="s">
        <v>169</v>
      </c>
      <c r="K95" s="18" t="s">
        <v>32</v>
      </c>
      <c r="L95" s="24">
        <v>30</v>
      </c>
      <c r="Q95" s="18" t="s">
        <v>107</v>
      </c>
      <c r="W95" s="49"/>
      <c r="X95" s="50"/>
      <c r="Y95" s="50"/>
      <c r="Z95" s="50"/>
      <c r="AA95" s="51"/>
    </row>
    <row r="96" spans="1:27" s="18" customFormat="1" x14ac:dyDescent="0.25">
      <c r="A96"/>
      <c r="H96" s="33">
        <v>44552</v>
      </c>
      <c r="I96" s="18" t="s">
        <v>7</v>
      </c>
      <c r="J96" s="18" t="s">
        <v>127</v>
      </c>
      <c r="K96" s="18" t="s">
        <v>32</v>
      </c>
      <c r="L96" s="24">
        <v>15.56</v>
      </c>
      <c r="W96" s="46"/>
      <c r="X96" s="47"/>
      <c r="Y96" s="47"/>
      <c r="Z96" s="47"/>
      <c r="AA96" s="48"/>
    </row>
    <row r="97" spans="1:27" s="18" customFormat="1" x14ac:dyDescent="0.25">
      <c r="A97"/>
      <c r="H97" s="33">
        <v>44552</v>
      </c>
      <c r="I97" s="18" t="s">
        <v>124</v>
      </c>
      <c r="J97" s="18" t="s">
        <v>168</v>
      </c>
      <c r="K97" s="18" t="s">
        <v>32</v>
      </c>
      <c r="L97" s="24">
        <v>13.65</v>
      </c>
      <c r="W97" s="53"/>
      <c r="X97" s="54"/>
      <c r="Y97" s="54"/>
      <c r="Z97" s="54"/>
      <c r="AA97" s="55"/>
    </row>
    <row r="98" spans="1:27" s="18" customFormat="1" x14ac:dyDescent="0.25">
      <c r="A98"/>
      <c r="H98" s="33">
        <v>44552</v>
      </c>
      <c r="I98" s="18" t="s">
        <v>7</v>
      </c>
      <c r="J98" s="18" t="s">
        <v>127</v>
      </c>
      <c r="K98" s="18" t="s">
        <v>32</v>
      </c>
      <c r="L98" s="24">
        <v>11.49</v>
      </c>
      <c r="W98" s="53"/>
      <c r="X98" s="54"/>
      <c r="Y98" s="54"/>
      <c r="Z98" s="54"/>
      <c r="AA98" s="55"/>
    </row>
    <row r="99" spans="1:27" s="18" customFormat="1" x14ac:dyDescent="0.25">
      <c r="A99"/>
      <c r="H99" s="33">
        <v>44561</v>
      </c>
      <c r="I99" s="18" t="s">
        <v>7</v>
      </c>
      <c r="J99" s="18" t="s">
        <v>170</v>
      </c>
      <c r="K99" s="18" t="s">
        <v>32</v>
      </c>
      <c r="L99" s="24">
        <v>24</v>
      </c>
    </row>
    <row r="100" spans="1:27" s="18" customFormat="1" x14ac:dyDescent="0.25">
      <c r="A100"/>
      <c r="H100" s="33"/>
      <c r="L100" s="24"/>
    </row>
    <row r="101" spans="1:27" s="18" customFormat="1" x14ac:dyDescent="0.25">
      <c r="A101"/>
      <c r="H101" s="6"/>
      <c r="L101" s="24"/>
    </row>
    <row r="102" spans="1:27" s="18" customFormat="1" x14ac:dyDescent="0.25">
      <c r="A102"/>
      <c r="H102" s="6"/>
      <c r="L102" s="24"/>
    </row>
    <row r="103" spans="1:27" s="18" customFormat="1" x14ac:dyDescent="0.25">
      <c r="A103"/>
      <c r="H103" s="6"/>
      <c r="L103" s="24"/>
    </row>
    <row r="104" spans="1:27" s="18" customFormat="1" x14ac:dyDescent="0.25">
      <c r="A104"/>
      <c r="H104" s="6"/>
      <c r="L104" s="24"/>
    </row>
    <row r="105" spans="1:27" x14ac:dyDescent="0.25">
      <c r="I105" s="18"/>
      <c r="J105" s="18"/>
      <c r="K105" s="18"/>
    </row>
    <row r="106" spans="1:27" x14ac:dyDescent="0.25">
      <c r="I106" s="18"/>
      <c r="J106" s="18"/>
      <c r="K106" s="18"/>
    </row>
    <row r="107" spans="1:27" x14ac:dyDescent="0.25">
      <c r="H107" s="33"/>
      <c r="I107" s="18"/>
      <c r="J107" s="18"/>
      <c r="K107" s="18"/>
    </row>
  </sheetData>
  <dataValidations count="2">
    <dataValidation type="list" allowBlank="1" showInputMessage="1" showErrorMessage="1" sqref="I6:I23 X7:X17 I28:I57 X63:X69 I62:I69 I87:I1048576 X88:X98 I74:I83" xr:uid="{A968ACC4-8CE8-4BFA-9EB7-1DCB8973A067}">
      <formula1>INDIRECT("CADASTRO_CENTRO_DE_CUSTO_SAÍDAS")</formula1>
    </dataValidation>
    <dataValidation type="list" allowBlank="1" showInputMessage="1" showErrorMessage="1" sqref="K6:K23 Z7:Z17 K28:K57 Z63:Z69 K62:K69 K87:K1048576 Z88:Z98 K74:K83" xr:uid="{FA1CC9D3-D187-40F7-A8A8-2081A8BE99A8}">
      <formula1>INDIRECT("CADASTRO_SITUAÇÃO_SAÍDAS")</formula1>
    </dataValidation>
  </dataValidations>
  <pageMargins left="0.511811024" right="0.511811024" top="0.78740157499999996" bottom="0.78740157499999996" header="0.31496062000000002" footer="0.31496062000000002"/>
  <drawing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3A78B-8ADC-447F-B0AB-0F4451BCDE30}">
  <dimension ref="B1:AP64"/>
  <sheetViews>
    <sheetView showGridLines="0" showRowColHeaders="0" tabSelected="1" zoomScale="120" zoomScaleNormal="120" workbookViewId="0"/>
  </sheetViews>
  <sheetFormatPr defaultRowHeight="15" x14ac:dyDescent="0.25"/>
  <cols>
    <col min="1" max="1" width="16.7109375" style="37" customWidth="1"/>
    <col min="2" max="3" width="0.85546875" style="37" customWidth="1"/>
    <col min="4" max="13" width="9.140625" style="37"/>
    <col min="14" max="14" width="5.28515625" style="37" customWidth="1"/>
    <col min="15" max="20" width="9.140625" style="37"/>
    <col min="21" max="21" width="9.140625" style="37" customWidth="1"/>
    <col min="22" max="23" width="9.140625" style="37"/>
    <col min="24" max="24" width="9.140625" style="37" customWidth="1"/>
    <col min="25" max="25" width="2.28515625" style="37" customWidth="1"/>
    <col min="26" max="34" width="9.140625" style="37"/>
    <col min="35" max="35" width="10.7109375" style="37" bestFit="1" customWidth="1"/>
    <col min="36" max="36" width="15.7109375" style="41" customWidth="1"/>
    <col min="37" max="37" width="12.140625" style="41" bestFit="1" customWidth="1"/>
    <col min="38" max="38" width="14.5703125" style="41" customWidth="1"/>
    <col min="39" max="41" width="9.140625" style="37"/>
    <col min="42" max="42" width="12.7109375" style="37" bestFit="1" customWidth="1"/>
    <col min="43" max="16384" width="9.140625" style="37"/>
  </cols>
  <sheetData>
    <row r="1" spans="2:42" s="10" customFormat="1" ht="36" customHeight="1" x14ac:dyDescent="0.25">
      <c r="J1" s="43"/>
      <c r="AJ1" s="44"/>
      <c r="AK1" s="44"/>
      <c r="AL1" s="44"/>
    </row>
    <row r="2" spans="2:42" s="38" customFormat="1" ht="39.950000000000003" customHeight="1" x14ac:dyDescent="0.25">
      <c r="B2" s="37"/>
      <c r="I2" s="37"/>
      <c r="M2" s="37"/>
      <c r="AJ2" s="40"/>
      <c r="AK2" s="40"/>
      <c r="AL2" s="40"/>
    </row>
    <row r="3" spans="2:42" ht="15" customHeight="1" x14ac:dyDescent="0.25"/>
    <row r="4" spans="2:42" ht="8.1" customHeight="1" x14ac:dyDescent="0.25">
      <c r="AI4" s="39" t="s">
        <v>120</v>
      </c>
      <c r="AJ4" s="42" t="s">
        <v>99</v>
      </c>
      <c r="AK4" s="42" t="s">
        <v>100</v>
      </c>
      <c r="AL4" s="42" t="s">
        <v>101</v>
      </c>
    </row>
    <row r="5" spans="2:42" x14ac:dyDescent="0.25">
      <c r="AI5" s="36" t="s">
        <v>108</v>
      </c>
      <c r="AJ5" s="40"/>
      <c r="AK5" s="40"/>
      <c r="AL5" s="40">
        <f>AJ5-AK5</f>
        <v>0</v>
      </c>
    </row>
    <row r="6" spans="2:42" x14ac:dyDescent="0.25">
      <c r="AI6" s="36" t="s">
        <v>109</v>
      </c>
      <c r="AJ6" s="40"/>
      <c r="AK6" s="40"/>
      <c r="AL6" s="40">
        <f t="shared" ref="AL6:AL16" si="0">AJ6-AK6</f>
        <v>0</v>
      </c>
    </row>
    <row r="7" spans="2:42" x14ac:dyDescent="0.25">
      <c r="AI7" s="36" t="s">
        <v>110</v>
      </c>
      <c r="AJ7" s="40"/>
      <c r="AK7" s="40"/>
      <c r="AL7" s="40">
        <f t="shared" si="0"/>
        <v>0</v>
      </c>
    </row>
    <row r="8" spans="2:42" x14ac:dyDescent="0.25">
      <c r="AI8" s="36" t="s">
        <v>111</v>
      </c>
      <c r="AJ8" s="40"/>
      <c r="AK8" s="40"/>
      <c r="AL8" s="40">
        <f t="shared" si="0"/>
        <v>0</v>
      </c>
    </row>
    <row r="9" spans="2:42" x14ac:dyDescent="0.25">
      <c r="AI9" s="36" t="s">
        <v>112</v>
      </c>
      <c r="AJ9" s="40"/>
      <c r="AK9" s="40"/>
      <c r="AL9" s="40">
        <f t="shared" si="0"/>
        <v>0</v>
      </c>
    </row>
    <row r="10" spans="2:42" x14ac:dyDescent="0.25">
      <c r="AI10" s="36" t="s">
        <v>113</v>
      </c>
      <c r="AJ10" s="40"/>
      <c r="AK10" s="40"/>
      <c r="AL10" s="40">
        <f t="shared" si="0"/>
        <v>0</v>
      </c>
    </row>
    <row r="11" spans="2:42" x14ac:dyDescent="0.25">
      <c r="AI11" s="36" t="s">
        <v>114</v>
      </c>
      <c r="AJ11" s="40"/>
      <c r="AK11" s="40"/>
      <c r="AL11" s="40">
        <f t="shared" si="0"/>
        <v>0</v>
      </c>
    </row>
    <row r="12" spans="2:42" x14ac:dyDescent="0.25">
      <c r="AI12" s="36" t="s">
        <v>115</v>
      </c>
      <c r="AJ12" s="40">
        <f>SUM(VENDAS!E6:E71)</f>
        <v>1626.6</v>
      </c>
      <c r="AK12" s="40">
        <f>SUM(SAÍDAS!D6:D18)</f>
        <v>676.48</v>
      </c>
      <c r="AL12" s="40">
        <f t="shared" si="0"/>
        <v>950.11999999999989</v>
      </c>
      <c r="AP12" s="57"/>
    </row>
    <row r="13" spans="2:42" x14ac:dyDescent="0.25">
      <c r="AI13" s="36" t="s">
        <v>116</v>
      </c>
      <c r="AJ13" s="40">
        <f>SUM(VENDAS!E76:E97)</f>
        <v>1866.11</v>
      </c>
      <c r="AK13" s="40">
        <f>SUM(SAÍDAS!D28:D37)</f>
        <v>822.9</v>
      </c>
      <c r="AL13" s="40">
        <f t="shared" si="0"/>
        <v>1043.21</v>
      </c>
      <c r="AP13" s="57"/>
    </row>
    <row r="14" spans="2:42" x14ac:dyDescent="0.25">
      <c r="AI14" s="36" t="s">
        <v>117</v>
      </c>
      <c r="AJ14" s="40">
        <f>SUM(VENDAS!E145:E157)</f>
        <v>494.8</v>
      </c>
      <c r="AK14" s="40">
        <f>SUM(SAÍDAS!D62:D69)</f>
        <v>66.05</v>
      </c>
      <c r="AL14" s="40">
        <f t="shared" si="0"/>
        <v>428.75</v>
      </c>
      <c r="AP14" s="57"/>
    </row>
    <row r="15" spans="2:42" x14ac:dyDescent="0.25">
      <c r="AI15" s="36" t="s">
        <v>118</v>
      </c>
      <c r="AJ15" s="40">
        <f>SUM(VENDAS!E180:E192)</f>
        <v>355.15999999999997</v>
      </c>
      <c r="AK15" s="40">
        <f>SUM(SAÍDAS!D74:D82)</f>
        <v>56.319999999999993</v>
      </c>
      <c r="AL15" s="40">
        <f t="shared" si="0"/>
        <v>298.83999999999997</v>
      </c>
      <c r="AP15" s="57"/>
    </row>
    <row r="16" spans="2:42" x14ac:dyDescent="0.25">
      <c r="AI16" s="36" t="s">
        <v>119</v>
      </c>
      <c r="AJ16" s="40">
        <f>SUM(VENDAS!E206:E216)</f>
        <v>532.4</v>
      </c>
      <c r="AK16" s="40">
        <f>SUM(SAÍDAS!D87:D93)</f>
        <v>236.55</v>
      </c>
      <c r="AL16" s="40">
        <f t="shared" si="0"/>
        <v>295.84999999999997</v>
      </c>
    </row>
    <row r="20" ht="54" customHeight="1" x14ac:dyDescent="0.25"/>
    <row r="21" ht="15" customHeight="1" x14ac:dyDescent="0.25"/>
    <row r="22" ht="54" customHeight="1" x14ac:dyDescent="0.25"/>
    <row r="23" ht="7.5" customHeight="1" x14ac:dyDescent="0.25"/>
    <row r="25" ht="8.1" customHeight="1" x14ac:dyDescent="0.25"/>
    <row r="43" ht="9" customHeight="1" x14ac:dyDescent="0.25"/>
    <row r="44" ht="21.95" customHeight="1" x14ac:dyDescent="0.25"/>
    <row r="46" ht="8.1" customHeight="1" x14ac:dyDescent="0.25"/>
    <row r="62" ht="15" customHeight="1" x14ac:dyDescent="0.25"/>
    <row r="64" ht="9" customHeight="1" x14ac:dyDescent="0.25"/>
  </sheetData>
  <phoneticPr fontId="7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INÍCIO</vt:lpstr>
      <vt:lpstr>SABORES</vt:lpstr>
      <vt:lpstr>ESTOQUE</vt:lpstr>
      <vt:lpstr>VENDAS</vt:lpstr>
      <vt:lpstr>SAÍDAS</vt:lpstr>
      <vt:lpstr>RELATÓRIOS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FODÃO</dc:creator>
  <cp:lastModifiedBy>Windows 10</cp:lastModifiedBy>
  <dcterms:created xsi:type="dcterms:W3CDTF">2015-06-05T18:19:34Z</dcterms:created>
  <dcterms:modified xsi:type="dcterms:W3CDTF">2025-07-18T19:17:09Z</dcterms:modified>
</cp:coreProperties>
</file>