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9"/>
  <workbookPr/>
  <mc:AlternateContent xmlns:mc="http://schemas.openxmlformats.org/markup-compatibility/2006">
    <mc:Choice Requires="x15">
      <x15ac:absPath xmlns:x15ac="http://schemas.microsoft.com/office/spreadsheetml/2010/11/ac" url="C:\Users\Fatec\Desktop\"/>
    </mc:Choice>
  </mc:AlternateContent>
  <xr:revisionPtr revIDLastSave="462" documentId="8_{BAD2D1DC-3796-476E-92F7-E568779B3959}" xr6:coauthVersionLast="47" xr6:coauthVersionMax="47" xr10:uidLastSave="{E52B07E2-6DCA-4D1C-8CFC-EFE2065347AC}"/>
  <bookViews>
    <workbookView xWindow="0" yWindow="0" windowWidth="28800" windowHeight="12105" firstSheet="3" xr2:uid="{00000000-000D-0000-FFFF-FFFF00000000}"/>
  </bookViews>
  <sheets>
    <sheet name="DADOS BASE" sheetId="1" r:id="rId1"/>
    <sheet name="SITUAÇÃO " sheetId="2" r:id="rId2"/>
    <sheet name="QUANTIDADE DE LIBERAÇÕES" sheetId="6" r:id="rId3"/>
    <sheet name="MÉDIA DE HORAS" sheetId="4" r:id="rId4"/>
    <sheet name="QUESTÕES "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6" l="1"/>
  <c r="B9" i="6" s="1"/>
  <c r="A15" i="6"/>
  <c r="B15" i="6" s="1"/>
  <c r="A37" i="6"/>
  <c r="B37" i="6" s="1"/>
  <c r="A18" i="6"/>
  <c r="B18" i="6" s="1"/>
  <c r="A31" i="6"/>
  <c r="B31" i="6" s="1"/>
  <c r="A30" i="6"/>
  <c r="B30" i="6" s="1"/>
  <c r="A16" i="6"/>
  <c r="B16" i="6" s="1"/>
  <c r="A17" i="6"/>
  <c r="B17" i="6" s="1"/>
  <c r="A4" i="6"/>
  <c r="B4" i="6" s="1"/>
  <c r="A14" i="6"/>
  <c r="B14" i="6" s="1"/>
  <c r="A8" i="6"/>
  <c r="B8" i="6" s="1"/>
  <c r="A7" i="6"/>
  <c r="B7" i="6" s="1"/>
  <c r="A20" i="6"/>
  <c r="B20" i="6" s="1"/>
  <c r="A19" i="6"/>
  <c r="B19" i="6" s="1"/>
  <c r="A13" i="6"/>
  <c r="B13" i="6" s="1"/>
  <c r="A24" i="6"/>
  <c r="B24" i="6" s="1"/>
  <c r="A3" i="6"/>
  <c r="B3" i="6" s="1"/>
  <c r="A2" i="6"/>
  <c r="B2" i="6" s="1"/>
  <c r="A6" i="6"/>
  <c r="B6" i="6" s="1"/>
  <c r="A33" i="6"/>
  <c r="B33" i="6" s="1"/>
  <c r="A34" i="6"/>
  <c r="B34" i="6" s="1"/>
  <c r="A36" i="6"/>
  <c r="B36" i="6" s="1"/>
  <c r="A28" i="6"/>
  <c r="B28" i="6" s="1"/>
  <c r="A22" i="6"/>
  <c r="B22" i="6" s="1"/>
  <c r="A26" i="6"/>
  <c r="B26" i="6" s="1"/>
  <c r="A23" i="6"/>
  <c r="B23" i="6" s="1"/>
  <c r="A10" i="6"/>
  <c r="B10" i="6" s="1"/>
  <c r="A29" i="6"/>
  <c r="B29" i="6" s="1"/>
  <c r="A35" i="6"/>
  <c r="B35" i="6" s="1"/>
  <c r="A38" i="6"/>
  <c r="B38" i="6" s="1"/>
  <c r="A25" i="6"/>
  <c r="B25" i="6" s="1"/>
  <c r="A21" i="6"/>
  <c r="B21" i="6" s="1"/>
  <c r="A32" i="6"/>
  <c r="B32" i="6" s="1"/>
  <c r="A5" i="6"/>
  <c r="B5" i="6" s="1"/>
  <c r="A12" i="6"/>
  <c r="B12" i="6" s="1"/>
  <c r="A11" i="6"/>
  <c r="B11" i="6" s="1"/>
  <c r="A27" i="6"/>
  <c r="B27" i="6" s="1"/>
  <c r="C6" i="1"/>
  <c r="C8"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207" i="1"/>
  <c r="C3206" i="1"/>
  <c r="C3205" i="1"/>
  <c r="C3204" i="1"/>
  <c r="C3203" i="1"/>
  <c r="C3202" i="1"/>
  <c r="C3201" i="1"/>
  <c r="C3200" i="1"/>
  <c r="C3199" i="1"/>
  <c r="C3198" i="1"/>
  <c r="C3197" i="1"/>
  <c r="C3196" i="1"/>
  <c r="C3195" i="1"/>
  <c r="C3194" i="1"/>
  <c r="C3193" i="1"/>
  <c r="C3192" i="1"/>
  <c r="C3191" i="1"/>
  <c r="C3190" i="1"/>
  <c r="C3189" i="1"/>
  <c r="C3188" i="1"/>
  <c r="C3187" i="1"/>
  <c r="C3186" i="1"/>
  <c r="C3185" i="1"/>
  <c r="C3184" i="1"/>
  <c r="C3183" i="1"/>
  <c r="C3182" i="1"/>
  <c r="C3181" i="1"/>
  <c r="C3180" i="1"/>
  <c r="C3179" i="1"/>
  <c r="C3178" i="1"/>
  <c r="C3177" i="1"/>
  <c r="C3176" i="1"/>
  <c r="C3175" i="1"/>
  <c r="C3174" i="1"/>
  <c r="C3173" i="1"/>
  <c r="C3172" i="1"/>
  <c r="C3171" i="1"/>
  <c r="C3170" i="1"/>
  <c r="C3169" i="1"/>
  <c r="C3168" i="1"/>
  <c r="C3167" i="1"/>
  <c r="C3166" i="1"/>
  <c r="C3165" i="1"/>
  <c r="C3164" i="1"/>
  <c r="C3163" i="1"/>
  <c r="C3162" i="1"/>
  <c r="C3161" i="1"/>
  <c r="C3160" i="1"/>
  <c r="C3159" i="1"/>
  <c r="C3158" i="1"/>
  <c r="C3157" i="1"/>
  <c r="C3156" i="1"/>
  <c r="C3155" i="1"/>
  <c r="C3154" i="1"/>
  <c r="C3153" i="1"/>
  <c r="C3152" i="1"/>
  <c r="C3151" i="1"/>
  <c r="C3150" i="1"/>
  <c r="C3149" i="1"/>
  <c r="C3148" i="1"/>
  <c r="C3147" i="1"/>
  <c r="C3146" i="1"/>
  <c r="C3145" i="1"/>
  <c r="C3144" i="1"/>
  <c r="C3143" i="1"/>
  <c r="C3142" i="1"/>
  <c r="C3141" i="1"/>
  <c r="C3140" i="1"/>
  <c r="C3139" i="1"/>
  <c r="C3138" i="1"/>
  <c r="C3137" i="1"/>
  <c r="C3136" i="1"/>
  <c r="C3135" i="1"/>
  <c r="C3134" i="1"/>
  <c r="C3133" i="1"/>
  <c r="C3132" i="1"/>
  <c r="C3131" i="1"/>
  <c r="C3130" i="1"/>
  <c r="C3129" i="1"/>
  <c r="C3128" i="1"/>
  <c r="C3127" i="1"/>
  <c r="C3126" i="1"/>
  <c r="C3125" i="1"/>
  <c r="C3124" i="1"/>
  <c r="C3123" i="1"/>
  <c r="C3122" i="1"/>
  <c r="C3121" i="1"/>
  <c r="C3120" i="1"/>
  <c r="C3119" i="1"/>
  <c r="C3118" i="1"/>
  <c r="C3117" i="1"/>
  <c r="C3116" i="1"/>
  <c r="C3115" i="1"/>
  <c r="C3114" i="1"/>
  <c r="C3113" i="1"/>
  <c r="C3112" i="1"/>
  <c r="C3111" i="1"/>
  <c r="C3110" i="1"/>
  <c r="C3109" i="1"/>
  <c r="C3108" i="1"/>
  <c r="C3107" i="1"/>
  <c r="C3106" i="1"/>
  <c r="C3105" i="1"/>
  <c r="C3104" i="1"/>
  <c r="C3103" i="1"/>
  <c r="C3102" i="1"/>
  <c r="C3101" i="1"/>
  <c r="C3100" i="1"/>
  <c r="C3099" i="1"/>
  <c r="C3098" i="1"/>
  <c r="C3097" i="1"/>
  <c r="C3096" i="1"/>
  <c r="C3095" i="1"/>
  <c r="C3094" i="1"/>
  <c r="C3093" i="1"/>
  <c r="C3092" i="1"/>
  <c r="C3091" i="1"/>
  <c r="C3090" i="1"/>
  <c r="C3089" i="1"/>
  <c r="C3088" i="1"/>
  <c r="C3087" i="1"/>
  <c r="C3086" i="1"/>
  <c r="C3085" i="1"/>
  <c r="C3084" i="1"/>
  <c r="C3083" i="1"/>
  <c r="C3082" i="1"/>
  <c r="C3081" i="1"/>
  <c r="C3080" i="1"/>
  <c r="C3079" i="1"/>
  <c r="C3078" i="1"/>
  <c r="C3077" i="1"/>
  <c r="C3076" i="1"/>
  <c r="C3075" i="1"/>
  <c r="C3074" i="1"/>
  <c r="C3073" i="1"/>
  <c r="C3072" i="1"/>
  <c r="C3071" i="1"/>
  <c r="C3070" i="1"/>
  <c r="C3069" i="1"/>
  <c r="C3068" i="1"/>
  <c r="C3067" i="1"/>
  <c r="C3066" i="1"/>
  <c r="C3065" i="1"/>
  <c r="C3064" i="1"/>
  <c r="C3063" i="1"/>
  <c r="C3062" i="1"/>
  <c r="C3061" i="1"/>
  <c r="C3060" i="1"/>
  <c r="C3059" i="1"/>
  <c r="C3058" i="1"/>
  <c r="C3057" i="1"/>
  <c r="C3056" i="1"/>
  <c r="C3055" i="1"/>
  <c r="C3054" i="1"/>
  <c r="C3053" i="1"/>
  <c r="C3052" i="1"/>
  <c r="C3051" i="1"/>
  <c r="C3050" i="1"/>
  <c r="C3049" i="1"/>
  <c r="C3048" i="1"/>
  <c r="C3047" i="1"/>
  <c r="C3046" i="1"/>
  <c r="C3045" i="1"/>
  <c r="C3044" i="1"/>
  <c r="C3043" i="1"/>
  <c r="C3042" i="1"/>
  <c r="C3041" i="1"/>
  <c r="C3040" i="1"/>
  <c r="C3039" i="1"/>
  <c r="C3038" i="1"/>
  <c r="C3037" i="1"/>
  <c r="C3036" i="1"/>
  <c r="C3035" i="1"/>
  <c r="C3034" i="1"/>
  <c r="C3033" i="1"/>
  <c r="C3032" i="1"/>
  <c r="C3031" i="1"/>
  <c r="C3030"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7"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7" i="1"/>
  <c r="C5" i="1"/>
  <c r="C4" i="1"/>
  <c r="C3" i="1"/>
  <c r="C2" i="1"/>
  <c r="A24" i="4"/>
  <c r="D24" i="4" s="1"/>
  <c r="C24" i="4" s="1"/>
  <c r="A2" i="4"/>
  <c r="D2" i="4" s="1"/>
  <c r="C2" i="4" s="1"/>
  <c r="A34" i="4"/>
  <c r="D34" i="4" s="1"/>
  <c r="C34" i="4" s="1"/>
  <c r="A4" i="4"/>
  <c r="D4" i="4" s="1"/>
  <c r="C4" i="4" s="1"/>
  <c r="A36" i="4"/>
  <c r="D36" i="4" s="1"/>
  <c r="C36" i="4" s="1"/>
  <c r="A38" i="4"/>
  <c r="D38" i="4" s="1"/>
  <c r="C38" i="4" s="1"/>
  <c r="A3" i="4"/>
  <c r="D3" i="4" s="1"/>
  <c r="C3" i="4" s="1"/>
  <c r="A5" i="4"/>
  <c r="D5" i="4" s="1"/>
  <c r="C5" i="4" s="1"/>
  <c r="A25" i="4"/>
  <c r="D25" i="4" s="1"/>
  <c r="C25" i="4" s="1"/>
  <c r="A8" i="4"/>
  <c r="D8" i="4" s="1"/>
  <c r="C8" i="4" s="1"/>
  <c r="A22" i="4"/>
  <c r="D22" i="4" s="1"/>
  <c r="C22" i="4" s="1"/>
  <c r="A19" i="4"/>
  <c r="D19" i="4" s="1"/>
  <c r="C19" i="4" s="1"/>
  <c r="A33" i="4"/>
  <c r="D33" i="4" s="1"/>
  <c r="C33" i="4" s="1"/>
  <c r="A35" i="4"/>
  <c r="D35" i="4" s="1"/>
  <c r="C35" i="4" s="1"/>
  <c r="A27" i="4"/>
  <c r="D27" i="4" s="1"/>
  <c r="C27" i="4" s="1"/>
  <c r="A9" i="4"/>
  <c r="D9" i="4" s="1"/>
  <c r="C9" i="4" s="1"/>
  <c r="A18" i="4"/>
  <c r="D18" i="4" s="1"/>
  <c r="C18" i="4" s="1"/>
  <c r="A21" i="4"/>
  <c r="D21" i="4" s="1"/>
  <c r="C21" i="4" s="1"/>
  <c r="A20" i="4"/>
  <c r="D20" i="4" s="1"/>
  <c r="C20" i="4" s="1"/>
  <c r="A31" i="4"/>
  <c r="D31" i="4" s="1"/>
  <c r="C31" i="4" s="1"/>
  <c r="A30" i="4"/>
  <c r="D30" i="4" s="1"/>
  <c r="C30" i="4" s="1"/>
  <c r="A32" i="4"/>
  <c r="D32" i="4" s="1"/>
  <c r="C32" i="4" s="1"/>
  <c r="A6" i="4"/>
  <c r="D6" i="4" s="1"/>
  <c r="C6" i="4" s="1"/>
  <c r="A23" i="4"/>
  <c r="D23" i="4" s="1"/>
  <c r="C23" i="4" s="1"/>
  <c r="A28" i="4"/>
  <c r="D28" i="4" s="1"/>
  <c r="C28" i="4" s="1"/>
  <c r="A26" i="4"/>
  <c r="D26" i="4" s="1"/>
  <c r="C26" i="4" s="1"/>
  <c r="A16" i="4"/>
  <c r="D16" i="4" s="1"/>
  <c r="C16" i="4" s="1"/>
  <c r="A37" i="4"/>
  <c r="D37" i="4" s="1"/>
  <c r="C37" i="4" s="1"/>
  <c r="A15" i="4"/>
  <c r="D15" i="4" s="1"/>
  <c r="C15" i="4" s="1"/>
  <c r="A10" i="4"/>
  <c r="D10" i="4" s="1"/>
  <c r="C10" i="4" s="1"/>
  <c r="A17" i="4"/>
  <c r="D17" i="4" s="1"/>
  <c r="C17" i="4" s="1"/>
  <c r="A29" i="4"/>
  <c r="D29" i="4" s="1"/>
  <c r="C29" i="4" s="1"/>
  <c r="A12" i="4"/>
  <c r="D12" i="4" s="1"/>
  <c r="C12" i="4" s="1"/>
  <c r="A11" i="4"/>
  <c r="D11" i="4" s="1"/>
  <c r="C11" i="4" s="1"/>
  <c r="A13" i="4"/>
  <c r="D13" i="4" s="1"/>
  <c r="C13" i="4" s="1"/>
  <c r="A14" i="4"/>
  <c r="D14" i="4" s="1"/>
  <c r="C14" i="4" s="1"/>
  <c r="A7" i="4"/>
  <c r="D7" i="4" s="1"/>
  <c r="C7" i="4" s="1"/>
  <c r="A2" i="2"/>
  <c r="A3" i="2"/>
  <c r="A4" i="2"/>
  <c r="J1984" i="1"/>
  <c r="I1984" i="1"/>
  <c r="H1984" i="1"/>
  <c r="G1984" i="1"/>
  <c r="F1984" i="1"/>
  <c r="E1984" i="1"/>
  <c r="D1984" i="1"/>
  <c r="B1984" i="1"/>
  <c r="A1984" i="1"/>
  <c r="J1983" i="1"/>
  <c r="I1983" i="1"/>
  <c r="H1983" i="1"/>
  <c r="G1983" i="1"/>
  <c r="F1983" i="1"/>
  <c r="E1983" i="1"/>
  <c r="D1983" i="1"/>
  <c r="B1983" i="1"/>
  <c r="A1983" i="1"/>
  <c r="L772" i="1"/>
  <c r="J772" i="1"/>
  <c r="I772" i="1"/>
  <c r="H772" i="1"/>
  <c r="G772" i="1"/>
  <c r="F772" i="1"/>
  <c r="E772" i="1"/>
  <c r="D772" i="1"/>
  <c r="B772" i="1"/>
  <c r="A772" i="1"/>
  <c r="L2270" i="1"/>
  <c r="J2270" i="1"/>
  <c r="I2270" i="1"/>
  <c r="H2270" i="1"/>
  <c r="G2270" i="1"/>
  <c r="F2270" i="1"/>
  <c r="E2270" i="1"/>
  <c r="D2270" i="1"/>
  <c r="B2270" i="1"/>
  <c r="A2270" i="1"/>
  <c r="J1982" i="1"/>
  <c r="I1982" i="1"/>
  <c r="H1982" i="1"/>
  <c r="G1982" i="1"/>
  <c r="F1982" i="1"/>
  <c r="E1982" i="1"/>
  <c r="D1982" i="1"/>
  <c r="B1982" i="1"/>
  <c r="A1982" i="1"/>
  <c r="J1981" i="1"/>
  <c r="I1981" i="1"/>
  <c r="H1981" i="1"/>
  <c r="G1981" i="1"/>
  <c r="F1981" i="1"/>
  <c r="E1981" i="1"/>
  <c r="D1981" i="1"/>
  <c r="B1981" i="1"/>
  <c r="A1981" i="1"/>
  <c r="J1980" i="1"/>
  <c r="I1980" i="1"/>
  <c r="H1980" i="1"/>
  <c r="G1980" i="1"/>
  <c r="F1980" i="1"/>
  <c r="E1980" i="1"/>
  <c r="D1980" i="1"/>
  <c r="B1980" i="1"/>
  <c r="A1980" i="1"/>
  <c r="J1979" i="1"/>
  <c r="I1979" i="1"/>
  <c r="H1979" i="1"/>
  <c r="G1979" i="1"/>
  <c r="F1979" i="1"/>
  <c r="E1979" i="1"/>
  <c r="D1979" i="1"/>
  <c r="B1979" i="1"/>
  <c r="A1979" i="1"/>
  <c r="L1978" i="1"/>
  <c r="K1978" i="1"/>
  <c r="J1978" i="1"/>
  <c r="I1978" i="1"/>
  <c r="H1978" i="1"/>
  <c r="G1978" i="1"/>
  <c r="F1978" i="1"/>
  <c r="E1978" i="1"/>
  <c r="D1978" i="1"/>
  <c r="B1978" i="1"/>
  <c r="A1978" i="1"/>
  <c r="L1977" i="1"/>
  <c r="K1977" i="1"/>
  <c r="J1977" i="1"/>
  <c r="I1977" i="1"/>
  <c r="H1977" i="1"/>
  <c r="G1977" i="1"/>
  <c r="F1977" i="1"/>
  <c r="E1977" i="1"/>
  <c r="D1977" i="1"/>
  <c r="B1977" i="1"/>
  <c r="A1977" i="1"/>
  <c r="L1976" i="1"/>
  <c r="K1976" i="1"/>
  <c r="J1976" i="1"/>
  <c r="I1976" i="1"/>
  <c r="H1976" i="1"/>
  <c r="G1976" i="1"/>
  <c r="F1976" i="1"/>
  <c r="E1976" i="1"/>
  <c r="D1976" i="1"/>
  <c r="B1976" i="1"/>
  <c r="A1976" i="1"/>
  <c r="L1975" i="1"/>
  <c r="K1975" i="1"/>
  <c r="J1975" i="1"/>
  <c r="I1975" i="1"/>
  <c r="H1975" i="1"/>
  <c r="G1975" i="1"/>
  <c r="F1975" i="1"/>
  <c r="E1975" i="1"/>
  <c r="D1975" i="1"/>
  <c r="B1975" i="1"/>
  <c r="A1975" i="1"/>
  <c r="L1974" i="1"/>
  <c r="K1974" i="1"/>
  <c r="J1974" i="1"/>
  <c r="I1974" i="1"/>
  <c r="H1974" i="1"/>
  <c r="G1974" i="1"/>
  <c r="F1974" i="1"/>
  <c r="E1974" i="1"/>
  <c r="D1974" i="1"/>
  <c r="B1974" i="1"/>
  <c r="A1974" i="1"/>
  <c r="L1973" i="1"/>
  <c r="K1973" i="1"/>
  <c r="J1973" i="1"/>
  <c r="I1973" i="1"/>
  <c r="H1973" i="1"/>
  <c r="G1973" i="1"/>
  <c r="F1973" i="1"/>
  <c r="E1973" i="1"/>
  <c r="D1973" i="1"/>
  <c r="B1973" i="1"/>
  <c r="A1973" i="1"/>
  <c r="L1177" i="1"/>
  <c r="K1177" i="1"/>
  <c r="J1177" i="1"/>
  <c r="I1177" i="1"/>
  <c r="H1177" i="1"/>
  <c r="G1177" i="1"/>
  <c r="F1177" i="1"/>
  <c r="E1177" i="1"/>
  <c r="D1177" i="1"/>
  <c r="B1177" i="1"/>
  <c r="A1177" i="1"/>
  <c r="L1972" i="1"/>
  <c r="K1972" i="1"/>
  <c r="J1972" i="1"/>
  <c r="I1972" i="1"/>
  <c r="H1972" i="1"/>
  <c r="G1972" i="1"/>
  <c r="F1972" i="1"/>
  <c r="E1972" i="1"/>
  <c r="D1972" i="1"/>
  <c r="B1972" i="1"/>
  <c r="A1972" i="1"/>
  <c r="L1032" i="1"/>
  <c r="J1032" i="1"/>
  <c r="I1032" i="1"/>
  <c r="H1032" i="1"/>
  <c r="G1032" i="1"/>
  <c r="F1032" i="1"/>
  <c r="E1032" i="1"/>
  <c r="D1032" i="1"/>
  <c r="B1032" i="1"/>
  <c r="A1032" i="1"/>
  <c r="L2744" i="1"/>
  <c r="J2744" i="1"/>
  <c r="I2744" i="1"/>
  <c r="H2744" i="1"/>
  <c r="G2744" i="1"/>
  <c r="F2744" i="1"/>
  <c r="E2744" i="1"/>
  <c r="D2744" i="1"/>
  <c r="B2744" i="1"/>
  <c r="A2744" i="1"/>
  <c r="L1971" i="1"/>
  <c r="K1971" i="1"/>
  <c r="J1971" i="1"/>
  <c r="I1971" i="1"/>
  <c r="H1971" i="1"/>
  <c r="G1971" i="1"/>
  <c r="F1971" i="1"/>
  <c r="E1971" i="1"/>
  <c r="D1971" i="1"/>
  <c r="B1971" i="1"/>
  <c r="A1971" i="1"/>
  <c r="L1970" i="1"/>
  <c r="K1970" i="1"/>
  <c r="J1970" i="1"/>
  <c r="I1970" i="1"/>
  <c r="H1970" i="1"/>
  <c r="G1970" i="1"/>
  <c r="F1970" i="1"/>
  <c r="E1970" i="1"/>
  <c r="D1970" i="1"/>
  <c r="B1970" i="1"/>
  <c r="A1970" i="1"/>
  <c r="L1031" i="1"/>
  <c r="J1031" i="1"/>
  <c r="I1031" i="1"/>
  <c r="H1031" i="1"/>
  <c r="G1031" i="1"/>
  <c r="F1031" i="1"/>
  <c r="E1031" i="1"/>
  <c r="D1031" i="1"/>
  <c r="B1031" i="1"/>
  <c r="A1031" i="1"/>
  <c r="L2743" i="1"/>
  <c r="J2743" i="1"/>
  <c r="I2743" i="1"/>
  <c r="H2743" i="1"/>
  <c r="G2743" i="1"/>
  <c r="F2743" i="1"/>
  <c r="E2743" i="1"/>
  <c r="D2743" i="1"/>
  <c r="B2743" i="1"/>
  <c r="A2743" i="1"/>
  <c r="L1969" i="1"/>
  <c r="K1969" i="1"/>
  <c r="J1969" i="1"/>
  <c r="I1969" i="1"/>
  <c r="H1969" i="1"/>
  <c r="G1969" i="1"/>
  <c r="F1969" i="1"/>
  <c r="E1969" i="1"/>
  <c r="D1969" i="1"/>
  <c r="B1969" i="1"/>
  <c r="A1969" i="1"/>
  <c r="L1968" i="1"/>
  <c r="K1968" i="1"/>
  <c r="J1968" i="1"/>
  <c r="I1968" i="1"/>
  <c r="H1968" i="1"/>
  <c r="G1968" i="1"/>
  <c r="F1968" i="1"/>
  <c r="E1968" i="1"/>
  <c r="D1968" i="1"/>
  <c r="B1968" i="1"/>
  <c r="A1968" i="1"/>
  <c r="L1967" i="1"/>
  <c r="K1967" i="1"/>
  <c r="J1967" i="1"/>
  <c r="I1967" i="1"/>
  <c r="H1967" i="1"/>
  <c r="G1967" i="1"/>
  <c r="F1967" i="1"/>
  <c r="E1967" i="1"/>
  <c r="D1967" i="1"/>
  <c r="B1967" i="1"/>
  <c r="A1967" i="1"/>
  <c r="L1966" i="1"/>
  <c r="K1966" i="1"/>
  <c r="J1966" i="1"/>
  <c r="I1966" i="1"/>
  <c r="H1966" i="1"/>
  <c r="G1966" i="1"/>
  <c r="F1966" i="1"/>
  <c r="E1966" i="1"/>
  <c r="D1966" i="1"/>
  <c r="B1966" i="1"/>
  <c r="A1966" i="1"/>
  <c r="L1030" i="1"/>
  <c r="J1030" i="1"/>
  <c r="I1030" i="1"/>
  <c r="H1030" i="1"/>
  <c r="G1030" i="1"/>
  <c r="F1030" i="1"/>
  <c r="E1030" i="1"/>
  <c r="D1030" i="1"/>
  <c r="B1030" i="1"/>
  <c r="A1030" i="1"/>
  <c r="L2742" i="1"/>
  <c r="J2742" i="1"/>
  <c r="I2742" i="1"/>
  <c r="H2742" i="1"/>
  <c r="G2742" i="1"/>
  <c r="F2742" i="1"/>
  <c r="E2742" i="1"/>
  <c r="D2742" i="1"/>
  <c r="B2742" i="1"/>
  <c r="A2742" i="1"/>
  <c r="L1965" i="1"/>
  <c r="K1965" i="1"/>
  <c r="J1965" i="1"/>
  <c r="I1965" i="1"/>
  <c r="H1965" i="1"/>
  <c r="G1965" i="1"/>
  <c r="F1965" i="1"/>
  <c r="E1965" i="1"/>
  <c r="D1965" i="1"/>
  <c r="B1965" i="1"/>
  <c r="A1965" i="1"/>
  <c r="J1964" i="1"/>
  <c r="I1964" i="1"/>
  <c r="H1964" i="1"/>
  <c r="G1964" i="1"/>
  <c r="F1964" i="1"/>
  <c r="E1964" i="1"/>
  <c r="D1964" i="1"/>
  <c r="B1964" i="1"/>
  <c r="A1964" i="1"/>
  <c r="L1963" i="1"/>
  <c r="J1963" i="1"/>
  <c r="I1963" i="1"/>
  <c r="H1963" i="1"/>
  <c r="G1963" i="1"/>
  <c r="F1963" i="1"/>
  <c r="E1963" i="1"/>
  <c r="D1963" i="1"/>
  <c r="B1963" i="1"/>
  <c r="A1963" i="1"/>
  <c r="L1029" i="1"/>
  <c r="J1029" i="1"/>
  <c r="I1029" i="1"/>
  <c r="H1029" i="1"/>
  <c r="G1029" i="1"/>
  <c r="F1029" i="1"/>
  <c r="E1029" i="1"/>
  <c r="D1029" i="1"/>
  <c r="B1029" i="1"/>
  <c r="A1029" i="1"/>
  <c r="L2741" i="1"/>
  <c r="J2741" i="1"/>
  <c r="I2741" i="1"/>
  <c r="H2741" i="1"/>
  <c r="G2741" i="1"/>
  <c r="F2741" i="1"/>
  <c r="E2741" i="1"/>
  <c r="D2741" i="1"/>
  <c r="B2741" i="1"/>
  <c r="A2741" i="1"/>
  <c r="J1962" i="1"/>
  <c r="I1962" i="1"/>
  <c r="H1962" i="1"/>
  <c r="G1962" i="1"/>
  <c r="F1962" i="1"/>
  <c r="E1962" i="1"/>
  <c r="D1962" i="1"/>
  <c r="B1962" i="1"/>
  <c r="A1962" i="1"/>
  <c r="J1961" i="1"/>
  <c r="I1961" i="1"/>
  <c r="H1961" i="1"/>
  <c r="G1961" i="1"/>
  <c r="F1961" i="1"/>
  <c r="E1961" i="1"/>
  <c r="D1961" i="1"/>
  <c r="B1961" i="1"/>
  <c r="A1961" i="1"/>
  <c r="J1960" i="1"/>
  <c r="I1960" i="1"/>
  <c r="H1960" i="1"/>
  <c r="G1960" i="1"/>
  <c r="F1960" i="1"/>
  <c r="E1960" i="1"/>
  <c r="D1960" i="1"/>
  <c r="B1960" i="1"/>
  <c r="A1960" i="1"/>
  <c r="J1959" i="1"/>
  <c r="I1959" i="1"/>
  <c r="H1959" i="1"/>
  <c r="G1959" i="1"/>
  <c r="F1959" i="1"/>
  <c r="E1959" i="1"/>
  <c r="D1959" i="1"/>
  <c r="B1959" i="1"/>
  <c r="A1959" i="1"/>
  <c r="L1326" i="1"/>
  <c r="K1326" i="1"/>
  <c r="J1326" i="1"/>
  <c r="I1326" i="1"/>
  <c r="H1326" i="1"/>
  <c r="G1326" i="1"/>
  <c r="F1326" i="1"/>
  <c r="E1326" i="1"/>
  <c r="D1326" i="1"/>
  <c r="B1326" i="1"/>
  <c r="A1326" i="1"/>
  <c r="L1028" i="1"/>
  <c r="J1028" i="1"/>
  <c r="I1028" i="1"/>
  <c r="H1028" i="1"/>
  <c r="G1028" i="1"/>
  <c r="F1028" i="1"/>
  <c r="E1028" i="1"/>
  <c r="D1028" i="1"/>
  <c r="B1028" i="1"/>
  <c r="A1028" i="1"/>
  <c r="L2740" i="1"/>
  <c r="J2740" i="1"/>
  <c r="I2740" i="1"/>
  <c r="H2740" i="1"/>
  <c r="G2740" i="1"/>
  <c r="F2740" i="1"/>
  <c r="E2740" i="1"/>
  <c r="D2740" i="1"/>
  <c r="B2740" i="1"/>
  <c r="A2740" i="1"/>
  <c r="J1958" i="1"/>
  <c r="I1958" i="1"/>
  <c r="H1958" i="1"/>
  <c r="G1958" i="1"/>
  <c r="F1958" i="1"/>
  <c r="E1958" i="1"/>
  <c r="D1958" i="1"/>
  <c r="B1958" i="1"/>
  <c r="A1958" i="1"/>
  <c r="L1027" i="1"/>
  <c r="J1027" i="1"/>
  <c r="I1027" i="1"/>
  <c r="H1027" i="1"/>
  <c r="G1027" i="1"/>
  <c r="F1027" i="1"/>
  <c r="E1027" i="1"/>
  <c r="D1027" i="1"/>
  <c r="B1027" i="1"/>
  <c r="A1027" i="1"/>
  <c r="L2739" i="1"/>
  <c r="J2739" i="1"/>
  <c r="I2739" i="1"/>
  <c r="H2739" i="1"/>
  <c r="G2739" i="1"/>
  <c r="F2739" i="1"/>
  <c r="E2739" i="1"/>
  <c r="D2739" i="1"/>
  <c r="B2739" i="1"/>
  <c r="A2739" i="1"/>
  <c r="L1957" i="1"/>
  <c r="K1957" i="1"/>
  <c r="J1957" i="1"/>
  <c r="I1957" i="1"/>
  <c r="H1957" i="1"/>
  <c r="G1957" i="1"/>
  <c r="F1957" i="1"/>
  <c r="E1957" i="1"/>
  <c r="D1957" i="1"/>
  <c r="B1957" i="1"/>
  <c r="A1957" i="1"/>
  <c r="L1956" i="1"/>
  <c r="K1956" i="1"/>
  <c r="J1956" i="1"/>
  <c r="I1956" i="1"/>
  <c r="H1956" i="1"/>
  <c r="G1956" i="1"/>
  <c r="F1956" i="1"/>
  <c r="E1956" i="1"/>
  <c r="D1956" i="1"/>
  <c r="B1956" i="1"/>
  <c r="A1956" i="1"/>
  <c r="L1955" i="1"/>
  <c r="K1955" i="1"/>
  <c r="J1955" i="1"/>
  <c r="I1955" i="1"/>
  <c r="H1955" i="1"/>
  <c r="G1955" i="1"/>
  <c r="F1955" i="1"/>
  <c r="E1955" i="1"/>
  <c r="D1955" i="1"/>
  <c r="B1955" i="1"/>
  <c r="A1955" i="1"/>
  <c r="L1954" i="1"/>
  <c r="K1954" i="1"/>
  <c r="J1954" i="1"/>
  <c r="I1954" i="1"/>
  <c r="H1954" i="1"/>
  <c r="G1954" i="1"/>
  <c r="F1954" i="1"/>
  <c r="E1954" i="1"/>
  <c r="D1954" i="1"/>
  <c r="B1954" i="1"/>
  <c r="A1954" i="1"/>
  <c r="L1953" i="1"/>
  <c r="K1953" i="1"/>
  <c r="J1953" i="1"/>
  <c r="I1953" i="1"/>
  <c r="H1953" i="1"/>
  <c r="G1953" i="1"/>
  <c r="F1953" i="1"/>
  <c r="E1953" i="1"/>
  <c r="D1953" i="1"/>
  <c r="B1953" i="1"/>
  <c r="A1953" i="1"/>
  <c r="L1952" i="1"/>
  <c r="K1952" i="1"/>
  <c r="J1952" i="1"/>
  <c r="I1952" i="1"/>
  <c r="H1952" i="1"/>
  <c r="G1952" i="1"/>
  <c r="F1952" i="1"/>
  <c r="E1952" i="1"/>
  <c r="D1952" i="1"/>
  <c r="B1952" i="1"/>
  <c r="A1952" i="1"/>
  <c r="L851" i="1"/>
  <c r="K851" i="1"/>
  <c r="J851" i="1"/>
  <c r="I851" i="1"/>
  <c r="H851" i="1"/>
  <c r="G851" i="1"/>
  <c r="F851" i="1"/>
  <c r="E851" i="1"/>
  <c r="D851" i="1"/>
  <c r="B851" i="1"/>
  <c r="A851" i="1"/>
  <c r="L1951" i="1"/>
  <c r="K1951" i="1"/>
  <c r="J1951" i="1"/>
  <c r="I1951" i="1"/>
  <c r="H1951" i="1"/>
  <c r="G1951" i="1"/>
  <c r="F1951" i="1"/>
  <c r="E1951" i="1"/>
  <c r="D1951" i="1"/>
  <c r="B1951" i="1"/>
  <c r="A1951" i="1"/>
  <c r="L1950" i="1"/>
  <c r="K1950" i="1"/>
  <c r="J1950" i="1"/>
  <c r="I1950" i="1"/>
  <c r="H1950" i="1"/>
  <c r="G1950" i="1"/>
  <c r="F1950" i="1"/>
  <c r="E1950" i="1"/>
  <c r="D1950" i="1"/>
  <c r="B1950" i="1"/>
  <c r="A1950" i="1"/>
  <c r="L1949" i="1"/>
  <c r="K1949" i="1"/>
  <c r="J1949" i="1"/>
  <c r="I1949" i="1"/>
  <c r="H1949" i="1"/>
  <c r="G1949" i="1"/>
  <c r="F1949" i="1"/>
  <c r="E1949" i="1"/>
  <c r="D1949" i="1"/>
  <c r="B1949" i="1"/>
  <c r="A1949" i="1"/>
  <c r="L1948" i="1"/>
  <c r="K1948" i="1"/>
  <c r="J1948" i="1"/>
  <c r="I1948" i="1"/>
  <c r="H1948" i="1"/>
  <c r="G1948" i="1"/>
  <c r="F1948" i="1"/>
  <c r="E1948" i="1"/>
  <c r="D1948" i="1"/>
  <c r="B1948" i="1"/>
  <c r="A1948" i="1"/>
  <c r="L1947" i="1"/>
  <c r="K1947" i="1"/>
  <c r="J1947" i="1"/>
  <c r="I1947" i="1"/>
  <c r="H1947" i="1"/>
  <c r="G1947" i="1"/>
  <c r="F1947" i="1"/>
  <c r="E1947" i="1"/>
  <c r="D1947" i="1"/>
  <c r="B1947" i="1"/>
  <c r="A1947" i="1"/>
  <c r="L1946" i="1"/>
  <c r="K1946" i="1"/>
  <c r="J1946" i="1"/>
  <c r="I1946" i="1"/>
  <c r="H1946" i="1"/>
  <c r="G1946" i="1"/>
  <c r="F1946" i="1"/>
  <c r="E1946" i="1"/>
  <c r="D1946" i="1"/>
  <c r="B1946" i="1"/>
  <c r="A1946" i="1"/>
  <c r="L1945" i="1"/>
  <c r="K1945" i="1"/>
  <c r="J1945" i="1"/>
  <c r="I1945" i="1"/>
  <c r="H1945" i="1"/>
  <c r="G1945" i="1"/>
  <c r="F1945" i="1"/>
  <c r="E1945" i="1"/>
  <c r="D1945" i="1"/>
  <c r="B1945" i="1"/>
  <c r="A1945" i="1"/>
  <c r="J1944" i="1"/>
  <c r="I1944" i="1"/>
  <c r="H1944" i="1"/>
  <c r="G1944" i="1"/>
  <c r="F1944" i="1"/>
  <c r="E1944" i="1"/>
  <c r="D1944" i="1"/>
  <c r="B1944" i="1"/>
  <c r="A1944" i="1"/>
  <c r="L771" i="1"/>
  <c r="J771" i="1"/>
  <c r="I771" i="1"/>
  <c r="H771" i="1"/>
  <c r="G771" i="1"/>
  <c r="F771" i="1"/>
  <c r="E771" i="1"/>
  <c r="D771" i="1"/>
  <c r="B771" i="1"/>
  <c r="A771" i="1"/>
  <c r="L2269" i="1"/>
  <c r="J2269" i="1"/>
  <c r="I2269" i="1"/>
  <c r="H2269" i="1"/>
  <c r="G2269" i="1"/>
  <c r="F2269" i="1"/>
  <c r="E2269" i="1"/>
  <c r="D2269" i="1"/>
  <c r="B2269" i="1"/>
  <c r="A2269" i="1"/>
  <c r="J1943" i="1"/>
  <c r="I1943" i="1"/>
  <c r="H1943" i="1"/>
  <c r="G1943" i="1"/>
  <c r="F1943" i="1"/>
  <c r="E1943" i="1"/>
  <c r="D1943" i="1"/>
  <c r="B1943" i="1"/>
  <c r="A1943" i="1"/>
  <c r="J1942" i="1"/>
  <c r="I1942" i="1"/>
  <c r="H1942" i="1"/>
  <c r="G1942" i="1"/>
  <c r="F1942" i="1"/>
  <c r="E1942" i="1"/>
  <c r="D1942" i="1"/>
  <c r="B1942" i="1"/>
  <c r="A1942" i="1"/>
  <c r="J1941" i="1"/>
  <c r="I1941" i="1"/>
  <c r="H1941" i="1"/>
  <c r="G1941" i="1"/>
  <c r="F1941" i="1"/>
  <c r="E1941" i="1"/>
  <c r="D1941" i="1"/>
  <c r="B1941" i="1"/>
  <c r="A1941" i="1"/>
  <c r="J1940" i="1"/>
  <c r="I1940" i="1"/>
  <c r="H1940" i="1"/>
  <c r="G1940" i="1"/>
  <c r="F1940" i="1"/>
  <c r="E1940" i="1"/>
  <c r="D1940" i="1"/>
  <c r="B1940" i="1"/>
  <c r="A1940" i="1"/>
  <c r="J1939" i="1"/>
  <c r="I1939" i="1"/>
  <c r="H1939" i="1"/>
  <c r="G1939" i="1"/>
  <c r="F1939" i="1"/>
  <c r="E1939" i="1"/>
  <c r="D1939" i="1"/>
  <c r="B1939" i="1"/>
  <c r="A1939" i="1"/>
  <c r="J1938" i="1"/>
  <c r="I1938" i="1"/>
  <c r="H1938" i="1"/>
  <c r="G1938" i="1"/>
  <c r="F1938" i="1"/>
  <c r="E1938" i="1"/>
  <c r="D1938" i="1"/>
  <c r="B1938" i="1"/>
  <c r="A1938" i="1"/>
  <c r="L1937" i="1"/>
  <c r="K1937" i="1"/>
  <c r="J1937" i="1"/>
  <c r="I1937" i="1"/>
  <c r="H1937" i="1"/>
  <c r="G1937" i="1"/>
  <c r="F1937" i="1"/>
  <c r="E1937" i="1"/>
  <c r="D1937" i="1"/>
  <c r="B1937" i="1"/>
  <c r="A1937" i="1"/>
  <c r="L1936" i="1"/>
  <c r="K1936" i="1"/>
  <c r="J1936" i="1"/>
  <c r="I1936" i="1"/>
  <c r="H1936" i="1"/>
  <c r="G1936" i="1"/>
  <c r="F1936" i="1"/>
  <c r="E1936" i="1"/>
  <c r="D1936" i="1"/>
  <c r="B1936" i="1"/>
  <c r="A1936" i="1"/>
  <c r="L1935" i="1"/>
  <c r="K1935" i="1"/>
  <c r="J1935" i="1"/>
  <c r="I1935" i="1"/>
  <c r="H1935" i="1"/>
  <c r="G1935" i="1"/>
  <c r="F1935" i="1"/>
  <c r="E1935" i="1"/>
  <c r="D1935" i="1"/>
  <c r="B1935" i="1"/>
  <c r="A1935" i="1"/>
  <c r="L1934" i="1"/>
  <c r="K1934" i="1"/>
  <c r="J1934" i="1"/>
  <c r="I1934" i="1"/>
  <c r="H1934" i="1"/>
  <c r="G1934" i="1"/>
  <c r="F1934" i="1"/>
  <c r="E1934" i="1"/>
  <c r="D1934" i="1"/>
  <c r="B1934" i="1"/>
  <c r="A1934" i="1"/>
  <c r="L1933" i="1"/>
  <c r="K1933" i="1"/>
  <c r="J1933" i="1"/>
  <c r="I1933" i="1"/>
  <c r="H1933" i="1"/>
  <c r="G1933" i="1"/>
  <c r="F1933" i="1"/>
  <c r="E1933" i="1"/>
  <c r="D1933" i="1"/>
  <c r="B1933" i="1"/>
  <c r="A1933" i="1"/>
  <c r="L1932" i="1"/>
  <c r="K1932" i="1"/>
  <c r="J1932" i="1"/>
  <c r="I1932" i="1"/>
  <c r="H1932" i="1"/>
  <c r="G1932" i="1"/>
  <c r="F1932" i="1"/>
  <c r="E1932" i="1"/>
  <c r="D1932" i="1"/>
  <c r="B1932" i="1"/>
  <c r="A1932" i="1"/>
  <c r="L1931" i="1"/>
  <c r="K1931" i="1"/>
  <c r="J1931" i="1"/>
  <c r="I1931" i="1"/>
  <c r="H1931" i="1"/>
  <c r="G1931" i="1"/>
  <c r="F1931" i="1"/>
  <c r="E1931" i="1"/>
  <c r="D1931" i="1"/>
  <c r="B1931" i="1"/>
  <c r="A1931" i="1"/>
  <c r="L1930" i="1"/>
  <c r="K1930" i="1"/>
  <c r="J1930" i="1"/>
  <c r="I1930" i="1"/>
  <c r="H1930" i="1"/>
  <c r="G1930" i="1"/>
  <c r="F1930" i="1"/>
  <c r="E1930" i="1"/>
  <c r="D1930" i="1"/>
  <c r="B1930" i="1"/>
  <c r="A1930" i="1"/>
  <c r="L3048" i="1"/>
  <c r="J3048" i="1"/>
  <c r="I3048" i="1"/>
  <c r="H3048" i="1"/>
  <c r="G3048" i="1"/>
  <c r="F3048" i="1"/>
  <c r="E3048" i="1"/>
  <c r="D3048" i="1"/>
  <c r="B3048" i="1"/>
  <c r="A3048" i="1"/>
  <c r="L1929" i="1"/>
  <c r="K1929" i="1"/>
  <c r="J1929" i="1"/>
  <c r="I1929" i="1"/>
  <c r="H1929" i="1"/>
  <c r="G1929" i="1"/>
  <c r="F1929" i="1"/>
  <c r="E1929" i="1"/>
  <c r="D1929" i="1"/>
  <c r="B1929" i="1"/>
  <c r="A1929" i="1"/>
  <c r="L1026" i="1"/>
  <c r="J1026" i="1"/>
  <c r="I1026" i="1"/>
  <c r="H1026" i="1"/>
  <c r="G1026" i="1"/>
  <c r="F1026" i="1"/>
  <c r="E1026" i="1"/>
  <c r="D1026" i="1"/>
  <c r="B1026" i="1"/>
  <c r="A1026" i="1"/>
  <c r="L2738" i="1"/>
  <c r="J2738" i="1"/>
  <c r="I2738" i="1"/>
  <c r="H2738" i="1"/>
  <c r="G2738" i="1"/>
  <c r="F2738" i="1"/>
  <c r="E2738" i="1"/>
  <c r="D2738" i="1"/>
  <c r="B2738" i="1"/>
  <c r="A2738" i="1"/>
  <c r="L2737" i="1"/>
  <c r="J2737" i="1"/>
  <c r="I2737" i="1"/>
  <c r="H2737" i="1"/>
  <c r="G2737" i="1"/>
  <c r="F2737" i="1"/>
  <c r="E2737" i="1"/>
  <c r="D2737" i="1"/>
  <c r="B2737" i="1"/>
  <c r="A2737" i="1"/>
  <c r="L1928" i="1"/>
  <c r="K1928" i="1"/>
  <c r="J1928" i="1"/>
  <c r="I1928" i="1"/>
  <c r="H1928" i="1"/>
  <c r="G1928" i="1"/>
  <c r="F1928" i="1"/>
  <c r="E1928" i="1"/>
  <c r="D1928" i="1"/>
  <c r="B1928" i="1"/>
  <c r="A1928" i="1"/>
  <c r="L1927" i="1"/>
  <c r="K1927" i="1"/>
  <c r="J1927" i="1"/>
  <c r="I1927" i="1"/>
  <c r="H1927" i="1"/>
  <c r="G1927" i="1"/>
  <c r="F1927" i="1"/>
  <c r="E1927" i="1"/>
  <c r="D1927" i="1"/>
  <c r="B1927" i="1"/>
  <c r="A1927" i="1"/>
  <c r="L1926" i="1"/>
  <c r="K1926" i="1"/>
  <c r="J1926" i="1"/>
  <c r="I1926" i="1"/>
  <c r="H1926" i="1"/>
  <c r="G1926" i="1"/>
  <c r="F1926" i="1"/>
  <c r="E1926" i="1"/>
  <c r="D1926" i="1"/>
  <c r="B1926" i="1"/>
  <c r="A1926" i="1"/>
  <c r="L1925" i="1"/>
  <c r="K1925" i="1"/>
  <c r="J1925" i="1"/>
  <c r="I1925" i="1"/>
  <c r="H1925" i="1"/>
  <c r="G1925" i="1"/>
  <c r="F1925" i="1"/>
  <c r="E1925" i="1"/>
  <c r="D1925" i="1"/>
  <c r="B1925" i="1"/>
  <c r="A1925" i="1"/>
  <c r="L1924" i="1"/>
  <c r="K1924" i="1"/>
  <c r="J1924" i="1"/>
  <c r="I1924" i="1"/>
  <c r="H1924" i="1"/>
  <c r="G1924" i="1"/>
  <c r="F1924" i="1"/>
  <c r="E1924" i="1"/>
  <c r="D1924" i="1"/>
  <c r="B1924" i="1"/>
  <c r="A1924" i="1"/>
  <c r="J1923" i="1"/>
  <c r="I1923" i="1"/>
  <c r="H1923" i="1"/>
  <c r="G1923" i="1"/>
  <c r="F1923" i="1"/>
  <c r="E1923" i="1"/>
  <c r="D1923" i="1"/>
  <c r="B1923" i="1"/>
  <c r="A1923" i="1"/>
  <c r="J1922" i="1"/>
  <c r="I1922" i="1"/>
  <c r="H1922" i="1"/>
  <c r="G1922" i="1"/>
  <c r="F1922" i="1"/>
  <c r="E1922" i="1"/>
  <c r="D1922" i="1"/>
  <c r="B1922" i="1"/>
  <c r="A1922" i="1"/>
  <c r="L367" i="1"/>
  <c r="J367" i="1"/>
  <c r="I367" i="1"/>
  <c r="H367" i="1"/>
  <c r="G367" i="1"/>
  <c r="F367" i="1"/>
  <c r="E367" i="1"/>
  <c r="D367" i="1"/>
  <c r="B367" i="1"/>
  <c r="A367" i="1"/>
  <c r="J1921" i="1"/>
  <c r="I1921" i="1"/>
  <c r="H1921" i="1"/>
  <c r="G1921" i="1"/>
  <c r="F1921" i="1"/>
  <c r="E1921" i="1"/>
  <c r="D1921" i="1"/>
  <c r="B1921" i="1"/>
  <c r="A1921" i="1"/>
  <c r="L1920" i="1"/>
  <c r="J1920" i="1"/>
  <c r="I1920" i="1"/>
  <c r="H1920" i="1"/>
  <c r="G1920" i="1"/>
  <c r="F1920" i="1"/>
  <c r="E1920" i="1"/>
  <c r="D1920" i="1"/>
  <c r="B1920" i="1"/>
  <c r="A1920" i="1"/>
  <c r="L454" i="1"/>
  <c r="J454" i="1"/>
  <c r="I454" i="1"/>
  <c r="H454" i="1"/>
  <c r="G454" i="1"/>
  <c r="F454" i="1"/>
  <c r="E454" i="1"/>
  <c r="D454" i="1"/>
  <c r="B454" i="1"/>
  <c r="A454" i="1"/>
  <c r="L770" i="1"/>
  <c r="K770" i="1"/>
  <c r="J770" i="1"/>
  <c r="I770" i="1"/>
  <c r="H770" i="1"/>
  <c r="G770" i="1"/>
  <c r="F770" i="1"/>
  <c r="E770" i="1"/>
  <c r="D770" i="1"/>
  <c r="B770" i="1"/>
  <c r="A770" i="1"/>
  <c r="L2268" i="1"/>
  <c r="K2268" i="1"/>
  <c r="J2268" i="1"/>
  <c r="I2268" i="1"/>
  <c r="H2268" i="1"/>
  <c r="G2268" i="1"/>
  <c r="F2268" i="1"/>
  <c r="E2268" i="1"/>
  <c r="D2268" i="1"/>
  <c r="B2268" i="1"/>
  <c r="A2268" i="1"/>
  <c r="L1176" i="1"/>
  <c r="K1176" i="1"/>
  <c r="J1176" i="1"/>
  <c r="I1176" i="1"/>
  <c r="H1176" i="1"/>
  <c r="G1176" i="1"/>
  <c r="F1176" i="1"/>
  <c r="E1176" i="1"/>
  <c r="D1176" i="1"/>
  <c r="B1176" i="1"/>
  <c r="A1176" i="1"/>
  <c r="L2444" i="1"/>
  <c r="K2444" i="1"/>
  <c r="J2444" i="1"/>
  <c r="I2444" i="1"/>
  <c r="H2444" i="1"/>
  <c r="G2444" i="1"/>
  <c r="F2444" i="1"/>
  <c r="E2444" i="1"/>
  <c r="D2444" i="1"/>
  <c r="B2444" i="1"/>
  <c r="A2444" i="1"/>
  <c r="L802" i="1"/>
  <c r="K802" i="1"/>
  <c r="J802" i="1"/>
  <c r="I802" i="1"/>
  <c r="H802" i="1"/>
  <c r="G802" i="1"/>
  <c r="F802" i="1"/>
  <c r="E802" i="1"/>
  <c r="D802" i="1"/>
  <c r="B802" i="1"/>
  <c r="A802" i="1"/>
  <c r="L850" i="1"/>
  <c r="K850" i="1"/>
  <c r="J850" i="1"/>
  <c r="I850" i="1"/>
  <c r="H850" i="1"/>
  <c r="G850" i="1"/>
  <c r="F850" i="1"/>
  <c r="E850" i="1"/>
  <c r="D850" i="1"/>
  <c r="B850" i="1"/>
  <c r="A850" i="1"/>
  <c r="L3176" i="1"/>
  <c r="K3176" i="1"/>
  <c r="J3176" i="1"/>
  <c r="I3176" i="1"/>
  <c r="H3176" i="1"/>
  <c r="G3176" i="1"/>
  <c r="F3176" i="1"/>
  <c r="E3176" i="1"/>
  <c r="D3176" i="1"/>
  <c r="B3176" i="1"/>
  <c r="A3176" i="1"/>
  <c r="L2353" i="1"/>
  <c r="K2353" i="1"/>
  <c r="J2353" i="1"/>
  <c r="I2353" i="1"/>
  <c r="H2353" i="1"/>
  <c r="G2353" i="1"/>
  <c r="F2353" i="1"/>
  <c r="E2353" i="1"/>
  <c r="D2353" i="1"/>
  <c r="B2353" i="1"/>
  <c r="A2353" i="1"/>
  <c r="L2352" i="1"/>
  <c r="K2352" i="1"/>
  <c r="J2352" i="1"/>
  <c r="I2352" i="1"/>
  <c r="H2352" i="1"/>
  <c r="G2352" i="1"/>
  <c r="F2352" i="1"/>
  <c r="E2352" i="1"/>
  <c r="D2352" i="1"/>
  <c r="B2352" i="1"/>
  <c r="A2352" i="1"/>
  <c r="L3175" i="1"/>
  <c r="K3175" i="1"/>
  <c r="J3175" i="1"/>
  <c r="I3175" i="1"/>
  <c r="H3175" i="1"/>
  <c r="G3175" i="1"/>
  <c r="F3175" i="1"/>
  <c r="E3175" i="1"/>
  <c r="D3175" i="1"/>
  <c r="B3175" i="1"/>
  <c r="A3175" i="1"/>
  <c r="L3047" i="1"/>
  <c r="J3047" i="1"/>
  <c r="I3047" i="1"/>
  <c r="H3047" i="1"/>
  <c r="G3047" i="1"/>
  <c r="F3047" i="1"/>
  <c r="E3047" i="1"/>
  <c r="D3047" i="1"/>
  <c r="B3047" i="1"/>
  <c r="A3047" i="1"/>
  <c r="L366" i="1"/>
  <c r="K366" i="1"/>
  <c r="J366" i="1"/>
  <c r="I366" i="1"/>
  <c r="H366" i="1"/>
  <c r="G366" i="1"/>
  <c r="F366" i="1"/>
  <c r="E366" i="1"/>
  <c r="D366" i="1"/>
  <c r="B366" i="1"/>
  <c r="A366" i="1"/>
  <c r="L1919" i="1"/>
  <c r="K1919" i="1"/>
  <c r="J1919" i="1"/>
  <c r="I1919" i="1"/>
  <c r="H1919" i="1"/>
  <c r="G1919" i="1"/>
  <c r="F1919" i="1"/>
  <c r="E1919" i="1"/>
  <c r="D1919" i="1"/>
  <c r="B1919" i="1"/>
  <c r="A1919" i="1"/>
  <c r="L2495" i="1"/>
  <c r="K2495" i="1"/>
  <c r="J2495" i="1"/>
  <c r="I2495" i="1"/>
  <c r="H2495" i="1"/>
  <c r="G2495" i="1"/>
  <c r="F2495" i="1"/>
  <c r="E2495" i="1"/>
  <c r="D2495" i="1"/>
  <c r="B2495" i="1"/>
  <c r="A2495" i="1"/>
  <c r="L2351" i="1"/>
  <c r="K2351" i="1"/>
  <c r="J2351" i="1"/>
  <c r="I2351" i="1"/>
  <c r="H2351" i="1"/>
  <c r="G2351" i="1"/>
  <c r="F2351" i="1"/>
  <c r="E2351" i="1"/>
  <c r="D2351" i="1"/>
  <c r="B2351" i="1"/>
  <c r="A2351" i="1"/>
  <c r="L2350" i="1"/>
  <c r="K2350" i="1"/>
  <c r="J2350" i="1"/>
  <c r="I2350" i="1"/>
  <c r="H2350" i="1"/>
  <c r="G2350" i="1"/>
  <c r="F2350" i="1"/>
  <c r="E2350" i="1"/>
  <c r="D2350" i="1"/>
  <c r="B2350" i="1"/>
  <c r="A2350" i="1"/>
  <c r="L2349" i="1"/>
  <c r="K2349" i="1"/>
  <c r="J2349" i="1"/>
  <c r="I2349" i="1"/>
  <c r="H2349" i="1"/>
  <c r="G2349" i="1"/>
  <c r="F2349" i="1"/>
  <c r="E2349" i="1"/>
  <c r="D2349" i="1"/>
  <c r="B2349" i="1"/>
  <c r="A2349" i="1"/>
  <c r="L3174" i="1"/>
  <c r="K3174" i="1"/>
  <c r="J3174" i="1"/>
  <c r="I3174" i="1"/>
  <c r="H3174" i="1"/>
  <c r="G3174" i="1"/>
  <c r="F3174" i="1"/>
  <c r="E3174" i="1"/>
  <c r="D3174" i="1"/>
  <c r="B3174" i="1"/>
  <c r="A3174" i="1"/>
  <c r="L2416" i="1"/>
  <c r="K2416" i="1"/>
  <c r="J2416" i="1"/>
  <c r="I2416" i="1"/>
  <c r="H2416" i="1"/>
  <c r="G2416" i="1"/>
  <c r="F2416" i="1"/>
  <c r="E2416" i="1"/>
  <c r="D2416" i="1"/>
  <c r="B2416" i="1"/>
  <c r="A2416" i="1"/>
  <c r="J1918" i="1"/>
  <c r="I1918" i="1"/>
  <c r="H1918" i="1"/>
  <c r="G1918" i="1"/>
  <c r="F1918" i="1"/>
  <c r="E1918" i="1"/>
  <c r="D1918" i="1"/>
  <c r="B1918" i="1"/>
  <c r="A1918" i="1"/>
  <c r="J1917" i="1"/>
  <c r="I1917" i="1"/>
  <c r="H1917" i="1"/>
  <c r="G1917" i="1"/>
  <c r="F1917" i="1"/>
  <c r="E1917" i="1"/>
  <c r="D1917" i="1"/>
  <c r="B1917" i="1"/>
  <c r="A1917" i="1"/>
  <c r="J1916" i="1"/>
  <c r="I1916" i="1"/>
  <c r="H1916" i="1"/>
  <c r="G1916" i="1"/>
  <c r="F1916" i="1"/>
  <c r="E1916" i="1"/>
  <c r="D1916" i="1"/>
  <c r="B1916" i="1"/>
  <c r="A1916" i="1"/>
  <c r="L1915" i="1"/>
  <c r="K1915" i="1"/>
  <c r="J1915" i="1"/>
  <c r="I1915" i="1"/>
  <c r="H1915" i="1"/>
  <c r="G1915" i="1"/>
  <c r="F1915" i="1"/>
  <c r="E1915" i="1"/>
  <c r="D1915" i="1"/>
  <c r="B1915" i="1"/>
  <c r="A1915" i="1"/>
  <c r="L1914" i="1"/>
  <c r="K1914" i="1"/>
  <c r="J1914" i="1"/>
  <c r="I1914" i="1"/>
  <c r="H1914" i="1"/>
  <c r="G1914" i="1"/>
  <c r="F1914" i="1"/>
  <c r="E1914" i="1"/>
  <c r="D1914" i="1"/>
  <c r="B1914" i="1"/>
  <c r="A1914" i="1"/>
  <c r="L1913" i="1"/>
  <c r="K1913" i="1"/>
  <c r="J1913" i="1"/>
  <c r="I1913" i="1"/>
  <c r="H1913" i="1"/>
  <c r="G1913" i="1"/>
  <c r="F1913" i="1"/>
  <c r="E1913" i="1"/>
  <c r="D1913" i="1"/>
  <c r="B1913" i="1"/>
  <c r="A1913" i="1"/>
  <c r="L1912" i="1"/>
  <c r="K1912" i="1"/>
  <c r="J1912" i="1"/>
  <c r="I1912" i="1"/>
  <c r="H1912" i="1"/>
  <c r="G1912" i="1"/>
  <c r="F1912" i="1"/>
  <c r="E1912" i="1"/>
  <c r="D1912" i="1"/>
  <c r="B1912" i="1"/>
  <c r="A1912" i="1"/>
  <c r="L1911" i="1"/>
  <c r="K1911" i="1"/>
  <c r="J1911" i="1"/>
  <c r="I1911" i="1"/>
  <c r="H1911" i="1"/>
  <c r="G1911" i="1"/>
  <c r="F1911" i="1"/>
  <c r="E1911" i="1"/>
  <c r="D1911" i="1"/>
  <c r="B1911" i="1"/>
  <c r="A1911" i="1"/>
  <c r="L3046" i="1"/>
  <c r="J3046" i="1"/>
  <c r="I3046" i="1"/>
  <c r="H3046" i="1"/>
  <c r="G3046" i="1"/>
  <c r="F3046" i="1"/>
  <c r="E3046" i="1"/>
  <c r="D3046" i="1"/>
  <c r="B3046" i="1"/>
  <c r="A3046" i="1"/>
  <c r="L365" i="1"/>
  <c r="J365" i="1"/>
  <c r="I365" i="1"/>
  <c r="H365" i="1"/>
  <c r="G365" i="1"/>
  <c r="F365" i="1"/>
  <c r="E365" i="1"/>
  <c r="D365" i="1"/>
  <c r="B365" i="1"/>
  <c r="A365" i="1"/>
  <c r="L1910" i="1"/>
  <c r="K1910" i="1"/>
  <c r="J1910" i="1"/>
  <c r="I1910" i="1"/>
  <c r="H1910" i="1"/>
  <c r="G1910" i="1"/>
  <c r="F1910" i="1"/>
  <c r="E1910" i="1"/>
  <c r="D1910" i="1"/>
  <c r="B1910" i="1"/>
  <c r="A1910" i="1"/>
  <c r="L1909" i="1"/>
  <c r="K1909" i="1"/>
  <c r="J1909" i="1"/>
  <c r="I1909" i="1"/>
  <c r="H1909" i="1"/>
  <c r="G1909" i="1"/>
  <c r="F1909" i="1"/>
  <c r="E1909" i="1"/>
  <c r="D1909" i="1"/>
  <c r="B1909" i="1"/>
  <c r="A1909" i="1"/>
  <c r="L769" i="1"/>
  <c r="J769" i="1"/>
  <c r="I769" i="1"/>
  <c r="H769" i="1"/>
  <c r="G769" i="1"/>
  <c r="F769" i="1"/>
  <c r="E769" i="1"/>
  <c r="D769" i="1"/>
  <c r="B769" i="1"/>
  <c r="A769" i="1"/>
  <c r="L2267" i="1"/>
  <c r="J2267" i="1"/>
  <c r="I2267" i="1"/>
  <c r="H2267" i="1"/>
  <c r="G2267" i="1"/>
  <c r="F2267" i="1"/>
  <c r="E2267" i="1"/>
  <c r="D2267" i="1"/>
  <c r="B2267" i="1"/>
  <c r="A2267" i="1"/>
  <c r="L1908" i="1"/>
  <c r="K1908" i="1"/>
  <c r="J1908" i="1"/>
  <c r="I1908" i="1"/>
  <c r="H1908" i="1"/>
  <c r="G1908" i="1"/>
  <c r="F1908" i="1"/>
  <c r="E1908" i="1"/>
  <c r="D1908" i="1"/>
  <c r="B1908" i="1"/>
  <c r="A1908" i="1"/>
  <c r="L3045" i="1"/>
  <c r="J3045" i="1"/>
  <c r="I3045" i="1"/>
  <c r="H3045" i="1"/>
  <c r="G3045" i="1"/>
  <c r="F3045" i="1"/>
  <c r="E3045" i="1"/>
  <c r="D3045" i="1"/>
  <c r="B3045" i="1"/>
  <c r="A3045" i="1"/>
  <c r="L364" i="1"/>
  <c r="J364" i="1"/>
  <c r="I364" i="1"/>
  <c r="H364" i="1"/>
  <c r="G364" i="1"/>
  <c r="F364" i="1"/>
  <c r="E364" i="1"/>
  <c r="D364" i="1"/>
  <c r="B364" i="1"/>
  <c r="A364" i="1"/>
  <c r="L1907" i="1"/>
  <c r="K1907" i="1"/>
  <c r="J1907" i="1"/>
  <c r="I1907" i="1"/>
  <c r="H1907" i="1"/>
  <c r="G1907" i="1"/>
  <c r="F1907" i="1"/>
  <c r="E1907" i="1"/>
  <c r="D1907" i="1"/>
  <c r="B1907" i="1"/>
  <c r="A1907" i="1"/>
  <c r="L1906" i="1"/>
  <c r="K1906" i="1"/>
  <c r="J1906" i="1"/>
  <c r="I1906" i="1"/>
  <c r="H1906" i="1"/>
  <c r="G1906" i="1"/>
  <c r="F1906" i="1"/>
  <c r="E1906" i="1"/>
  <c r="D1906" i="1"/>
  <c r="B1906" i="1"/>
  <c r="A1906" i="1"/>
  <c r="L1905" i="1"/>
  <c r="K1905" i="1"/>
  <c r="J1905" i="1"/>
  <c r="I1905" i="1"/>
  <c r="H1905" i="1"/>
  <c r="G1905" i="1"/>
  <c r="F1905" i="1"/>
  <c r="E1905" i="1"/>
  <c r="D1905" i="1"/>
  <c r="B1905" i="1"/>
  <c r="A1905" i="1"/>
  <c r="L3044" i="1"/>
  <c r="J3044" i="1"/>
  <c r="I3044" i="1"/>
  <c r="H3044" i="1"/>
  <c r="G3044" i="1"/>
  <c r="F3044" i="1"/>
  <c r="E3044" i="1"/>
  <c r="D3044" i="1"/>
  <c r="B3044" i="1"/>
  <c r="A3044" i="1"/>
  <c r="L363" i="1"/>
  <c r="J363" i="1"/>
  <c r="I363" i="1"/>
  <c r="H363" i="1"/>
  <c r="G363" i="1"/>
  <c r="F363" i="1"/>
  <c r="E363" i="1"/>
  <c r="D363" i="1"/>
  <c r="B363" i="1"/>
  <c r="A363" i="1"/>
  <c r="L3043" i="1"/>
  <c r="J3043" i="1"/>
  <c r="I3043" i="1"/>
  <c r="H3043" i="1"/>
  <c r="G3043" i="1"/>
  <c r="F3043" i="1"/>
  <c r="E3043" i="1"/>
  <c r="D3043" i="1"/>
  <c r="B3043" i="1"/>
  <c r="A3043" i="1"/>
  <c r="L1904" i="1"/>
  <c r="K1904" i="1"/>
  <c r="J1904" i="1"/>
  <c r="I1904" i="1"/>
  <c r="H1904" i="1"/>
  <c r="G1904" i="1"/>
  <c r="F1904" i="1"/>
  <c r="E1904" i="1"/>
  <c r="D1904" i="1"/>
  <c r="B1904" i="1"/>
  <c r="A1904" i="1"/>
  <c r="L1903" i="1"/>
  <c r="K1903" i="1"/>
  <c r="J1903" i="1"/>
  <c r="I1903" i="1"/>
  <c r="H1903" i="1"/>
  <c r="G1903" i="1"/>
  <c r="F1903" i="1"/>
  <c r="E1903" i="1"/>
  <c r="D1903" i="1"/>
  <c r="B1903" i="1"/>
  <c r="A1903" i="1"/>
  <c r="L362" i="1"/>
  <c r="J362" i="1"/>
  <c r="I362" i="1"/>
  <c r="H362" i="1"/>
  <c r="G362" i="1"/>
  <c r="F362" i="1"/>
  <c r="E362" i="1"/>
  <c r="D362" i="1"/>
  <c r="B362" i="1"/>
  <c r="A362" i="1"/>
  <c r="L1902" i="1"/>
  <c r="K1902" i="1"/>
  <c r="J1902" i="1"/>
  <c r="I1902" i="1"/>
  <c r="H1902" i="1"/>
  <c r="G1902" i="1"/>
  <c r="F1902" i="1"/>
  <c r="E1902" i="1"/>
  <c r="D1902" i="1"/>
  <c r="B1902" i="1"/>
  <c r="A1902" i="1"/>
  <c r="L1901" i="1"/>
  <c r="K1901" i="1"/>
  <c r="J1901" i="1"/>
  <c r="I1901" i="1"/>
  <c r="H1901" i="1"/>
  <c r="G1901" i="1"/>
  <c r="F1901" i="1"/>
  <c r="E1901" i="1"/>
  <c r="D1901" i="1"/>
  <c r="B1901" i="1"/>
  <c r="A1901" i="1"/>
  <c r="L361" i="1"/>
  <c r="J361" i="1"/>
  <c r="I361" i="1"/>
  <c r="H361" i="1"/>
  <c r="G361" i="1"/>
  <c r="F361" i="1"/>
  <c r="E361" i="1"/>
  <c r="D361" i="1"/>
  <c r="B361" i="1"/>
  <c r="A361" i="1"/>
  <c r="L3042" i="1"/>
  <c r="J3042" i="1"/>
  <c r="I3042" i="1"/>
  <c r="H3042" i="1"/>
  <c r="G3042" i="1"/>
  <c r="F3042" i="1"/>
  <c r="E3042" i="1"/>
  <c r="D3042" i="1"/>
  <c r="B3042" i="1"/>
  <c r="A3042" i="1"/>
  <c r="L3041" i="1"/>
  <c r="J3041" i="1"/>
  <c r="I3041" i="1"/>
  <c r="H3041" i="1"/>
  <c r="G3041" i="1"/>
  <c r="F3041" i="1"/>
  <c r="E3041" i="1"/>
  <c r="D3041" i="1"/>
  <c r="B3041" i="1"/>
  <c r="A3041" i="1"/>
  <c r="J1900" i="1"/>
  <c r="I1900" i="1"/>
  <c r="H1900" i="1"/>
  <c r="G1900" i="1"/>
  <c r="F1900" i="1"/>
  <c r="E1900" i="1"/>
  <c r="D1900" i="1"/>
  <c r="B1900" i="1"/>
  <c r="A1900" i="1"/>
  <c r="L360" i="1"/>
  <c r="J360" i="1"/>
  <c r="I360" i="1"/>
  <c r="H360" i="1"/>
  <c r="G360" i="1"/>
  <c r="F360" i="1"/>
  <c r="E360" i="1"/>
  <c r="D360" i="1"/>
  <c r="B360" i="1"/>
  <c r="A360" i="1"/>
  <c r="J1899" i="1"/>
  <c r="I1899" i="1"/>
  <c r="H1899" i="1"/>
  <c r="G1899" i="1"/>
  <c r="F1899" i="1"/>
  <c r="E1899" i="1"/>
  <c r="D1899" i="1"/>
  <c r="B1899" i="1"/>
  <c r="A1899" i="1"/>
  <c r="J1898" i="1"/>
  <c r="I1898" i="1"/>
  <c r="H1898" i="1"/>
  <c r="G1898" i="1"/>
  <c r="F1898" i="1"/>
  <c r="E1898" i="1"/>
  <c r="D1898" i="1"/>
  <c r="B1898" i="1"/>
  <c r="A1898" i="1"/>
  <c r="L3040" i="1"/>
  <c r="J3040" i="1"/>
  <c r="I3040" i="1"/>
  <c r="H3040" i="1"/>
  <c r="G3040" i="1"/>
  <c r="F3040" i="1"/>
  <c r="E3040" i="1"/>
  <c r="D3040" i="1"/>
  <c r="B3040" i="1"/>
  <c r="A3040" i="1"/>
  <c r="L359" i="1"/>
  <c r="J359" i="1"/>
  <c r="I359" i="1"/>
  <c r="H359" i="1"/>
  <c r="G359" i="1"/>
  <c r="F359" i="1"/>
  <c r="E359" i="1"/>
  <c r="D359" i="1"/>
  <c r="B359" i="1"/>
  <c r="A359" i="1"/>
  <c r="L3039" i="1"/>
  <c r="J3039" i="1"/>
  <c r="I3039" i="1"/>
  <c r="H3039" i="1"/>
  <c r="G3039" i="1"/>
  <c r="F3039" i="1"/>
  <c r="E3039" i="1"/>
  <c r="D3039" i="1"/>
  <c r="B3039" i="1"/>
  <c r="A3039" i="1"/>
  <c r="J1897" i="1"/>
  <c r="I1897" i="1"/>
  <c r="H1897" i="1"/>
  <c r="G1897" i="1"/>
  <c r="F1897" i="1"/>
  <c r="E1897" i="1"/>
  <c r="D1897" i="1"/>
  <c r="B1897" i="1"/>
  <c r="A1897" i="1"/>
  <c r="J1896" i="1"/>
  <c r="I1896" i="1"/>
  <c r="H1896" i="1"/>
  <c r="G1896" i="1"/>
  <c r="F1896" i="1"/>
  <c r="E1896" i="1"/>
  <c r="D1896" i="1"/>
  <c r="B1896" i="1"/>
  <c r="A1896" i="1"/>
  <c r="L358" i="1"/>
  <c r="J358" i="1"/>
  <c r="I358" i="1"/>
  <c r="H358" i="1"/>
  <c r="G358" i="1"/>
  <c r="F358" i="1"/>
  <c r="E358" i="1"/>
  <c r="D358" i="1"/>
  <c r="B358" i="1"/>
  <c r="A358" i="1"/>
  <c r="L1025" i="1"/>
  <c r="J1025" i="1"/>
  <c r="I1025" i="1"/>
  <c r="H1025" i="1"/>
  <c r="G1025" i="1"/>
  <c r="F1025" i="1"/>
  <c r="E1025" i="1"/>
  <c r="D1025" i="1"/>
  <c r="B1025" i="1"/>
  <c r="A1025" i="1"/>
  <c r="L2736" i="1"/>
  <c r="J2736" i="1"/>
  <c r="I2736" i="1"/>
  <c r="H2736" i="1"/>
  <c r="G2736" i="1"/>
  <c r="F2736" i="1"/>
  <c r="E2736" i="1"/>
  <c r="D2736" i="1"/>
  <c r="B2736" i="1"/>
  <c r="A2736" i="1"/>
  <c r="L3038" i="1"/>
  <c r="J3038" i="1"/>
  <c r="I3038" i="1"/>
  <c r="H3038" i="1"/>
  <c r="G3038" i="1"/>
  <c r="F3038" i="1"/>
  <c r="E3038" i="1"/>
  <c r="D3038" i="1"/>
  <c r="B3038" i="1"/>
  <c r="A3038" i="1"/>
  <c r="L357" i="1"/>
  <c r="J357" i="1"/>
  <c r="I357" i="1"/>
  <c r="H357" i="1"/>
  <c r="G357" i="1"/>
  <c r="F357" i="1"/>
  <c r="E357" i="1"/>
  <c r="D357" i="1"/>
  <c r="B357" i="1"/>
  <c r="A357" i="1"/>
  <c r="L1024" i="1"/>
  <c r="J1024" i="1"/>
  <c r="I1024" i="1"/>
  <c r="H1024" i="1"/>
  <c r="G1024" i="1"/>
  <c r="F1024" i="1"/>
  <c r="E1024" i="1"/>
  <c r="D1024" i="1"/>
  <c r="B1024" i="1"/>
  <c r="A1024" i="1"/>
  <c r="L2735" i="1"/>
  <c r="J2735" i="1"/>
  <c r="I2735" i="1"/>
  <c r="H2735" i="1"/>
  <c r="G2735" i="1"/>
  <c r="F2735" i="1"/>
  <c r="E2735" i="1"/>
  <c r="D2735" i="1"/>
  <c r="B2735" i="1"/>
  <c r="A2735" i="1"/>
  <c r="J1895" i="1"/>
  <c r="I1895" i="1"/>
  <c r="H1895" i="1"/>
  <c r="G1895" i="1"/>
  <c r="F1895" i="1"/>
  <c r="E1895" i="1"/>
  <c r="D1895" i="1"/>
  <c r="B1895" i="1"/>
  <c r="A1895" i="1"/>
  <c r="L356" i="1"/>
  <c r="J356" i="1"/>
  <c r="I356" i="1"/>
  <c r="H356" i="1"/>
  <c r="G356" i="1"/>
  <c r="F356" i="1"/>
  <c r="E356" i="1"/>
  <c r="D356" i="1"/>
  <c r="B356" i="1"/>
  <c r="A356" i="1"/>
  <c r="L3037" i="1"/>
  <c r="J3037" i="1"/>
  <c r="I3037" i="1"/>
  <c r="H3037" i="1"/>
  <c r="G3037" i="1"/>
  <c r="F3037" i="1"/>
  <c r="E3037" i="1"/>
  <c r="D3037" i="1"/>
  <c r="B3037" i="1"/>
  <c r="A3037" i="1"/>
  <c r="L3036" i="1"/>
  <c r="J3036" i="1"/>
  <c r="I3036" i="1"/>
  <c r="H3036" i="1"/>
  <c r="G3036" i="1"/>
  <c r="F3036" i="1"/>
  <c r="E3036" i="1"/>
  <c r="D3036" i="1"/>
  <c r="B3036" i="1"/>
  <c r="A3036" i="1"/>
  <c r="L768" i="1"/>
  <c r="J768" i="1"/>
  <c r="I768" i="1"/>
  <c r="H768" i="1"/>
  <c r="G768" i="1"/>
  <c r="F768" i="1"/>
  <c r="E768" i="1"/>
  <c r="D768" i="1"/>
  <c r="B768" i="1"/>
  <c r="A768" i="1"/>
  <c r="L2266" i="1"/>
  <c r="J2266" i="1"/>
  <c r="I2266" i="1"/>
  <c r="H2266" i="1"/>
  <c r="G2266" i="1"/>
  <c r="F2266" i="1"/>
  <c r="E2266" i="1"/>
  <c r="D2266" i="1"/>
  <c r="B2266" i="1"/>
  <c r="A2266" i="1"/>
  <c r="L355" i="1"/>
  <c r="J355" i="1"/>
  <c r="I355" i="1"/>
  <c r="H355" i="1"/>
  <c r="G355" i="1"/>
  <c r="F355" i="1"/>
  <c r="E355" i="1"/>
  <c r="D355" i="1"/>
  <c r="B355" i="1"/>
  <c r="A355" i="1"/>
  <c r="L3035" i="1"/>
  <c r="J3035" i="1"/>
  <c r="I3035" i="1"/>
  <c r="H3035" i="1"/>
  <c r="G3035" i="1"/>
  <c r="F3035" i="1"/>
  <c r="E3035" i="1"/>
  <c r="D3035" i="1"/>
  <c r="B3035" i="1"/>
  <c r="A3035" i="1"/>
  <c r="L1023" i="1"/>
  <c r="J1023" i="1"/>
  <c r="I1023" i="1"/>
  <c r="H1023" i="1"/>
  <c r="G1023" i="1"/>
  <c r="F1023" i="1"/>
  <c r="E1023" i="1"/>
  <c r="D1023" i="1"/>
  <c r="B1023" i="1"/>
  <c r="A1023" i="1"/>
  <c r="L2734" i="1"/>
  <c r="J2734" i="1"/>
  <c r="I2734" i="1"/>
  <c r="H2734" i="1"/>
  <c r="G2734" i="1"/>
  <c r="F2734" i="1"/>
  <c r="E2734" i="1"/>
  <c r="D2734" i="1"/>
  <c r="B2734" i="1"/>
  <c r="A2734" i="1"/>
  <c r="L1022" i="1"/>
  <c r="J1022" i="1"/>
  <c r="I1022" i="1"/>
  <c r="H1022" i="1"/>
  <c r="G1022" i="1"/>
  <c r="F1022" i="1"/>
  <c r="E1022" i="1"/>
  <c r="D1022" i="1"/>
  <c r="B1022" i="1"/>
  <c r="A1022" i="1"/>
  <c r="L2733" i="1"/>
  <c r="J2733" i="1"/>
  <c r="I2733" i="1"/>
  <c r="H2733" i="1"/>
  <c r="G2733" i="1"/>
  <c r="F2733" i="1"/>
  <c r="E2733" i="1"/>
  <c r="D2733" i="1"/>
  <c r="B2733" i="1"/>
  <c r="A2733" i="1"/>
  <c r="L354" i="1"/>
  <c r="J354" i="1"/>
  <c r="I354" i="1"/>
  <c r="H354" i="1"/>
  <c r="G354" i="1"/>
  <c r="F354" i="1"/>
  <c r="E354" i="1"/>
  <c r="D354" i="1"/>
  <c r="B354" i="1"/>
  <c r="A354" i="1"/>
  <c r="L3034" i="1"/>
  <c r="J3034" i="1"/>
  <c r="I3034" i="1"/>
  <c r="H3034" i="1"/>
  <c r="G3034" i="1"/>
  <c r="F3034" i="1"/>
  <c r="E3034" i="1"/>
  <c r="D3034" i="1"/>
  <c r="B3034" i="1"/>
  <c r="A3034" i="1"/>
  <c r="L353" i="1"/>
  <c r="J353" i="1"/>
  <c r="I353" i="1"/>
  <c r="H353" i="1"/>
  <c r="G353" i="1"/>
  <c r="F353" i="1"/>
  <c r="E353" i="1"/>
  <c r="D353" i="1"/>
  <c r="B353" i="1"/>
  <c r="A353" i="1"/>
  <c r="L3033" i="1"/>
  <c r="J3033" i="1"/>
  <c r="I3033" i="1"/>
  <c r="H3033" i="1"/>
  <c r="G3033" i="1"/>
  <c r="F3033" i="1"/>
  <c r="E3033" i="1"/>
  <c r="D3033" i="1"/>
  <c r="B3033" i="1"/>
  <c r="A3033" i="1"/>
  <c r="L1021" i="1"/>
  <c r="J1021" i="1"/>
  <c r="I1021" i="1"/>
  <c r="H1021" i="1"/>
  <c r="G1021" i="1"/>
  <c r="F1021" i="1"/>
  <c r="E1021" i="1"/>
  <c r="D1021" i="1"/>
  <c r="B1021" i="1"/>
  <c r="A1021" i="1"/>
  <c r="L2732" i="1"/>
  <c r="J2732" i="1"/>
  <c r="I2732" i="1"/>
  <c r="H2732" i="1"/>
  <c r="G2732" i="1"/>
  <c r="F2732" i="1"/>
  <c r="E2732" i="1"/>
  <c r="D2732" i="1"/>
  <c r="B2732" i="1"/>
  <c r="A2732" i="1"/>
  <c r="L1894" i="1"/>
  <c r="K1894" i="1"/>
  <c r="J1894" i="1"/>
  <c r="I1894" i="1"/>
  <c r="H1894" i="1"/>
  <c r="G1894" i="1"/>
  <c r="F1894" i="1"/>
  <c r="E1894" i="1"/>
  <c r="D1894" i="1"/>
  <c r="B1894" i="1"/>
  <c r="A1894" i="1"/>
  <c r="L1893" i="1"/>
  <c r="K1893" i="1"/>
  <c r="J1893" i="1"/>
  <c r="I1893" i="1"/>
  <c r="H1893" i="1"/>
  <c r="G1893" i="1"/>
  <c r="F1893" i="1"/>
  <c r="E1893" i="1"/>
  <c r="D1893" i="1"/>
  <c r="B1893" i="1"/>
  <c r="A1893" i="1"/>
  <c r="L1020" i="1"/>
  <c r="J1020" i="1"/>
  <c r="I1020" i="1"/>
  <c r="H1020" i="1"/>
  <c r="G1020" i="1"/>
  <c r="F1020" i="1"/>
  <c r="E1020" i="1"/>
  <c r="D1020" i="1"/>
  <c r="B1020" i="1"/>
  <c r="A1020" i="1"/>
  <c r="L2731" i="1"/>
  <c r="J2731" i="1"/>
  <c r="I2731" i="1"/>
  <c r="H2731" i="1"/>
  <c r="G2731" i="1"/>
  <c r="F2731" i="1"/>
  <c r="E2731" i="1"/>
  <c r="D2731" i="1"/>
  <c r="B2731" i="1"/>
  <c r="A2731" i="1"/>
  <c r="L1892" i="1"/>
  <c r="K1892" i="1"/>
  <c r="J1892" i="1"/>
  <c r="I1892" i="1"/>
  <c r="H1892" i="1"/>
  <c r="G1892" i="1"/>
  <c r="F1892" i="1"/>
  <c r="E1892" i="1"/>
  <c r="D1892" i="1"/>
  <c r="B1892" i="1"/>
  <c r="A1892" i="1"/>
  <c r="L352" i="1"/>
  <c r="J352" i="1"/>
  <c r="I352" i="1"/>
  <c r="H352" i="1"/>
  <c r="G352" i="1"/>
  <c r="F352" i="1"/>
  <c r="E352" i="1"/>
  <c r="D352" i="1"/>
  <c r="B352" i="1"/>
  <c r="A352" i="1"/>
  <c r="L1891" i="1"/>
  <c r="K1891" i="1"/>
  <c r="J1891" i="1"/>
  <c r="I1891" i="1"/>
  <c r="H1891" i="1"/>
  <c r="G1891" i="1"/>
  <c r="F1891" i="1"/>
  <c r="E1891" i="1"/>
  <c r="D1891" i="1"/>
  <c r="B1891" i="1"/>
  <c r="A1891" i="1"/>
  <c r="L1890" i="1"/>
  <c r="K1890" i="1"/>
  <c r="J1890" i="1"/>
  <c r="I1890" i="1"/>
  <c r="H1890" i="1"/>
  <c r="G1890" i="1"/>
  <c r="F1890" i="1"/>
  <c r="E1890" i="1"/>
  <c r="D1890" i="1"/>
  <c r="B1890" i="1"/>
  <c r="A1890" i="1"/>
  <c r="L1019" i="1"/>
  <c r="J1019" i="1"/>
  <c r="I1019" i="1"/>
  <c r="H1019" i="1"/>
  <c r="G1019" i="1"/>
  <c r="F1019" i="1"/>
  <c r="E1019" i="1"/>
  <c r="D1019" i="1"/>
  <c r="B1019" i="1"/>
  <c r="A1019" i="1"/>
  <c r="L2730" i="1"/>
  <c r="J2730" i="1"/>
  <c r="I2730" i="1"/>
  <c r="H2730" i="1"/>
  <c r="G2730" i="1"/>
  <c r="F2730" i="1"/>
  <c r="E2730" i="1"/>
  <c r="D2730" i="1"/>
  <c r="B2730" i="1"/>
  <c r="A2730" i="1"/>
  <c r="L1889" i="1"/>
  <c r="K1889" i="1"/>
  <c r="J1889" i="1"/>
  <c r="I1889" i="1"/>
  <c r="H1889" i="1"/>
  <c r="G1889" i="1"/>
  <c r="F1889" i="1"/>
  <c r="E1889" i="1"/>
  <c r="D1889" i="1"/>
  <c r="B1889" i="1"/>
  <c r="A1889" i="1"/>
  <c r="L1888" i="1"/>
  <c r="K1888" i="1"/>
  <c r="J1888" i="1"/>
  <c r="I1888" i="1"/>
  <c r="H1888" i="1"/>
  <c r="G1888" i="1"/>
  <c r="F1888" i="1"/>
  <c r="E1888" i="1"/>
  <c r="D1888" i="1"/>
  <c r="B1888" i="1"/>
  <c r="A1888" i="1"/>
  <c r="L351" i="1"/>
  <c r="J351" i="1"/>
  <c r="I351" i="1"/>
  <c r="H351" i="1"/>
  <c r="G351" i="1"/>
  <c r="F351" i="1"/>
  <c r="E351" i="1"/>
  <c r="D351" i="1"/>
  <c r="B351" i="1"/>
  <c r="A351" i="1"/>
  <c r="L3032" i="1"/>
  <c r="J3032" i="1"/>
  <c r="I3032" i="1"/>
  <c r="H3032" i="1"/>
  <c r="G3032" i="1"/>
  <c r="F3032" i="1"/>
  <c r="E3032" i="1"/>
  <c r="D3032" i="1"/>
  <c r="B3032" i="1"/>
  <c r="A3032" i="1"/>
  <c r="L1887" i="1"/>
  <c r="K1887" i="1"/>
  <c r="J1887" i="1"/>
  <c r="I1887" i="1"/>
  <c r="H1887" i="1"/>
  <c r="G1887" i="1"/>
  <c r="F1887" i="1"/>
  <c r="E1887" i="1"/>
  <c r="D1887" i="1"/>
  <c r="B1887" i="1"/>
  <c r="A1887" i="1"/>
  <c r="L1886" i="1"/>
  <c r="K1886" i="1"/>
  <c r="J1886" i="1"/>
  <c r="I1886" i="1"/>
  <c r="H1886" i="1"/>
  <c r="G1886" i="1"/>
  <c r="F1886" i="1"/>
  <c r="E1886" i="1"/>
  <c r="D1886" i="1"/>
  <c r="B1886" i="1"/>
  <c r="A1886" i="1"/>
  <c r="L1885" i="1"/>
  <c r="K1885" i="1"/>
  <c r="J1885" i="1"/>
  <c r="I1885" i="1"/>
  <c r="H1885" i="1"/>
  <c r="G1885" i="1"/>
  <c r="F1885" i="1"/>
  <c r="E1885" i="1"/>
  <c r="D1885" i="1"/>
  <c r="B1885" i="1"/>
  <c r="A1885" i="1"/>
  <c r="L3031" i="1"/>
  <c r="J3031" i="1"/>
  <c r="I3031" i="1"/>
  <c r="H3031" i="1"/>
  <c r="G3031" i="1"/>
  <c r="F3031" i="1"/>
  <c r="E3031" i="1"/>
  <c r="D3031" i="1"/>
  <c r="B3031" i="1"/>
  <c r="A3031" i="1"/>
  <c r="L350" i="1"/>
  <c r="J350" i="1"/>
  <c r="I350" i="1"/>
  <c r="H350" i="1"/>
  <c r="G350" i="1"/>
  <c r="F350" i="1"/>
  <c r="E350" i="1"/>
  <c r="D350" i="1"/>
  <c r="B350" i="1"/>
  <c r="A350" i="1"/>
  <c r="L767" i="1"/>
  <c r="J767" i="1"/>
  <c r="I767" i="1"/>
  <c r="H767" i="1"/>
  <c r="G767" i="1"/>
  <c r="F767" i="1"/>
  <c r="E767" i="1"/>
  <c r="D767" i="1"/>
  <c r="B767" i="1"/>
  <c r="A767" i="1"/>
  <c r="L2265" i="1"/>
  <c r="J2265" i="1"/>
  <c r="I2265" i="1"/>
  <c r="H2265" i="1"/>
  <c r="G2265" i="1"/>
  <c r="F2265" i="1"/>
  <c r="E2265" i="1"/>
  <c r="D2265" i="1"/>
  <c r="B2265" i="1"/>
  <c r="A2265" i="1"/>
  <c r="L1884" i="1"/>
  <c r="K1884" i="1"/>
  <c r="J1884" i="1"/>
  <c r="I1884" i="1"/>
  <c r="H1884" i="1"/>
  <c r="G1884" i="1"/>
  <c r="F1884" i="1"/>
  <c r="E1884" i="1"/>
  <c r="D1884" i="1"/>
  <c r="B1884" i="1"/>
  <c r="A1884" i="1"/>
  <c r="L1018" i="1"/>
  <c r="J1018" i="1"/>
  <c r="I1018" i="1"/>
  <c r="H1018" i="1"/>
  <c r="G1018" i="1"/>
  <c r="F1018" i="1"/>
  <c r="E1018" i="1"/>
  <c r="D1018" i="1"/>
  <c r="B1018" i="1"/>
  <c r="A1018" i="1"/>
  <c r="L2729" i="1"/>
  <c r="J2729" i="1"/>
  <c r="I2729" i="1"/>
  <c r="H2729" i="1"/>
  <c r="G2729" i="1"/>
  <c r="F2729" i="1"/>
  <c r="E2729" i="1"/>
  <c r="D2729" i="1"/>
  <c r="B2729" i="1"/>
  <c r="A2729" i="1"/>
  <c r="L1883" i="1"/>
  <c r="K1883" i="1"/>
  <c r="J1883" i="1"/>
  <c r="I1883" i="1"/>
  <c r="H1883" i="1"/>
  <c r="G1883" i="1"/>
  <c r="F1883" i="1"/>
  <c r="E1883" i="1"/>
  <c r="D1883" i="1"/>
  <c r="B1883" i="1"/>
  <c r="A1883" i="1"/>
  <c r="L1882" i="1"/>
  <c r="K1882" i="1"/>
  <c r="J1882" i="1"/>
  <c r="I1882" i="1"/>
  <c r="H1882" i="1"/>
  <c r="G1882" i="1"/>
  <c r="F1882" i="1"/>
  <c r="E1882" i="1"/>
  <c r="D1882" i="1"/>
  <c r="B1882" i="1"/>
  <c r="A1882" i="1"/>
  <c r="L1881" i="1"/>
  <c r="K1881" i="1"/>
  <c r="J1881" i="1"/>
  <c r="I1881" i="1"/>
  <c r="H1881" i="1"/>
  <c r="G1881" i="1"/>
  <c r="F1881" i="1"/>
  <c r="E1881" i="1"/>
  <c r="D1881" i="1"/>
  <c r="B1881" i="1"/>
  <c r="A1881" i="1"/>
  <c r="L1880" i="1"/>
  <c r="K1880" i="1"/>
  <c r="J1880" i="1"/>
  <c r="I1880" i="1"/>
  <c r="H1880" i="1"/>
  <c r="G1880" i="1"/>
  <c r="F1880" i="1"/>
  <c r="E1880" i="1"/>
  <c r="D1880" i="1"/>
  <c r="B1880" i="1"/>
  <c r="A1880" i="1"/>
  <c r="J1879" i="1"/>
  <c r="I1879" i="1"/>
  <c r="H1879" i="1"/>
  <c r="G1879" i="1"/>
  <c r="F1879" i="1"/>
  <c r="E1879" i="1"/>
  <c r="D1879" i="1"/>
  <c r="B1879" i="1"/>
  <c r="A1879" i="1"/>
  <c r="L1878" i="1"/>
  <c r="J1878" i="1"/>
  <c r="I1878" i="1"/>
  <c r="H1878" i="1"/>
  <c r="G1878" i="1"/>
  <c r="F1878" i="1"/>
  <c r="E1878" i="1"/>
  <c r="D1878" i="1"/>
  <c r="B1878" i="1"/>
  <c r="A1878" i="1"/>
  <c r="L3030" i="1"/>
  <c r="J3030" i="1"/>
  <c r="I3030" i="1"/>
  <c r="H3030" i="1"/>
  <c r="G3030" i="1"/>
  <c r="F3030" i="1"/>
  <c r="E3030" i="1"/>
  <c r="D3030" i="1"/>
  <c r="B3030" i="1"/>
  <c r="A3030" i="1"/>
  <c r="L349" i="1"/>
  <c r="J349" i="1"/>
  <c r="I349" i="1"/>
  <c r="H349" i="1"/>
  <c r="G349" i="1"/>
  <c r="F349" i="1"/>
  <c r="E349" i="1"/>
  <c r="D349" i="1"/>
  <c r="B349" i="1"/>
  <c r="A349" i="1"/>
  <c r="L3029" i="1"/>
  <c r="J3029" i="1"/>
  <c r="I3029" i="1"/>
  <c r="H3029" i="1"/>
  <c r="G3029" i="1"/>
  <c r="F3029" i="1"/>
  <c r="E3029" i="1"/>
  <c r="D3029" i="1"/>
  <c r="B3029" i="1"/>
  <c r="A3029" i="1"/>
  <c r="J1877" i="1"/>
  <c r="I1877" i="1"/>
  <c r="H1877" i="1"/>
  <c r="G1877" i="1"/>
  <c r="F1877" i="1"/>
  <c r="E1877" i="1"/>
  <c r="D1877" i="1"/>
  <c r="B1877" i="1"/>
  <c r="A1877" i="1"/>
  <c r="L348" i="1"/>
  <c r="J348" i="1"/>
  <c r="I348" i="1"/>
  <c r="H348" i="1"/>
  <c r="G348" i="1"/>
  <c r="F348" i="1"/>
  <c r="E348" i="1"/>
  <c r="D348" i="1"/>
  <c r="B348" i="1"/>
  <c r="A348" i="1"/>
  <c r="L3028" i="1"/>
  <c r="J3028" i="1"/>
  <c r="I3028" i="1"/>
  <c r="H3028" i="1"/>
  <c r="G3028" i="1"/>
  <c r="F3028" i="1"/>
  <c r="E3028" i="1"/>
  <c r="D3028" i="1"/>
  <c r="B3028" i="1"/>
  <c r="A3028" i="1"/>
  <c r="L347" i="1"/>
  <c r="J347" i="1"/>
  <c r="I347" i="1"/>
  <c r="H347" i="1"/>
  <c r="G347" i="1"/>
  <c r="F347" i="1"/>
  <c r="E347" i="1"/>
  <c r="D347" i="1"/>
  <c r="B347" i="1"/>
  <c r="A347" i="1"/>
  <c r="L3027" i="1"/>
  <c r="J3027" i="1"/>
  <c r="I3027" i="1"/>
  <c r="H3027" i="1"/>
  <c r="G3027" i="1"/>
  <c r="F3027" i="1"/>
  <c r="E3027" i="1"/>
  <c r="D3027" i="1"/>
  <c r="B3027" i="1"/>
  <c r="A3027" i="1"/>
  <c r="L346" i="1"/>
  <c r="J346" i="1"/>
  <c r="I346" i="1"/>
  <c r="H346" i="1"/>
  <c r="G346" i="1"/>
  <c r="F346" i="1"/>
  <c r="E346" i="1"/>
  <c r="D346" i="1"/>
  <c r="B346" i="1"/>
  <c r="A346" i="1"/>
  <c r="J1876" i="1"/>
  <c r="I1876" i="1"/>
  <c r="H1876" i="1"/>
  <c r="G1876" i="1"/>
  <c r="F1876" i="1"/>
  <c r="E1876" i="1"/>
  <c r="D1876" i="1"/>
  <c r="B1876" i="1"/>
  <c r="A1876" i="1"/>
  <c r="J1875" i="1"/>
  <c r="I1875" i="1"/>
  <c r="H1875" i="1"/>
  <c r="G1875" i="1"/>
  <c r="F1875" i="1"/>
  <c r="E1875" i="1"/>
  <c r="D1875" i="1"/>
  <c r="B1875" i="1"/>
  <c r="A1875" i="1"/>
  <c r="J1874" i="1"/>
  <c r="I1874" i="1"/>
  <c r="H1874" i="1"/>
  <c r="G1874" i="1"/>
  <c r="F1874" i="1"/>
  <c r="E1874" i="1"/>
  <c r="D1874" i="1"/>
  <c r="B1874" i="1"/>
  <c r="A1874" i="1"/>
  <c r="L3026" i="1"/>
  <c r="J3026" i="1"/>
  <c r="I3026" i="1"/>
  <c r="H3026" i="1"/>
  <c r="G3026" i="1"/>
  <c r="F3026" i="1"/>
  <c r="E3026" i="1"/>
  <c r="D3026" i="1"/>
  <c r="B3026" i="1"/>
  <c r="A3026" i="1"/>
  <c r="L345" i="1"/>
  <c r="J345" i="1"/>
  <c r="I345" i="1"/>
  <c r="H345" i="1"/>
  <c r="G345" i="1"/>
  <c r="F345" i="1"/>
  <c r="E345" i="1"/>
  <c r="D345" i="1"/>
  <c r="B345" i="1"/>
  <c r="A345" i="1"/>
  <c r="L3025" i="1"/>
  <c r="J3025" i="1"/>
  <c r="I3025" i="1"/>
  <c r="H3025" i="1"/>
  <c r="G3025" i="1"/>
  <c r="F3025" i="1"/>
  <c r="E3025" i="1"/>
  <c r="D3025" i="1"/>
  <c r="B3025" i="1"/>
  <c r="A3025" i="1"/>
  <c r="J1873" i="1"/>
  <c r="I1873" i="1"/>
  <c r="H1873" i="1"/>
  <c r="G1873" i="1"/>
  <c r="F1873" i="1"/>
  <c r="E1873" i="1"/>
  <c r="D1873" i="1"/>
  <c r="B1873" i="1"/>
  <c r="A1873" i="1"/>
  <c r="J1872" i="1"/>
  <c r="I1872" i="1"/>
  <c r="H1872" i="1"/>
  <c r="G1872" i="1"/>
  <c r="F1872" i="1"/>
  <c r="E1872" i="1"/>
  <c r="D1872" i="1"/>
  <c r="B1872" i="1"/>
  <c r="A1872" i="1"/>
  <c r="L1871" i="1"/>
  <c r="J1871" i="1"/>
  <c r="I1871" i="1"/>
  <c r="H1871" i="1"/>
  <c r="G1871" i="1"/>
  <c r="F1871" i="1"/>
  <c r="E1871" i="1"/>
  <c r="D1871" i="1"/>
  <c r="B1871" i="1"/>
  <c r="A1871" i="1"/>
  <c r="L766" i="1"/>
  <c r="J766" i="1"/>
  <c r="I766" i="1"/>
  <c r="H766" i="1"/>
  <c r="G766" i="1"/>
  <c r="F766" i="1"/>
  <c r="E766" i="1"/>
  <c r="D766" i="1"/>
  <c r="B766" i="1"/>
  <c r="A766" i="1"/>
  <c r="L2264" i="1"/>
  <c r="J2264" i="1"/>
  <c r="I2264" i="1"/>
  <c r="H2264" i="1"/>
  <c r="G2264" i="1"/>
  <c r="F2264" i="1"/>
  <c r="E2264" i="1"/>
  <c r="D2264" i="1"/>
  <c r="B2264" i="1"/>
  <c r="A2264" i="1"/>
  <c r="L765" i="1"/>
  <c r="J765" i="1"/>
  <c r="I765" i="1"/>
  <c r="H765" i="1"/>
  <c r="G765" i="1"/>
  <c r="F765" i="1"/>
  <c r="E765" i="1"/>
  <c r="D765" i="1"/>
  <c r="B765" i="1"/>
  <c r="A765" i="1"/>
  <c r="L1870" i="1"/>
  <c r="K1870" i="1"/>
  <c r="J1870" i="1"/>
  <c r="I1870" i="1"/>
  <c r="H1870" i="1"/>
  <c r="G1870" i="1"/>
  <c r="F1870" i="1"/>
  <c r="E1870" i="1"/>
  <c r="D1870" i="1"/>
  <c r="B1870" i="1"/>
  <c r="A1870" i="1"/>
  <c r="L1869" i="1"/>
  <c r="K1869" i="1"/>
  <c r="J1869" i="1"/>
  <c r="I1869" i="1"/>
  <c r="H1869" i="1"/>
  <c r="G1869" i="1"/>
  <c r="F1869" i="1"/>
  <c r="E1869" i="1"/>
  <c r="D1869" i="1"/>
  <c r="B1869" i="1"/>
  <c r="A1869" i="1"/>
  <c r="L2263" i="1"/>
  <c r="J2263" i="1"/>
  <c r="I2263" i="1"/>
  <c r="H2263" i="1"/>
  <c r="G2263" i="1"/>
  <c r="F2263" i="1"/>
  <c r="E2263" i="1"/>
  <c r="D2263" i="1"/>
  <c r="B2263" i="1"/>
  <c r="A2263" i="1"/>
  <c r="L1868" i="1"/>
  <c r="K1868" i="1"/>
  <c r="J1868" i="1"/>
  <c r="I1868" i="1"/>
  <c r="H1868" i="1"/>
  <c r="G1868" i="1"/>
  <c r="F1868" i="1"/>
  <c r="E1868" i="1"/>
  <c r="D1868" i="1"/>
  <c r="B1868" i="1"/>
  <c r="A1868" i="1"/>
  <c r="L1867" i="1"/>
  <c r="K1867" i="1"/>
  <c r="J1867" i="1"/>
  <c r="I1867" i="1"/>
  <c r="H1867" i="1"/>
  <c r="G1867" i="1"/>
  <c r="F1867" i="1"/>
  <c r="E1867" i="1"/>
  <c r="D1867" i="1"/>
  <c r="B1867" i="1"/>
  <c r="A1867" i="1"/>
  <c r="L344" i="1"/>
  <c r="J344" i="1"/>
  <c r="I344" i="1"/>
  <c r="H344" i="1"/>
  <c r="G344" i="1"/>
  <c r="F344" i="1"/>
  <c r="E344" i="1"/>
  <c r="D344" i="1"/>
  <c r="B344" i="1"/>
  <c r="A344" i="1"/>
  <c r="L3024" i="1"/>
  <c r="J3024" i="1"/>
  <c r="I3024" i="1"/>
  <c r="H3024" i="1"/>
  <c r="G3024" i="1"/>
  <c r="F3024" i="1"/>
  <c r="E3024" i="1"/>
  <c r="D3024" i="1"/>
  <c r="B3024" i="1"/>
  <c r="A3024" i="1"/>
  <c r="L1866" i="1"/>
  <c r="K1866" i="1"/>
  <c r="J1866" i="1"/>
  <c r="I1866" i="1"/>
  <c r="H1866" i="1"/>
  <c r="G1866" i="1"/>
  <c r="F1866" i="1"/>
  <c r="E1866" i="1"/>
  <c r="D1866" i="1"/>
  <c r="B1866" i="1"/>
  <c r="A1866" i="1"/>
  <c r="L1865" i="1"/>
  <c r="K1865" i="1"/>
  <c r="J1865" i="1"/>
  <c r="I1865" i="1"/>
  <c r="H1865" i="1"/>
  <c r="G1865" i="1"/>
  <c r="F1865" i="1"/>
  <c r="E1865" i="1"/>
  <c r="D1865" i="1"/>
  <c r="B1865" i="1"/>
  <c r="A1865" i="1"/>
  <c r="L1864" i="1"/>
  <c r="K1864" i="1"/>
  <c r="J1864" i="1"/>
  <c r="I1864" i="1"/>
  <c r="H1864" i="1"/>
  <c r="G1864" i="1"/>
  <c r="F1864" i="1"/>
  <c r="E1864" i="1"/>
  <c r="D1864" i="1"/>
  <c r="B1864" i="1"/>
  <c r="A1864" i="1"/>
  <c r="L1863" i="1"/>
  <c r="K1863" i="1"/>
  <c r="J1863" i="1"/>
  <c r="I1863" i="1"/>
  <c r="H1863" i="1"/>
  <c r="G1863" i="1"/>
  <c r="F1863" i="1"/>
  <c r="E1863" i="1"/>
  <c r="D1863" i="1"/>
  <c r="B1863" i="1"/>
  <c r="A1863" i="1"/>
  <c r="L1862" i="1"/>
  <c r="K1862" i="1"/>
  <c r="J1862" i="1"/>
  <c r="I1862" i="1"/>
  <c r="H1862" i="1"/>
  <c r="G1862" i="1"/>
  <c r="F1862" i="1"/>
  <c r="E1862" i="1"/>
  <c r="D1862" i="1"/>
  <c r="B1862" i="1"/>
  <c r="A1862" i="1"/>
  <c r="L343" i="1"/>
  <c r="J343" i="1"/>
  <c r="I343" i="1"/>
  <c r="H343" i="1"/>
  <c r="G343" i="1"/>
  <c r="F343" i="1"/>
  <c r="E343" i="1"/>
  <c r="D343" i="1"/>
  <c r="B343" i="1"/>
  <c r="A343" i="1"/>
  <c r="L1861" i="1"/>
  <c r="K1861" i="1"/>
  <c r="J1861" i="1"/>
  <c r="I1861" i="1"/>
  <c r="H1861" i="1"/>
  <c r="G1861" i="1"/>
  <c r="F1861" i="1"/>
  <c r="E1861" i="1"/>
  <c r="D1861" i="1"/>
  <c r="B1861" i="1"/>
  <c r="A1861" i="1"/>
  <c r="L342" i="1"/>
  <c r="J342" i="1"/>
  <c r="I342" i="1"/>
  <c r="H342" i="1"/>
  <c r="G342" i="1"/>
  <c r="F342" i="1"/>
  <c r="E342" i="1"/>
  <c r="D342" i="1"/>
  <c r="B342" i="1"/>
  <c r="A342" i="1"/>
  <c r="L3023" i="1"/>
  <c r="J3023" i="1"/>
  <c r="I3023" i="1"/>
  <c r="H3023" i="1"/>
  <c r="G3023" i="1"/>
  <c r="F3023" i="1"/>
  <c r="E3023" i="1"/>
  <c r="D3023" i="1"/>
  <c r="B3023" i="1"/>
  <c r="A3023" i="1"/>
  <c r="L1860" i="1"/>
  <c r="K1860" i="1"/>
  <c r="J1860" i="1"/>
  <c r="I1860" i="1"/>
  <c r="H1860" i="1"/>
  <c r="G1860" i="1"/>
  <c r="F1860" i="1"/>
  <c r="E1860" i="1"/>
  <c r="D1860" i="1"/>
  <c r="B1860" i="1"/>
  <c r="A1860" i="1"/>
  <c r="L1859" i="1"/>
  <c r="K1859" i="1"/>
  <c r="J1859" i="1"/>
  <c r="I1859" i="1"/>
  <c r="H1859" i="1"/>
  <c r="G1859" i="1"/>
  <c r="F1859" i="1"/>
  <c r="E1859" i="1"/>
  <c r="D1859" i="1"/>
  <c r="B1859" i="1"/>
  <c r="A1859" i="1"/>
  <c r="L1858" i="1"/>
  <c r="K1858" i="1"/>
  <c r="J1858" i="1"/>
  <c r="I1858" i="1"/>
  <c r="H1858" i="1"/>
  <c r="G1858" i="1"/>
  <c r="F1858" i="1"/>
  <c r="E1858" i="1"/>
  <c r="D1858" i="1"/>
  <c r="B1858" i="1"/>
  <c r="A1858" i="1"/>
  <c r="L1857" i="1"/>
  <c r="K1857" i="1"/>
  <c r="J1857" i="1"/>
  <c r="I1857" i="1"/>
  <c r="H1857" i="1"/>
  <c r="G1857" i="1"/>
  <c r="F1857" i="1"/>
  <c r="E1857" i="1"/>
  <c r="D1857" i="1"/>
  <c r="B1857" i="1"/>
  <c r="A1857" i="1"/>
  <c r="L341" i="1"/>
  <c r="J341" i="1"/>
  <c r="I341" i="1"/>
  <c r="H341" i="1"/>
  <c r="G341" i="1"/>
  <c r="F341" i="1"/>
  <c r="E341" i="1"/>
  <c r="D341" i="1"/>
  <c r="B341" i="1"/>
  <c r="A341" i="1"/>
  <c r="L3022" i="1"/>
  <c r="J3022" i="1"/>
  <c r="I3022" i="1"/>
  <c r="H3022" i="1"/>
  <c r="G3022" i="1"/>
  <c r="F3022" i="1"/>
  <c r="E3022" i="1"/>
  <c r="D3022" i="1"/>
  <c r="B3022" i="1"/>
  <c r="A3022" i="1"/>
  <c r="L340" i="1"/>
  <c r="J340" i="1"/>
  <c r="I340" i="1"/>
  <c r="H340" i="1"/>
  <c r="G340" i="1"/>
  <c r="F340" i="1"/>
  <c r="E340" i="1"/>
  <c r="D340" i="1"/>
  <c r="B340" i="1"/>
  <c r="A340" i="1"/>
  <c r="J1856" i="1"/>
  <c r="I1856" i="1"/>
  <c r="H1856" i="1"/>
  <c r="G1856" i="1"/>
  <c r="F1856" i="1"/>
  <c r="E1856" i="1"/>
  <c r="D1856" i="1"/>
  <c r="B1856" i="1"/>
  <c r="A1856" i="1"/>
  <c r="J1855" i="1"/>
  <c r="I1855" i="1"/>
  <c r="H1855" i="1"/>
  <c r="G1855" i="1"/>
  <c r="F1855" i="1"/>
  <c r="E1855" i="1"/>
  <c r="D1855" i="1"/>
  <c r="B1855" i="1"/>
  <c r="A1855" i="1"/>
  <c r="L1854" i="1"/>
  <c r="J1854" i="1"/>
  <c r="I1854" i="1"/>
  <c r="H1854" i="1"/>
  <c r="G1854" i="1"/>
  <c r="F1854" i="1"/>
  <c r="E1854" i="1"/>
  <c r="D1854" i="1"/>
  <c r="B1854" i="1"/>
  <c r="A1854" i="1"/>
  <c r="L764" i="1"/>
  <c r="J764" i="1"/>
  <c r="I764" i="1"/>
  <c r="H764" i="1"/>
  <c r="G764" i="1"/>
  <c r="F764" i="1"/>
  <c r="E764" i="1"/>
  <c r="D764" i="1"/>
  <c r="B764" i="1"/>
  <c r="A764" i="1"/>
  <c r="L2262" i="1"/>
  <c r="J2262" i="1"/>
  <c r="I2262" i="1"/>
  <c r="H2262" i="1"/>
  <c r="G2262" i="1"/>
  <c r="F2262" i="1"/>
  <c r="E2262" i="1"/>
  <c r="D2262" i="1"/>
  <c r="B2262" i="1"/>
  <c r="A2262" i="1"/>
  <c r="J1853" i="1"/>
  <c r="I1853" i="1"/>
  <c r="H1853" i="1"/>
  <c r="G1853" i="1"/>
  <c r="F1853" i="1"/>
  <c r="E1853" i="1"/>
  <c r="D1853" i="1"/>
  <c r="B1853" i="1"/>
  <c r="A1853" i="1"/>
  <c r="J1852" i="1"/>
  <c r="I1852" i="1"/>
  <c r="H1852" i="1"/>
  <c r="G1852" i="1"/>
  <c r="F1852" i="1"/>
  <c r="E1852" i="1"/>
  <c r="D1852" i="1"/>
  <c r="B1852" i="1"/>
  <c r="A1852" i="1"/>
  <c r="L1851" i="1"/>
  <c r="J1851" i="1"/>
  <c r="I1851" i="1"/>
  <c r="H1851" i="1"/>
  <c r="G1851" i="1"/>
  <c r="F1851" i="1"/>
  <c r="E1851" i="1"/>
  <c r="D1851" i="1"/>
  <c r="B1851" i="1"/>
  <c r="A1851" i="1"/>
  <c r="L1017" i="1"/>
  <c r="J1017" i="1"/>
  <c r="I1017" i="1"/>
  <c r="H1017" i="1"/>
  <c r="G1017" i="1"/>
  <c r="F1017" i="1"/>
  <c r="E1017" i="1"/>
  <c r="D1017" i="1"/>
  <c r="B1017" i="1"/>
  <c r="A1017" i="1"/>
  <c r="L2728" i="1"/>
  <c r="J2728" i="1"/>
  <c r="I2728" i="1"/>
  <c r="H2728" i="1"/>
  <c r="G2728" i="1"/>
  <c r="F2728" i="1"/>
  <c r="E2728" i="1"/>
  <c r="D2728" i="1"/>
  <c r="B2728" i="1"/>
  <c r="A2728" i="1"/>
  <c r="L3021" i="1"/>
  <c r="J3021" i="1"/>
  <c r="I3021" i="1"/>
  <c r="H3021" i="1"/>
  <c r="G3021" i="1"/>
  <c r="F3021" i="1"/>
  <c r="E3021" i="1"/>
  <c r="D3021" i="1"/>
  <c r="B3021" i="1"/>
  <c r="A3021" i="1"/>
  <c r="L339" i="1"/>
  <c r="J339" i="1"/>
  <c r="I339" i="1"/>
  <c r="H339" i="1"/>
  <c r="G339" i="1"/>
  <c r="F339" i="1"/>
  <c r="E339" i="1"/>
  <c r="D339" i="1"/>
  <c r="B339" i="1"/>
  <c r="A339" i="1"/>
  <c r="L3020" i="1"/>
  <c r="J3020" i="1"/>
  <c r="I3020" i="1"/>
  <c r="H3020" i="1"/>
  <c r="G3020" i="1"/>
  <c r="F3020" i="1"/>
  <c r="E3020" i="1"/>
  <c r="D3020" i="1"/>
  <c r="B3020" i="1"/>
  <c r="A3020" i="1"/>
  <c r="J1850" i="1"/>
  <c r="I1850" i="1"/>
  <c r="H1850" i="1"/>
  <c r="G1850" i="1"/>
  <c r="F1850" i="1"/>
  <c r="E1850" i="1"/>
  <c r="D1850" i="1"/>
  <c r="B1850" i="1"/>
  <c r="A1850" i="1"/>
  <c r="J1849" i="1"/>
  <c r="I1849" i="1"/>
  <c r="H1849" i="1"/>
  <c r="G1849" i="1"/>
  <c r="F1849" i="1"/>
  <c r="E1849" i="1"/>
  <c r="D1849" i="1"/>
  <c r="B1849" i="1"/>
  <c r="A1849" i="1"/>
  <c r="J1848" i="1"/>
  <c r="I1848" i="1"/>
  <c r="H1848" i="1"/>
  <c r="G1848" i="1"/>
  <c r="F1848" i="1"/>
  <c r="E1848" i="1"/>
  <c r="D1848" i="1"/>
  <c r="B1848" i="1"/>
  <c r="A1848" i="1"/>
  <c r="L1847" i="1"/>
  <c r="J1847" i="1"/>
  <c r="I1847" i="1"/>
  <c r="H1847" i="1"/>
  <c r="G1847" i="1"/>
  <c r="F1847" i="1"/>
  <c r="E1847" i="1"/>
  <c r="D1847" i="1"/>
  <c r="B1847" i="1"/>
  <c r="A1847" i="1"/>
  <c r="J1846" i="1"/>
  <c r="I1846" i="1"/>
  <c r="H1846" i="1"/>
  <c r="G1846" i="1"/>
  <c r="F1846" i="1"/>
  <c r="E1846" i="1"/>
  <c r="D1846" i="1"/>
  <c r="B1846" i="1"/>
  <c r="A1846" i="1"/>
  <c r="L3019" i="1"/>
  <c r="J3019" i="1"/>
  <c r="I3019" i="1"/>
  <c r="H3019" i="1"/>
  <c r="G3019" i="1"/>
  <c r="F3019" i="1"/>
  <c r="E3019" i="1"/>
  <c r="D3019" i="1"/>
  <c r="B3019" i="1"/>
  <c r="A3019" i="1"/>
  <c r="L338" i="1"/>
  <c r="J338" i="1"/>
  <c r="I338" i="1"/>
  <c r="H338" i="1"/>
  <c r="G338" i="1"/>
  <c r="F338" i="1"/>
  <c r="E338" i="1"/>
  <c r="D338" i="1"/>
  <c r="B338" i="1"/>
  <c r="A338" i="1"/>
  <c r="L1845" i="1"/>
  <c r="K1845" i="1"/>
  <c r="J1845" i="1"/>
  <c r="I1845" i="1"/>
  <c r="H1845" i="1"/>
  <c r="G1845" i="1"/>
  <c r="F1845" i="1"/>
  <c r="E1845" i="1"/>
  <c r="D1845" i="1"/>
  <c r="B1845" i="1"/>
  <c r="A1845" i="1"/>
  <c r="L1844" i="1"/>
  <c r="J1844" i="1"/>
  <c r="I1844" i="1"/>
  <c r="H1844" i="1"/>
  <c r="G1844" i="1"/>
  <c r="F1844" i="1"/>
  <c r="E1844" i="1"/>
  <c r="D1844" i="1"/>
  <c r="B1844" i="1"/>
  <c r="A1844" i="1"/>
  <c r="L1843" i="1"/>
  <c r="K1843" i="1"/>
  <c r="J1843" i="1"/>
  <c r="I1843" i="1"/>
  <c r="H1843" i="1"/>
  <c r="G1843" i="1"/>
  <c r="F1843" i="1"/>
  <c r="E1843" i="1"/>
  <c r="D1843" i="1"/>
  <c r="B1843" i="1"/>
  <c r="A1843" i="1"/>
  <c r="L1842" i="1"/>
  <c r="K1842" i="1"/>
  <c r="J1842" i="1"/>
  <c r="I1842" i="1"/>
  <c r="H1842" i="1"/>
  <c r="G1842" i="1"/>
  <c r="F1842" i="1"/>
  <c r="E1842" i="1"/>
  <c r="D1842" i="1"/>
  <c r="B1842" i="1"/>
  <c r="A1842" i="1"/>
  <c r="L763" i="1"/>
  <c r="J763" i="1"/>
  <c r="I763" i="1"/>
  <c r="H763" i="1"/>
  <c r="G763" i="1"/>
  <c r="F763" i="1"/>
  <c r="E763" i="1"/>
  <c r="D763" i="1"/>
  <c r="B763" i="1"/>
  <c r="A763" i="1"/>
  <c r="L2261" i="1"/>
  <c r="J2261" i="1"/>
  <c r="I2261" i="1"/>
  <c r="H2261" i="1"/>
  <c r="G2261" i="1"/>
  <c r="F2261" i="1"/>
  <c r="E2261" i="1"/>
  <c r="D2261" i="1"/>
  <c r="B2261" i="1"/>
  <c r="A2261" i="1"/>
  <c r="L1841" i="1"/>
  <c r="K1841" i="1"/>
  <c r="J1841" i="1"/>
  <c r="I1841" i="1"/>
  <c r="H1841" i="1"/>
  <c r="G1841" i="1"/>
  <c r="F1841" i="1"/>
  <c r="E1841" i="1"/>
  <c r="D1841" i="1"/>
  <c r="B1841" i="1"/>
  <c r="A1841" i="1"/>
  <c r="L1840" i="1"/>
  <c r="K1840" i="1"/>
  <c r="J1840" i="1"/>
  <c r="I1840" i="1"/>
  <c r="H1840" i="1"/>
  <c r="G1840" i="1"/>
  <c r="F1840" i="1"/>
  <c r="E1840" i="1"/>
  <c r="D1840" i="1"/>
  <c r="B1840" i="1"/>
  <c r="A1840" i="1"/>
  <c r="L1839" i="1"/>
  <c r="K1839" i="1"/>
  <c r="J1839" i="1"/>
  <c r="I1839" i="1"/>
  <c r="H1839" i="1"/>
  <c r="G1839" i="1"/>
  <c r="F1839" i="1"/>
  <c r="E1839" i="1"/>
  <c r="D1839" i="1"/>
  <c r="B1839" i="1"/>
  <c r="A1839" i="1"/>
  <c r="L3018" i="1"/>
  <c r="J3018" i="1"/>
  <c r="I3018" i="1"/>
  <c r="H3018" i="1"/>
  <c r="G3018" i="1"/>
  <c r="F3018" i="1"/>
  <c r="E3018" i="1"/>
  <c r="D3018" i="1"/>
  <c r="B3018" i="1"/>
  <c r="A3018" i="1"/>
  <c r="L337" i="1"/>
  <c r="J337" i="1"/>
  <c r="I337" i="1"/>
  <c r="H337" i="1"/>
  <c r="G337" i="1"/>
  <c r="F337" i="1"/>
  <c r="E337" i="1"/>
  <c r="D337" i="1"/>
  <c r="B337" i="1"/>
  <c r="A337" i="1"/>
  <c r="L336" i="1"/>
  <c r="J336" i="1"/>
  <c r="I336" i="1"/>
  <c r="H336" i="1"/>
  <c r="G336" i="1"/>
  <c r="F336" i="1"/>
  <c r="E336" i="1"/>
  <c r="D336" i="1"/>
  <c r="B336" i="1"/>
  <c r="A336" i="1"/>
  <c r="L1838" i="1"/>
  <c r="K1838" i="1"/>
  <c r="J1838" i="1"/>
  <c r="I1838" i="1"/>
  <c r="H1838" i="1"/>
  <c r="G1838" i="1"/>
  <c r="F1838" i="1"/>
  <c r="E1838" i="1"/>
  <c r="D1838" i="1"/>
  <c r="B1838" i="1"/>
  <c r="A1838" i="1"/>
  <c r="L762" i="1"/>
  <c r="J762" i="1"/>
  <c r="I762" i="1"/>
  <c r="H762" i="1"/>
  <c r="G762" i="1"/>
  <c r="F762" i="1"/>
  <c r="E762" i="1"/>
  <c r="D762" i="1"/>
  <c r="B762" i="1"/>
  <c r="A762" i="1"/>
  <c r="L2260" i="1"/>
  <c r="J2260" i="1"/>
  <c r="I2260" i="1"/>
  <c r="H2260" i="1"/>
  <c r="G2260" i="1"/>
  <c r="F2260" i="1"/>
  <c r="E2260" i="1"/>
  <c r="D2260" i="1"/>
  <c r="B2260" i="1"/>
  <c r="A2260" i="1"/>
  <c r="L1837" i="1"/>
  <c r="K1837" i="1"/>
  <c r="J1837" i="1"/>
  <c r="I1837" i="1"/>
  <c r="H1837" i="1"/>
  <c r="G1837" i="1"/>
  <c r="F1837" i="1"/>
  <c r="E1837" i="1"/>
  <c r="D1837" i="1"/>
  <c r="B1837" i="1"/>
  <c r="A1837" i="1"/>
  <c r="L1836" i="1"/>
  <c r="K1836" i="1"/>
  <c r="J1836" i="1"/>
  <c r="I1836" i="1"/>
  <c r="H1836" i="1"/>
  <c r="G1836" i="1"/>
  <c r="F1836" i="1"/>
  <c r="E1836" i="1"/>
  <c r="D1836" i="1"/>
  <c r="B1836" i="1"/>
  <c r="A1836" i="1"/>
  <c r="L1835" i="1"/>
  <c r="K1835" i="1"/>
  <c r="J1835" i="1"/>
  <c r="I1835" i="1"/>
  <c r="H1835" i="1"/>
  <c r="G1835" i="1"/>
  <c r="F1835" i="1"/>
  <c r="E1835" i="1"/>
  <c r="D1835" i="1"/>
  <c r="B1835" i="1"/>
  <c r="A1835" i="1"/>
  <c r="L1834" i="1"/>
  <c r="K1834" i="1"/>
  <c r="J1834" i="1"/>
  <c r="I1834" i="1"/>
  <c r="H1834" i="1"/>
  <c r="G1834" i="1"/>
  <c r="F1834" i="1"/>
  <c r="E1834" i="1"/>
  <c r="D1834" i="1"/>
  <c r="B1834" i="1"/>
  <c r="A1834" i="1"/>
  <c r="L761" i="1"/>
  <c r="J761" i="1"/>
  <c r="I761" i="1"/>
  <c r="H761" i="1"/>
  <c r="G761" i="1"/>
  <c r="F761" i="1"/>
  <c r="E761" i="1"/>
  <c r="D761" i="1"/>
  <c r="B761" i="1"/>
  <c r="A761" i="1"/>
  <c r="L2259" i="1"/>
  <c r="J2259" i="1"/>
  <c r="I2259" i="1"/>
  <c r="H2259" i="1"/>
  <c r="G2259" i="1"/>
  <c r="F2259" i="1"/>
  <c r="E2259" i="1"/>
  <c r="D2259" i="1"/>
  <c r="B2259" i="1"/>
  <c r="A2259" i="1"/>
  <c r="L1833" i="1"/>
  <c r="K1833" i="1"/>
  <c r="J1833" i="1"/>
  <c r="I1833" i="1"/>
  <c r="H1833" i="1"/>
  <c r="G1833" i="1"/>
  <c r="F1833" i="1"/>
  <c r="E1833" i="1"/>
  <c r="D1833" i="1"/>
  <c r="B1833" i="1"/>
  <c r="A1833" i="1"/>
  <c r="L3017" i="1"/>
  <c r="J3017" i="1"/>
  <c r="I3017" i="1"/>
  <c r="H3017" i="1"/>
  <c r="G3017" i="1"/>
  <c r="F3017" i="1"/>
  <c r="E3017" i="1"/>
  <c r="D3017" i="1"/>
  <c r="B3017" i="1"/>
  <c r="A3017" i="1"/>
  <c r="L1832" i="1"/>
  <c r="K1832" i="1"/>
  <c r="J1832" i="1"/>
  <c r="I1832" i="1"/>
  <c r="H1832" i="1"/>
  <c r="G1832" i="1"/>
  <c r="F1832" i="1"/>
  <c r="E1832" i="1"/>
  <c r="D1832" i="1"/>
  <c r="B1832" i="1"/>
  <c r="A1832" i="1"/>
  <c r="L1016" i="1"/>
  <c r="J1016" i="1"/>
  <c r="I1016" i="1"/>
  <c r="H1016" i="1"/>
  <c r="G1016" i="1"/>
  <c r="F1016" i="1"/>
  <c r="E1016" i="1"/>
  <c r="D1016" i="1"/>
  <c r="B1016" i="1"/>
  <c r="A1016" i="1"/>
  <c r="L2727" i="1"/>
  <c r="J2727" i="1"/>
  <c r="I2727" i="1"/>
  <c r="H2727" i="1"/>
  <c r="G2727" i="1"/>
  <c r="F2727" i="1"/>
  <c r="E2727" i="1"/>
  <c r="D2727" i="1"/>
  <c r="B2727" i="1"/>
  <c r="A2727" i="1"/>
  <c r="L1831" i="1"/>
  <c r="K1831" i="1"/>
  <c r="J1831" i="1"/>
  <c r="I1831" i="1"/>
  <c r="H1831" i="1"/>
  <c r="G1831" i="1"/>
  <c r="F1831" i="1"/>
  <c r="E1831" i="1"/>
  <c r="D1831" i="1"/>
  <c r="B1831" i="1"/>
  <c r="A1831" i="1"/>
  <c r="L1830" i="1"/>
  <c r="K1830" i="1"/>
  <c r="J1830" i="1"/>
  <c r="I1830" i="1"/>
  <c r="H1830" i="1"/>
  <c r="G1830" i="1"/>
  <c r="F1830" i="1"/>
  <c r="E1830" i="1"/>
  <c r="D1830" i="1"/>
  <c r="B1830" i="1"/>
  <c r="A1830" i="1"/>
  <c r="L3016" i="1"/>
  <c r="J3016" i="1"/>
  <c r="I3016" i="1"/>
  <c r="H3016" i="1"/>
  <c r="G3016" i="1"/>
  <c r="F3016" i="1"/>
  <c r="E3016" i="1"/>
  <c r="D3016" i="1"/>
  <c r="B3016" i="1"/>
  <c r="A3016" i="1"/>
  <c r="L335" i="1"/>
  <c r="J335" i="1"/>
  <c r="I335" i="1"/>
  <c r="H335" i="1"/>
  <c r="G335" i="1"/>
  <c r="F335" i="1"/>
  <c r="E335" i="1"/>
  <c r="D335" i="1"/>
  <c r="B335" i="1"/>
  <c r="A335" i="1"/>
  <c r="J1829" i="1"/>
  <c r="I1829" i="1"/>
  <c r="H1829" i="1"/>
  <c r="G1829" i="1"/>
  <c r="F1829" i="1"/>
  <c r="E1829" i="1"/>
  <c r="D1829" i="1"/>
  <c r="B1829" i="1"/>
  <c r="A1829" i="1"/>
  <c r="L1325" i="1"/>
  <c r="K1325" i="1"/>
  <c r="J1325" i="1"/>
  <c r="I1325" i="1"/>
  <c r="H1325" i="1"/>
  <c r="G1325" i="1"/>
  <c r="F1325" i="1"/>
  <c r="E1325" i="1"/>
  <c r="D1325" i="1"/>
  <c r="B1325" i="1"/>
  <c r="A1325" i="1"/>
  <c r="L3015" i="1"/>
  <c r="J3015" i="1"/>
  <c r="I3015" i="1"/>
  <c r="H3015" i="1"/>
  <c r="G3015" i="1"/>
  <c r="F3015" i="1"/>
  <c r="E3015" i="1"/>
  <c r="D3015" i="1"/>
  <c r="B3015" i="1"/>
  <c r="A3015" i="1"/>
  <c r="L334" i="1"/>
  <c r="J334" i="1"/>
  <c r="I334" i="1"/>
  <c r="H334" i="1"/>
  <c r="G334" i="1"/>
  <c r="F334" i="1"/>
  <c r="E334" i="1"/>
  <c r="D334" i="1"/>
  <c r="B334" i="1"/>
  <c r="A334" i="1"/>
  <c r="L1015" i="1"/>
  <c r="J1015" i="1"/>
  <c r="I1015" i="1"/>
  <c r="H1015" i="1"/>
  <c r="G1015" i="1"/>
  <c r="F1015" i="1"/>
  <c r="E1015" i="1"/>
  <c r="D1015" i="1"/>
  <c r="B1015" i="1"/>
  <c r="A1015" i="1"/>
  <c r="L2726" i="1"/>
  <c r="J2726" i="1"/>
  <c r="I2726" i="1"/>
  <c r="H2726" i="1"/>
  <c r="G2726" i="1"/>
  <c r="F2726" i="1"/>
  <c r="E2726" i="1"/>
  <c r="D2726" i="1"/>
  <c r="B2726" i="1"/>
  <c r="A2726" i="1"/>
  <c r="J1828" i="1"/>
  <c r="I1828" i="1"/>
  <c r="H1828" i="1"/>
  <c r="G1828" i="1"/>
  <c r="F1828" i="1"/>
  <c r="E1828" i="1"/>
  <c r="D1828" i="1"/>
  <c r="B1828" i="1"/>
  <c r="A1828" i="1"/>
  <c r="J1827" i="1"/>
  <c r="I1827" i="1"/>
  <c r="H1827" i="1"/>
  <c r="G1827" i="1"/>
  <c r="F1827" i="1"/>
  <c r="E1827" i="1"/>
  <c r="D1827" i="1"/>
  <c r="B1827" i="1"/>
  <c r="A1827" i="1"/>
  <c r="L3014" i="1"/>
  <c r="J3014" i="1"/>
  <c r="I3014" i="1"/>
  <c r="H3014" i="1"/>
  <c r="G3014" i="1"/>
  <c r="F3014" i="1"/>
  <c r="E3014" i="1"/>
  <c r="D3014" i="1"/>
  <c r="B3014" i="1"/>
  <c r="A3014" i="1"/>
  <c r="L333" i="1"/>
  <c r="J333" i="1"/>
  <c r="I333" i="1"/>
  <c r="H333" i="1"/>
  <c r="G333" i="1"/>
  <c r="F333" i="1"/>
  <c r="E333" i="1"/>
  <c r="D333" i="1"/>
  <c r="B333" i="1"/>
  <c r="A333" i="1"/>
  <c r="L1826" i="1"/>
  <c r="J1826" i="1"/>
  <c r="I1826" i="1"/>
  <c r="H1826" i="1"/>
  <c r="G1826" i="1"/>
  <c r="F1826" i="1"/>
  <c r="E1826" i="1"/>
  <c r="D1826" i="1"/>
  <c r="B1826" i="1"/>
  <c r="A1826" i="1"/>
  <c r="L1825" i="1"/>
  <c r="J1825" i="1"/>
  <c r="I1825" i="1"/>
  <c r="H1825" i="1"/>
  <c r="G1825" i="1"/>
  <c r="F1825" i="1"/>
  <c r="E1825" i="1"/>
  <c r="D1825" i="1"/>
  <c r="B1825" i="1"/>
  <c r="A1825" i="1"/>
  <c r="J1824" i="1"/>
  <c r="I1824" i="1"/>
  <c r="H1824" i="1"/>
  <c r="G1824" i="1"/>
  <c r="F1824" i="1"/>
  <c r="E1824" i="1"/>
  <c r="D1824" i="1"/>
  <c r="B1824" i="1"/>
  <c r="A1824" i="1"/>
  <c r="L3013" i="1"/>
  <c r="J3013" i="1"/>
  <c r="I3013" i="1"/>
  <c r="H3013" i="1"/>
  <c r="G3013" i="1"/>
  <c r="F3013" i="1"/>
  <c r="E3013" i="1"/>
  <c r="D3013" i="1"/>
  <c r="B3013" i="1"/>
  <c r="A3013" i="1"/>
  <c r="L332" i="1"/>
  <c r="J332" i="1"/>
  <c r="I332" i="1"/>
  <c r="H332" i="1"/>
  <c r="G332" i="1"/>
  <c r="F332" i="1"/>
  <c r="E332" i="1"/>
  <c r="D332" i="1"/>
  <c r="B332" i="1"/>
  <c r="A332" i="1"/>
  <c r="L3012" i="1"/>
  <c r="J3012" i="1"/>
  <c r="I3012" i="1"/>
  <c r="H3012" i="1"/>
  <c r="G3012" i="1"/>
  <c r="F3012" i="1"/>
  <c r="E3012" i="1"/>
  <c r="D3012" i="1"/>
  <c r="B3012" i="1"/>
  <c r="A3012" i="1"/>
  <c r="L1823" i="1"/>
  <c r="K1823" i="1"/>
  <c r="J1823" i="1"/>
  <c r="I1823" i="1"/>
  <c r="H1823" i="1"/>
  <c r="G1823" i="1"/>
  <c r="F1823" i="1"/>
  <c r="E1823" i="1"/>
  <c r="D1823" i="1"/>
  <c r="B1823" i="1"/>
  <c r="A1823" i="1"/>
  <c r="L1822" i="1"/>
  <c r="K1822" i="1"/>
  <c r="J1822" i="1"/>
  <c r="I1822" i="1"/>
  <c r="H1822" i="1"/>
  <c r="G1822" i="1"/>
  <c r="F1822" i="1"/>
  <c r="E1822" i="1"/>
  <c r="D1822" i="1"/>
  <c r="B1822" i="1"/>
  <c r="A1822" i="1"/>
  <c r="L1821" i="1"/>
  <c r="K1821" i="1"/>
  <c r="J1821" i="1"/>
  <c r="I1821" i="1"/>
  <c r="H1821" i="1"/>
  <c r="G1821" i="1"/>
  <c r="F1821" i="1"/>
  <c r="E1821" i="1"/>
  <c r="D1821" i="1"/>
  <c r="B1821" i="1"/>
  <c r="A1821" i="1"/>
  <c r="L1820" i="1"/>
  <c r="K1820" i="1"/>
  <c r="J1820" i="1"/>
  <c r="I1820" i="1"/>
  <c r="H1820" i="1"/>
  <c r="G1820" i="1"/>
  <c r="F1820" i="1"/>
  <c r="E1820" i="1"/>
  <c r="D1820" i="1"/>
  <c r="B1820" i="1"/>
  <c r="A1820" i="1"/>
  <c r="L760" i="1"/>
  <c r="J760" i="1"/>
  <c r="I760" i="1"/>
  <c r="H760" i="1"/>
  <c r="G760" i="1"/>
  <c r="F760" i="1"/>
  <c r="E760" i="1"/>
  <c r="D760" i="1"/>
  <c r="B760" i="1"/>
  <c r="A760" i="1"/>
  <c r="L2258" i="1"/>
  <c r="J2258" i="1"/>
  <c r="I2258" i="1"/>
  <c r="H2258" i="1"/>
  <c r="G2258" i="1"/>
  <c r="F2258" i="1"/>
  <c r="E2258" i="1"/>
  <c r="D2258" i="1"/>
  <c r="B2258" i="1"/>
  <c r="A2258" i="1"/>
  <c r="L1819" i="1"/>
  <c r="K1819" i="1"/>
  <c r="J1819" i="1"/>
  <c r="I1819" i="1"/>
  <c r="H1819" i="1"/>
  <c r="G1819" i="1"/>
  <c r="F1819" i="1"/>
  <c r="E1819" i="1"/>
  <c r="D1819" i="1"/>
  <c r="B1819" i="1"/>
  <c r="A1819" i="1"/>
  <c r="L1014" i="1"/>
  <c r="J1014" i="1"/>
  <c r="I1014" i="1"/>
  <c r="H1014" i="1"/>
  <c r="G1014" i="1"/>
  <c r="F1014" i="1"/>
  <c r="E1014" i="1"/>
  <c r="D1014" i="1"/>
  <c r="B1014" i="1"/>
  <c r="A1014" i="1"/>
  <c r="L2725" i="1"/>
  <c r="J2725" i="1"/>
  <c r="I2725" i="1"/>
  <c r="H2725" i="1"/>
  <c r="G2725" i="1"/>
  <c r="F2725" i="1"/>
  <c r="E2725" i="1"/>
  <c r="D2725" i="1"/>
  <c r="B2725" i="1"/>
  <c r="A2725" i="1"/>
  <c r="L331" i="1"/>
  <c r="J331" i="1"/>
  <c r="I331" i="1"/>
  <c r="H331" i="1"/>
  <c r="G331" i="1"/>
  <c r="F331" i="1"/>
  <c r="E331" i="1"/>
  <c r="D331" i="1"/>
  <c r="B331" i="1"/>
  <c r="A331" i="1"/>
  <c r="L1818" i="1"/>
  <c r="K1818" i="1"/>
  <c r="J1818" i="1"/>
  <c r="I1818" i="1"/>
  <c r="H1818" i="1"/>
  <c r="G1818" i="1"/>
  <c r="F1818" i="1"/>
  <c r="E1818" i="1"/>
  <c r="D1818" i="1"/>
  <c r="B1818" i="1"/>
  <c r="A1818" i="1"/>
  <c r="L1817" i="1"/>
  <c r="K1817" i="1"/>
  <c r="J1817" i="1"/>
  <c r="I1817" i="1"/>
  <c r="H1817" i="1"/>
  <c r="G1817" i="1"/>
  <c r="F1817" i="1"/>
  <c r="E1817" i="1"/>
  <c r="D1817" i="1"/>
  <c r="B1817" i="1"/>
  <c r="A1817" i="1"/>
  <c r="L1816" i="1"/>
  <c r="K1816" i="1"/>
  <c r="J1816" i="1"/>
  <c r="I1816" i="1"/>
  <c r="H1816" i="1"/>
  <c r="G1816" i="1"/>
  <c r="F1816" i="1"/>
  <c r="E1816" i="1"/>
  <c r="D1816" i="1"/>
  <c r="B1816" i="1"/>
  <c r="A1816" i="1"/>
  <c r="L1815" i="1"/>
  <c r="K1815" i="1"/>
  <c r="J1815" i="1"/>
  <c r="I1815" i="1"/>
  <c r="H1815" i="1"/>
  <c r="G1815" i="1"/>
  <c r="F1815" i="1"/>
  <c r="E1815" i="1"/>
  <c r="D1815" i="1"/>
  <c r="B1815" i="1"/>
  <c r="A1815" i="1"/>
  <c r="L3011" i="1"/>
  <c r="J3011" i="1"/>
  <c r="I3011" i="1"/>
  <c r="H3011" i="1"/>
  <c r="G3011" i="1"/>
  <c r="F3011" i="1"/>
  <c r="E3011" i="1"/>
  <c r="D3011" i="1"/>
  <c r="B3011" i="1"/>
  <c r="A3011" i="1"/>
  <c r="L1814" i="1"/>
  <c r="K1814" i="1"/>
  <c r="J1814" i="1"/>
  <c r="I1814" i="1"/>
  <c r="H1814" i="1"/>
  <c r="G1814" i="1"/>
  <c r="F1814" i="1"/>
  <c r="E1814" i="1"/>
  <c r="D1814" i="1"/>
  <c r="B1814" i="1"/>
  <c r="A1814" i="1"/>
  <c r="L1813" i="1"/>
  <c r="K1813" i="1"/>
  <c r="J1813" i="1"/>
  <c r="I1813" i="1"/>
  <c r="H1813" i="1"/>
  <c r="G1813" i="1"/>
  <c r="F1813" i="1"/>
  <c r="E1813" i="1"/>
  <c r="D1813" i="1"/>
  <c r="B1813" i="1"/>
  <c r="A1813" i="1"/>
  <c r="L1812" i="1"/>
  <c r="K1812" i="1"/>
  <c r="J1812" i="1"/>
  <c r="I1812" i="1"/>
  <c r="H1812" i="1"/>
  <c r="G1812" i="1"/>
  <c r="F1812" i="1"/>
  <c r="E1812" i="1"/>
  <c r="D1812" i="1"/>
  <c r="B1812" i="1"/>
  <c r="A1812" i="1"/>
  <c r="L330" i="1"/>
  <c r="J330" i="1"/>
  <c r="I330" i="1"/>
  <c r="H330" i="1"/>
  <c r="G330" i="1"/>
  <c r="F330" i="1"/>
  <c r="E330" i="1"/>
  <c r="D330" i="1"/>
  <c r="B330" i="1"/>
  <c r="A330" i="1"/>
  <c r="L3010" i="1"/>
  <c r="J3010" i="1"/>
  <c r="I3010" i="1"/>
  <c r="H3010" i="1"/>
  <c r="G3010" i="1"/>
  <c r="F3010" i="1"/>
  <c r="E3010" i="1"/>
  <c r="D3010" i="1"/>
  <c r="B3010" i="1"/>
  <c r="A3010" i="1"/>
  <c r="L1811" i="1"/>
  <c r="K1811" i="1"/>
  <c r="J1811" i="1"/>
  <c r="I1811" i="1"/>
  <c r="H1811" i="1"/>
  <c r="G1811" i="1"/>
  <c r="F1811" i="1"/>
  <c r="E1811" i="1"/>
  <c r="D1811" i="1"/>
  <c r="B1811" i="1"/>
  <c r="A1811" i="1"/>
  <c r="L329" i="1"/>
  <c r="J329" i="1"/>
  <c r="I329" i="1"/>
  <c r="H329" i="1"/>
  <c r="G329" i="1"/>
  <c r="F329" i="1"/>
  <c r="E329" i="1"/>
  <c r="D329" i="1"/>
  <c r="B329" i="1"/>
  <c r="A329" i="1"/>
  <c r="L759" i="1"/>
  <c r="J759" i="1"/>
  <c r="I759" i="1"/>
  <c r="H759" i="1"/>
  <c r="G759" i="1"/>
  <c r="F759" i="1"/>
  <c r="E759" i="1"/>
  <c r="D759" i="1"/>
  <c r="B759" i="1"/>
  <c r="A759" i="1"/>
  <c r="L2257" i="1"/>
  <c r="J2257" i="1"/>
  <c r="I2257" i="1"/>
  <c r="H2257" i="1"/>
  <c r="G2257" i="1"/>
  <c r="F2257" i="1"/>
  <c r="E2257" i="1"/>
  <c r="D2257" i="1"/>
  <c r="B2257" i="1"/>
  <c r="A2257" i="1"/>
  <c r="L328" i="1"/>
  <c r="J328" i="1"/>
  <c r="I328" i="1"/>
  <c r="H328" i="1"/>
  <c r="G328" i="1"/>
  <c r="F328" i="1"/>
  <c r="E328" i="1"/>
  <c r="D328" i="1"/>
  <c r="B328" i="1"/>
  <c r="A328" i="1"/>
  <c r="L3009" i="1"/>
  <c r="J3009" i="1"/>
  <c r="I3009" i="1"/>
  <c r="H3009" i="1"/>
  <c r="G3009" i="1"/>
  <c r="F3009" i="1"/>
  <c r="E3009" i="1"/>
  <c r="D3009" i="1"/>
  <c r="B3009" i="1"/>
  <c r="A3009" i="1"/>
  <c r="J1810" i="1"/>
  <c r="I1810" i="1"/>
  <c r="H1810" i="1"/>
  <c r="G1810" i="1"/>
  <c r="F1810" i="1"/>
  <c r="E1810" i="1"/>
  <c r="D1810" i="1"/>
  <c r="B1810" i="1"/>
  <c r="A1810" i="1"/>
  <c r="L3008" i="1"/>
  <c r="J3008" i="1"/>
  <c r="I3008" i="1"/>
  <c r="H3008" i="1"/>
  <c r="G3008" i="1"/>
  <c r="F3008" i="1"/>
  <c r="E3008" i="1"/>
  <c r="D3008" i="1"/>
  <c r="B3008" i="1"/>
  <c r="A3008" i="1"/>
  <c r="L327" i="1"/>
  <c r="J327" i="1"/>
  <c r="I327" i="1"/>
  <c r="H327" i="1"/>
  <c r="G327" i="1"/>
  <c r="F327" i="1"/>
  <c r="E327" i="1"/>
  <c r="D327" i="1"/>
  <c r="B327" i="1"/>
  <c r="A327" i="1"/>
  <c r="L3007" i="1"/>
  <c r="J3007" i="1"/>
  <c r="I3007" i="1"/>
  <c r="H3007" i="1"/>
  <c r="G3007" i="1"/>
  <c r="F3007" i="1"/>
  <c r="E3007" i="1"/>
  <c r="D3007" i="1"/>
  <c r="B3007" i="1"/>
  <c r="A3007" i="1"/>
  <c r="L326" i="1"/>
  <c r="J326" i="1"/>
  <c r="I326" i="1"/>
  <c r="H326" i="1"/>
  <c r="G326" i="1"/>
  <c r="F326" i="1"/>
  <c r="E326" i="1"/>
  <c r="D326" i="1"/>
  <c r="B326" i="1"/>
  <c r="A326" i="1"/>
  <c r="L3006" i="1"/>
  <c r="J3006" i="1"/>
  <c r="I3006" i="1"/>
  <c r="H3006" i="1"/>
  <c r="G3006" i="1"/>
  <c r="F3006" i="1"/>
  <c r="E3006" i="1"/>
  <c r="D3006" i="1"/>
  <c r="B3006" i="1"/>
  <c r="A3006" i="1"/>
  <c r="J1809" i="1"/>
  <c r="I1809" i="1"/>
  <c r="H1809" i="1"/>
  <c r="G1809" i="1"/>
  <c r="F1809" i="1"/>
  <c r="E1809" i="1"/>
  <c r="D1809" i="1"/>
  <c r="B1809" i="1"/>
  <c r="A1809" i="1"/>
  <c r="J1808" i="1"/>
  <c r="I1808" i="1"/>
  <c r="H1808" i="1"/>
  <c r="G1808" i="1"/>
  <c r="F1808" i="1"/>
  <c r="E1808" i="1"/>
  <c r="D1808" i="1"/>
  <c r="B1808" i="1"/>
  <c r="A1808" i="1"/>
  <c r="J1807" i="1"/>
  <c r="I1807" i="1"/>
  <c r="H1807" i="1"/>
  <c r="G1807" i="1"/>
  <c r="F1807" i="1"/>
  <c r="E1807" i="1"/>
  <c r="D1807" i="1"/>
  <c r="B1807" i="1"/>
  <c r="A1807" i="1"/>
  <c r="J1806" i="1"/>
  <c r="I1806" i="1"/>
  <c r="H1806" i="1"/>
  <c r="G1806" i="1"/>
  <c r="F1806" i="1"/>
  <c r="E1806" i="1"/>
  <c r="D1806" i="1"/>
  <c r="B1806" i="1"/>
  <c r="A1806" i="1"/>
  <c r="L325" i="1"/>
  <c r="J325" i="1"/>
  <c r="I325" i="1"/>
  <c r="H325" i="1"/>
  <c r="G325" i="1"/>
  <c r="F325" i="1"/>
  <c r="E325" i="1"/>
  <c r="D325" i="1"/>
  <c r="B325" i="1"/>
  <c r="A325" i="1"/>
  <c r="L3005" i="1"/>
  <c r="J3005" i="1"/>
  <c r="I3005" i="1"/>
  <c r="H3005" i="1"/>
  <c r="G3005" i="1"/>
  <c r="F3005" i="1"/>
  <c r="E3005" i="1"/>
  <c r="D3005" i="1"/>
  <c r="B3005" i="1"/>
  <c r="A3005" i="1"/>
  <c r="L758" i="1"/>
  <c r="J758" i="1"/>
  <c r="I758" i="1"/>
  <c r="H758" i="1"/>
  <c r="G758" i="1"/>
  <c r="F758" i="1"/>
  <c r="E758" i="1"/>
  <c r="D758" i="1"/>
  <c r="B758" i="1"/>
  <c r="A758" i="1"/>
  <c r="L2256" i="1"/>
  <c r="J2256" i="1"/>
  <c r="I2256" i="1"/>
  <c r="H2256" i="1"/>
  <c r="G2256" i="1"/>
  <c r="F2256" i="1"/>
  <c r="E2256" i="1"/>
  <c r="D2256" i="1"/>
  <c r="B2256" i="1"/>
  <c r="A2256" i="1"/>
  <c r="J1805" i="1"/>
  <c r="I1805" i="1"/>
  <c r="H1805" i="1"/>
  <c r="G1805" i="1"/>
  <c r="F1805" i="1"/>
  <c r="E1805" i="1"/>
  <c r="D1805" i="1"/>
  <c r="B1805" i="1"/>
  <c r="A1805" i="1"/>
  <c r="L1804" i="1"/>
  <c r="J1804" i="1"/>
  <c r="I1804" i="1"/>
  <c r="H1804" i="1"/>
  <c r="G1804" i="1"/>
  <c r="F1804" i="1"/>
  <c r="E1804" i="1"/>
  <c r="D1804" i="1"/>
  <c r="B1804" i="1"/>
  <c r="A1804" i="1"/>
  <c r="J1803" i="1"/>
  <c r="I1803" i="1"/>
  <c r="H1803" i="1"/>
  <c r="G1803" i="1"/>
  <c r="F1803" i="1"/>
  <c r="E1803" i="1"/>
  <c r="D1803" i="1"/>
  <c r="B1803" i="1"/>
  <c r="A1803" i="1"/>
  <c r="L1013" i="1"/>
  <c r="J1013" i="1"/>
  <c r="I1013" i="1"/>
  <c r="H1013" i="1"/>
  <c r="G1013" i="1"/>
  <c r="F1013" i="1"/>
  <c r="E1013" i="1"/>
  <c r="D1013" i="1"/>
  <c r="B1013" i="1"/>
  <c r="A1013" i="1"/>
  <c r="L2724" i="1"/>
  <c r="J2724" i="1"/>
  <c r="I2724" i="1"/>
  <c r="H2724" i="1"/>
  <c r="G2724" i="1"/>
  <c r="F2724" i="1"/>
  <c r="E2724" i="1"/>
  <c r="D2724" i="1"/>
  <c r="B2724" i="1"/>
  <c r="A2724" i="1"/>
  <c r="L1802" i="1"/>
  <c r="K1802" i="1"/>
  <c r="J1802" i="1"/>
  <c r="I1802" i="1"/>
  <c r="H1802" i="1"/>
  <c r="G1802" i="1"/>
  <c r="F1802" i="1"/>
  <c r="E1802" i="1"/>
  <c r="D1802" i="1"/>
  <c r="B1802" i="1"/>
  <c r="A1802" i="1"/>
  <c r="L324" i="1"/>
  <c r="J324" i="1"/>
  <c r="I324" i="1"/>
  <c r="H324" i="1"/>
  <c r="G324" i="1"/>
  <c r="F324" i="1"/>
  <c r="E324" i="1"/>
  <c r="D324" i="1"/>
  <c r="B324" i="1"/>
  <c r="A324" i="1"/>
  <c r="L3004" i="1"/>
  <c r="J3004" i="1"/>
  <c r="I3004" i="1"/>
  <c r="H3004" i="1"/>
  <c r="G3004" i="1"/>
  <c r="F3004" i="1"/>
  <c r="E3004" i="1"/>
  <c r="D3004" i="1"/>
  <c r="B3004" i="1"/>
  <c r="A3004" i="1"/>
  <c r="L323" i="1"/>
  <c r="J323" i="1"/>
  <c r="I323" i="1"/>
  <c r="H323" i="1"/>
  <c r="G323" i="1"/>
  <c r="F323" i="1"/>
  <c r="E323" i="1"/>
  <c r="D323" i="1"/>
  <c r="B323" i="1"/>
  <c r="A323" i="1"/>
  <c r="L3003" i="1"/>
  <c r="J3003" i="1"/>
  <c r="I3003" i="1"/>
  <c r="H3003" i="1"/>
  <c r="G3003" i="1"/>
  <c r="F3003" i="1"/>
  <c r="E3003" i="1"/>
  <c r="D3003" i="1"/>
  <c r="B3003" i="1"/>
  <c r="A3003" i="1"/>
  <c r="L322" i="1"/>
  <c r="J322" i="1"/>
  <c r="I322" i="1"/>
  <c r="H322" i="1"/>
  <c r="G322" i="1"/>
  <c r="F322" i="1"/>
  <c r="E322" i="1"/>
  <c r="D322" i="1"/>
  <c r="B322" i="1"/>
  <c r="A322" i="1"/>
  <c r="L3002" i="1"/>
  <c r="J3002" i="1"/>
  <c r="I3002" i="1"/>
  <c r="H3002" i="1"/>
  <c r="G3002" i="1"/>
  <c r="F3002" i="1"/>
  <c r="E3002" i="1"/>
  <c r="D3002" i="1"/>
  <c r="B3002" i="1"/>
  <c r="A3002" i="1"/>
  <c r="L1801" i="1"/>
  <c r="K1801" i="1"/>
  <c r="J1801" i="1"/>
  <c r="I1801" i="1"/>
  <c r="H1801" i="1"/>
  <c r="G1801" i="1"/>
  <c r="F1801" i="1"/>
  <c r="E1801" i="1"/>
  <c r="D1801" i="1"/>
  <c r="B1801" i="1"/>
  <c r="A1801" i="1"/>
  <c r="L1800" i="1"/>
  <c r="K1800" i="1"/>
  <c r="J1800" i="1"/>
  <c r="I1800" i="1"/>
  <c r="H1800" i="1"/>
  <c r="G1800" i="1"/>
  <c r="F1800" i="1"/>
  <c r="E1800" i="1"/>
  <c r="D1800" i="1"/>
  <c r="B1800" i="1"/>
  <c r="A1800" i="1"/>
  <c r="L1799" i="1"/>
  <c r="K1799" i="1"/>
  <c r="J1799" i="1"/>
  <c r="I1799" i="1"/>
  <c r="H1799" i="1"/>
  <c r="G1799" i="1"/>
  <c r="F1799" i="1"/>
  <c r="E1799" i="1"/>
  <c r="D1799" i="1"/>
  <c r="B1799" i="1"/>
  <c r="A1799" i="1"/>
  <c r="L1798" i="1"/>
  <c r="K1798" i="1"/>
  <c r="J1798" i="1"/>
  <c r="I1798" i="1"/>
  <c r="H1798" i="1"/>
  <c r="G1798" i="1"/>
  <c r="F1798" i="1"/>
  <c r="E1798" i="1"/>
  <c r="D1798" i="1"/>
  <c r="B1798" i="1"/>
  <c r="A1798" i="1"/>
  <c r="L1797" i="1"/>
  <c r="K1797" i="1"/>
  <c r="J1797" i="1"/>
  <c r="I1797" i="1"/>
  <c r="H1797" i="1"/>
  <c r="G1797" i="1"/>
  <c r="F1797" i="1"/>
  <c r="E1797" i="1"/>
  <c r="D1797" i="1"/>
  <c r="B1797" i="1"/>
  <c r="A1797" i="1"/>
  <c r="L1796" i="1"/>
  <c r="K1796" i="1"/>
  <c r="J1796" i="1"/>
  <c r="I1796" i="1"/>
  <c r="H1796" i="1"/>
  <c r="G1796" i="1"/>
  <c r="F1796" i="1"/>
  <c r="E1796" i="1"/>
  <c r="D1796" i="1"/>
  <c r="B1796" i="1"/>
  <c r="A1796" i="1"/>
  <c r="L2077" i="1"/>
  <c r="K2077" i="1"/>
  <c r="J2077" i="1"/>
  <c r="I2077" i="1"/>
  <c r="H2077" i="1"/>
  <c r="G2077" i="1"/>
  <c r="F2077" i="1"/>
  <c r="E2077" i="1"/>
  <c r="D2077" i="1"/>
  <c r="B2077" i="1"/>
  <c r="A2077" i="1"/>
  <c r="L1255" i="1"/>
  <c r="K1255" i="1"/>
  <c r="J1255" i="1"/>
  <c r="I1255" i="1"/>
  <c r="H1255" i="1"/>
  <c r="G1255" i="1"/>
  <c r="F1255" i="1"/>
  <c r="E1255" i="1"/>
  <c r="D1255" i="1"/>
  <c r="B1255" i="1"/>
  <c r="A1255" i="1"/>
  <c r="L1324" i="1"/>
  <c r="K1324" i="1"/>
  <c r="J1324" i="1"/>
  <c r="I1324" i="1"/>
  <c r="H1324" i="1"/>
  <c r="G1324" i="1"/>
  <c r="F1324" i="1"/>
  <c r="E1324" i="1"/>
  <c r="D1324" i="1"/>
  <c r="B1324" i="1"/>
  <c r="A1324" i="1"/>
  <c r="L1795" i="1"/>
  <c r="K1795" i="1"/>
  <c r="J1795" i="1"/>
  <c r="I1795" i="1"/>
  <c r="H1795" i="1"/>
  <c r="G1795" i="1"/>
  <c r="F1795" i="1"/>
  <c r="E1795" i="1"/>
  <c r="D1795" i="1"/>
  <c r="B1795" i="1"/>
  <c r="A1795" i="1"/>
  <c r="L1794" i="1"/>
  <c r="K1794" i="1"/>
  <c r="J1794" i="1"/>
  <c r="I1794" i="1"/>
  <c r="H1794" i="1"/>
  <c r="G1794" i="1"/>
  <c r="F1794" i="1"/>
  <c r="E1794" i="1"/>
  <c r="D1794" i="1"/>
  <c r="B1794" i="1"/>
  <c r="A1794" i="1"/>
  <c r="L1012" i="1"/>
  <c r="J1012" i="1"/>
  <c r="I1012" i="1"/>
  <c r="H1012" i="1"/>
  <c r="G1012" i="1"/>
  <c r="F1012" i="1"/>
  <c r="E1012" i="1"/>
  <c r="D1012" i="1"/>
  <c r="B1012" i="1"/>
  <c r="A1012" i="1"/>
  <c r="L2723" i="1"/>
  <c r="J2723" i="1"/>
  <c r="I2723" i="1"/>
  <c r="H2723" i="1"/>
  <c r="G2723" i="1"/>
  <c r="F2723" i="1"/>
  <c r="E2723" i="1"/>
  <c r="D2723" i="1"/>
  <c r="B2723" i="1"/>
  <c r="A2723" i="1"/>
  <c r="L1793" i="1"/>
  <c r="K1793" i="1"/>
  <c r="J1793" i="1"/>
  <c r="I1793" i="1"/>
  <c r="H1793" i="1"/>
  <c r="G1793" i="1"/>
  <c r="F1793" i="1"/>
  <c r="E1793" i="1"/>
  <c r="D1793" i="1"/>
  <c r="B1793" i="1"/>
  <c r="A1793" i="1"/>
  <c r="L1792" i="1"/>
  <c r="K1792" i="1"/>
  <c r="J1792" i="1"/>
  <c r="I1792" i="1"/>
  <c r="H1792" i="1"/>
  <c r="G1792" i="1"/>
  <c r="F1792" i="1"/>
  <c r="E1792" i="1"/>
  <c r="D1792" i="1"/>
  <c r="B1792" i="1"/>
  <c r="A1792" i="1"/>
  <c r="L1791" i="1"/>
  <c r="K1791" i="1"/>
  <c r="J1791" i="1"/>
  <c r="I1791" i="1"/>
  <c r="H1791" i="1"/>
  <c r="G1791" i="1"/>
  <c r="F1791" i="1"/>
  <c r="E1791" i="1"/>
  <c r="D1791" i="1"/>
  <c r="B1791" i="1"/>
  <c r="A1791" i="1"/>
  <c r="L321" i="1"/>
  <c r="J321" i="1"/>
  <c r="I321" i="1"/>
  <c r="H321" i="1"/>
  <c r="G321" i="1"/>
  <c r="F321" i="1"/>
  <c r="E321" i="1"/>
  <c r="D321" i="1"/>
  <c r="B321" i="1"/>
  <c r="A321" i="1"/>
  <c r="L1790" i="1"/>
  <c r="K1790" i="1"/>
  <c r="J1790" i="1"/>
  <c r="I1790" i="1"/>
  <c r="H1790" i="1"/>
  <c r="G1790" i="1"/>
  <c r="F1790" i="1"/>
  <c r="E1790" i="1"/>
  <c r="D1790" i="1"/>
  <c r="B1790" i="1"/>
  <c r="A1790" i="1"/>
  <c r="L1789" i="1"/>
  <c r="K1789" i="1"/>
  <c r="J1789" i="1"/>
  <c r="I1789" i="1"/>
  <c r="H1789" i="1"/>
  <c r="G1789" i="1"/>
  <c r="F1789" i="1"/>
  <c r="E1789" i="1"/>
  <c r="D1789" i="1"/>
  <c r="B1789" i="1"/>
  <c r="A1789" i="1"/>
  <c r="L1011" i="1"/>
  <c r="J1011" i="1"/>
  <c r="I1011" i="1"/>
  <c r="H1011" i="1"/>
  <c r="G1011" i="1"/>
  <c r="F1011" i="1"/>
  <c r="E1011" i="1"/>
  <c r="D1011" i="1"/>
  <c r="B1011" i="1"/>
  <c r="A1011" i="1"/>
  <c r="L2722" i="1"/>
  <c r="J2722" i="1"/>
  <c r="I2722" i="1"/>
  <c r="H2722" i="1"/>
  <c r="G2722" i="1"/>
  <c r="F2722" i="1"/>
  <c r="E2722" i="1"/>
  <c r="D2722" i="1"/>
  <c r="B2722" i="1"/>
  <c r="A2722" i="1"/>
  <c r="J1788" i="1"/>
  <c r="I1788" i="1"/>
  <c r="H1788" i="1"/>
  <c r="G1788" i="1"/>
  <c r="F1788" i="1"/>
  <c r="E1788" i="1"/>
  <c r="D1788" i="1"/>
  <c r="B1788" i="1"/>
  <c r="A1788" i="1"/>
  <c r="L1010" i="1"/>
  <c r="J1010" i="1"/>
  <c r="I1010" i="1"/>
  <c r="H1010" i="1"/>
  <c r="G1010" i="1"/>
  <c r="F1010" i="1"/>
  <c r="E1010" i="1"/>
  <c r="D1010" i="1"/>
  <c r="B1010" i="1"/>
  <c r="A1010" i="1"/>
  <c r="L2721" i="1"/>
  <c r="J2721" i="1"/>
  <c r="I2721" i="1"/>
  <c r="H2721" i="1"/>
  <c r="G2721" i="1"/>
  <c r="F2721" i="1"/>
  <c r="E2721" i="1"/>
  <c r="D2721" i="1"/>
  <c r="B2721" i="1"/>
  <c r="A2721" i="1"/>
  <c r="J1787" i="1"/>
  <c r="I1787" i="1"/>
  <c r="H1787" i="1"/>
  <c r="G1787" i="1"/>
  <c r="F1787" i="1"/>
  <c r="E1787" i="1"/>
  <c r="D1787" i="1"/>
  <c r="B1787" i="1"/>
  <c r="A1787" i="1"/>
  <c r="L3001" i="1"/>
  <c r="J3001" i="1"/>
  <c r="I3001" i="1"/>
  <c r="H3001" i="1"/>
  <c r="G3001" i="1"/>
  <c r="F3001" i="1"/>
  <c r="E3001" i="1"/>
  <c r="D3001" i="1"/>
  <c r="B3001" i="1"/>
  <c r="A3001" i="1"/>
  <c r="L1786" i="1"/>
  <c r="J1786" i="1"/>
  <c r="I1786" i="1"/>
  <c r="H1786" i="1"/>
  <c r="G1786" i="1"/>
  <c r="F1786" i="1"/>
  <c r="E1786" i="1"/>
  <c r="D1786" i="1"/>
  <c r="B1786" i="1"/>
  <c r="A1786" i="1"/>
  <c r="L320" i="1"/>
  <c r="J320" i="1"/>
  <c r="I320" i="1"/>
  <c r="H320" i="1"/>
  <c r="G320" i="1"/>
  <c r="F320" i="1"/>
  <c r="E320" i="1"/>
  <c r="D320" i="1"/>
  <c r="B320" i="1"/>
  <c r="A320" i="1"/>
  <c r="L3000" i="1"/>
  <c r="J3000" i="1"/>
  <c r="I3000" i="1"/>
  <c r="H3000" i="1"/>
  <c r="G3000" i="1"/>
  <c r="F3000" i="1"/>
  <c r="E3000" i="1"/>
  <c r="D3000" i="1"/>
  <c r="B3000" i="1"/>
  <c r="A3000" i="1"/>
  <c r="L1009" i="1"/>
  <c r="J1009" i="1"/>
  <c r="I1009" i="1"/>
  <c r="H1009" i="1"/>
  <c r="G1009" i="1"/>
  <c r="F1009" i="1"/>
  <c r="E1009" i="1"/>
  <c r="D1009" i="1"/>
  <c r="B1009" i="1"/>
  <c r="A1009" i="1"/>
  <c r="L2720" i="1"/>
  <c r="J2720" i="1"/>
  <c r="I2720" i="1"/>
  <c r="H2720" i="1"/>
  <c r="G2720" i="1"/>
  <c r="F2720" i="1"/>
  <c r="E2720" i="1"/>
  <c r="D2720" i="1"/>
  <c r="B2720" i="1"/>
  <c r="A2720" i="1"/>
  <c r="J1785" i="1"/>
  <c r="I1785" i="1"/>
  <c r="H1785" i="1"/>
  <c r="G1785" i="1"/>
  <c r="F1785" i="1"/>
  <c r="E1785" i="1"/>
  <c r="D1785" i="1"/>
  <c r="B1785" i="1"/>
  <c r="A1785" i="1"/>
  <c r="L319" i="1"/>
  <c r="J319" i="1"/>
  <c r="I319" i="1"/>
  <c r="H319" i="1"/>
  <c r="G319" i="1"/>
  <c r="F319" i="1"/>
  <c r="E319" i="1"/>
  <c r="D319" i="1"/>
  <c r="B319" i="1"/>
  <c r="A319" i="1"/>
  <c r="L2999" i="1"/>
  <c r="J2999" i="1"/>
  <c r="I2999" i="1"/>
  <c r="H2999" i="1"/>
  <c r="G2999" i="1"/>
  <c r="F2999" i="1"/>
  <c r="E2999" i="1"/>
  <c r="D2999" i="1"/>
  <c r="B2999" i="1"/>
  <c r="A2999" i="1"/>
  <c r="J1784" i="1"/>
  <c r="I1784" i="1"/>
  <c r="H1784" i="1"/>
  <c r="G1784" i="1"/>
  <c r="F1784" i="1"/>
  <c r="E1784" i="1"/>
  <c r="D1784" i="1"/>
  <c r="B1784" i="1"/>
  <c r="A1784" i="1"/>
  <c r="L1008" i="1"/>
  <c r="J1008" i="1"/>
  <c r="I1008" i="1"/>
  <c r="H1008" i="1"/>
  <c r="G1008" i="1"/>
  <c r="F1008" i="1"/>
  <c r="E1008" i="1"/>
  <c r="D1008" i="1"/>
  <c r="B1008" i="1"/>
  <c r="A1008" i="1"/>
  <c r="L2719" i="1"/>
  <c r="J2719" i="1"/>
  <c r="I2719" i="1"/>
  <c r="H2719" i="1"/>
  <c r="G2719" i="1"/>
  <c r="F2719" i="1"/>
  <c r="E2719" i="1"/>
  <c r="D2719" i="1"/>
  <c r="B2719" i="1"/>
  <c r="A2719" i="1"/>
  <c r="J1783" i="1"/>
  <c r="I1783" i="1"/>
  <c r="H1783" i="1"/>
  <c r="G1783" i="1"/>
  <c r="F1783" i="1"/>
  <c r="E1783" i="1"/>
  <c r="D1783" i="1"/>
  <c r="B1783" i="1"/>
  <c r="A1783" i="1"/>
  <c r="J1782" i="1"/>
  <c r="I1782" i="1"/>
  <c r="H1782" i="1"/>
  <c r="G1782" i="1"/>
  <c r="F1782" i="1"/>
  <c r="E1782" i="1"/>
  <c r="D1782" i="1"/>
  <c r="B1782" i="1"/>
  <c r="A1782" i="1"/>
  <c r="L1781" i="1"/>
  <c r="J1781" i="1"/>
  <c r="I1781" i="1"/>
  <c r="H1781" i="1"/>
  <c r="G1781" i="1"/>
  <c r="F1781" i="1"/>
  <c r="E1781" i="1"/>
  <c r="D1781" i="1"/>
  <c r="B1781" i="1"/>
  <c r="A1781" i="1"/>
  <c r="L2255" i="1"/>
  <c r="K2255" i="1"/>
  <c r="J2255" i="1"/>
  <c r="I2255" i="1"/>
  <c r="H2255" i="1"/>
  <c r="G2255" i="1"/>
  <c r="F2255" i="1"/>
  <c r="E2255" i="1"/>
  <c r="D2255" i="1"/>
  <c r="B2255" i="1"/>
  <c r="A2255" i="1"/>
  <c r="J1780" i="1"/>
  <c r="I1780" i="1"/>
  <c r="H1780" i="1"/>
  <c r="G1780" i="1"/>
  <c r="F1780" i="1"/>
  <c r="E1780" i="1"/>
  <c r="D1780" i="1"/>
  <c r="B1780" i="1"/>
  <c r="A1780" i="1"/>
  <c r="L870" i="1"/>
  <c r="J870" i="1"/>
  <c r="I870" i="1"/>
  <c r="H870" i="1"/>
  <c r="G870" i="1"/>
  <c r="F870" i="1"/>
  <c r="E870" i="1"/>
  <c r="D870" i="1"/>
  <c r="B870" i="1"/>
  <c r="A870" i="1"/>
  <c r="L2076" i="1"/>
  <c r="J2076" i="1"/>
  <c r="I2076" i="1"/>
  <c r="H2076" i="1"/>
  <c r="G2076" i="1"/>
  <c r="F2076" i="1"/>
  <c r="E2076" i="1"/>
  <c r="D2076" i="1"/>
  <c r="B2076" i="1"/>
  <c r="A2076" i="1"/>
  <c r="L2718" i="1"/>
  <c r="J2718" i="1"/>
  <c r="I2718" i="1"/>
  <c r="H2718" i="1"/>
  <c r="G2718" i="1"/>
  <c r="F2718" i="1"/>
  <c r="E2718" i="1"/>
  <c r="D2718" i="1"/>
  <c r="B2718" i="1"/>
  <c r="A2718" i="1"/>
  <c r="L1382" i="1"/>
  <c r="J1382" i="1"/>
  <c r="I1382" i="1"/>
  <c r="H1382" i="1"/>
  <c r="G1382" i="1"/>
  <c r="F1382" i="1"/>
  <c r="E1382" i="1"/>
  <c r="D1382" i="1"/>
  <c r="B1382" i="1"/>
  <c r="A1382" i="1"/>
  <c r="L318" i="1"/>
  <c r="K318" i="1"/>
  <c r="J318" i="1"/>
  <c r="I318" i="1"/>
  <c r="H318" i="1"/>
  <c r="G318" i="1"/>
  <c r="F318" i="1"/>
  <c r="E318" i="1"/>
  <c r="D318" i="1"/>
  <c r="B318" i="1"/>
  <c r="A318" i="1"/>
  <c r="L1175" i="1"/>
  <c r="J1175" i="1"/>
  <c r="I1175" i="1"/>
  <c r="H1175" i="1"/>
  <c r="G1175" i="1"/>
  <c r="F1175" i="1"/>
  <c r="E1175" i="1"/>
  <c r="D1175" i="1"/>
  <c r="B1175" i="1"/>
  <c r="A1175" i="1"/>
  <c r="L2998" i="1"/>
  <c r="J2998" i="1"/>
  <c r="I2998" i="1"/>
  <c r="H2998" i="1"/>
  <c r="G2998" i="1"/>
  <c r="F2998" i="1"/>
  <c r="E2998" i="1"/>
  <c r="D2998" i="1"/>
  <c r="B2998" i="1"/>
  <c r="A2998" i="1"/>
  <c r="L584" i="1"/>
  <c r="K584" i="1"/>
  <c r="J584" i="1"/>
  <c r="I584" i="1"/>
  <c r="H584" i="1"/>
  <c r="G584" i="1"/>
  <c r="F584" i="1"/>
  <c r="E584" i="1"/>
  <c r="D584" i="1"/>
  <c r="B584" i="1"/>
  <c r="A584" i="1"/>
  <c r="L317" i="1"/>
  <c r="J317" i="1"/>
  <c r="I317" i="1"/>
  <c r="H317" i="1"/>
  <c r="G317" i="1"/>
  <c r="F317" i="1"/>
  <c r="E317" i="1"/>
  <c r="D317" i="1"/>
  <c r="B317" i="1"/>
  <c r="A317" i="1"/>
  <c r="L1007" i="1"/>
  <c r="J1007" i="1"/>
  <c r="I1007" i="1"/>
  <c r="H1007" i="1"/>
  <c r="G1007" i="1"/>
  <c r="F1007" i="1"/>
  <c r="E1007" i="1"/>
  <c r="D1007" i="1"/>
  <c r="B1007" i="1"/>
  <c r="A1007" i="1"/>
  <c r="L2717" i="1"/>
  <c r="J2717" i="1"/>
  <c r="I2717" i="1"/>
  <c r="H2717" i="1"/>
  <c r="G2717" i="1"/>
  <c r="F2717" i="1"/>
  <c r="E2717" i="1"/>
  <c r="D2717" i="1"/>
  <c r="B2717" i="1"/>
  <c r="A2717" i="1"/>
  <c r="J1779" i="1"/>
  <c r="I1779" i="1"/>
  <c r="H1779" i="1"/>
  <c r="G1779" i="1"/>
  <c r="F1779" i="1"/>
  <c r="E1779" i="1"/>
  <c r="D1779" i="1"/>
  <c r="B1779" i="1"/>
  <c r="A1779" i="1"/>
  <c r="J1778" i="1"/>
  <c r="I1778" i="1"/>
  <c r="H1778" i="1"/>
  <c r="G1778" i="1"/>
  <c r="F1778" i="1"/>
  <c r="E1778" i="1"/>
  <c r="D1778" i="1"/>
  <c r="B1778" i="1"/>
  <c r="A1778" i="1"/>
  <c r="L1777" i="1"/>
  <c r="K1777" i="1"/>
  <c r="J1777" i="1"/>
  <c r="I1777" i="1"/>
  <c r="H1777" i="1"/>
  <c r="G1777" i="1"/>
  <c r="F1777" i="1"/>
  <c r="E1777" i="1"/>
  <c r="D1777" i="1"/>
  <c r="B1777" i="1"/>
  <c r="A1777" i="1"/>
  <c r="L1776" i="1"/>
  <c r="K1776" i="1"/>
  <c r="J1776" i="1"/>
  <c r="I1776" i="1"/>
  <c r="H1776" i="1"/>
  <c r="G1776" i="1"/>
  <c r="F1776" i="1"/>
  <c r="E1776" i="1"/>
  <c r="D1776" i="1"/>
  <c r="B1776" i="1"/>
  <c r="A1776" i="1"/>
  <c r="L1775" i="1"/>
  <c r="K1775" i="1"/>
  <c r="J1775" i="1"/>
  <c r="I1775" i="1"/>
  <c r="H1775" i="1"/>
  <c r="G1775" i="1"/>
  <c r="F1775" i="1"/>
  <c r="E1775" i="1"/>
  <c r="D1775" i="1"/>
  <c r="B1775" i="1"/>
  <c r="A1775" i="1"/>
  <c r="L1774" i="1"/>
  <c r="K1774" i="1"/>
  <c r="J1774" i="1"/>
  <c r="I1774" i="1"/>
  <c r="H1774" i="1"/>
  <c r="G1774" i="1"/>
  <c r="F1774" i="1"/>
  <c r="E1774" i="1"/>
  <c r="D1774" i="1"/>
  <c r="B1774" i="1"/>
  <c r="A1774" i="1"/>
  <c r="L1773" i="1"/>
  <c r="K1773" i="1"/>
  <c r="J1773" i="1"/>
  <c r="I1773" i="1"/>
  <c r="H1773" i="1"/>
  <c r="G1773" i="1"/>
  <c r="F1773" i="1"/>
  <c r="E1773" i="1"/>
  <c r="D1773" i="1"/>
  <c r="B1773" i="1"/>
  <c r="A1773" i="1"/>
  <c r="L1772" i="1"/>
  <c r="K1772" i="1"/>
  <c r="J1772" i="1"/>
  <c r="I1772" i="1"/>
  <c r="H1772" i="1"/>
  <c r="G1772" i="1"/>
  <c r="F1772" i="1"/>
  <c r="E1772" i="1"/>
  <c r="D1772" i="1"/>
  <c r="B1772" i="1"/>
  <c r="A1772" i="1"/>
  <c r="L1771" i="1"/>
  <c r="K1771" i="1"/>
  <c r="J1771" i="1"/>
  <c r="I1771" i="1"/>
  <c r="H1771" i="1"/>
  <c r="G1771" i="1"/>
  <c r="F1771" i="1"/>
  <c r="E1771" i="1"/>
  <c r="D1771" i="1"/>
  <c r="B1771" i="1"/>
  <c r="A1771" i="1"/>
  <c r="L1770" i="1"/>
  <c r="K1770" i="1"/>
  <c r="J1770" i="1"/>
  <c r="I1770" i="1"/>
  <c r="H1770" i="1"/>
  <c r="G1770" i="1"/>
  <c r="F1770" i="1"/>
  <c r="E1770" i="1"/>
  <c r="D1770" i="1"/>
  <c r="B1770" i="1"/>
  <c r="A1770" i="1"/>
  <c r="L1769" i="1"/>
  <c r="K1769" i="1"/>
  <c r="J1769" i="1"/>
  <c r="I1769" i="1"/>
  <c r="H1769" i="1"/>
  <c r="G1769" i="1"/>
  <c r="F1769" i="1"/>
  <c r="E1769" i="1"/>
  <c r="D1769" i="1"/>
  <c r="B1769" i="1"/>
  <c r="A1769" i="1"/>
  <c r="L1768" i="1"/>
  <c r="K1768" i="1"/>
  <c r="J1768" i="1"/>
  <c r="I1768" i="1"/>
  <c r="H1768" i="1"/>
  <c r="G1768" i="1"/>
  <c r="F1768" i="1"/>
  <c r="E1768" i="1"/>
  <c r="D1768" i="1"/>
  <c r="B1768" i="1"/>
  <c r="A1768" i="1"/>
  <c r="L1767" i="1"/>
  <c r="K1767" i="1"/>
  <c r="J1767" i="1"/>
  <c r="I1767" i="1"/>
  <c r="H1767" i="1"/>
  <c r="G1767" i="1"/>
  <c r="F1767" i="1"/>
  <c r="E1767" i="1"/>
  <c r="D1767" i="1"/>
  <c r="B1767" i="1"/>
  <c r="A1767" i="1"/>
  <c r="L757" i="1"/>
  <c r="J757" i="1"/>
  <c r="I757" i="1"/>
  <c r="H757" i="1"/>
  <c r="G757" i="1"/>
  <c r="F757" i="1"/>
  <c r="E757" i="1"/>
  <c r="D757" i="1"/>
  <c r="B757" i="1"/>
  <c r="A757" i="1"/>
  <c r="L2254" i="1"/>
  <c r="J2254" i="1"/>
  <c r="I2254" i="1"/>
  <c r="H2254" i="1"/>
  <c r="G2254" i="1"/>
  <c r="F2254" i="1"/>
  <c r="E2254" i="1"/>
  <c r="D2254" i="1"/>
  <c r="B2254" i="1"/>
  <c r="A2254" i="1"/>
  <c r="L1766" i="1"/>
  <c r="K1766" i="1"/>
  <c r="J1766" i="1"/>
  <c r="I1766" i="1"/>
  <c r="H1766" i="1"/>
  <c r="G1766" i="1"/>
  <c r="F1766" i="1"/>
  <c r="E1766" i="1"/>
  <c r="D1766" i="1"/>
  <c r="B1766" i="1"/>
  <c r="A1766" i="1"/>
  <c r="L1765" i="1"/>
  <c r="K1765" i="1"/>
  <c r="J1765" i="1"/>
  <c r="I1765" i="1"/>
  <c r="H1765" i="1"/>
  <c r="G1765" i="1"/>
  <c r="F1765" i="1"/>
  <c r="E1765" i="1"/>
  <c r="D1765" i="1"/>
  <c r="B1765" i="1"/>
  <c r="A1765" i="1"/>
  <c r="L1764" i="1"/>
  <c r="K1764" i="1"/>
  <c r="J1764" i="1"/>
  <c r="I1764" i="1"/>
  <c r="H1764" i="1"/>
  <c r="G1764" i="1"/>
  <c r="F1764" i="1"/>
  <c r="E1764" i="1"/>
  <c r="D1764" i="1"/>
  <c r="B1764" i="1"/>
  <c r="A1764" i="1"/>
  <c r="L1763" i="1"/>
  <c r="K1763" i="1"/>
  <c r="J1763" i="1"/>
  <c r="I1763" i="1"/>
  <c r="H1763" i="1"/>
  <c r="G1763" i="1"/>
  <c r="F1763" i="1"/>
  <c r="E1763" i="1"/>
  <c r="D1763" i="1"/>
  <c r="B1763" i="1"/>
  <c r="A1763" i="1"/>
  <c r="L1762" i="1"/>
  <c r="K1762" i="1"/>
  <c r="J1762" i="1"/>
  <c r="I1762" i="1"/>
  <c r="H1762" i="1"/>
  <c r="G1762" i="1"/>
  <c r="F1762" i="1"/>
  <c r="E1762" i="1"/>
  <c r="D1762" i="1"/>
  <c r="B1762" i="1"/>
  <c r="A1762" i="1"/>
  <c r="L2997" i="1"/>
  <c r="J2997" i="1"/>
  <c r="I2997" i="1"/>
  <c r="H2997" i="1"/>
  <c r="G2997" i="1"/>
  <c r="F2997" i="1"/>
  <c r="E2997" i="1"/>
  <c r="D2997" i="1"/>
  <c r="B2997" i="1"/>
  <c r="A2997" i="1"/>
  <c r="L316" i="1"/>
  <c r="J316" i="1"/>
  <c r="I316" i="1"/>
  <c r="H316" i="1"/>
  <c r="G316" i="1"/>
  <c r="F316" i="1"/>
  <c r="E316" i="1"/>
  <c r="D316" i="1"/>
  <c r="B316" i="1"/>
  <c r="A316" i="1"/>
  <c r="L2996" i="1"/>
  <c r="J2996" i="1"/>
  <c r="I2996" i="1"/>
  <c r="H2996" i="1"/>
  <c r="G2996" i="1"/>
  <c r="F2996" i="1"/>
  <c r="E2996" i="1"/>
  <c r="D2996" i="1"/>
  <c r="B2996" i="1"/>
  <c r="A2996" i="1"/>
  <c r="L1006" i="1"/>
  <c r="J1006" i="1"/>
  <c r="I1006" i="1"/>
  <c r="H1006" i="1"/>
  <c r="G1006" i="1"/>
  <c r="F1006" i="1"/>
  <c r="E1006" i="1"/>
  <c r="D1006" i="1"/>
  <c r="B1006" i="1"/>
  <c r="A1006" i="1"/>
  <c r="L2716" i="1"/>
  <c r="J2716" i="1"/>
  <c r="I2716" i="1"/>
  <c r="H2716" i="1"/>
  <c r="G2716" i="1"/>
  <c r="F2716" i="1"/>
  <c r="E2716" i="1"/>
  <c r="D2716" i="1"/>
  <c r="B2716" i="1"/>
  <c r="A2716" i="1"/>
  <c r="L315" i="1"/>
  <c r="J315" i="1"/>
  <c r="I315" i="1"/>
  <c r="H315" i="1"/>
  <c r="G315" i="1"/>
  <c r="F315" i="1"/>
  <c r="E315" i="1"/>
  <c r="D315" i="1"/>
  <c r="B315" i="1"/>
  <c r="A315" i="1"/>
  <c r="L2995" i="1"/>
  <c r="J2995" i="1"/>
  <c r="I2995" i="1"/>
  <c r="H2995" i="1"/>
  <c r="G2995" i="1"/>
  <c r="F2995" i="1"/>
  <c r="E2995" i="1"/>
  <c r="D2995" i="1"/>
  <c r="B2995" i="1"/>
  <c r="A2995" i="1"/>
  <c r="L314" i="1"/>
  <c r="J314" i="1"/>
  <c r="I314" i="1"/>
  <c r="H314" i="1"/>
  <c r="G314" i="1"/>
  <c r="F314" i="1"/>
  <c r="E314" i="1"/>
  <c r="D314" i="1"/>
  <c r="B314" i="1"/>
  <c r="A314" i="1"/>
  <c r="L2994" i="1"/>
  <c r="J2994" i="1"/>
  <c r="I2994" i="1"/>
  <c r="H2994" i="1"/>
  <c r="G2994" i="1"/>
  <c r="F2994" i="1"/>
  <c r="E2994" i="1"/>
  <c r="D2994" i="1"/>
  <c r="B2994" i="1"/>
  <c r="A2994" i="1"/>
  <c r="L1005" i="1"/>
  <c r="J1005" i="1"/>
  <c r="I1005" i="1"/>
  <c r="H1005" i="1"/>
  <c r="G1005" i="1"/>
  <c r="F1005" i="1"/>
  <c r="E1005" i="1"/>
  <c r="D1005" i="1"/>
  <c r="B1005" i="1"/>
  <c r="A1005" i="1"/>
  <c r="L2715" i="1"/>
  <c r="J2715" i="1"/>
  <c r="I2715" i="1"/>
  <c r="H2715" i="1"/>
  <c r="G2715" i="1"/>
  <c r="F2715" i="1"/>
  <c r="E2715" i="1"/>
  <c r="D2715" i="1"/>
  <c r="B2715" i="1"/>
  <c r="A2715" i="1"/>
  <c r="L313" i="1"/>
  <c r="J313" i="1"/>
  <c r="I313" i="1"/>
  <c r="H313" i="1"/>
  <c r="G313" i="1"/>
  <c r="F313" i="1"/>
  <c r="E313" i="1"/>
  <c r="D313" i="1"/>
  <c r="B313" i="1"/>
  <c r="A313" i="1"/>
  <c r="L1004" i="1"/>
  <c r="J1004" i="1"/>
  <c r="I1004" i="1"/>
  <c r="H1004" i="1"/>
  <c r="G1004" i="1"/>
  <c r="F1004" i="1"/>
  <c r="E1004" i="1"/>
  <c r="D1004" i="1"/>
  <c r="B1004" i="1"/>
  <c r="A1004" i="1"/>
  <c r="L2714" i="1"/>
  <c r="J2714" i="1"/>
  <c r="I2714" i="1"/>
  <c r="H2714" i="1"/>
  <c r="G2714" i="1"/>
  <c r="F2714" i="1"/>
  <c r="E2714" i="1"/>
  <c r="D2714" i="1"/>
  <c r="B2714" i="1"/>
  <c r="A2714" i="1"/>
  <c r="L1003" i="1"/>
  <c r="J1003" i="1"/>
  <c r="I1003" i="1"/>
  <c r="H1003" i="1"/>
  <c r="G1003" i="1"/>
  <c r="F1003" i="1"/>
  <c r="E1003" i="1"/>
  <c r="D1003" i="1"/>
  <c r="B1003" i="1"/>
  <c r="A1003" i="1"/>
  <c r="L2713" i="1"/>
  <c r="J2713" i="1"/>
  <c r="I2713" i="1"/>
  <c r="H2713" i="1"/>
  <c r="G2713" i="1"/>
  <c r="F2713" i="1"/>
  <c r="E2713" i="1"/>
  <c r="D2713" i="1"/>
  <c r="B2713" i="1"/>
  <c r="A2713" i="1"/>
  <c r="L1761" i="1"/>
  <c r="K1761" i="1"/>
  <c r="J1761" i="1"/>
  <c r="I1761" i="1"/>
  <c r="H1761" i="1"/>
  <c r="G1761" i="1"/>
  <c r="F1761" i="1"/>
  <c r="E1761" i="1"/>
  <c r="D1761" i="1"/>
  <c r="B1761" i="1"/>
  <c r="A1761" i="1"/>
  <c r="L1760" i="1"/>
  <c r="K1760" i="1"/>
  <c r="J1760" i="1"/>
  <c r="I1760" i="1"/>
  <c r="H1760" i="1"/>
  <c r="G1760" i="1"/>
  <c r="F1760" i="1"/>
  <c r="E1760" i="1"/>
  <c r="D1760" i="1"/>
  <c r="B1760" i="1"/>
  <c r="A1760" i="1"/>
  <c r="L1759" i="1"/>
  <c r="J1759" i="1"/>
  <c r="I1759" i="1"/>
  <c r="H1759" i="1"/>
  <c r="G1759" i="1"/>
  <c r="F1759" i="1"/>
  <c r="E1759" i="1"/>
  <c r="D1759" i="1"/>
  <c r="B1759" i="1"/>
  <c r="A1759" i="1"/>
  <c r="L2712" i="1"/>
  <c r="J2712" i="1"/>
  <c r="I2712" i="1"/>
  <c r="H2712" i="1"/>
  <c r="G2712" i="1"/>
  <c r="F2712" i="1"/>
  <c r="E2712" i="1"/>
  <c r="D2712" i="1"/>
  <c r="B2712" i="1"/>
  <c r="A2712" i="1"/>
  <c r="L756" i="1"/>
  <c r="J756" i="1"/>
  <c r="I756" i="1"/>
  <c r="H756" i="1"/>
  <c r="G756" i="1"/>
  <c r="F756" i="1"/>
  <c r="E756" i="1"/>
  <c r="D756" i="1"/>
  <c r="B756" i="1"/>
  <c r="A756" i="1"/>
  <c r="L2253" i="1"/>
  <c r="J2253" i="1"/>
  <c r="I2253" i="1"/>
  <c r="H2253" i="1"/>
  <c r="G2253" i="1"/>
  <c r="F2253" i="1"/>
  <c r="E2253" i="1"/>
  <c r="D2253" i="1"/>
  <c r="B2253" i="1"/>
  <c r="A2253" i="1"/>
  <c r="L2993" i="1"/>
  <c r="J2993" i="1"/>
  <c r="I2993" i="1"/>
  <c r="H2993" i="1"/>
  <c r="G2993" i="1"/>
  <c r="F2993" i="1"/>
  <c r="E2993" i="1"/>
  <c r="D2993" i="1"/>
  <c r="B2993" i="1"/>
  <c r="A2993" i="1"/>
  <c r="L312" i="1"/>
  <c r="J312" i="1"/>
  <c r="I312" i="1"/>
  <c r="H312" i="1"/>
  <c r="G312" i="1"/>
  <c r="F312" i="1"/>
  <c r="E312" i="1"/>
  <c r="D312" i="1"/>
  <c r="B312" i="1"/>
  <c r="A312" i="1"/>
  <c r="L2992" i="1"/>
  <c r="J2992" i="1"/>
  <c r="I2992" i="1"/>
  <c r="H2992" i="1"/>
  <c r="G2992" i="1"/>
  <c r="F2992" i="1"/>
  <c r="E2992" i="1"/>
  <c r="D2992" i="1"/>
  <c r="B2992" i="1"/>
  <c r="A2992" i="1"/>
  <c r="J1758" i="1"/>
  <c r="I1758" i="1"/>
  <c r="H1758" i="1"/>
  <c r="G1758" i="1"/>
  <c r="F1758" i="1"/>
  <c r="E1758" i="1"/>
  <c r="D1758" i="1"/>
  <c r="B1758" i="1"/>
  <c r="A1758" i="1"/>
  <c r="L1757" i="1"/>
  <c r="J1757" i="1"/>
  <c r="I1757" i="1"/>
  <c r="H1757" i="1"/>
  <c r="G1757" i="1"/>
  <c r="F1757" i="1"/>
  <c r="E1757" i="1"/>
  <c r="D1757" i="1"/>
  <c r="B1757" i="1"/>
  <c r="A1757" i="1"/>
  <c r="J1756" i="1"/>
  <c r="I1756" i="1"/>
  <c r="H1756" i="1"/>
  <c r="G1756" i="1"/>
  <c r="F1756" i="1"/>
  <c r="E1756" i="1"/>
  <c r="D1756" i="1"/>
  <c r="B1756" i="1"/>
  <c r="A1756" i="1"/>
  <c r="L311" i="1"/>
  <c r="J311" i="1"/>
  <c r="I311" i="1"/>
  <c r="H311" i="1"/>
  <c r="G311" i="1"/>
  <c r="F311" i="1"/>
  <c r="E311" i="1"/>
  <c r="D311" i="1"/>
  <c r="B311" i="1"/>
  <c r="A311" i="1"/>
  <c r="L1002" i="1"/>
  <c r="J1002" i="1"/>
  <c r="I1002" i="1"/>
  <c r="H1002" i="1"/>
  <c r="G1002" i="1"/>
  <c r="F1002" i="1"/>
  <c r="E1002" i="1"/>
  <c r="D1002" i="1"/>
  <c r="B1002" i="1"/>
  <c r="A1002" i="1"/>
  <c r="L2711" i="1"/>
  <c r="J2711" i="1"/>
  <c r="I2711" i="1"/>
  <c r="H2711" i="1"/>
  <c r="G2711" i="1"/>
  <c r="F2711" i="1"/>
  <c r="E2711" i="1"/>
  <c r="D2711" i="1"/>
  <c r="B2711" i="1"/>
  <c r="A2711" i="1"/>
  <c r="J1755" i="1"/>
  <c r="I1755" i="1"/>
  <c r="H1755" i="1"/>
  <c r="G1755" i="1"/>
  <c r="F1755" i="1"/>
  <c r="E1755" i="1"/>
  <c r="D1755" i="1"/>
  <c r="B1755" i="1"/>
  <c r="A1755" i="1"/>
  <c r="L2991" i="1"/>
  <c r="J2991" i="1"/>
  <c r="I2991" i="1"/>
  <c r="H2991" i="1"/>
  <c r="G2991" i="1"/>
  <c r="F2991" i="1"/>
  <c r="E2991" i="1"/>
  <c r="D2991" i="1"/>
  <c r="B2991" i="1"/>
  <c r="A2991" i="1"/>
  <c r="L310" i="1"/>
  <c r="J310" i="1"/>
  <c r="I310" i="1"/>
  <c r="H310" i="1"/>
  <c r="G310" i="1"/>
  <c r="F310" i="1"/>
  <c r="E310" i="1"/>
  <c r="D310" i="1"/>
  <c r="B310" i="1"/>
  <c r="A310" i="1"/>
  <c r="L2990" i="1"/>
  <c r="J2990" i="1"/>
  <c r="I2990" i="1"/>
  <c r="H2990" i="1"/>
  <c r="G2990" i="1"/>
  <c r="F2990" i="1"/>
  <c r="E2990" i="1"/>
  <c r="D2990" i="1"/>
  <c r="B2990" i="1"/>
  <c r="A2990" i="1"/>
  <c r="J1754" i="1"/>
  <c r="I1754" i="1"/>
  <c r="H1754" i="1"/>
  <c r="G1754" i="1"/>
  <c r="F1754" i="1"/>
  <c r="E1754" i="1"/>
  <c r="D1754" i="1"/>
  <c r="B1754" i="1"/>
  <c r="A1754" i="1"/>
  <c r="J1753" i="1"/>
  <c r="I1753" i="1"/>
  <c r="H1753" i="1"/>
  <c r="G1753" i="1"/>
  <c r="F1753" i="1"/>
  <c r="E1753" i="1"/>
  <c r="D1753" i="1"/>
  <c r="B1753" i="1"/>
  <c r="A1753" i="1"/>
  <c r="L1001" i="1"/>
  <c r="J1001" i="1"/>
  <c r="I1001" i="1"/>
  <c r="H1001" i="1"/>
  <c r="G1001" i="1"/>
  <c r="F1001" i="1"/>
  <c r="E1001" i="1"/>
  <c r="D1001" i="1"/>
  <c r="B1001" i="1"/>
  <c r="A1001" i="1"/>
  <c r="L2710" i="1"/>
  <c r="J2710" i="1"/>
  <c r="I2710" i="1"/>
  <c r="H2710" i="1"/>
  <c r="G2710" i="1"/>
  <c r="F2710" i="1"/>
  <c r="E2710" i="1"/>
  <c r="D2710" i="1"/>
  <c r="B2710" i="1"/>
  <c r="A2710" i="1"/>
  <c r="L1000" i="1"/>
  <c r="J1000" i="1"/>
  <c r="I1000" i="1"/>
  <c r="H1000" i="1"/>
  <c r="G1000" i="1"/>
  <c r="F1000" i="1"/>
  <c r="E1000" i="1"/>
  <c r="D1000" i="1"/>
  <c r="B1000" i="1"/>
  <c r="A1000" i="1"/>
  <c r="L2709" i="1"/>
  <c r="J2709" i="1"/>
  <c r="I2709" i="1"/>
  <c r="H2709" i="1"/>
  <c r="G2709" i="1"/>
  <c r="F2709" i="1"/>
  <c r="E2709" i="1"/>
  <c r="D2709" i="1"/>
  <c r="B2709" i="1"/>
  <c r="A2709" i="1"/>
  <c r="J1752" i="1"/>
  <c r="I1752" i="1"/>
  <c r="H1752" i="1"/>
  <c r="G1752" i="1"/>
  <c r="F1752" i="1"/>
  <c r="E1752" i="1"/>
  <c r="D1752" i="1"/>
  <c r="B1752" i="1"/>
  <c r="A1752" i="1"/>
  <c r="L755" i="1"/>
  <c r="J755" i="1"/>
  <c r="I755" i="1"/>
  <c r="H755" i="1"/>
  <c r="G755" i="1"/>
  <c r="F755" i="1"/>
  <c r="E755" i="1"/>
  <c r="D755" i="1"/>
  <c r="B755" i="1"/>
  <c r="A755" i="1"/>
  <c r="L2252" i="1"/>
  <c r="J2252" i="1"/>
  <c r="I2252" i="1"/>
  <c r="H2252" i="1"/>
  <c r="G2252" i="1"/>
  <c r="F2252" i="1"/>
  <c r="E2252" i="1"/>
  <c r="D2252" i="1"/>
  <c r="B2252" i="1"/>
  <c r="A2252" i="1"/>
  <c r="L309" i="1"/>
  <c r="J309" i="1"/>
  <c r="I309" i="1"/>
  <c r="H309" i="1"/>
  <c r="G309" i="1"/>
  <c r="F309" i="1"/>
  <c r="E309" i="1"/>
  <c r="D309" i="1"/>
  <c r="B309" i="1"/>
  <c r="A309" i="1"/>
  <c r="L2989" i="1"/>
  <c r="J2989" i="1"/>
  <c r="I2989" i="1"/>
  <c r="H2989" i="1"/>
  <c r="G2989" i="1"/>
  <c r="F2989" i="1"/>
  <c r="E2989" i="1"/>
  <c r="D2989" i="1"/>
  <c r="B2989" i="1"/>
  <c r="A2989" i="1"/>
  <c r="L999" i="1"/>
  <c r="J999" i="1"/>
  <c r="I999" i="1"/>
  <c r="H999" i="1"/>
  <c r="G999" i="1"/>
  <c r="F999" i="1"/>
  <c r="E999" i="1"/>
  <c r="D999" i="1"/>
  <c r="B999" i="1"/>
  <c r="A999" i="1"/>
  <c r="L2708" i="1"/>
  <c r="J2708" i="1"/>
  <c r="I2708" i="1"/>
  <c r="H2708" i="1"/>
  <c r="G2708" i="1"/>
  <c r="F2708" i="1"/>
  <c r="E2708" i="1"/>
  <c r="D2708" i="1"/>
  <c r="B2708" i="1"/>
  <c r="A2708" i="1"/>
  <c r="J1751" i="1"/>
  <c r="I1751" i="1"/>
  <c r="H1751" i="1"/>
  <c r="G1751" i="1"/>
  <c r="F1751" i="1"/>
  <c r="E1751" i="1"/>
  <c r="D1751" i="1"/>
  <c r="B1751" i="1"/>
  <c r="A1751" i="1"/>
  <c r="L998" i="1"/>
  <c r="J998" i="1"/>
  <c r="I998" i="1"/>
  <c r="H998" i="1"/>
  <c r="G998" i="1"/>
  <c r="F998" i="1"/>
  <c r="E998" i="1"/>
  <c r="D998" i="1"/>
  <c r="B998" i="1"/>
  <c r="A998" i="1"/>
  <c r="L2707" i="1"/>
  <c r="J2707" i="1"/>
  <c r="I2707" i="1"/>
  <c r="H2707" i="1"/>
  <c r="G2707" i="1"/>
  <c r="F2707" i="1"/>
  <c r="E2707" i="1"/>
  <c r="D2707" i="1"/>
  <c r="B2707" i="1"/>
  <c r="A2707" i="1"/>
  <c r="L1750" i="1"/>
  <c r="K1750" i="1"/>
  <c r="J1750" i="1"/>
  <c r="I1750" i="1"/>
  <c r="H1750" i="1"/>
  <c r="G1750" i="1"/>
  <c r="F1750" i="1"/>
  <c r="E1750" i="1"/>
  <c r="D1750" i="1"/>
  <c r="B1750" i="1"/>
  <c r="A1750" i="1"/>
  <c r="L1749" i="1"/>
  <c r="K1749" i="1"/>
  <c r="J1749" i="1"/>
  <c r="I1749" i="1"/>
  <c r="H1749" i="1"/>
  <c r="G1749" i="1"/>
  <c r="F1749" i="1"/>
  <c r="E1749" i="1"/>
  <c r="D1749" i="1"/>
  <c r="B1749" i="1"/>
  <c r="A1749" i="1"/>
  <c r="L997" i="1"/>
  <c r="J997" i="1"/>
  <c r="I997" i="1"/>
  <c r="H997" i="1"/>
  <c r="G997" i="1"/>
  <c r="F997" i="1"/>
  <c r="E997" i="1"/>
  <c r="D997" i="1"/>
  <c r="B997" i="1"/>
  <c r="A997" i="1"/>
  <c r="L2706" i="1"/>
  <c r="J2706" i="1"/>
  <c r="I2706" i="1"/>
  <c r="H2706" i="1"/>
  <c r="G2706" i="1"/>
  <c r="F2706" i="1"/>
  <c r="E2706" i="1"/>
  <c r="D2706" i="1"/>
  <c r="B2706" i="1"/>
  <c r="A2706" i="1"/>
  <c r="L1748" i="1"/>
  <c r="K1748" i="1"/>
  <c r="J1748" i="1"/>
  <c r="I1748" i="1"/>
  <c r="H1748" i="1"/>
  <c r="G1748" i="1"/>
  <c r="F1748" i="1"/>
  <c r="E1748" i="1"/>
  <c r="D1748" i="1"/>
  <c r="B1748" i="1"/>
  <c r="A1748" i="1"/>
  <c r="L1747" i="1"/>
  <c r="K1747" i="1"/>
  <c r="J1747" i="1"/>
  <c r="I1747" i="1"/>
  <c r="H1747" i="1"/>
  <c r="G1747" i="1"/>
  <c r="F1747" i="1"/>
  <c r="E1747" i="1"/>
  <c r="D1747" i="1"/>
  <c r="B1747" i="1"/>
  <c r="A1747" i="1"/>
  <c r="L996" i="1"/>
  <c r="J996" i="1"/>
  <c r="I996" i="1"/>
  <c r="H996" i="1"/>
  <c r="G996" i="1"/>
  <c r="F996" i="1"/>
  <c r="E996" i="1"/>
  <c r="D996" i="1"/>
  <c r="B996" i="1"/>
  <c r="A996" i="1"/>
  <c r="L2705" i="1"/>
  <c r="J2705" i="1"/>
  <c r="I2705" i="1"/>
  <c r="H2705" i="1"/>
  <c r="G2705" i="1"/>
  <c r="F2705" i="1"/>
  <c r="E2705" i="1"/>
  <c r="D2705" i="1"/>
  <c r="B2705" i="1"/>
  <c r="A2705" i="1"/>
  <c r="L1746" i="1"/>
  <c r="K1746" i="1"/>
  <c r="J1746" i="1"/>
  <c r="I1746" i="1"/>
  <c r="H1746" i="1"/>
  <c r="G1746" i="1"/>
  <c r="F1746" i="1"/>
  <c r="E1746" i="1"/>
  <c r="D1746" i="1"/>
  <c r="B1746" i="1"/>
  <c r="A1746" i="1"/>
  <c r="L1745" i="1"/>
  <c r="K1745" i="1"/>
  <c r="J1745" i="1"/>
  <c r="I1745" i="1"/>
  <c r="H1745" i="1"/>
  <c r="G1745" i="1"/>
  <c r="F1745" i="1"/>
  <c r="E1745" i="1"/>
  <c r="D1745" i="1"/>
  <c r="B1745" i="1"/>
  <c r="A1745" i="1"/>
  <c r="L1744" i="1"/>
  <c r="K1744" i="1"/>
  <c r="J1744" i="1"/>
  <c r="I1744" i="1"/>
  <c r="H1744" i="1"/>
  <c r="G1744" i="1"/>
  <c r="F1744" i="1"/>
  <c r="E1744" i="1"/>
  <c r="D1744" i="1"/>
  <c r="B1744" i="1"/>
  <c r="A1744" i="1"/>
  <c r="L995" i="1"/>
  <c r="J995" i="1"/>
  <c r="I995" i="1"/>
  <c r="H995" i="1"/>
  <c r="G995" i="1"/>
  <c r="F995" i="1"/>
  <c r="E995" i="1"/>
  <c r="D995" i="1"/>
  <c r="B995" i="1"/>
  <c r="A995" i="1"/>
  <c r="L2704" i="1"/>
  <c r="J2704" i="1"/>
  <c r="I2704" i="1"/>
  <c r="H2704" i="1"/>
  <c r="G2704" i="1"/>
  <c r="F2704" i="1"/>
  <c r="E2704" i="1"/>
  <c r="D2704" i="1"/>
  <c r="B2704" i="1"/>
  <c r="A2704" i="1"/>
  <c r="L1743" i="1"/>
  <c r="K1743" i="1"/>
  <c r="J1743" i="1"/>
  <c r="I1743" i="1"/>
  <c r="H1743" i="1"/>
  <c r="G1743" i="1"/>
  <c r="F1743" i="1"/>
  <c r="E1743" i="1"/>
  <c r="D1743" i="1"/>
  <c r="B1743" i="1"/>
  <c r="A1743" i="1"/>
  <c r="L1742" i="1"/>
  <c r="K1742" i="1"/>
  <c r="J1742" i="1"/>
  <c r="I1742" i="1"/>
  <c r="H1742" i="1"/>
  <c r="G1742" i="1"/>
  <c r="F1742" i="1"/>
  <c r="E1742" i="1"/>
  <c r="D1742" i="1"/>
  <c r="B1742" i="1"/>
  <c r="A1742" i="1"/>
  <c r="L1741" i="1"/>
  <c r="K1741" i="1"/>
  <c r="J1741" i="1"/>
  <c r="I1741" i="1"/>
  <c r="H1741" i="1"/>
  <c r="G1741" i="1"/>
  <c r="F1741" i="1"/>
  <c r="E1741" i="1"/>
  <c r="D1741" i="1"/>
  <c r="B1741" i="1"/>
  <c r="A1741" i="1"/>
  <c r="L1740" i="1"/>
  <c r="K1740" i="1"/>
  <c r="J1740" i="1"/>
  <c r="I1740" i="1"/>
  <c r="H1740" i="1"/>
  <c r="G1740" i="1"/>
  <c r="F1740" i="1"/>
  <c r="E1740" i="1"/>
  <c r="D1740" i="1"/>
  <c r="B1740" i="1"/>
  <c r="A1740" i="1"/>
  <c r="L994" i="1"/>
  <c r="J994" i="1"/>
  <c r="I994" i="1"/>
  <c r="H994" i="1"/>
  <c r="G994" i="1"/>
  <c r="F994" i="1"/>
  <c r="E994" i="1"/>
  <c r="D994" i="1"/>
  <c r="B994" i="1"/>
  <c r="A994" i="1"/>
  <c r="L2703" i="1"/>
  <c r="J2703" i="1"/>
  <c r="I2703" i="1"/>
  <c r="H2703" i="1"/>
  <c r="G2703" i="1"/>
  <c r="F2703" i="1"/>
  <c r="E2703" i="1"/>
  <c r="D2703" i="1"/>
  <c r="B2703" i="1"/>
  <c r="A2703" i="1"/>
  <c r="L993" i="1"/>
  <c r="J993" i="1"/>
  <c r="I993" i="1"/>
  <c r="H993" i="1"/>
  <c r="G993" i="1"/>
  <c r="F993" i="1"/>
  <c r="E993" i="1"/>
  <c r="D993" i="1"/>
  <c r="B993" i="1"/>
  <c r="A993" i="1"/>
  <c r="L2702" i="1"/>
  <c r="J2702" i="1"/>
  <c r="I2702" i="1"/>
  <c r="H2702" i="1"/>
  <c r="G2702" i="1"/>
  <c r="F2702" i="1"/>
  <c r="E2702" i="1"/>
  <c r="D2702" i="1"/>
  <c r="B2702" i="1"/>
  <c r="A2702" i="1"/>
  <c r="L1739" i="1"/>
  <c r="K1739" i="1"/>
  <c r="J1739" i="1"/>
  <c r="I1739" i="1"/>
  <c r="H1739" i="1"/>
  <c r="G1739" i="1"/>
  <c r="F1739" i="1"/>
  <c r="E1739" i="1"/>
  <c r="D1739" i="1"/>
  <c r="B1739" i="1"/>
  <c r="A1739" i="1"/>
  <c r="L308" i="1"/>
  <c r="J308" i="1"/>
  <c r="I308" i="1"/>
  <c r="H308" i="1"/>
  <c r="G308" i="1"/>
  <c r="F308" i="1"/>
  <c r="E308" i="1"/>
  <c r="D308" i="1"/>
  <c r="B308" i="1"/>
  <c r="A308" i="1"/>
  <c r="L2251" i="1"/>
  <c r="J2251" i="1"/>
  <c r="I2251" i="1"/>
  <c r="H2251" i="1"/>
  <c r="G2251" i="1"/>
  <c r="F2251" i="1"/>
  <c r="E2251" i="1"/>
  <c r="D2251" i="1"/>
  <c r="B2251" i="1"/>
  <c r="A2251" i="1"/>
  <c r="L1738" i="1"/>
  <c r="K1738" i="1"/>
  <c r="J1738" i="1"/>
  <c r="I1738" i="1"/>
  <c r="H1738" i="1"/>
  <c r="G1738" i="1"/>
  <c r="F1738" i="1"/>
  <c r="E1738" i="1"/>
  <c r="D1738" i="1"/>
  <c r="B1738" i="1"/>
  <c r="A1738" i="1"/>
  <c r="L1737" i="1"/>
  <c r="K1737" i="1"/>
  <c r="J1737" i="1"/>
  <c r="I1737" i="1"/>
  <c r="H1737" i="1"/>
  <c r="G1737" i="1"/>
  <c r="F1737" i="1"/>
  <c r="E1737" i="1"/>
  <c r="D1737" i="1"/>
  <c r="B1737" i="1"/>
  <c r="A1737" i="1"/>
  <c r="L307" i="1"/>
  <c r="J307" i="1"/>
  <c r="I307" i="1"/>
  <c r="H307" i="1"/>
  <c r="G307" i="1"/>
  <c r="F307" i="1"/>
  <c r="E307" i="1"/>
  <c r="D307" i="1"/>
  <c r="B307" i="1"/>
  <c r="A307" i="1"/>
  <c r="L754" i="1"/>
  <c r="J754" i="1"/>
  <c r="I754" i="1"/>
  <c r="H754" i="1"/>
  <c r="G754" i="1"/>
  <c r="F754" i="1"/>
  <c r="E754" i="1"/>
  <c r="D754" i="1"/>
  <c r="B754" i="1"/>
  <c r="A754" i="1"/>
  <c r="L2250" i="1"/>
  <c r="J2250" i="1"/>
  <c r="I2250" i="1"/>
  <c r="H2250" i="1"/>
  <c r="G2250" i="1"/>
  <c r="F2250" i="1"/>
  <c r="E2250" i="1"/>
  <c r="D2250" i="1"/>
  <c r="B2250" i="1"/>
  <c r="A2250" i="1"/>
  <c r="L1736" i="1"/>
  <c r="K1736" i="1"/>
  <c r="J1736" i="1"/>
  <c r="I1736" i="1"/>
  <c r="H1736" i="1"/>
  <c r="G1736" i="1"/>
  <c r="F1736" i="1"/>
  <c r="E1736" i="1"/>
  <c r="D1736" i="1"/>
  <c r="B1736" i="1"/>
  <c r="A1736" i="1"/>
  <c r="L992" i="1"/>
  <c r="J992" i="1"/>
  <c r="I992" i="1"/>
  <c r="H992" i="1"/>
  <c r="G992" i="1"/>
  <c r="F992" i="1"/>
  <c r="E992" i="1"/>
  <c r="D992" i="1"/>
  <c r="B992" i="1"/>
  <c r="A992" i="1"/>
  <c r="L2701" i="1"/>
  <c r="J2701" i="1"/>
  <c r="I2701" i="1"/>
  <c r="H2701" i="1"/>
  <c r="G2701" i="1"/>
  <c r="F2701" i="1"/>
  <c r="E2701" i="1"/>
  <c r="D2701" i="1"/>
  <c r="B2701" i="1"/>
  <c r="A2701" i="1"/>
  <c r="J1735" i="1"/>
  <c r="I1735" i="1"/>
  <c r="H1735" i="1"/>
  <c r="G1735" i="1"/>
  <c r="F1735" i="1"/>
  <c r="E1735" i="1"/>
  <c r="D1735" i="1"/>
  <c r="B1735" i="1"/>
  <c r="A1735" i="1"/>
  <c r="J1734" i="1"/>
  <c r="I1734" i="1"/>
  <c r="H1734" i="1"/>
  <c r="G1734" i="1"/>
  <c r="F1734" i="1"/>
  <c r="E1734" i="1"/>
  <c r="D1734" i="1"/>
  <c r="B1734" i="1"/>
  <c r="A1734" i="1"/>
  <c r="L2988" i="1"/>
  <c r="J2988" i="1"/>
  <c r="I2988" i="1"/>
  <c r="H2988" i="1"/>
  <c r="G2988" i="1"/>
  <c r="F2988" i="1"/>
  <c r="E2988" i="1"/>
  <c r="D2988" i="1"/>
  <c r="B2988" i="1"/>
  <c r="A2988" i="1"/>
  <c r="L306" i="1"/>
  <c r="J306" i="1"/>
  <c r="I306" i="1"/>
  <c r="H306" i="1"/>
  <c r="G306" i="1"/>
  <c r="F306" i="1"/>
  <c r="E306" i="1"/>
  <c r="D306" i="1"/>
  <c r="B306" i="1"/>
  <c r="A306" i="1"/>
  <c r="L2987" i="1"/>
  <c r="J2987" i="1"/>
  <c r="I2987" i="1"/>
  <c r="H2987" i="1"/>
  <c r="G2987" i="1"/>
  <c r="F2987" i="1"/>
  <c r="E2987" i="1"/>
  <c r="D2987" i="1"/>
  <c r="B2987" i="1"/>
  <c r="A2987" i="1"/>
  <c r="L2700" i="1"/>
  <c r="J2700" i="1"/>
  <c r="I2700" i="1"/>
  <c r="H2700" i="1"/>
  <c r="G2700" i="1"/>
  <c r="F2700" i="1"/>
  <c r="E2700" i="1"/>
  <c r="D2700" i="1"/>
  <c r="B2700" i="1"/>
  <c r="A2700" i="1"/>
  <c r="L991" i="1"/>
  <c r="J991" i="1"/>
  <c r="I991" i="1"/>
  <c r="H991" i="1"/>
  <c r="G991" i="1"/>
  <c r="F991" i="1"/>
  <c r="E991" i="1"/>
  <c r="D991" i="1"/>
  <c r="B991" i="1"/>
  <c r="A991" i="1"/>
  <c r="J1733" i="1"/>
  <c r="I1733" i="1"/>
  <c r="H1733" i="1"/>
  <c r="G1733" i="1"/>
  <c r="F1733" i="1"/>
  <c r="E1733" i="1"/>
  <c r="D1733" i="1"/>
  <c r="B1733" i="1"/>
  <c r="A1733" i="1"/>
  <c r="L305" i="1"/>
  <c r="J305" i="1"/>
  <c r="I305" i="1"/>
  <c r="H305" i="1"/>
  <c r="G305" i="1"/>
  <c r="F305" i="1"/>
  <c r="E305" i="1"/>
  <c r="D305" i="1"/>
  <c r="B305" i="1"/>
  <c r="A305" i="1"/>
  <c r="L2986" i="1"/>
  <c r="J2986" i="1"/>
  <c r="I2986" i="1"/>
  <c r="H2986" i="1"/>
  <c r="G2986" i="1"/>
  <c r="F2986" i="1"/>
  <c r="E2986" i="1"/>
  <c r="D2986" i="1"/>
  <c r="B2986" i="1"/>
  <c r="A2986" i="1"/>
  <c r="L304" i="1"/>
  <c r="J304" i="1"/>
  <c r="I304" i="1"/>
  <c r="H304" i="1"/>
  <c r="G304" i="1"/>
  <c r="F304" i="1"/>
  <c r="E304" i="1"/>
  <c r="D304" i="1"/>
  <c r="B304" i="1"/>
  <c r="A304" i="1"/>
  <c r="L2985" i="1"/>
  <c r="J2985" i="1"/>
  <c r="I2985" i="1"/>
  <c r="H2985" i="1"/>
  <c r="G2985" i="1"/>
  <c r="F2985" i="1"/>
  <c r="E2985" i="1"/>
  <c r="D2985" i="1"/>
  <c r="B2985" i="1"/>
  <c r="A2985" i="1"/>
  <c r="L990" i="1"/>
  <c r="J990" i="1"/>
  <c r="I990" i="1"/>
  <c r="H990" i="1"/>
  <c r="G990" i="1"/>
  <c r="F990" i="1"/>
  <c r="E990" i="1"/>
  <c r="D990" i="1"/>
  <c r="B990" i="1"/>
  <c r="A990" i="1"/>
  <c r="L2699" i="1"/>
  <c r="J2699" i="1"/>
  <c r="I2699" i="1"/>
  <c r="H2699" i="1"/>
  <c r="G2699" i="1"/>
  <c r="F2699" i="1"/>
  <c r="E2699" i="1"/>
  <c r="D2699" i="1"/>
  <c r="B2699" i="1"/>
  <c r="A2699" i="1"/>
  <c r="J1732" i="1"/>
  <c r="I1732" i="1"/>
  <c r="H1732" i="1"/>
  <c r="G1732" i="1"/>
  <c r="F1732" i="1"/>
  <c r="E1732" i="1"/>
  <c r="D1732" i="1"/>
  <c r="B1732" i="1"/>
  <c r="A1732" i="1"/>
  <c r="L989" i="1"/>
  <c r="J989" i="1"/>
  <c r="I989" i="1"/>
  <c r="H989" i="1"/>
  <c r="G989" i="1"/>
  <c r="F989" i="1"/>
  <c r="E989" i="1"/>
  <c r="D989" i="1"/>
  <c r="B989" i="1"/>
  <c r="A989" i="1"/>
  <c r="L2698" i="1"/>
  <c r="J2698" i="1"/>
  <c r="I2698" i="1"/>
  <c r="H2698" i="1"/>
  <c r="G2698" i="1"/>
  <c r="F2698" i="1"/>
  <c r="E2698" i="1"/>
  <c r="D2698" i="1"/>
  <c r="B2698" i="1"/>
  <c r="A2698" i="1"/>
  <c r="J1731" i="1"/>
  <c r="I1731" i="1"/>
  <c r="H1731" i="1"/>
  <c r="G1731" i="1"/>
  <c r="F1731" i="1"/>
  <c r="E1731" i="1"/>
  <c r="D1731" i="1"/>
  <c r="B1731" i="1"/>
  <c r="A1731" i="1"/>
  <c r="L303" i="1"/>
  <c r="J303" i="1"/>
  <c r="I303" i="1"/>
  <c r="H303" i="1"/>
  <c r="G303" i="1"/>
  <c r="F303" i="1"/>
  <c r="E303" i="1"/>
  <c r="D303" i="1"/>
  <c r="B303" i="1"/>
  <c r="A303" i="1"/>
  <c r="L2984" i="1"/>
  <c r="J2984" i="1"/>
  <c r="I2984" i="1"/>
  <c r="H2984" i="1"/>
  <c r="G2984" i="1"/>
  <c r="F2984" i="1"/>
  <c r="E2984" i="1"/>
  <c r="D2984" i="1"/>
  <c r="B2984" i="1"/>
  <c r="A2984" i="1"/>
  <c r="J1730" i="1"/>
  <c r="I1730" i="1"/>
  <c r="H1730" i="1"/>
  <c r="G1730" i="1"/>
  <c r="F1730" i="1"/>
  <c r="E1730" i="1"/>
  <c r="D1730" i="1"/>
  <c r="B1730" i="1"/>
  <c r="A1730" i="1"/>
  <c r="L1729" i="1"/>
  <c r="K1729" i="1"/>
  <c r="J1729" i="1"/>
  <c r="I1729" i="1"/>
  <c r="H1729" i="1"/>
  <c r="G1729" i="1"/>
  <c r="F1729" i="1"/>
  <c r="E1729" i="1"/>
  <c r="D1729" i="1"/>
  <c r="B1729" i="1"/>
  <c r="A1729" i="1"/>
  <c r="L302" i="1"/>
  <c r="J302" i="1"/>
  <c r="I302" i="1"/>
  <c r="H302" i="1"/>
  <c r="G302" i="1"/>
  <c r="F302" i="1"/>
  <c r="E302" i="1"/>
  <c r="D302" i="1"/>
  <c r="B302" i="1"/>
  <c r="A302" i="1"/>
  <c r="L2983" i="1"/>
  <c r="J2983" i="1"/>
  <c r="I2983" i="1"/>
  <c r="H2983" i="1"/>
  <c r="G2983" i="1"/>
  <c r="F2983" i="1"/>
  <c r="E2983" i="1"/>
  <c r="D2983" i="1"/>
  <c r="B2983" i="1"/>
  <c r="A2983" i="1"/>
  <c r="L988" i="1"/>
  <c r="J988" i="1"/>
  <c r="I988" i="1"/>
  <c r="H988" i="1"/>
  <c r="G988" i="1"/>
  <c r="F988" i="1"/>
  <c r="E988" i="1"/>
  <c r="D988" i="1"/>
  <c r="B988" i="1"/>
  <c r="A988" i="1"/>
  <c r="L2697" i="1"/>
  <c r="J2697" i="1"/>
  <c r="I2697" i="1"/>
  <c r="H2697" i="1"/>
  <c r="G2697" i="1"/>
  <c r="F2697" i="1"/>
  <c r="E2697" i="1"/>
  <c r="D2697" i="1"/>
  <c r="B2697" i="1"/>
  <c r="A2697" i="1"/>
  <c r="L1728" i="1"/>
  <c r="K1728" i="1"/>
  <c r="J1728" i="1"/>
  <c r="I1728" i="1"/>
  <c r="H1728" i="1"/>
  <c r="G1728" i="1"/>
  <c r="F1728" i="1"/>
  <c r="E1728" i="1"/>
  <c r="D1728" i="1"/>
  <c r="B1728" i="1"/>
  <c r="A1728" i="1"/>
  <c r="L987" i="1"/>
  <c r="J987" i="1"/>
  <c r="I987" i="1"/>
  <c r="H987" i="1"/>
  <c r="G987" i="1"/>
  <c r="F987" i="1"/>
  <c r="E987" i="1"/>
  <c r="D987" i="1"/>
  <c r="B987" i="1"/>
  <c r="A987" i="1"/>
  <c r="L2696" i="1"/>
  <c r="J2696" i="1"/>
  <c r="I2696" i="1"/>
  <c r="H2696" i="1"/>
  <c r="G2696" i="1"/>
  <c r="F2696" i="1"/>
  <c r="E2696" i="1"/>
  <c r="D2696" i="1"/>
  <c r="B2696" i="1"/>
  <c r="A2696" i="1"/>
  <c r="L301" i="1"/>
  <c r="J301" i="1"/>
  <c r="I301" i="1"/>
  <c r="H301" i="1"/>
  <c r="G301" i="1"/>
  <c r="F301" i="1"/>
  <c r="E301" i="1"/>
  <c r="D301" i="1"/>
  <c r="B301" i="1"/>
  <c r="A301" i="1"/>
  <c r="L300" i="1"/>
  <c r="J300" i="1"/>
  <c r="I300" i="1"/>
  <c r="H300" i="1"/>
  <c r="G300" i="1"/>
  <c r="F300" i="1"/>
  <c r="E300" i="1"/>
  <c r="D300" i="1"/>
  <c r="B300" i="1"/>
  <c r="A300" i="1"/>
  <c r="L1727" i="1"/>
  <c r="K1727" i="1"/>
  <c r="J1727" i="1"/>
  <c r="I1727" i="1"/>
  <c r="H1727" i="1"/>
  <c r="G1727" i="1"/>
  <c r="F1727" i="1"/>
  <c r="E1727" i="1"/>
  <c r="D1727" i="1"/>
  <c r="B1727" i="1"/>
  <c r="A1727" i="1"/>
  <c r="L986" i="1"/>
  <c r="J986" i="1"/>
  <c r="I986" i="1"/>
  <c r="H986" i="1"/>
  <c r="G986" i="1"/>
  <c r="F986" i="1"/>
  <c r="E986" i="1"/>
  <c r="D986" i="1"/>
  <c r="B986" i="1"/>
  <c r="A986" i="1"/>
  <c r="L2695" i="1"/>
  <c r="J2695" i="1"/>
  <c r="I2695" i="1"/>
  <c r="H2695" i="1"/>
  <c r="G2695" i="1"/>
  <c r="F2695" i="1"/>
  <c r="E2695" i="1"/>
  <c r="D2695" i="1"/>
  <c r="B2695" i="1"/>
  <c r="A2695" i="1"/>
  <c r="L1726" i="1"/>
  <c r="K1726" i="1"/>
  <c r="J1726" i="1"/>
  <c r="I1726" i="1"/>
  <c r="H1726" i="1"/>
  <c r="G1726" i="1"/>
  <c r="F1726" i="1"/>
  <c r="E1726" i="1"/>
  <c r="D1726" i="1"/>
  <c r="B1726" i="1"/>
  <c r="A1726" i="1"/>
  <c r="L1725" i="1"/>
  <c r="K1725" i="1"/>
  <c r="J1725" i="1"/>
  <c r="I1725" i="1"/>
  <c r="H1725" i="1"/>
  <c r="G1725" i="1"/>
  <c r="F1725" i="1"/>
  <c r="E1725" i="1"/>
  <c r="D1725" i="1"/>
  <c r="B1725" i="1"/>
  <c r="A1725" i="1"/>
  <c r="L985" i="1"/>
  <c r="J985" i="1"/>
  <c r="I985" i="1"/>
  <c r="H985" i="1"/>
  <c r="G985" i="1"/>
  <c r="F985" i="1"/>
  <c r="E985" i="1"/>
  <c r="D985" i="1"/>
  <c r="B985" i="1"/>
  <c r="A985" i="1"/>
  <c r="L2694" i="1"/>
  <c r="J2694" i="1"/>
  <c r="I2694" i="1"/>
  <c r="H2694" i="1"/>
  <c r="G2694" i="1"/>
  <c r="F2694" i="1"/>
  <c r="E2694" i="1"/>
  <c r="D2694" i="1"/>
  <c r="B2694" i="1"/>
  <c r="A2694" i="1"/>
  <c r="L1724" i="1"/>
  <c r="K1724" i="1"/>
  <c r="J1724" i="1"/>
  <c r="I1724" i="1"/>
  <c r="H1724" i="1"/>
  <c r="G1724" i="1"/>
  <c r="F1724" i="1"/>
  <c r="E1724" i="1"/>
  <c r="D1724" i="1"/>
  <c r="B1724" i="1"/>
  <c r="A1724" i="1"/>
  <c r="L2982" i="1"/>
  <c r="J2982" i="1"/>
  <c r="I2982" i="1"/>
  <c r="H2982" i="1"/>
  <c r="G2982" i="1"/>
  <c r="F2982" i="1"/>
  <c r="E2982" i="1"/>
  <c r="D2982" i="1"/>
  <c r="B2982" i="1"/>
  <c r="A2982" i="1"/>
  <c r="L2981" i="1"/>
  <c r="J2981" i="1"/>
  <c r="I2981" i="1"/>
  <c r="H2981" i="1"/>
  <c r="G2981" i="1"/>
  <c r="F2981" i="1"/>
  <c r="E2981" i="1"/>
  <c r="D2981" i="1"/>
  <c r="B2981" i="1"/>
  <c r="A2981" i="1"/>
  <c r="L1723" i="1"/>
  <c r="K1723" i="1"/>
  <c r="J1723" i="1"/>
  <c r="I1723" i="1"/>
  <c r="H1723" i="1"/>
  <c r="G1723" i="1"/>
  <c r="F1723" i="1"/>
  <c r="E1723" i="1"/>
  <c r="D1723" i="1"/>
  <c r="B1723" i="1"/>
  <c r="A1723" i="1"/>
  <c r="L2693" i="1"/>
  <c r="J2693" i="1"/>
  <c r="I2693" i="1"/>
  <c r="H2693" i="1"/>
  <c r="G2693" i="1"/>
  <c r="F2693" i="1"/>
  <c r="E2693" i="1"/>
  <c r="D2693" i="1"/>
  <c r="B2693" i="1"/>
  <c r="A2693" i="1"/>
  <c r="L2692" i="1"/>
  <c r="J2692" i="1"/>
  <c r="I2692" i="1"/>
  <c r="H2692" i="1"/>
  <c r="G2692" i="1"/>
  <c r="F2692" i="1"/>
  <c r="E2692" i="1"/>
  <c r="D2692" i="1"/>
  <c r="B2692" i="1"/>
  <c r="A2692" i="1"/>
  <c r="L1722" i="1"/>
  <c r="K1722" i="1"/>
  <c r="J1722" i="1"/>
  <c r="I1722" i="1"/>
  <c r="H1722" i="1"/>
  <c r="G1722" i="1"/>
  <c r="F1722" i="1"/>
  <c r="E1722" i="1"/>
  <c r="D1722" i="1"/>
  <c r="B1722" i="1"/>
  <c r="A1722" i="1"/>
  <c r="L1721" i="1"/>
  <c r="K1721" i="1"/>
  <c r="J1721" i="1"/>
  <c r="I1721" i="1"/>
  <c r="H1721" i="1"/>
  <c r="G1721" i="1"/>
  <c r="F1721" i="1"/>
  <c r="E1721" i="1"/>
  <c r="D1721" i="1"/>
  <c r="B1721" i="1"/>
  <c r="A1721" i="1"/>
  <c r="L2691" i="1"/>
  <c r="J2691" i="1"/>
  <c r="I2691" i="1"/>
  <c r="H2691" i="1"/>
  <c r="G2691" i="1"/>
  <c r="F2691" i="1"/>
  <c r="E2691" i="1"/>
  <c r="D2691" i="1"/>
  <c r="B2691" i="1"/>
  <c r="A2691" i="1"/>
  <c r="L1720" i="1"/>
  <c r="K1720" i="1"/>
  <c r="J1720" i="1"/>
  <c r="I1720" i="1"/>
  <c r="H1720" i="1"/>
  <c r="G1720" i="1"/>
  <c r="F1720" i="1"/>
  <c r="E1720" i="1"/>
  <c r="D1720" i="1"/>
  <c r="B1720" i="1"/>
  <c r="A1720" i="1"/>
  <c r="L299" i="1"/>
  <c r="J299" i="1"/>
  <c r="I299" i="1"/>
  <c r="H299" i="1"/>
  <c r="G299" i="1"/>
  <c r="F299" i="1"/>
  <c r="E299" i="1"/>
  <c r="D299" i="1"/>
  <c r="B299" i="1"/>
  <c r="A299" i="1"/>
  <c r="L2980" i="1"/>
  <c r="J2980" i="1"/>
  <c r="I2980" i="1"/>
  <c r="H2980" i="1"/>
  <c r="G2980" i="1"/>
  <c r="F2980" i="1"/>
  <c r="E2980" i="1"/>
  <c r="D2980" i="1"/>
  <c r="B2980" i="1"/>
  <c r="A2980" i="1"/>
  <c r="L2690" i="1"/>
  <c r="J2690" i="1"/>
  <c r="I2690" i="1"/>
  <c r="H2690" i="1"/>
  <c r="G2690" i="1"/>
  <c r="F2690" i="1"/>
  <c r="E2690" i="1"/>
  <c r="D2690" i="1"/>
  <c r="B2690" i="1"/>
  <c r="A2690" i="1"/>
  <c r="L1719" i="1"/>
  <c r="K1719" i="1"/>
  <c r="J1719" i="1"/>
  <c r="I1719" i="1"/>
  <c r="H1719" i="1"/>
  <c r="G1719" i="1"/>
  <c r="F1719" i="1"/>
  <c r="E1719" i="1"/>
  <c r="D1719" i="1"/>
  <c r="B1719" i="1"/>
  <c r="A1719" i="1"/>
  <c r="L1718" i="1"/>
  <c r="K1718" i="1"/>
  <c r="J1718" i="1"/>
  <c r="I1718" i="1"/>
  <c r="H1718" i="1"/>
  <c r="G1718" i="1"/>
  <c r="F1718" i="1"/>
  <c r="E1718" i="1"/>
  <c r="D1718" i="1"/>
  <c r="B1718" i="1"/>
  <c r="A1718" i="1"/>
  <c r="L1717" i="1"/>
  <c r="K1717" i="1"/>
  <c r="J1717" i="1"/>
  <c r="I1717" i="1"/>
  <c r="H1717" i="1"/>
  <c r="G1717" i="1"/>
  <c r="F1717" i="1"/>
  <c r="E1717" i="1"/>
  <c r="D1717" i="1"/>
  <c r="B1717" i="1"/>
  <c r="A1717" i="1"/>
  <c r="L2689" i="1"/>
  <c r="J2689" i="1"/>
  <c r="I2689" i="1"/>
  <c r="H2689" i="1"/>
  <c r="G2689" i="1"/>
  <c r="F2689" i="1"/>
  <c r="E2689" i="1"/>
  <c r="D2689" i="1"/>
  <c r="B2689" i="1"/>
  <c r="A2689" i="1"/>
  <c r="L1716" i="1"/>
  <c r="K1716" i="1"/>
  <c r="J1716" i="1"/>
  <c r="I1716" i="1"/>
  <c r="H1716" i="1"/>
  <c r="G1716" i="1"/>
  <c r="F1716" i="1"/>
  <c r="E1716" i="1"/>
  <c r="D1716" i="1"/>
  <c r="B1716" i="1"/>
  <c r="A1716" i="1"/>
  <c r="L1715" i="1"/>
  <c r="K1715" i="1"/>
  <c r="J1715" i="1"/>
  <c r="I1715" i="1"/>
  <c r="H1715" i="1"/>
  <c r="G1715" i="1"/>
  <c r="F1715" i="1"/>
  <c r="E1715" i="1"/>
  <c r="D1715" i="1"/>
  <c r="B1715" i="1"/>
  <c r="A1715" i="1"/>
  <c r="L1714" i="1"/>
  <c r="K1714" i="1"/>
  <c r="J1714" i="1"/>
  <c r="I1714" i="1"/>
  <c r="H1714" i="1"/>
  <c r="G1714" i="1"/>
  <c r="F1714" i="1"/>
  <c r="E1714" i="1"/>
  <c r="D1714" i="1"/>
  <c r="B1714" i="1"/>
  <c r="A1714" i="1"/>
  <c r="L753" i="1"/>
  <c r="J753" i="1"/>
  <c r="I753" i="1"/>
  <c r="H753" i="1"/>
  <c r="G753" i="1"/>
  <c r="F753" i="1"/>
  <c r="E753" i="1"/>
  <c r="D753" i="1"/>
  <c r="B753" i="1"/>
  <c r="A753" i="1"/>
  <c r="L2249" i="1"/>
  <c r="J2249" i="1"/>
  <c r="I2249" i="1"/>
  <c r="H2249" i="1"/>
  <c r="G2249" i="1"/>
  <c r="F2249" i="1"/>
  <c r="E2249" i="1"/>
  <c r="D2249" i="1"/>
  <c r="B2249" i="1"/>
  <c r="A2249" i="1"/>
  <c r="J1713" i="1"/>
  <c r="I1713" i="1"/>
  <c r="H1713" i="1"/>
  <c r="G1713" i="1"/>
  <c r="F1713" i="1"/>
  <c r="E1713" i="1"/>
  <c r="D1713" i="1"/>
  <c r="B1713" i="1"/>
  <c r="A1713" i="1"/>
  <c r="J1712" i="1"/>
  <c r="I1712" i="1"/>
  <c r="H1712" i="1"/>
  <c r="G1712" i="1"/>
  <c r="F1712" i="1"/>
  <c r="E1712" i="1"/>
  <c r="D1712" i="1"/>
  <c r="B1712" i="1"/>
  <c r="A1712" i="1"/>
  <c r="L298" i="1"/>
  <c r="J298" i="1"/>
  <c r="I298" i="1"/>
  <c r="H298" i="1"/>
  <c r="G298" i="1"/>
  <c r="F298" i="1"/>
  <c r="E298" i="1"/>
  <c r="D298" i="1"/>
  <c r="B298" i="1"/>
  <c r="A298" i="1"/>
  <c r="L2979" i="1"/>
  <c r="J2979" i="1"/>
  <c r="I2979" i="1"/>
  <c r="H2979" i="1"/>
  <c r="G2979" i="1"/>
  <c r="F2979" i="1"/>
  <c r="E2979" i="1"/>
  <c r="D2979" i="1"/>
  <c r="B2979" i="1"/>
  <c r="A2979" i="1"/>
  <c r="L752" i="1"/>
  <c r="J752" i="1"/>
  <c r="I752" i="1"/>
  <c r="H752" i="1"/>
  <c r="G752" i="1"/>
  <c r="F752" i="1"/>
  <c r="E752" i="1"/>
  <c r="D752" i="1"/>
  <c r="B752" i="1"/>
  <c r="A752" i="1"/>
  <c r="L2248" i="1"/>
  <c r="J2248" i="1"/>
  <c r="I2248" i="1"/>
  <c r="H2248" i="1"/>
  <c r="G2248" i="1"/>
  <c r="F2248" i="1"/>
  <c r="E2248" i="1"/>
  <c r="D2248" i="1"/>
  <c r="B2248" i="1"/>
  <c r="A2248" i="1"/>
  <c r="L2688" i="1"/>
  <c r="J2688" i="1"/>
  <c r="I2688" i="1"/>
  <c r="H2688" i="1"/>
  <c r="G2688" i="1"/>
  <c r="F2688" i="1"/>
  <c r="E2688" i="1"/>
  <c r="D2688" i="1"/>
  <c r="B2688" i="1"/>
  <c r="A2688" i="1"/>
  <c r="L2687" i="1"/>
  <c r="J2687" i="1"/>
  <c r="I2687" i="1"/>
  <c r="H2687" i="1"/>
  <c r="G2687" i="1"/>
  <c r="F2687" i="1"/>
  <c r="E2687" i="1"/>
  <c r="D2687" i="1"/>
  <c r="B2687" i="1"/>
  <c r="A2687" i="1"/>
  <c r="J1711" i="1"/>
  <c r="I1711" i="1"/>
  <c r="H1711" i="1"/>
  <c r="G1711" i="1"/>
  <c r="F1711" i="1"/>
  <c r="E1711" i="1"/>
  <c r="D1711" i="1"/>
  <c r="B1711" i="1"/>
  <c r="A1711" i="1"/>
  <c r="L2686" i="1"/>
  <c r="J2686" i="1"/>
  <c r="I2686" i="1"/>
  <c r="H2686" i="1"/>
  <c r="G2686" i="1"/>
  <c r="F2686" i="1"/>
  <c r="E2686" i="1"/>
  <c r="D2686" i="1"/>
  <c r="B2686" i="1"/>
  <c r="A2686" i="1"/>
  <c r="L2685" i="1"/>
  <c r="J2685" i="1"/>
  <c r="I2685" i="1"/>
  <c r="H2685" i="1"/>
  <c r="G2685" i="1"/>
  <c r="F2685" i="1"/>
  <c r="E2685" i="1"/>
  <c r="D2685" i="1"/>
  <c r="B2685" i="1"/>
  <c r="A2685" i="1"/>
  <c r="J1710" i="1"/>
  <c r="I1710" i="1"/>
  <c r="H1710" i="1"/>
  <c r="G1710" i="1"/>
  <c r="F1710" i="1"/>
  <c r="E1710" i="1"/>
  <c r="D1710" i="1"/>
  <c r="B1710" i="1"/>
  <c r="A1710" i="1"/>
  <c r="L297" i="1"/>
  <c r="J297" i="1"/>
  <c r="I297" i="1"/>
  <c r="H297" i="1"/>
  <c r="G297" i="1"/>
  <c r="F297" i="1"/>
  <c r="E297" i="1"/>
  <c r="D297" i="1"/>
  <c r="B297" i="1"/>
  <c r="A297" i="1"/>
  <c r="J1709" i="1"/>
  <c r="I1709" i="1"/>
  <c r="H1709" i="1"/>
  <c r="G1709" i="1"/>
  <c r="F1709" i="1"/>
  <c r="E1709" i="1"/>
  <c r="D1709" i="1"/>
  <c r="B1709" i="1"/>
  <c r="A1709" i="1"/>
  <c r="L1708" i="1"/>
  <c r="K1708" i="1"/>
  <c r="J1708" i="1"/>
  <c r="I1708" i="1"/>
  <c r="H1708" i="1"/>
  <c r="G1708" i="1"/>
  <c r="F1708" i="1"/>
  <c r="E1708" i="1"/>
  <c r="D1708" i="1"/>
  <c r="B1708" i="1"/>
  <c r="A1708" i="1"/>
  <c r="J1707" i="1"/>
  <c r="I1707" i="1"/>
  <c r="H1707" i="1"/>
  <c r="G1707" i="1"/>
  <c r="F1707" i="1"/>
  <c r="E1707" i="1"/>
  <c r="D1707" i="1"/>
  <c r="B1707" i="1"/>
  <c r="A1707" i="1"/>
  <c r="L2978" i="1"/>
  <c r="J2978" i="1"/>
  <c r="I2978" i="1"/>
  <c r="H2978" i="1"/>
  <c r="G2978" i="1"/>
  <c r="F2978" i="1"/>
  <c r="E2978" i="1"/>
  <c r="D2978" i="1"/>
  <c r="B2978" i="1"/>
  <c r="A2978" i="1"/>
  <c r="L296" i="1"/>
  <c r="J296" i="1"/>
  <c r="I296" i="1"/>
  <c r="H296" i="1"/>
  <c r="G296" i="1"/>
  <c r="F296" i="1"/>
  <c r="E296" i="1"/>
  <c r="D296" i="1"/>
  <c r="B296" i="1"/>
  <c r="A296" i="1"/>
  <c r="L2977" i="1"/>
  <c r="J2977" i="1"/>
  <c r="I2977" i="1"/>
  <c r="H2977" i="1"/>
  <c r="G2977" i="1"/>
  <c r="F2977" i="1"/>
  <c r="E2977" i="1"/>
  <c r="D2977" i="1"/>
  <c r="B2977" i="1"/>
  <c r="A2977" i="1"/>
  <c r="L1706" i="1"/>
  <c r="K1706" i="1"/>
  <c r="J1706" i="1"/>
  <c r="I1706" i="1"/>
  <c r="H1706" i="1"/>
  <c r="G1706" i="1"/>
  <c r="F1706" i="1"/>
  <c r="E1706" i="1"/>
  <c r="D1706" i="1"/>
  <c r="B1706" i="1"/>
  <c r="A1706" i="1"/>
  <c r="L1705" i="1"/>
  <c r="K1705" i="1"/>
  <c r="J1705" i="1"/>
  <c r="I1705" i="1"/>
  <c r="H1705" i="1"/>
  <c r="G1705" i="1"/>
  <c r="F1705" i="1"/>
  <c r="E1705" i="1"/>
  <c r="D1705" i="1"/>
  <c r="B1705" i="1"/>
  <c r="A1705" i="1"/>
  <c r="L1704" i="1"/>
  <c r="K1704" i="1"/>
  <c r="J1704" i="1"/>
  <c r="I1704" i="1"/>
  <c r="H1704" i="1"/>
  <c r="G1704" i="1"/>
  <c r="F1704" i="1"/>
  <c r="E1704" i="1"/>
  <c r="D1704" i="1"/>
  <c r="B1704" i="1"/>
  <c r="A1704" i="1"/>
  <c r="L1703" i="1"/>
  <c r="K1703" i="1"/>
  <c r="J1703" i="1"/>
  <c r="I1703" i="1"/>
  <c r="H1703" i="1"/>
  <c r="G1703" i="1"/>
  <c r="F1703" i="1"/>
  <c r="E1703" i="1"/>
  <c r="D1703" i="1"/>
  <c r="B1703" i="1"/>
  <c r="A1703" i="1"/>
  <c r="L1702" i="1"/>
  <c r="K1702" i="1"/>
  <c r="J1702" i="1"/>
  <c r="I1702" i="1"/>
  <c r="H1702" i="1"/>
  <c r="G1702" i="1"/>
  <c r="F1702" i="1"/>
  <c r="E1702" i="1"/>
  <c r="D1702" i="1"/>
  <c r="B1702" i="1"/>
  <c r="A1702" i="1"/>
  <c r="L1701" i="1"/>
  <c r="K1701" i="1"/>
  <c r="J1701" i="1"/>
  <c r="I1701" i="1"/>
  <c r="H1701" i="1"/>
  <c r="G1701" i="1"/>
  <c r="F1701" i="1"/>
  <c r="E1701" i="1"/>
  <c r="D1701" i="1"/>
  <c r="B1701" i="1"/>
  <c r="A1701" i="1"/>
  <c r="L1700" i="1"/>
  <c r="K1700" i="1"/>
  <c r="J1700" i="1"/>
  <c r="I1700" i="1"/>
  <c r="H1700" i="1"/>
  <c r="G1700" i="1"/>
  <c r="F1700" i="1"/>
  <c r="E1700" i="1"/>
  <c r="D1700" i="1"/>
  <c r="B1700" i="1"/>
  <c r="A1700" i="1"/>
  <c r="L2684" i="1"/>
  <c r="J2684" i="1"/>
  <c r="I2684" i="1"/>
  <c r="H2684" i="1"/>
  <c r="G2684" i="1"/>
  <c r="F2684" i="1"/>
  <c r="E2684" i="1"/>
  <c r="D2684" i="1"/>
  <c r="B2684" i="1"/>
  <c r="A2684" i="1"/>
  <c r="L1699" i="1"/>
  <c r="K1699" i="1"/>
  <c r="J1699" i="1"/>
  <c r="I1699" i="1"/>
  <c r="H1699" i="1"/>
  <c r="G1699" i="1"/>
  <c r="F1699" i="1"/>
  <c r="E1699" i="1"/>
  <c r="D1699" i="1"/>
  <c r="B1699" i="1"/>
  <c r="A1699" i="1"/>
  <c r="L1698" i="1"/>
  <c r="K1698" i="1"/>
  <c r="J1698" i="1"/>
  <c r="I1698" i="1"/>
  <c r="H1698" i="1"/>
  <c r="G1698" i="1"/>
  <c r="F1698" i="1"/>
  <c r="E1698" i="1"/>
  <c r="D1698" i="1"/>
  <c r="B1698" i="1"/>
  <c r="A1698" i="1"/>
  <c r="L1697" i="1"/>
  <c r="K1697" i="1"/>
  <c r="J1697" i="1"/>
  <c r="I1697" i="1"/>
  <c r="H1697" i="1"/>
  <c r="G1697" i="1"/>
  <c r="F1697" i="1"/>
  <c r="E1697" i="1"/>
  <c r="D1697" i="1"/>
  <c r="B1697" i="1"/>
  <c r="A1697" i="1"/>
  <c r="L1696" i="1"/>
  <c r="K1696" i="1"/>
  <c r="J1696" i="1"/>
  <c r="I1696" i="1"/>
  <c r="H1696" i="1"/>
  <c r="G1696" i="1"/>
  <c r="F1696" i="1"/>
  <c r="E1696" i="1"/>
  <c r="D1696" i="1"/>
  <c r="B1696" i="1"/>
  <c r="A1696" i="1"/>
  <c r="L751" i="1"/>
  <c r="J751" i="1"/>
  <c r="I751" i="1"/>
  <c r="H751" i="1"/>
  <c r="G751" i="1"/>
  <c r="F751" i="1"/>
  <c r="E751" i="1"/>
  <c r="D751" i="1"/>
  <c r="B751" i="1"/>
  <c r="A751" i="1"/>
  <c r="L2247" i="1"/>
  <c r="J2247" i="1"/>
  <c r="I2247" i="1"/>
  <c r="H2247" i="1"/>
  <c r="G2247" i="1"/>
  <c r="F2247" i="1"/>
  <c r="E2247" i="1"/>
  <c r="D2247" i="1"/>
  <c r="B2247" i="1"/>
  <c r="A2247" i="1"/>
  <c r="L1695" i="1"/>
  <c r="K1695" i="1"/>
  <c r="J1695" i="1"/>
  <c r="I1695" i="1"/>
  <c r="H1695" i="1"/>
  <c r="G1695" i="1"/>
  <c r="F1695" i="1"/>
  <c r="E1695" i="1"/>
  <c r="D1695" i="1"/>
  <c r="B1695" i="1"/>
  <c r="A1695" i="1"/>
  <c r="L1694" i="1"/>
  <c r="K1694" i="1"/>
  <c r="J1694" i="1"/>
  <c r="I1694" i="1"/>
  <c r="H1694" i="1"/>
  <c r="G1694" i="1"/>
  <c r="F1694" i="1"/>
  <c r="E1694" i="1"/>
  <c r="D1694" i="1"/>
  <c r="B1694" i="1"/>
  <c r="A1694" i="1"/>
  <c r="L1693" i="1"/>
  <c r="K1693" i="1"/>
  <c r="J1693" i="1"/>
  <c r="I1693" i="1"/>
  <c r="H1693" i="1"/>
  <c r="G1693" i="1"/>
  <c r="F1693" i="1"/>
  <c r="E1693" i="1"/>
  <c r="D1693" i="1"/>
  <c r="B1693" i="1"/>
  <c r="A1693" i="1"/>
  <c r="J1692" i="1"/>
  <c r="I1692" i="1"/>
  <c r="H1692" i="1"/>
  <c r="G1692" i="1"/>
  <c r="F1692" i="1"/>
  <c r="E1692" i="1"/>
  <c r="D1692" i="1"/>
  <c r="B1692" i="1"/>
  <c r="A1692" i="1"/>
  <c r="L2683" i="1"/>
  <c r="J2683" i="1"/>
  <c r="I2683" i="1"/>
  <c r="H2683" i="1"/>
  <c r="G2683" i="1"/>
  <c r="F2683" i="1"/>
  <c r="E2683" i="1"/>
  <c r="D2683" i="1"/>
  <c r="B2683" i="1"/>
  <c r="A2683" i="1"/>
  <c r="J1691" i="1"/>
  <c r="I1691" i="1"/>
  <c r="H1691" i="1"/>
  <c r="G1691" i="1"/>
  <c r="F1691" i="1"/>
  <c r="E1691" i="1"/>
  <c r="D1691" i="1"/>
  <c r="B1691" i="1"/>
  <c r="A1691" i="1"/>
  <c r="L2682" i="1"/>
  <c r="J2682" i="1"/>
  <c r="I2682" i="1"/>
  <c r="H2682" i="1"/>
  <c r="G2682" i="1"/>
  <c r="F2682" i="1"/>
  <c r="E2682" i="1"/>
  <c r="D2682" i="1"/>
  <c r="B2682" i="1"/>
  <c r="A2682" i="1"/>
  <c r="J1690" i="1"/>
  <c r="I1690" i="1"/>
  <c r="H1690" i="1"/>
  <c r="G1690" i="1"/>
  <c r="F1690" i="1"/>
  <c r="E1690" i="1"/>
  <c r="D1690" i="1"/>
  <c r="B1690" i="1"/>
  <c r="A1690" i="1"/>
  <c r="L2681" i="1"/>
  <c r="J2681" i="1"/>
  <c r="I2681" i="1"/>
  <c r="H2681" i="1"/>
  <c r="G2681" i="1"/>
  <c r="F2681" i="1"/>
  <c r="E2681" i="1"/>
  <c r="D2681" i="1"/>
  <c r="B2681" i="1"/>
  <c r="A2681" i="1"/>
  <c r="J1689" i="1"/>
  <c r="I1689" i="1"/>
  <c r="H1689" i="1"/>
  <c r="G1689" i="1"/>
  <c r="F1689" i="1"/>
  <c r="E1689" i="1"/>
  <c r="D1689" i="1"/>
  <c r="B1689" i="1"/>
  <c r="A1689" i="1"/>
  <c r="J1688" i="1"/>
  <c r="I1688" i="1"/>
  <c r="H1688" i="1"/>
  <c r="G1688" i="1"/>
  <c r="F1688" i="1"/>
  <c r="E1688" i="1"/>
  <c r="D1688" i="1"/>
  <c r="B1688" i="1"/>
  <c r="A1688" i="1"/>
  <c r="L295" i="1"/>
  <c r="J295" i="1"/>
  <c r="I295" i="1"/>
  <c r="H295" i="1"/>
  <c r="G295" i="1"/>
  <c r="F295" i="1"/>
  <c r="E295" i="1"/>
  <c r="D295" i="1"/>
  <c r="B295" i="1"/>
  <c r="A295" i="1"/>
  <c r="L2976" i="1"/>
  <c r="J2976" i="1"/>
  <c r="I2976" i="1"/>
  <c r="H2976" i="1"/>
  <c r="G2976" i="1"/>
  <c r="F2976" i="1"/>
  <c r="E2976" i="1"/>
  <c r="D2976" i="1"/>
  <c r="B2976" i="1"/>
  <c r="A2976" i="1"/>
  <c r="J1687" i="1"/>
  <c r="I1687" i="1"/>
  <c r="H1687" i="1"/>
  <c r="G1687" i="1"/>
  <c r="F1687" i="1"/>
  <c r="E1687" i="1"/>
  <c r="D1687" i="1"/>
  <c r="B1687" i="1"/>
  <c r="A1687" i="1"/>
  <c r="J1686" i="1"/>
  <c r="I1686" i="1"/>
  <c r="H1686" i="1"/>
  <c r="G1686" i="1"/>
  <c r="F1686" i="1"/>
  <c r="E1686" i="1"/>
  <c r="D1686" i="1"/>
  <c r="B1686" i="1"/>
  <c r="A1686" i="1"/>
  <c r="J1685" i="1"/>
  <c r="I1685" i="1"/>
  <c r="H1685" i="1"/>
  <c r="G1685" i="1"/>
  <c r="F1685" i="1"/>
  <c r="E1685" i="1"/>
  <c r="D1685" i="1"/>
  <c r="B1685" i="1"/>
  <c r="A1685" i="1"/>
  <c r="L294" i="1"/>
  <c r="J294" i="1"/>
  <c r="I294" i="1"/>
  <c r="H294" i="1"/>
  <c r="G294" i="1"/>
  <c r="F294" i="1"/>
  <c r="E294" i="1"/>
  <c r="D294" i="1"/>
  <c r="B294" i="1"/>
  <c r="A294" i="1"/>
  <c r="L2975" i="1"/>
  <c r="J2975" i="1"/>
  <c r="I2975" i="1"/>
  <c r="H2975" i="1"/>
  <c r="G2975" i="1"/>
  <c r="F2975" i="1"/>
  <c r="E2975" i="1"/>
  <c r="D2975" i="1"/>
  <c r="B2975" i="1"/>
  <c r="A2975" i="1"/>
  <c r="L293" i="1"/>
  <c r="J293" i="1"/>
  <c r="I293" i="1"/>
  <c r="H293" i="1"/>
  <c r="G293" i="1"/>
  <c r="F293" i="1"/>
  <c r="E293" i="1"/>
  <c r="D293" i="1"/>
  <c r="B293" i="1"/>
  <c r="A293" i="1"/>
  <c r="L2974" i="1"/>
  <c r="J2974" i="1"/>
  <c r="I2974" i="1"/>
  <c r="H2974" i="1"/>
  <c r="G2974" i="1"/>
  <c r="F2974" i="1"/>
  <c r="E2974" i="1"/>
  <c r="D2974" i="1"/>
  <c r="B2974" i="1"/>
  <c r="A2974" i="1"/>
  <c r="J1684" i="1"/>
  <c r="I1684" i="1"/>
  <c r="H1684" i="1"/>
  <c r="G1684" i="1"/>
  <c r="F1684" i="1"/>
  <c r="E1684" i="1"/>
  <c r="D1684" i="1"/>
  <c r="B1684" i="1"/>
  <c r="A1684" i="1"/>
  <c r="L292" i="1"/>
  <c r="J292" i="1"/>
  <c r="I292" i="1"/>
  <c r="H292" i="1"/>
  <c r="G292" i="1"/>
  <c r="F292" i="1"/>
  <c r="E292" i="1"/>
  <c r="D292" i="1"/>
  <c r="B292" i="1"/>
  <c r="A292" i="1"/>
  <c r="L2973" i="1"/>
  <c r="J2973" i="1"/>
  <c r="I2973" i="1"/>
  <c r="H2973" i="1"/>
  <c r="G2973" i="1"/>
  <c r="F2973" i="1"/>
  <c r="E2973" i="1"/>
  <c r="D2973" i="1"/>
  <c r="B2973" i="1"/>
  <c r="A2973" i="1"/>
  <c r="L1683" i="1"/>
  <c r="K1683" i="1"/>
  <c r="J1683" i="1"/>
  <c r="I1683" i="1"/>
  <c r="H1683" i="1"/>
  <c r="G1683" i="1"/>
  <c r="F1683" i="1"/>
  <c r="E1683" i="1"/>
  <c r="D1683" i="1"/>
  <c r="B1683" i="1"/>
  <c r="A1683" i="1"/>
  <c r="L2680" i="1"/>
  <c r="J2680" i="1"/>
  <c r="I2680" i="1"/>
  <c r="H2680" i="1"/>
  <c r="G2680" i="1"/>
  <c r="F2680" i="1"/>
  <c r="E2680" i="1"/>
  <c r="D2680" i="1"/>
  <c r="B2680" i="1"/>
  <c r="A2680" i="1"/>
  <c r="L1682" i="1"/>
  <c r="K1682" i="1"/>
  <c r="J1682" i="1"/>
  <c r="I1682" i="1"/>
  <c r="H1682" i="1"/>
  <c r="G1682" i="1"/>
  <c r="F1682" i="1"/>
  <c r="E1682" i="1"/>
  <c r="D1682" i="1"/>
  <c r="B1682" i="1"/>
  <c r="A1682" i="1"/>
  <c r="L2679" i="1"/>
  <c r="J2679" i="1"/>
  <c r="I2679" i="1"/>
  <c r="H2679" i="1"/>
  <c r="G2679" i="1"/>
  <c r="F2679" i="1"/>
  <c r="E2679" i="1"/>
  <c r="D2679" i="1"/>
  <c r="B2679" i="1"/>
  <c r="A2679" i="1"/>
  <c r="L291" i="1"/>
  <c r="J291" i="1"/>
  <c r="I291" i="1"/>
  <c r="H291" i="1"/>
  <c r="G291" i="1"/>
  <c r="F291" i="1"/>
  <c r="E291" i="1"/>
  <c r="D291" i="1"/>
  <c r="B291" i="1"/>
  <c r="A291" i="1"/>
  <c r="L1681" i="1"/>
  <c r="K1681" i="1"/>
  <c r="J1681" i="1"/>
  <c r="I1681" i="1"/>
  <c r="H1681" i="1"/>
  <c r="G1681" i="1"/>
  <c r="F1681" i="1"/>
  <c r="E1681" i="1"/>
  <c r="D1681" i="1"/>
  <c r="B1681" i="1"/>
  <c r="A1681" i="1"/>
  <c r="L290" i="1"/>
  <c r="J290" i="1"/>
  <c r="I290" i="1"/>
  <c r="H290" i="1"/>
  <c r="G290" i="1"/>
  <c r="F290" i="1"/>
  <c r="E290" i="1"/>
  <c r="D290" i="1"/>
  <c r="B290" i="1"/>
  <c r="A290" i="1"/>
  <c r="L2972" i="1"/>
  <c r="J2972" i="1"/>
  <c r="I2972" i="1"/>
  <c r="H2972" i="1"/>
  <c r="G2972" i="1"/>
  <c r="F2972" i="1"/>
  <c r="E2972" i="1"/>
  <c r="D2972" i="1"/>
  <c r="B2972" i="1"/>
  <c r="A2972" i="1"/>
  <c r="L750" i="1"/>
  <c r="J750" i="1"/>
  <c r="I750" i="1"/>
  <c r="H750" i="1"/>
  <c r="G750" i="1"/>
  <c r="F750" i="1"/>
  <c r="E750" i="1"/>
  <c r="D750" i="1"/>
  <c r="B750" i="1"/>
  <c r="A750" i="1"/>
  <c r="L2246" i="1"/>
  <c r="J2246" i="1"/>
  <c r="I2246" i="1"/>
  <c r="H2246" i="1"/>
  <c r="G2246" i="1"/>
  <c r="F2246" i="1"/>
  <c r="E2246" i="1"/>
  <c r="D2246" i="1"/>
  <c r="B2246" i="1"/>
  <c r="A2246" i="1"/>
  <c r="L1680" i="1"/>
  <c r="K1680" i="1"/>
  <c r="J1680" i="1"/>
  <c r="I1680" i="1"/>
  <c r="H1680" i="1"/>
  <c r="G1680" i="1"/>
  <c r="F1680" i="1"/>
  <c r="E1680" i="1"/>
  <c r="D1680" i="1"/>
  <c r="B1680" i="1"/>
  <c r="A1680" i="1"/>
  <c r="L1679" i="1"/>
  <c r="K1679" i="1"/>
  <c r="J1679" i="1"/>
  <c r="I1679" i="1"/>
  <c r="H1679" i="1"/>
  <c r="G1679" i="1"/>
  <c r="F1679" i="1"/>
  <c r="E1679" i="1"/>
  <c r="D1679" i="1"/>
  <c r="B1679" i="1"/>
  <c r="A1679" i="1"/>
  <c r="L1678" i="1"/>
  <c r="K1678" i="1"/>
  <c r="J1678" i="1"/>
  <c r="I1678" i="1"/>
  <c r="H1678" i="1"/>
  <c r="G1678" i="1"/>
  <c r="F1678" i="1"/>
  <c r="E1678" i="1"/>
  <c r="D1678" i="1"/>
  <c r="B1678" i="1"/>
  <c r="A1678" i="1"/>
  <c r="L2971" i="1"/>
  <c r="J2971" i="1"/>
  <c r="I2971" i="1"/>
  <c r="H2971" i="1"/>
  <c r="G2971" i="1"/>
  <c r="F2971" i="1"/>
  <c r="E2971" i="1"/>
  <c r="D2971" i="1"/>
  <c r="B2971" i="1"/>
  <c r="A2971" i="1"/>
  <c r="L289" i="1"/>
  <c r="J289" i="1"/>
  <c r="I289" i="1"/>
  <c r="H289" i="1"/>
  <c r="G289" i="1"/>
  <c r="F289" i="1"/>
  <c r="E289" i="1"/>
  <c r="D289" i="1"/>
  <c r="B289" i="1"/>
  <c r="A289" i="1"/>
  <c r="L2970" i="1"/>
  <c r="J2970" i="1"/>
  <c r="I2970" i="1"/>
  <c r="H2970" i="1"/>
  <c r="G2970" i="1"/>
  <c r="F2970" i="1"/>
  <c r="E2970" i="1"/>
  <c r="D2970" i="1"/>
  <c r="B2970" i="1"/>
  <c r="A2970" i="1"/>
  <c r="L1677" i="1"/>
  <c r="K1677" i="1"/>
  <c r="J1677" i="1"/>
  <c r="I1677" i="1"/>
  <c r="H1677" i="1"/>
  <c r="G1677" i="1"/>
  <c r="F1677" i="1"/>
  <c r="E1677" i="1"/>
  <c r="D1677" i="1"/>
  <c r="B1677" i="1"/>
  <c r="A1677" i="1"/>
  <c r="L288" i="1"/>
  <c r="J288" i="1"/>
  <c r="I288" i="1"/>
  <c r="H288" i="1"/>
  <c r="G288" i="1"/>
  <c r="F288" i="1"/>
  <c r="E288" i="1"/>
  <c r="D288" i="1"/>
  <c r="B288" i="1"/>
  <c r="A288" i="1"/>
  <c r="L2969" i="1"/>
  <c r="J2969" i="1"/>
  <c r="I2969" i="1"/>
  <c r="H2969" i="1"/>
  <c r="G2969" i="1"/>
  <c r="F2969" i="1"/>
  <c r="E2969" i="1"/>
  <c r="D2969" i="1"/>
  <c r="B2969" i="1"/>
  <c r="A2969" i="1"/>
  <c r="L1676" i="1"/>
  <c r="K1676" i="1"/>
  <c r="J1676" i="1"/>
  <c r="I1676" i="1"/>
  <c r="H1676" i="1"/>
  <c r="G1676" i="1"/>
  <c r="F1676" i="1"/>
  <c r="E1676" i="1"/>
  <c r="D1676" i="1"/>
  <c r="B1676" i="1"/>
  <c r="A1676" i="1"/>
  <c r="L1675" i="1"/>
  <c r="K1675" i="1"/>
  <c r="J1675" i="1"/>
  <c r="I1675" i="1"/>
  <c r="H1675" i="1"/>
  <c r="G1675" i="1"/>
  <c r="F1675" i="1"/>
  <c r="E1675" i="1"/>
  <c r="D1675" i="1"/>
  <c r="B1675" i="1"/>
  <c r="A1675" i="1"/>
  <c r="L287" i="1"/>
  <c r="J287" i="1"/>
  <c r="I287" i="1"/>
  <c r="H287" i="1"/>
  <c r="G287" i="1"/>
  <c r="F287" i="1"/>
  <c r="E287" i="1"/>
  <c r="D287" i="1"/>
  <c r="B287" i="1"/>
  <c r="A287" i="1"/>
  <c r="L2968" i="1"/>
  <c r="J2968" i="1"/>
  <c r="I2968" i="1"/>
  <c r="H2968" i="1"/>
  <c r="G2968" i="1"/>
  <c r="F2968" i="1"/>
  <c r="E2968" i="1"/>
  <c r="D2968" i="1"/>
  <c r="B2968" i="1"/>
  <c r="A2968" i="1"/>
  <c r="L1674" i="1"/>
  <c r="K1674" i="1"/>
  <c r="J1674" i="1"/>
  <c r="I1674" i="1"/>
  <c r="H1674" i="1"/>
  <c r="G1674" i="1"/>
  <c r="F1674" i="1"/>
  <c r="E1674" i="1"/>
  <c r="D1674" i="1"/>
  <c r="B1674" i="1"/>
  <c r="A1674" i="1"/>
  <c r="L749" i="1"/>
  <c r="J749" i="1"/>
  <c r="I749" i="1"/>
  <c r="H749" i="1"/>
  <c r="G749" i="1"/>
  <c r="F749" i="1"/>
  <c r="E749" i="1"/>
  <c r="D749" i="1"/>
  <c r="B749" i="1"/>
  <c r="A749" i="1"/>
  <c r="L2245" i="1"/>
  <c r="J2245" i="1"/>
  <c r="I2245" i="1"/>
  <c r="H2245" i="1"/>
  <c r="G2245" i="1"/>
  <c r="F2245" i="1"/>
  <c r="E2245" i="1"/>
  <c r="D2245" i="1"/>
  <c r="B2245" i="1"/>
  <c r="A2245" i="1"/>
  <c r="L1673" i="1"/>
  <c r="K1673" i="1"/>
  <c r="J1673" i="1"/>
  <c r="I1673" i="1"/>
  <c r="H1673" i="1"/>
  <c r="G1673" i="1"/>
  <c r="F1673" i="1"/>
  <c r="E1673" i="1"/>
  <c r="D1673" i="1"/>
  <c r="B1673" i="1"/>
  <c r="A1673" i="1"/>
  <c r="L1672" i="1"/>
  <c r="K1672" i="1"/>
  <c r="J1672" i="1"/>
  <c r="I1672" i="1"/>
  <c r="H1672" i="1"/>
  <c r="G1672" i="1"/>
  <c r="F1672" i="1"/>
  <c r="E1672" i="1"/>
  <c r="D1672" i="1"/>
  <c r="B1672" i="1"/>
  <c r="A1672" i="1"/>
  <c r="L1671" i="1"/>
  <c r="K1671" i="1"/>
  <c r="J1671" i="1"/>
  <c r="I1671" i="1"/>
  <c r="H1671" i="1"/>
  <c r="G1671" i="1"/>
  <c r="F1671" i="1"/>
  <c r="E1671" i="1"/>
  <c r="D1671" i="1"/>
  <c r="B1671" i="1"/>
  <c r="A1671" i="1"/>
  <c r="L1670" i="1"/>
  <c r="K1670" i="1"/>
  <c r="J1670" i="1"/>
  <c r="I1670" i="1"/>
  <c r="H1670" i="1"/>
  <c r="G1670" i="1"/>
  <c r="F1670" i="1"/>
  <c r="E1670" i="1"/>
  <c r="D1670" i="1"/>
  <c r="B1670" i="1"/>
  <c r="A1670" i="1"/>
  <c r="L286" i="1"/>
  <c r="J286" i="1"/>
  <c r="I286" i="1"/>
  <c r="H286" i="1"/>
  <c r="G286" i="1"/>
  <c r="F286" i="1"/>
  <c r="E286" i="1"/>
  <c r="D286" i="1"/>
  <c r="B286" i="1"/>
  <c r="A286" i="1"/>
  <c r="L1669" i="1"/>
  <c r="K1669" i="1"/>
  <c r="J1669" i="1"/>
  <c r="I1669" i="1"/>
  <c r="H1669" i="1"/>
  <c r="G1669" i="1"/>
  <c r="F1669" i="1"/>
  <c r="E1669" i="1"/>
  <c r="D1669" i="1"/>
  <c r="B1669" i="1"/>
  <c r="A1669" i="1"/>
  <c r="J1668" i="1"/>
  <c r="I1668" i="1"/>
  <c r="H1668" i="1"/>
  <c r="G1668" i="1"/>
  <c r="F1668" i="1"/>
  <c r="E1668" i="1"/>
  <c r="D1668" i="1"/>
  <c r="B1668" i="1"/>
  <c r="A1668" i="1"/>
  <c r="L2678" i="1"/>
  <c r="J2678" i="1"/>
  <c r="I2678" i="1"/>
  <c r="H2678" i="1"/>
  <c r="G2678" i="1"/>
  <c r="F2678" i="1"/>
  <c r="E2678" i="1"/>
  <c r="D2678" i="1"/>
  <c r="B2678" i="1"/>
  <c r="A2678" i="1"/>
  <c r="L2967" i="1"/>
  <c r="J2967" i="1"/>
  <c r="I2967" i="1"/>
  <c r="H2967" i="1"/>
  <c r="G2967" i="1"/>
  <c r="F2967" i="1"/>
  <c r="E2967" i="1"/>
  <c r="D2967" i="1"/>
  <c r="B2967" i="1"/>
  <c r="A2967" i="1"/>
  <c r="L285" i="1"/>
  <c r="J285" i="1"/>
  <c r="I285" i="1"/>
  <c r="H285" i="1"/>
  <c r="G285" i="1"/>
  <c r="F285" i="1"/>
  <c r="E285" i="1"/>
  <c r="D285" i="1"/>
  <c r="B285" i="1"/>
  <c r="A285" i="1"/>
  <c r="L2966" i="1"/>
  <c r="J2966" i="1"/>
  <c r="I2966" i="1"/>
  <c r="H2966" i="1"/>
  <c r="G2966" i="1"/>
  <c r="F2966" i="1"/>
  <c r="E2966" i="1"/>
  <c r="D2966" i="1"/>
  <c r="B2966" i="1"/>
  <c r="A2966" i="1"/>
  <c r="L284" i="1"/>
  <c r="J284" i="1"/>
  <c r="I284" i="1"/>
  <c r="H284" i="1"/>
  <c r="G284" i="1"/>
  <c r="F284" i="1"/>
  <c r="E284" i="1"/>
  <c r="D284" i="1"/>
  <c r="B284" i="1"/>
  <c r="A284" i="1"/>
  <c r="L748" i="1"/>
  <c r="J748" i="1"/>
  <c r="I748" i="1"/>
  <c r="H748" i="1"/>
  <c r="G748" i="1"/>
  <c r="F748" i="1"/>
  <c r="E748" i="1"/>
  <c r="D748" i="1"/>
  <c r="B748" i="1"/>
  <c r="A748" i="1"/>
  <c r="L2244" i="1"/>
  <c r="J2244" i="1"/>
  <c r="I2244" i="1"/>
  <c r="H2244" i="1"/>
  <c r="G2244" i="1"/>
  <c r="F2244" i="1"/>
  <c r="E2244" i="1"/>
  <c r="D2244" i="1"/>
  <c r="B2244" i="1"/>
  <c r="A2244" i="1"/>
  <c r="J1667" i="1"/>
  <c r="I1667" i="1"/>
  <c r="H1667" i="1"/>
  <c r="G1667" i="1"/>
  <c r="F1667" i="1"/>
  <c r="E1667" i="1"/>
  <c r="D1667" i="1"/>
  <c r="B1667" i="1"/>
  <c r="A1667" i="1"/>
  <c r="L747" i="1"/>
  <c r="J747" i="1"/>
  <c r="I747" i="1"/>
  <c r="H747" i="1"/>
  <c r="G747" i="1"/>
  <c r="F747" i="1"/>
  <c r="E747" i="1"/>
  <c r="D747" i="1"/>
  <c r="B747" i="1"/>
  <c r="A747" i="1"/>
  <c r="L2243" i="1"/>
  <c r="J2243" i="1"/>
  <c r="I2243" i="1"/>
  <c r="H2243" i="1"/>
  <c r="G2243" i="1"/>
  <c r="F2243" i="1"/>
  <c r="E2243" i="1"/>
  <c r="D2243" i="1"/>
  <c r="B2243" i="1"/>
  <c r="A2243" i="1"/>
  <c r="L2965" i="1"/>
  <c r="J2965" i="1"/>
  <c r="I2965" i="1"/>
  <c r="H2965" i="1"/>
  <c r="G2965" i="1"/>
  <c r="F2965" i="1"/>
  <c r="E2965" i="1"/>
  <c r="D2965" i="1"/>
  <c r="B2965" i="1"/>
  <c r="A2965" i="1"/>
  <c r="L283" i="1"/>
  <c r="J283" i="1"/>
  <c r="I283" i="1"/>
  <c r="H283" i="1"/>
  <c r="G283" i="1"/>
  <c r="F283" i="1"/>
  <c r="E283" i="1"/>
  <c r="D283" i="1"/>
  <c r="B283" i="1"/>
  <c r="A283" i="1"/>
  <c r="L2964" i="1"/>
  <c r="J2964" i="1"/>
  <c r="I2964" i="1"/>
  <c r="H2964" i="1"/>
  <c r="G2964" i="1"/>
  <c r="F2964" i="1"/>
  <c r="E2964" i="1"/>
  <c r="D2964" i="1"/>
  <c r="B2964" i="1"/>
  <c r="A2964" i="1"/>
  <c r="J1666" i="1"/>
  <c r="I1666" i="1"/>
  <c r="H1666" i="1"/>
  <c r="G1666" i="1"/>
  <c r="F1666" i="1"/>
  <c r="E1666" i="1"/>
  <c r="D1666" i="1"/>
  <c r="B1666" i="1"/>
  <c r="A1666" i="1"/>
  <c r="L282" i="1"/>
  <c r="J282" i="1"/>
  <c r="I282" i="1"/>
  <c r="H282" i="1"/>
  <c r="G282" i="1"/>
  <c r="F282" i="1"/>
  <c r="E282" i="1"/>
  <c r="D282" i="1"/>
  <c r="B282" i="1"/>
  <c r="A282" i="1"/>
  <c r="L2963" i="1"/>
  <c r="J2963" i="1"/>
  <c r="I2963" i="1"/>
  <c r="H2963" i="1"/>
  <c r="G2963" i="1"/>
  <c r="F2963" i="1"/>
  <c r="E2963" i="1"/>
  <c r="D2963" i="1"/>
  <c r="B2963" i="1"/>
  <c r="A2963" i="1"/>
  <c r="J1665" i="1"/>
  <c r="I1665" i="1"/>
  <c r="H1665" i="1"/>
  <c r="G1665" i="1"/>
  <c r="F1665" i="1"/>
  <c r="E1665" i="1"/>
  <c r="D1665" i="1"/>
  <c r="B1665" i="1"/>
  <c r="A1665" i="1"/>
  <c r="L281" i="1"/>
  <c r="J281" i="1"/>
  <c r="I281" i="1"/>
  <c r="H281" i="1"/>
  <c r="G281" i="1"/>
  <c r="F281" i="1"/>
  <c r="E281" i="1"/>
  <c r="D281" i="1"/>
  <c r="B281" i="1"/>
  <c r="A281" i="1"/>
  <c r="L2962" i="1"/>
  <c r="J2962" i="1"/>
  <c r="I2962" i="1"/>
  <c r="H2962" i="1"/>
  <c r="G2962" i="1"/>
  <c r="F2962" i="1"/>
  <c r="E2962" i="1"/>
  <c r="D2962" i="1"/>
  <c r="B2962" i="1"/>
  <c r="A2962" i="1"/>
  <c r="L280" i="1"/>
  <c r="J280" i="1"/>
  <c r="I280" i="1"/>
  <c r="H280" i="1"/>
  <c r="G280" i="1"/>
  <c r="F280" i="1"/>
  <c r="E280" i="1"/>
  <c r="D280" i="1"/>
  <c r="B280" i="1"/>
  <c r="A280" i="1"/>
  <c r="L2961" i="1"/>
  <c r="J2961" i="1"/>
  <c r="I2961" i="1"/>
  <c r="H2961" i="1"/>
  <c r="G2961" i="1"/>
  <c r="F2961" i="1"/>
  <c r="E2961" i="1"/>
  <c r="D2961" i="1"/>
  <c r="B2961" i="1"/>
  <c r="A2961" i="1"/>
  <c r="J1664" i="1"/>
  <c r="I1664" i="1"/>
  <c r="H1664" i="1"/>
  <c r="G1664" i="1"/>
  <c r="F1664" i="1"/>
  <c r="E1664" i="1"/>
  <c r="D1664" i="1"/>
  <c r="B1664" i="1"/>
  <c r="A1664" i="1"/>
  <c r="L2677" i="1"/>
  <c r="J2677" i="1"/>
  <c r="I2677" i="1"/>
  <c r="H2677" i="1"/>
  <c r="G2677" i="1"/>
  <c r="F2677" i="1"/>
  <c r="E2677" i="1"/>
  <c r="D2677" i="1"/>
  <c r="B2677" i="1"/>
  <c r="A2677" i="1"/>
  <c r="L279" i="1"/>
  <c r="J279" i="1"/>
  <c r="I279" i="1"/>
  <c r="H279" i="1"/>
  <c r="G279" i="1"/>
  <c r="F279" i="1"/>
  <c r="E279" i="1"/>
  <c r="D279" i="1"/>
  <c r="B279" i="1"/>
  <c r="A279" i="1"/>
  <c r="L2960" i="1"/>
  <c r="J2960" i="1"/>
  <c r="I2960" i="1"/>
  <c r="H2960" i="1"/>
  <c r="G2960" i="1"/>
  <c r="F2960" i="1"/>
  <c r="E2960" i="1"/>
  <c r="D2960" i="1"/>
  <c r="B2960" i="1"/>
  <c r="A2960" i="1"/>
  <c r="J1663" i="1"/>
  <c r="I1663" i="1"/>
  <c r="H1663" i="1"/>
  <c r="G1663" i="1"/>
  <c r="F1663" i="1"/>
  <c r="E1663" i="1"/>
  <c r="D1663" i="1"/>
  <c r="B1663" i="1"/>
  <c r="A1663" i="1"/>
  <c r="L2676" i="1"/>
  <c r="J2676" i="1"/>
  <c r="I2676" i="1"/>
  <c r="H2676" i="1"/>
  <c r="G2676" i="1"/>
  <c r="F2676" i="1"/>
  <c r="E2676" i="1"/>
  <c r="D2676" i="1"/>
  <c r="B2676" i="1"/>
  <c r="A2676" i="1"/>
  <c r="L1662" i="1"/>
  <c r="K1662" i="1"/>
  <c r="J1662" i="1"/>
  <c r="I1662" i="1"/>
  <c r="H1662" i="1"/>
  <c r="G1662" i="1"/>
  <c r="F1662" i="1"/>
  <c r="E1662" i="1"/>
  <c r="D1662" i="1"/>
  <c r="B1662" i="1"/>
  <c r="A1662" i="1"/>
  <c r="L278" i="1"/>
  <c r="J278" i="1"/>
  <c r="I278" i="1"/>
  <c r="H278" i="1"/>
  <c r="G278" i="1"/>
  <c r="F278" i="1"/>
  <c r="E278" i="1"/>
  <c r="D278" i="1"/>
  <c r="B278" i="1"/>
  <c r="A278" i="1"/>
  <c r="L2959" i="1"/>
  <c r="J2959" i="1"/>
  <c r="I2959" i="1"/>
  <c r="H2959" i="1"/>
  <c r="G2959" i="1"/>
  <c r="F2959" i="1"/>
  <c r="E2959" i="1"/>
  <c r="D2959" i="1"/>
  <c r="B2959" i="1"/>
  <c r="A2959" i="1"/>
  <c r="L1661" i="1"/>
  <c r="K1661" i="1"/>
  <c r="J1661" i="1"/>
  <c r="I1661" i="1"/>
  <c r="H1661" i="1"/>
  <c r="G1661" i="1"/>
  <c r="F1661" i="1"/>
  <c r="E1661" i="1"/>
  <c r="D1661" i="1"/>
  <c r="B1661" i="1"/>
  <c r="A1661" i="1"/>
  <c r="L2675" i="1"/>
  <c r="J2675" i="1"/>
  <c r="I2675" i="1"/>
  <c r="H2675" i="1"/>
  <c r="G2675" i="1"/>
  <c r="F2675" i="1"/>
  <c r="E2675" i="1"/>
  <c r="D2675" i="1"/>
  <c r="B2675" i="1"/>
  <c r="A2675" i="1"/>
  <c r="L1660" i="1"/>
  <c r="K1660" i="1"/>
  <c r="J1660" i="1"/>
  <c r="I1660" i="1"/>
  <c r="H1660" i="1"/>
  <c r="G1660" i="1"/>
  <c r="F1660" i="1"/>
  <c r="E1660" i="1"/>
  <c r="D1660" i="1"/>
  <c r="B1660" i="1"/>
  <c r="A1660" i="1"/>
  <c r="L1659" i="1"/>
  <c r="K1659" i="1"/>
  <c r="J1659" i="1"/>
  <c r="I1659" i="1"/>
  <c r="H1659" i="1"/>
  <c r="G1659" i="1"/>
  <c r="F1659" i="1"/>
  <c r="E1659" i="1"/>
  <c r="D1659" i="1"/>
  <c r="B1659" i="1"/>
  <c r="A1659" i="1"/>
  <c r="L1658" i="1"/>
  <c r="K1658" i="1"/>
  <c r="J1658" i="1"/>
  <c r="I1658" i="1"/>
  <c r="H1658" i="1"/>
  <c r="G1658" i="1"/>
  <c r="F1658" i="1"/>
  <c r="E1658" i="1"/>
  <c r="D1658" i="1"/>
  <c r="B1658" i="1"/>
  <c r="A1658" i="1"/>
  <c r="L277" i="1"/>
  <c r="J277" i="1"/>
  <c r="I277" i="1"/>
  <c r="H277" i="1"/>
  <c r="G277" i="1"/>
  <c r="F277" i="1"/>
  <c r="E277" i="1"/>
  <c r="D277" i="1"/>
  <c r="B277" i="1"/>
  <c r="A277" i="1"/>
  <c r="L2958" i="1"/>
  <c r="J2958" i="1"/>
  <c r="I2958" i="1"/>
  <c r="H2958" i="1"/>
  <c r="G2958" i="1"/>
  <c r="F2958" i="1"/>
  <c r="E2958" i="1"/>
  <c r="D2958" i="1"/>
  <c r="B2958" i="1"/>
  <c r="A2958" i="1"/>
  <c r="L1657" i="1"/>
  <c r="K1657" i="1"/>
  <c r="J1657" i="1"/>
  <c r="I1657" i="1"/>
  <c r="H1657" i="1"/>
  <c r="G1657" i="1"/>
  <c r="F1657" i="1"/>
  <c r="E1657" i="1"/>
  <c r="D1657" i="1"/>
  <c r="B1657" i="1"/>
  <c r="A1657" i="1"/>
  <c r="L276" i="1"/>
  <c r="J276" i="1"/>
  <c r="I276" i="1"/>
  <c r="H276" i="1"/>
  <c r="G276" i="1"/>
  <c r="F276" i="1"/>
  <c r="E276" i="1"/>
  <c r="D276" i="1"/>
  <c r="B276" i="1"/>
  <c r="A276" i="1"/>
  <c r="L2957" i="1"/>
  <c r="J2957" i="1"/>
  <c r="I2957" i="1"/>
  <c r="H2957" i="1"/>
  <c r="G2957" i="1"/>
  <c r="F2957" i="1"/>
  <c r="E2957" i="1"/>
  <c r="D2957" i="1"/>
  <c r="B2957" i="1"/>
  <c r="A2957" i="1"/>
  <c r="L746" i="1"/>
  <c r="J746" i="1"/>
  <c r="I746" i="1"/>
  <c r="H746" i="1"/>
  <c r="G746" i="1"/>
  <c r="F746" i="1"/>
  <c r="E746" i="1"/>
  <c r="D746" i="1"/>
  <c r="B746" i="1"/>
  <c r="A746" i="1"/>
  <c r="L2242" i="1"/>
  <c r="J2242" i="1"/>
  <c r="I2242" i="1"/>
  <c r="H2242" i="1"/>
  <c r="G2242" i="1"/>
  <c r="F2242" i="1"/>
  <c r="E2242" i="1"/>
  <c r="D2242" i="1"/>
  <c r="B2242" i="1"/>
  <c r="A2242" i="1"/>
  <c r="L275" i="1"/>
  <c r="J275" i="1"/>
  <c r="I275" i="1"/>
  <c r="H275" i="1"/>
  <c r="G275" i="1"/>
  <c r="F275" i="1"/>
  <c r="E275" i="1"/>
  <c r="D275" i="1"/>
  <c r="B275" i="1"/>
  <c r="A275" i="1"/>
  <c r="L2956" i="1"/>
  <c r="J2956" i="1"/>
  <c r="I2956" i="1"/>
  <c r="H2956" i="1"/>
  <c r="G2956" i="1"/>
  <c r="F2956" i="1"/>
  <c r="E2956" i="1"/>
  <c r="D2956" i="1"/>
  <c r="B2956" i="1"/>
  <c r="A2956" i="1"/>
  <c r="L1656" i="1"/>
  <c r="K1656" i="1"/>
  <c r="J1656" i="1"/>
  <c r="I1656" i="1"/>
  <c r="H1656" i="1"/>
  <c r="G1656" i="1"/>
  <c r="F1656" i="1"/>
  <c r="E1656" i="1"/>
  <c r="D1656" i="1"/>
  <c r="B1656" i="1"/>
  <c r="A1656" i="1"/>
  <c r="L1655" i="1"/>
  <c r="K1655" i="1"/>
  <c r="J1655" i="1"/>
  <c r="I1655" i="1"/>
  <c r="H1655" i="1"/>
  <c r="G1655" i="1"/>
  <c r="F1655" i="1"/>
  <c r="E1655" i="1"/>
  <c r="D1655" i="1"/>
  <c r="B1655" i="1"/>
  <c r="A1655" i="1"/>
  <c r="L1654" i="1"/>
  <c r="K1654" i="1"/>
  <c r="J1654" i="1"/>
  <c r="I1654" i="1"/>
  <c r="H1654" i="1"/>
  <c r="G1654" i="1"/>
  <c r="F1654" i="1"/>
  <c r="E1654" i="1"/>
  <c r="D1654" i="1"/>
  <c r="B1654" i="1"/>
  <c r="A1654" i="1"/>
  <c r="L274" i="1"/>
  <c r="J274" i="1"/>
  <c r="I274" i="1"/>
  <c r="H274" i="1"/>
  <c r="G274" i="1"/>
  <c r="F274" i="1"/>
  <c r="E274" i="1"/>
  <c r="D274" i="1"/>
  <c r="B274" i="1"/>
  <c r="A274" i="1"/>
  <c r="L1653" i="1"/>
  <c r="K1653" i="1"/>
  <c r="J1653" i="1"/>
  <c r="I1653" i="1"/>
  <c r="H1653" i="1"/>
  <c r="G1653" i="1"/>
  <c r="F1653" i="1"/>
  <c r="E1653" i="1"/>
  <c r="D1653" i="1"/>
  <c r="B1653" i="1"/>
  <c r="A1653" i="1"/>
  <c r="L2955" i="1"/>
  <c r="J2955" i="1"/>
  <c r="I2955" i="1"/>
  <c r="H2955" i="1"/>
  <c r="G2955" i="1"/>
  <c r="F2955" i="1"/>
  <c r="E2955" i="1"/>
  <c r="D2955" i="1"/>
  <c r="B2955" i="1"/>
  <c r="A2955" i="1"/>
  <c r="L1652" i="1"/>
  <c r="K1652" i="1"/>
  <c r="J1652" i="1"/>
  <c r="I1652" i="1"/>
  <c r="H1652" i="1"/>
  <c r="G1652" i="1"/>
  <c r="F1652" i="1"/>
  <c r="E1652" i="1"/>
  <c r="D1652" i="1"/>
  <c r="B1652" i="1"/>
  <c r="A1652" i="1"/>
  <c r="L1651" i="1"/>
  <c r="K1651" i="1"/>
  <c r="J1651" i="1"/>
  <c r="I1651" i="1"/>
  <c r="H1651" i="1"/>
  <c r="G1651" i="1"/>
  <c r="F1651" i="1"/>
  <c r="E1651" i="1"/>
  <c r="D1651" i="1"/>
  <c r="B1651" i="1"/>
  <c r="A1651" i="1"/>
  <c r="L1650" i="1"/>
  <c r="K1650" i="1"/>
  <c r="J1650" i="1"/>
  <c r="I1650" i="1"/>
  <c r="H1650" i="1"/>
  <c r="G1650" i="1"/>
  <c r="F1650" i="1"/>
  <c r="E1650" i="1"/>
  <c r="D1650" i="1"/>
  <c r="B1650" i="1"/>
  <c r="A1650" i="1"/>
  <c r="L273" i="1"/>
  <c r="J273" i="1"/>
  <c r="I273" i="1"/>
  <c r="H273" i="1"/>
  <c r="G273" i="1"/>
  <c r="F273" i="1"/>
  <c r="E273" i="1"/>
  <c r="D273" i="1"/>
  <c r="B273" i="1"/>
  <c r="A273" i="1"/>
  <c r="L2674" i="1"/>
  <c r="J2674" i="1"/>
  <c r="I2674" i="1"/>
  <c r="H2674" i="1"/>
  <c r="G2674" i="1"/>
  <c r="F2674" i="1"/>
  <c r="E2674" i="1"/>
  <c r="D2674" i="1"/>
  <c r="B2674" i="1"/>
  <c r="A2674" i="1"/>
  <c r="L1649" i="1"/>
  <c r="K1649" i="1"/>
  <c r="J1649" i="1"/>
  <c r="I1649" i="1"/>
  <c r="H1649" i="1"/>
  <c r="G1649" i="1"/>
  <c r="F1649" i="1"/>
  <c r="E1649" i="1"/>
  <c r="D1649" i="1"/>
  <c r="B1649" i="1"/>
  <c r="A1649" i="1"/>
  <c r="L2954" i="1"/>
  <c r="J2954" i="1"/>
  <c r="I2954" i="1"/>
  <c r="H2954" i="1"/>
  <c r="G2954" i="1"/>
  <c r="F2954" i="1"/>
  <c r="E2954" i="1"/>
  <c r="D2954" i="1"/>
  <c r="B2954" i="1"/>
  <c r="A2954" i="1"/>
  <c r="L272" i="1"/>
  <c r="J272" i="1"/>
  <c r="I272" i="1"/>
  <c r="H272" i="1"/>
  <c r="G272" i="1"/>
  <c r="F272" i="1"/>
  <c r="E272" i="1"/>
  <c r="D272" i="1"/>
  <c r="B272" i="1"/>
  <c r="A272" i="1"/>
  <c r="L2953" i="1"/>
  <c r="J2953" i="1"/>
  <c r="I2953" i="1"/>
  <c r="H2953" i="1"/>
  <c r="G2953" i="1"/>
  <c r="F2953" i="1"/>
  <c r="E2953" i="1"/>
  <c r="D2953" i="1"/>
  <c r="B2953" i="1"/>
  <c r="A2953" i="1"/>
  <c r="L2673" i="1"/>
  <c r="J2673" i="1"/>
  <c r="I2673" i="1"/>
  <c r="H2673" i="1"/>
  <c r="G2673" i="1"/>
  <c r="F2673" i="1"/>
  <c r="E2673" i="1"/>
  <c r="D2673" i="1"/>
  <c r="B2673" i="1"/>
  <c r="A2673" i="1"/>
  <c r="L1648" i="1"/>
  <c r="K1648" i="1"/>
  <c r="J1648" i="1"/>
  <c r="I1648" i="1"/>
  <c r="H1648" i="1"/>
  <c r="G1648" i="1"/>
  <c r="F1648" i="1"/>
  <c r="E1648" i="1"/>
  <c r="D1648" i="1"/>
  <c r="B1648" i="1"/>
  <c r="A1648" i="1"/>
  <c r="L271" i="1"/>
  <c r="J271" i="1"/>
  <c r="I271" i="1"/>
  <c r="H271" i="1"/>
  <c r="G271" i="1"/>
  <c r="F271" i="1"/>
  <c r="E271" i="1"/>
  <c r="D271" i="1"/>
  <c r="B271" i="1"/>
  <c r="A271" i="1"/>
  <c r="L745" i="1"/>
  <c r="J745" i="1"/>
  <c r="I745" i="1"/>
  <c r="H745" i="1"/>
  <c r="G745" i="1"/>
  <c r="F745" i="1"/>
  <c r="E745" i="1"/>
  <c r="D745" i="1"/>
  <c r="B745" i="1"/>
  <c r="A745" i="1"/>
  <c r="L2241" i="1"/>
  <c r="J2241" i="1"/>
  <c r="I2241" i="1"/>
  <c r="H2241" i="1"/>
  <c r="G2241" i="1"/>
  <c r="F2241" i="1"/>
  <c r="E2241" i="1"/>
  <c r="D2241" i="1"/>
  <c r="B2241" i="1"/>
  <c r="A2241" i="1"/>
  <c r="L2672" i="1"/>
  <c r="J2672" i="1"/>
  <c r="I2672" i="1"/>
  <c r="H2672" i="1"/>
  <c r="G2672" i="1"/>
  <c r="F2672" i="1"/>
  <c r="E2672" i="1"/>
  <c r="D2672" i="1"/>
  <c r="B2672" i="1"/>
  <c r="A2672" i="1"/>
  <c r="L1647" i="1"/>
  <c r="K1647" i="1"/>
  <c r="J1647" i="1"/>
  <c r="I1647" i="1"/>
  <c r="H1647" i="1"/>
  <c r="G1647" i="1"/>
  <c r="F1647" i="1"/>
  <c r="E1647" i="1"/>
  <c r="D1647" i="1"/>
  <c r="B1647" i="1"/>
  <c r="A1647" i="1"/>
  <c r="L2952" i="1"/>
  <c r="J2952" i="1"/>
  <c r="I2952" i="1"/>
  <c r="H2952" i="1"/>
  <c r="G2952" i="1"/>
  <c r="F2952" i="1"/>
  <c r="E2952" i="1"/>
  <c r="D2952" i="1"/>
  <c r="B2952" i="1"/>
  <c r="A2952" i="1"/>
  <c r="L270" i="1"/>
  <c r="J270" i="1"/>
  <c r="I270" i="1"/>
  <c r="H270" i="1"/>
  <c r="G270" i="1"/>
  <c r="F270" i="1"/>
  <c r="E270" i="1"/>
  <c r="D270" i="1"/>
  <c r="B270" i="1"/>
  <c r="A270" i="1"/>
  <c r="L2951" i="1"/>
  <c r="J2951" i="1"/>
  <c r="I2951" i="1"/>
  <c r="H2951" i="1"/>
  <c r="G2951" i="1"/>
  <c r="F2951" i="1"/>
  <c r="E2951" i="1"/>
  <c r="D2951" i="1"/>
  <c r="B2951" i="1"/>
  <c r="A2951" i="1"/>
  <c r="J1646" i="1"/>
  <c r="I1646" i="1"/>
  <c r="H1646" i="1"/>
  <c r="G1646" i="1"/>
  <c r="F1646" i="1"/>
  <c r="E1646" i="1"/>
  <c r="D1646" i="1"/>
  <c r="B1646" i="1"/>
  <c r="A1646" i="1"/>
  <c r="L1645" i="1"/>
  <c r="J1645" i="1"/>
  <c r="I1645" i="1"/>
  <c r="H1645" i="1"/>
  <c r="G1645" i="1"/>
  <c r="F1645" i="1"/>
  <c r="E1645" i="1"/>
  <c r="D1645" i="1"/>
  <c r="B1645" i="1"/>
  <c r="A1645" i="1"/>
  <c r="J1644" i="1"/>
  <c r="I1644" i="1"/>
  <c r="H1644" i="1"/>
  <c r="G1644" i="1"/>
  <c r="F1644" i="1"/>
  <c r="E1644" i="1"/>
  <c r="D1644" i="1"/>
  <c r="B1644" i="1"/>
  <c r="A1644" i="1"/>
  <c r="L3088" i="1"/>
  <c r="J3088" i="1"/>
  <c r="I3088" i="1"/>
  <c r="H3088" i="1"/>
  <c r="G3088" i="1"/>
  <c r="F3088" i="1"/>
  <c r="E3088" i="1"/>
  <c r="D3088" i="1"/>
  <c r="B3088" i="1"/>
  <c r="A3088" i="1"/>
  <c r="L2494" i="1"/>
  <c r="J2494" i="1"/>
  <c r="I2494" i="1"/>
  <c r="H2494" i="1"/>
  <c r="G2494" i="1"/>
  <c r="F2494" i="1"/>
  <c r="E2494" i="1"/>
  <c r="D2494" i="1"/>
  <c r="B2494" i="1"/>
  <c r="A2494" i="1"/>
  <c r="L744" i="1"/>
  <c r="J744" i="1"/>
  <c r="I744" i="1"/>
  <c r="H744" i="1"/>
  <c r="G744" i="1"/>
  <c r="F744" i="1"/>
  <c r="E744" i="1"/>
  <c r="D744" i="1"/>
  <c r="B744" i="1"/>
  <c r="A744" i="1"/>
  <c r="L2240" i="1"/>
  <c r="J2240" i="1"/>
  <c r="I2240" i="1"/>
  <c r="H2240" i="1"/>
  <c r="G2240" i="1"/>
  <c r="F2240" i="1"/>
  <c r="E2240" i="1"/>
  <c r="D2240" i="1"/>
  <c r="B2240" i="1"/>
  <c r="A2240" i="1"/>
  <c r="L2415" i="1"/>
  <c r="K2415" i="1"/>
  <c r="J2415" i="1"/>
  <c r="I2415" i="1"/>
  <c r="H2415" i="1"/>
  <c r="G2415" i="1"/>
  <c r="F2415" i="1"/>
  <c r="E2415" i="1"/>
  <c r="D2415" i="1"/>
  <c r="B2415" i="1"/>
  <c r="A2415" i="1"/>
  <c r="L269" i="1"/>
  <c r="J269" i="1"/>
  <c r="I269" i="1"/>
  <c r="H269" i="1"/>
  <c r="G269" i="1"/>
  <c r="F269" i="1"/>
  <c r="E269" i="1"/>
  <c r="D269" i="1"/>
  <c r="B269" i="1"/>
  <c r="A269" i="1"/>
  <c r="L2493" i="1"/>
  <c r="K2493" i="1"/>
  <c r="J2493" i="1"/>
  <c r="I2493" i="1"/>
  <c r="H2493" i="1"/>
  <c r="G2493" i="1"/>
  <c r="F2493" i="1"/>
  <c r="E2493" i="1"/>
  <c r="D2493" i="1"/>
  <c r="B2493" i="1"/>
  <c r="A2493" i="1"/>
  <c r="L743" i="1"/>
  <c r="J743" i="1"/>
  <c r="I743" i="1"/>
  <c r="H743" i="1"/>
  <c r="G743" i="1"/>
  <c r="F743" i="1"/>
  <c r="E743" i="1"/>
  <c r="D743" i="1"/>
  <c r="B743" i="1"/>
  <c r="A743" i="1"/>
  <c r="L2239" i="1"/>
  <c r="J2239" i="1"/>
  <c r="I2239" i="1"/>
  <c r="H2239" i="1"/>
  <c r="G2239" i="1"/>
  <c r="F2239" i="1"/>
  <c r="E2239" i="1"/>
  <c r="D2239" i="1"/>
  <c r="B2239" i="1"/>
  <c r="A2239" i="1"/>
  <c r="L2950" i="1"/>
  <c r="J2950" i="1"/>
  <c r="I2950" i="1"/>
  <c r="H2950" i="1"/>
  <c r="G2950" i="1"/>
  <c r="F2950" i="1"/>
  <c r="E2950" i="1"/>
  <c r="D2950" i="1"/>
  <c r="B2950" i="1"/>
  <c r="A2950" i="1"/>
  <c r="L268" i="1"/>
  <c r="J268" i="1"/>
  <c r="I268" i="1"/>
  <c r="H268" i="1"/>
  <c r="G268" i="1"/>
  <c r="F268" i="1"/>
  <c r="E268" i="1"/>
  <c r="D268" i="1"/>
  <c r="B268" i="1"/>
  <c r="A268" i="1"/>
  <c r="L2949" i="1"/>
  <c r="J2949" i="1"/>
  <c r="I2949" i="1"/>
  <c r="H2949" i="1"/>
  <c r="G2949" i="1"/>
  <c r="F2949" i="1"/>
  <c r="E2949" i="1"/>
  <c r="D2949" i="1"/>
  <c r="B2949" i="1"/>
  <c r="A2949" i="1"/>
  <c r="L2671" i="1"/>
  <c r="J2671" i="1"/>
  <c r="I2671" i="1"/>
  <c r="H2671" i="1"/>
  <c r="G2671" i="1"/>
  <c r="F2671" i="1"/>
  <c r="E2671" i="1"/>
  <c r="D2671" i="1"/>
  <c r="B2671" i="1"/>
  <c r="A2671" i="1"/>
  <c r="J1643" i="1"/>
  <c r="I1643" i="1"/>
  <c r="H1643" i="1"/>
  <c r="G1643" i="1"/>
  <c r="F1643" i="1"/>
  <c r="E1643" i="1"/>
  <c r="D1643" i="1"/>
  <c r="B1643" i="1"/>
  <c r="A1643" i="1"/>
  <c r="L267" i="1"/>
  <c r="J267" i="1"/>
  <c r="I267" i="1"/>
  <c r="H267" i="1"/>
  <c r="G267" i="1"/>
  <c r="F267" i="1"/>
  <c r="E267" i="1"/>
  <c r="D267" i="1"/>
  <c r="B267" i="1"/>
  <c r="A267" i="1"/>
  <c r="L2670" i="1"/>
  <c r="J2670" i="1"/>
  <c r="I2670" i="1"/>
  <c r="H2670" i="1"/>
  <c r="G2670" i="1"/>
  <c r="F2670" i="1"/>
  <c r="E2670" i="1"/>
  <c r="D2670" i="1"/>
  <c r="B2670" i="1"/>
  <c r="A2670" i="1"/>
  <c r="L1347" i="1"/>
  <c r="J1347" i="1"/>
  <c r="I1347" i="1"/>
  <c r="H1347" i="1"/>
  <c r="G1347" i="1"/>
  <c r="F1347" i="1"/>
  <c r="E1347" i="1"/>
  <c r="D1347" i="1"/>
  <c r="B1347" i="1"/>
  <c r="A1347" i="1"/>
  <c r="L742" i="1"/>
  <c r="J742" i="1"/>
  <c r="I742" i="1"/>
  <c r="H742" i="1"/>
  <c r="G742" i="1"/>
  <c r="F742" i="1"/>
  <c r="E742" i="1"/>
  <c r="D742" i="1"/>
  <c r="B742" i="1"/>
  <c r="A742" i="1"/>
  <c r="L2238" i="1"/>
  <c r="J2238" i="1"/>
  <c r="I2238" i="1"/>
  <c r="H2238" i="1"/>
  <c r="G2238" i="1"/>
  <c r="F2238" i="1"/>
  <c r="E2238" i="1"/>
  <c r="D2238" i="1"/>
  <c r="B2238" i="1"/>
  <c r="A2238" i="1"/>
  <c r="L2948" i="1"/>
  <c r="J2948" i="1"/>
  <c r="I2948" i="1"/>
  <c r="H2948" i="1"/>
  <c r="G2948" i="1"/>
  <c r="F2948" i="1"/>
  <c r="E2948" i="1"/>
  <c r="D2948" i="1"/>
  <c r="B2948" i="1"/>
  <c r="A2948" i="1"/>
  <c r="L266" i="1"/>
  <c r="J266" i="1"/>
  <c r="I266" i="1"/>
  <c r="H266" i="1"/>
  <c r="G266" i="1"/>
  <c r="F266" i="1"/>
  <c r="E266" i="1"/>
  <c r="D266" i="1"/>
  <c r="B266" i="1"/>
  <c r="A266" i="1"/>
  <c r="L1642" i="1"/>
  <c r="J1642" i="1"/>
  <c r="I1642" i="1"/>
  <c r="H1642" i="1"/>
  <c r="G1642" i="1"/>
  <c r="F1642" i="1"/>
  <c r="E1642" i="1"/>
  <c r="D1642" i="1"/>
  <c r="B1642" i="1"/>
  <c r="A1642" i="1"/>
  <c r="L1346" i="1"/>
  <c r="K1346" i="1"/>
  <c r="J1346" i="1"/>
  <c r="I1346" i="1"/>
  <c r="H1346" i="1"/>
  <c r="G1346" i="1"/>
  <c r="F1346" i="1"/>
  <c r="E1346" i="1"/>
  <c r="D1346" i="1"/>
  <c r="B1346" i="1"/>
  <c r="A1346" i="1"/>
  <c r="L2947" i="1"/>
  <c r="J2947" i="1"/>
  <c r="I2947" i="1"/>
  <c r="H2947" i="1"/>
  <c r="G2947" i="1"/>
  <c r="F2947" i="1"/>
  <c r="E2947" i="1"/>
  <c r="D2947" i="1"/>
  <c r="B2947" i="1"/>
  <c r="A2947" i="1"/>
  <c r="L265" i="1"/>
  <c r="J265" i="1"/>
  <c r="I265" i="1"/>
  <c r="H265" i="1"/>
  <c r="G265" i="1"/>
  <c r="F265" i="1"/>
  <c r="E265" i="1"/>
  <c r="D265" i="1"/>
  <c r="B265" i="1"/>
  <c r="A265" i="1"/>
  <c r="L2946" i="1"/>
  <c r="J2946" i="1"/>
  <c r="I2946" i="1"/>
  <c r="H2946" i="1"/>
  <c r="G2946" i="1"/>
  <c r="F2946" i="1"/>
  <c r="E2946" i="1"/>
  <c r="D2946" i="1"/>
  <c r="B2946" i="1"/>
  <c r="A2946" i="1"/>
  <c r="J1641" i="1"/>
  <c r="I1641" i="1"/>
  <c r="H1641" i="1"/>
  <c r="G1641" i="1"/>
  <c r="F1641" i="1"/>
  <c r="E1641" i="1"/>
  <c r="D1641" i="1"/>
  <c r="B1641" i="1"/>
  <c r="A1641" i="1"/>
  <c r="L2669" i="1"/>
  <c r="J2669" i="1"/>
  <c r="I2669" i="1"/>
  <c r="H2669" i="1"/>
  <c r="G2669" i="1"/>
  <c r="F2669" i="1"/>
  <c r="E2669" i="1"/>
  <c r="D2669" i="1"/>
  <c r="B2669" i="1"/>
  <c r="A2669" i="1"/>
  <c r="L264" i="1"/>
  <c r="J264" i="1"/>
  <c r="I264" i="1"/>
  <c r="H264" i="1"/>
  <c r="G264" i="1"/>
  <c r="F264" i="1"/>
  <c r="E264" i="1"/>
  <c r="D264" i="1"/>
  <c r="B264" i="1"/>
  <c r="A264" i="1"/>
  <c r="J1640" i="1"/>
  <c r="I1640" i="1"/>
  <c r="H1640" i="1"/>
  <c r="G1640" i="1"/>
  <c r="F1640" i="1"/>
  <c r="E1640" i="1"/>
  <c r="D1640" i="1"/>
  <c r="B1640" i="1"/>
  <c r="A1640" i="1"/>
  <c r="L741" i="1"/>
  <c r="J741" i="1"/>
  <c r="I741" i="1"/>
  <c r="H741" i="1"/>
  <c r="G741" i="1"/>
  <c r="F741" i="1"/>
  <c r="E741" i="1"/>
  <c r="D741" i="1"/>
  <c r="B741" i="1"/>
  <c r="A741" i="1"/>
  <c r="L2237" i="1"/>
  <c r="J2237" i="1"/>
  <c r="I2237" i="1"/>
  <c r="H2237" i="1"/>
  <c r="G2237" i="1"/>
  <c r="F2237" i="1"/>
  <c r="E2237" i="1"/>
  <c r="D2237" i="1"/>
  <c r="B2237" i="1"/>
  <c r="A2237" i="1"/>
  <c r="L2945" i="1"/>
  <c r="J2945" i="1"/>
  <c r="I2945" i="1"/>
  <c r="H2945" i="1"/>
  <c r="G2945" i="1"/>
  <c r="F2945" i="1"/>
  <c r="E2945" i="1"/>
  <c r="D2945" i="1"/>
  <c r="B2945" i="1"/>
  <c r="A2945" i="1"/>
  <c r="L263" i="1"/>
  <c r="J263" i="1"/>
  <c r="I263" i="1"/>
  <c r="H263" i="1"/>
  <c r="G263" i="1"/>
  <c r="F263" i="1"/>
  <c r="E263" i="1"/>
  <c r="D263" i="1"/>
  <c r="B263" i="1"/>
  <c r="A263" i="1"/>
  <c r="L2944" i="1"/>
  <c r="J2944" i="1"/>
  <c r="I2944" i="1"/>
  <c r="H2944" i="1"/>
  <c r="G2944" i="1"/>
  <c r="F2944" i="1"/>
  <c r="E2944" i="1"/>
  <c r="D2944" i="1"/>
  <c r="B2944" i="1"/>
  <c r="A2944" i="1"/>
  <c r="L262" i="1"/>
  <c r="J262" i="1"/>
  <c r="I262" i="1"/>
  <c r="H262" i="1"/>
  <c r="G262" i="1"/>
  <c r="F262" i="1"/>
  <c r="E262" i="1"/>
  <c r="D262" i="1"/>
  <c r="B262" i="1"/>
  <c r="A262" i="1"/>
  <c r="L740" i="1"/>
  <c r="J740" i="1"/>
  <c r="I740" i="1"/>
  <c r="H740" i="1"/>
  <c r="G740" i="1"/>
  <c r="F740" i="1"/>
  <c r="E740" i="1"/>
  <c r="D740" i="1"/>
  <c r="B740" i="1"/>
  <c r="A740" i="1"/>
  <c r="L2236" i="1"/>
  <c r="J2236" i="1"/>
  <c r="I2236" i="1"/>
  <c r="H2236" i="1"/>
  <c r="G2236" i="1"/>
  <c r="F2236" i="1"/>
  <c r="E2236" i="1"/>
  <c r="D2236" i="1"/>
  <c r="B2236" i="1"/>
  <c r="A2236" i="1"/>
  <c r="L2668" i="1"/>
  <c r="J2668" i="1"/>
  <c r="I2668" i="1"/>
  <c r="H2668" i="1"/>
  <c r="G2668" i="1"/>
  <c r="F2668" i="1"/>
  <c r="E2668" i="1"/>
  <c r="D2668" i="1"/>
  <c r="B2668" i="1"/>
  <c r="A2668" i="1"/>
  <c r="L1639" i="1"/>
  <c r="J1639" i="1"/>
  <c r="I1639" i="1"/>
  <c r="H1639" i="1"/>
  <c r="G1639" i="1"/>
  <c r="F1639" i="1"/>
  <c r="E1639" i="1"/>
  <c r="D1639" i="1"/>
  <c r="B1639" i="1"/>
  <c r="A1639" i="1"/>
  <c r="J1638" i="1"/>
  <c r="I1638" i="1"/>
  <c r="H1638" i="1"/>
  <c r="G1638" i="1"/>
  <c r="F1638" i="1"/>
  <c r="E1638" i="1"/>
  <c r="D1638" i="1"/>
  <c r="B1638" i="1"/>
  <c r="A1638" i="1"/>
  <c r="L2943" i="1"/>
  <c r="J2943" i="1"/>
  <c r="I2943" i="1"/>
  <c r="H2943" i="1"/>
  <c r="G2943" i="1"/>
  <c r="F2943" i="1"/>
  <c r="E2943" i="1"/>
  <c r="D2943" i="1"/>
  <c r="B2943" i="1"/>
  <c r="A2943" i="1"/>
  <c r="L261" i="1"/>
  <c r="J261" i="1"/>
  <c r="I261" i="1"/>
  <c r="H261" i="1"/>
  <c r="G261" i="1"/>
  <c r="F261" i="1"/>
  <c r="E261" i="1"/>
  <c r="D261" i="1"/>
  <c r="B261" i="1"/>
  <c r="A261" i="1"/>
  <c r="L1345" i="1"/>
  <c r="J1345" i="1"/>
  <c r="I1345" i="1"/>
  <c r="H1345" i="1"/>
  <c r="G1345" i="1"/>
  <c r="F1345" i="1"/>
  <c r="E1345" i="1"/>
  <c r="D1345" i="1"/>
  <c r="B1345" i="1"/>
  <c r="A1345" i="1"/>
  <c r="L1344" i="1"/>
  <c r="K1344" i="1"/>
  <c r="J1344" i="1"/>
  <c r="I1344" i="1"/>
  <c r="H1344" i="1"/>
  <c r="G1344" i="1"/>
  <c r="F1344" i="1"/>
  <c r="E1344" i="1"/>
  <c r="D1344" i="1"/>
  <c r="B1344" i="1"/>
  <c r="A1344" i="1"/>
  <c r="J1637" i="1"/>
  <c r="I1637" i="1"/>
  <c r="H1637" i="1"/>
  <c r="G1637" i="1"/>
  <c r="F1637" i="1"/>
  <c r="E1637" i="1"/>
  <c r="D1637" i="1"/>
  <c r="B1637" i="1"/>
  <c r="A1637" i="1"/>
  <c r="L739" i="1"/>
  <c r="J739" i="1"/>
  <c r="I739" i="1"/>
  <c r="H739" i="1"/>
  <c r="G739" i="1"/>
  <c r="F739" i="1"/>
  <c r="E739" i="1"/>
  <c r="D739" i="1"/>
  <c r="B739" i="1"/>
  <c r="A739" i="1"/>
  <c r="L2235" i="1"/>
  <c r="J2235" i="1"/>
  <c r="I2235" i="1"/>
  <c r="H2235" i="1"/>
  <c r="G2235" i="1"/>
  <c r="F2235" i="1"/>
  <c r="E2235" i="1"/>
  <c r="D2235" i="1"/>
  <c r="B2235" i="1"/>
  <c r="A2235" i="1"/>
  <c r="L2414" i="1"/>
  <c r="K2414" i="1"/>
  <c r="J2414" i="1"/>
  <c r="I2414" i="1"/>
  <c r="H2414" i="1"/>
  <c r="G2414" i="1"/>
  <c r="F2414" i="1"/>
  <c r="E2414" i="1"/>
  <c r="D2414" i="1"/>
  <c r="B2414" i="1"/>
  <c r="A2414" i="1"/>
  <c r="L2942" i="1"/>
  <c r="J2942" i="1"/>
  <c r="I2942" i="1"/>
  <c r="H2942" i="1"/>
  <c r="G2942" i="1"/>
  <c r="F2942" i="1"/>
  <c r="E2942" i="1"/>
  <c r="D2942" i="1"/>
  <c r="B2942" i="1"/>
  <c r="A2942" i="1"/>
  <c r="L260" i="1"/>
  <c r="J260" i="1"/>
  <c r="I260" i="1"/>
  <c r="H260" i="1"/>
  <c r="G260" i="1"/>
  <c r="F260" i="1"/>
  <c r="E260" i="1"/>
  <c r="D260" i="1"/>
  <c r="B260" i="1"/>
  <c r="A260" i="1"/>
  <c r="L2941" i="1"/>
  <c r="J2941" i="1"/>
  <c r="I2941" i="1"/>
  <c r="H2941" i="1"/>
  <c r="G2941" i="1"/>
  <c r="F2941" i="1"/>
  <c r="E2941" i="1"/>
  <c r="D2941" i="1"/>
  <c r="B2941" i="1"/>
  <c r="A2941" i="1"/>
  <c r="L259" i="1"/>
  <c r="J259" i="1"/>
  <c r="I259" i="1"/>
  <c r="H259" i="1"/>
  <c r="G259" i="1"/>
  <c r="F259" i="1"/>
  <c r="E259" i="1"/>
  <c r="D259" i="1"/>
  <c r="B259" i="1"/>
  <c r="A259" i="1"/>
  <c r="L738" i="1"/>
  <c r="J738" i="1"/>
  <c r="I738" i="1"/>
  <c r="H738" i="1"/>
  <c r="G738" i="1"/>
  <c r="F738" i="1"/>
  <c r="E738" i="1"/>
  <c r="D738" i="1"/>
  <c r="B738" i="1"/>
  <c r="A738" i="1"/>
  <c r="L2234" i="1"/>
  <c r="J2234" i="1"/>
  <c r="I2234" i="1"/>
  <c r="H2234" i="1"/>
  <c r="G2234" i="1"/>
  <c r="F2234" i="1"/>
  <c r="E2234" i="1"/>
  <c r="D2234" i="1"/>
  <c r="B2234" i="1"/>
  <c r="A2234" i="1"/>
  <c r="L2667" i="1"/>
  <c r="J2667" i="1"/>
  <c r="I2667" i="1"/>
  <c r="H2667" i="1"/>
  <c r="G2667" i="1"/>
  <c r="F2667" i="1"/>
  <c r="E2667" i="1"/>
  <c r="D2667" i="1"/>
  <c r="B2667" i="1"/>
  <c r="A2667" i="1"/>
  <c r="J1636" i="1"/>
  <c r="I1636" i="1"/>
  <c r="H1636" i="1"/>
  <c r="G1636" i="1"/>
  <c r="F1636" i="1"/>
  <c r="E1636" i="1"/>
  <c r="D1636" i="1"/>
  <c r="B1636" i="1"/>
  <c r="A1636" i="1"/>
  <c r="L2666" i="1"/>
  <c r="J2666" i="1"/>
  <c r="I2666" i="1"/>
  <c r="H2666" i="1"/>
  <c r="G2666" i="1"/>
  <c r="F2666" i="1"/>
  <c r="E2666" i="1"/>
  <c r="D2666" i="1"/>
  <c r="B2666" i="1"/>
  <c r="A2666" i="1"/>
  <c r="L737" i="1"/>
  <c r="J737" i="1"/>
  <c r="I737" i="1"/>
  <c r="H737" i="1"/>
  <c r="G737" i="1"/>
  <c r="F737" i="1"/>
  <c r="E737" i="1"/>
  <c r="D737" i="1"/>
  <c r="B737" i="1"/>
  <c r="A737" i="1"/>
  <c r="L2233" i="1"/>
  <c r="J2233" i="1"/>
  <c r="I2233" i="1"/>
  <c r="H2233" i="1"/>
  <c r="G2233" i="1"/>
  <c r="F2233" i="1"/>
  <c r="E2233" i="1"/>
  <c r="D2233" i="1"/>
  <c r="B2233" i="1"/>
  <c r="A2233" i="1"/>
  <c r="L2665" i="1"/>
  <c r="J2665" i="1"/>
  <c r="I2665" i="1"/>
  <c r="H2665" i="1"/>
  <c r="G2665" i="1"/>
  <c r="F2665" i="1"/>
  <c r="E2665" i="1"/>
  <c r="D2665" i="1"/>
  <c r="B2665" i="1"/>
  <c r="A2665" i="1"/>
  <c r="J1635" i="1"/>
  <c r="I1635" i="1"/>
  <c r="H1635" i="1"/>
  <c r="G1635" i="1"/>
  <c r="F1635" i="1"/>
  <c r="E1635" i="1"/>
  <c r="D1635" i="1"/>
  <c r="B1635" i="1"/>
  <c r="A1635" i="1"/>
  <c r="L2940" i="1"/>
  <c r="J2940" i="1"/>
  <c r="I2940" i="1"/>
  <c r="H2940" i="1"/>
  <c r="G2940" i="1"/>
  <c r="F2940" i="1"/>
  <c r="E2940" i="1"/>
  <c r="D2940" i="1"/>
  <c r="B2940" i="1"/>
  <c r="A2940" i="1"/>
  <c r="L258" i="1"/>
  <c r="J258" i="1"/>
  <c r="I258" i="1"/>
  <c r="H258" i="1"/>
  <c r="G258" i="1"/>
  <c r="F258" i="1"/>
  <c r="E258" i="1"/>
  <c r="D258" i="1"/>
  <c r="B258" i="1"/>
  <c r="A258" i="1"/>
  <c r="J1634" i="1"/>
  <c r="I1634" i="1"/>
  <c r="H1634" i="1"/>
  <c r="G1634" i="1"/>
  <c r="F1634" i="1"/>
  <c r="E1634" i="1"/>
  <c r="D1634" i="1"/>
  <c r="B1634" i="1"/>
  <c r="A1634" i="1"/>
  <c r="J1633" i="1"/>
  <c r="I1633" i="1"/>
  <c r="H1633" i="1"/>
  <c r="G1633" i="1"/>
  <c r="F1633" i="1"/>
  <c r="E1633" i="1"/>
  <c r="D1633" i="1"/>
  <c r="B1633" i="1"/>
  <c r="A1633" i="1"/>
  <c r="L736" i="1"/>
  <c r="J736" i="1"/>
  <c r="I736" i="1"/>
  <c r="H736" i="1"/>
  <c r="G736" i="1"/>
  <c r="F736" i="1"/>
  <c r="E736" i="1"/>
  <c r="D736" i="1"/>
  <c r="B736" i="1"/>
  <c r="A736" i="1"/>
  <c r="L2939" i="1"/>
  <c r="J2939" i="1"/>
  <c r="I2939" i="1"/>
  <c r="H2939" i="1"/>
  <c r="G2939" i="1"/>
  <c r="F2939" i="1"/>
  <c r="E2939" i="1"/>
  <c r="D2939" i="1"/>
  <c r="B2939" i="1"/>
  <c r="A2939" i="1"/>
  <c r="L257" i="1"/>
  <c r="J257" i="1"/>
  <c r="I257" i="1"/>
  <c r="H257" i="1"/>
  <c r="G257" i="1"/>
  <c r="F257" i="1"/>
  <c r="E257" i="1"/>
  <c r="D257" i="1"/>
  <c r="B257" i="1"/>
  <c r="A257" i="1"/>
  <c r="L2232" i="1"/>
  <c r="J2232" i="1"/>
  <c r="I2232" i="1"/>
  <c r="H2232" i="1"/>
  <c r="G2232" i="1"/>
  <c r="F2232" i="1"/>
  <c r="E2232" i="1"/>
  <c r="D2232" i="1"/>
  <c r="B2232" i="1"/>
  <c r="A2232" i="1"/>
  <c r="J1632" i="1"/>
  <c r="I1632" i="1"/>
  <c r="H1632" i="1"/>
  <c r="G1632" i="1"/>
  <c r="F1632" i="1"/>
  <c r="E1632" i="1"/>
  <c r="D1632" i="1"/>
  <c r="B1632" i="1"/>
  <c r="A1632" i="1"/>
  <c r="L2938" i="1"/>
  <c r="J2938" i="1"/>
  <c r="I2938" i="1"/>
  <c r="H2938" i="1"/>
  <c r="G2938" i="1"/>
  <c r="F2938" i="1"/>
  <c r="E2938" i="1"/>
  <c r="D2938" i="1"/>
  <c r="B2938" i="1"/>
  <c r="A2938" i="1"/>
  <c r="L256" i="1"/>
  <c r="J256" i="1"/>
  <c r="I256" i="1"/>
  <c r="H256" i="1"/>
  <c r="G256" i="1"/>
  <c r="F256" i="1"/>
  <c r="E256" i="1"/>
  <c r="D256" i="1"/>
  <c r="B256" i="1"/>
  <c r="A256" i="1"/>
  <c r="L2937" i="1"/>
  <c r="J2937" i="1"/>
  <c r="I2937" i="1"/>
  <c r="H2937" i="1"/>
  <c r="G2937" i="1"/>
  <c r="F2937" i="1"/>
  <c r="E2937" i="1"/>
  <c r="D2937" i="1"/>
  <c r="B2937" i="1"/>
  <c r="A2937" i="1"/>
  <c r="L735" i="1"/>
  <c r="J735" i="1"/>
  <c r="I735" i="1"/>
  <c r="H735" i="1"/>
  <c r="G735" i="1"/>
  <c r="F735" i="1"/>
  <c r="E735" i="1"/>
  <c r="D735" i="1"/>
  <c r="B735" i="1"/>
  <c r="A735" i="1"/>
  <c r="L2231" i="1"/>
  <c r="J2231" i="1"/>
  <c r="I2231" i="1"/>
  <c r="H2231" i="1"/>
  <c r="G2231" i="1"/>
  <c r="F2231" i="1"/>
  <c r="E2231" i="1"/>
  <c r="D2231" i="1"/>
  <c r="B2231" i="1"/>
  <c r="A2231" i="1"/>
  <c r="L255" i="1"/>
  <c r="J255" i="1"/>
  <c r="I255" i="1"/>
  <c r="H255" i="1"/>
  <c r="G255" i="1"/>
  <c r="F255" i="1"/>
  <c r="E255" i="1"/>
  <c r="D255" i="1"/>
  <c r="B255" i="1"/>
  <c r="A255" i="1"/>
  <c r="L2936" i="1"/>
  <c r="J2936" i="1"/>
  <c r="I2936" i="1"/>
  <c r="H2936" i="1"/>
  <c r="G2936" i="1"/>
  <c r="F2936" i="1"/>
  <c r="E2936" i="1"/>
  <c r="D2936" i="1"/>
  <c r="B2936" i="1"/>
  <c r="A2936" i="1"/>
  <c r="J1631" i="1"/>
  <c r="I1631" i="1"/>
  <c r="H1631" i="1"/>
  <c r="G1631" i="1"/>
  <c r="F1631" i="1"/>
  <c r="E1631" i="1"/>
  <c r="D1631" i="1"/>
  <c r="B1631" i="1"/>
  <c r="A1631" i="1"/>
  <c r="L734" i="1"/>
  <c r="J734" i="1"/>
  <c r="I734" i="1"/>
  <c r="H734" i="1"/>
  <c r="G734" i="1"/>
  <c r="F734" i="1"/>
  <c r="E734" i="1"/>
  <c r="D734" i="1"/>
  <c r="B734" i="1"/>
  <c r="A734" i="1"/>
  <c r="L2230" i="1"/>
  <c r="J2230" i="1"/>
  <c r="I2230" i="1"/>
  <c r="H2230" i="1"/>
  <c r="G2230" i="1"/>
  <c r="F2230" i="1"/>
  <c r="E2230" i="1"/>
  <c r="D2230" i="1"/>
  <c r="B2230" i="1"/>
  <c r="A2230" i="1"/>
  <c r="L254" i="1"/>
  <c r="J254" i="1"/>
  <c r="I254" i="1"/>
  <c r="H254" i="1"/>
  <c r="G254" i="1"/>
  <c r="F254" i="1"/>
  <c r="E254" i="1"/>
  <c r="D254" i="1"/>
  <c r="B254" i="1"/>
  <c r="A254" i="1"/>
  <c r="L1630" i="1"/>
  <c r="K1630" i="1"/>
  <c r="J1630" i="1"/>
  <c r="I1630" i="1"/>
  <c r="H1630" i="1"/>
  <c r="G1630" i="1"/>
  <c r="F1630" i="1"/>
  <c r="E1630" i="1"/>
  <c r="D1630" i="1"/>
  <c r="B1630" i="1"/>
  <c r="A1630" i="1"/>
  <c r="L733" i="1"/>
  <c r="J733" i="1"/>
  <c r="I733" i="1"/>
  <c r="H733" i="1"/>
  <c r="G733" i="1"/>
  <c r="F733" i="1"/>
  <c r="E733" i="1"/>
  <c r="D733" i="1"/>
  <c r="B733" i="1"/>
  <c r="A733" i="1"/>
  <c r="L2229" i="1"/>
  <c r="J2229" i="1"/>
  <c r="I2229" i="1"/>
  <c r="H2229" i="1"/>
  <c r="G2229" i="1"/>
  <c r="F2229" i="1"/>
  <c r="E2229" i="1"/>
  <c r="D2229" i="1"/>
  <c r="B2229" i="1"/>
  <c r="A2229" i="1"/>
  <c r="L732" i="1"/>
  <c r="J732" i="1"/>
  <c r="I732" i="1"/>
  <c r="H732" i="1"/>
  <c r="G732" i="1"/>
  <c r="F732" i="1"/>
  <c r="E732" i="1"/>
  <c r="D732" i="1"/>
  <c r="B732" i="1"/>
  <c r="A732" i="1"/>
  <c r="L2935" i="1"/>
  <c r="J2935" i="1"/>
  <c r="I2935" i="1"/>
  <c r="H2935" i="1"/>
  <c r="G2935" i="1"/>
  <c r="F2935" i="1"/>
  <c r="E2935" i="1"/>
  <c r="D2935" i="1"/>
  <c r="B2935" i="1"/>
  <c r="A2935" i="1"/>
  <c r="L253" i="1"/>
  <c r="J253" i="1"/>
  <c r="I253" i="1"/>
  <c r="H253" i="1"/>
  <c r="G253" i="1"/>
  <c r="F253" i="1"/>
  <c r="E253" i="1"/>
  <c r="D253" i="1"/>
  <c r="B253" i="1"/>
  <c r="A253" i="1"/>
  <c r="L1055" i="1"/>
  <c r="J1055" i="1"/>
  <c r="I1055" i="1"/>
  <c r="H1055" i="1"/>
  <c r="G1055" i="1"/>
  <c r="F1055" i="1"/>
  <c r="E1055" i="1"/>
  <c r="D1055" i="1"/>
  <c r="B1055" i="1"/>
  <c r="A1055" i="1"/>
  <c r="L1629" i="1"/>
  <c r="K1629" i="1"/>
  <c r="J1629" i="1"/>
  <c r="I1629" i="1"/>
  <c r="H1629" i="1"/>
  <c r="G1629" i="1"/>
  <c r="F1629" i="1"/>
  <c r="E1629" i="1"/>
  <c r="D1629" i="1"/>
  <c r="B1629" i="1"/>
  <c r="A1629" i="1"/>
  <c r="L2413" i="1"/>
  <c r="K2413" i="1"/>
  <c r="J2413" i="1"/>
  <c r="I2413" i="1"/>
  <c r="H2413" i="1"/>
  <c r="G2413" i="1"/>
  <c r="F2413" i="1"/>
  <c r="E2413" i="1"/>
  <c r="D2413" i="1"/>
  <c r="B2413" i="1"/>
  <c r="A2413" i="1"/>
  <c r="L2934" i="1"/>
  <c r="J2934" i="1"/>
  <c r="I2934" i="1"/>
  <c r="H2934" i="1"/>
  <c r="G2934" i="1"/>
  <c r="F2934" i="1"/>
  <c r="E2934" i="1"/>
  <c r="D2934" i="1"/>
  <c r="B2934" i="1"/>
  <c r="A2934" i="1"/>
  <c r="L252" i="1"/>
  <c r="J252" i="1"/>
  <c r="I252" i="1"/>
  <c r="H252" i="1"/>
  <c r="G252" i="1"/>
  <c r="F252" i="1"/>
  <c r="E252" i="1"/>
  <c r="D252" i="1"/>
  <c r="B252" i="1"/>
  <c r="A252" i="1"/>
  <c r="L2664" i="1"/>
  <c r="J2664" i="1"/>
  <c r="I2664" i="1"/>
  <c r="H2664" i="1"/>
  <c r="G2664" i="1"/>
  <c r="F2664" i="1"/>
  <c r="E2664" i="1"/>
  <c r="D2664" i="1"/>
  <c r="B2664" i="1"/>
  <c r="A2664" i="1"/>
  <c r="L2412" i="1"/>
  <c r="K2412" i="1"/>
  <c r="J2412" i="1"/>
  <c r="I2412" i="1"/>
  <c r="H2412" i="1"/>
  <c r="G2412" i="1"/>
  <c r="F2412" i="1"/>
  <c r="E2412" i="1"/>
  <c r="D2412" i="1"/>
  <c r="B2412" i="1"/>
  <c r="A2412" i="1"/>
  <c r="L2411" i="1"/>
  <c r="K2411" i="1"/>
  <c r="J2411" i="1"/>
  <c r="I2411" i="1"/>
  <c r="H2411" i="1"/>
  <c r="G2411" i="1"/>
  <c r="F2411" i="1"/>
  <c r="E2411" i="1"/>
  <c r="D2411" i="1"/>
  <c r="B2411" i="1"/>
  <c r="A2411" i="1"/>
  <c r="L2410" i="1"/>
  <c r="K2410" i="1"/>
  <c r="J2410" i="1"/>
  <c r="I2410" i="1"/>
  <c r="H2410" i="1"/>
  <c r="G2410" i="1"/>
  <c r="F2410" i="1"/>
  <c r="E2410" i="1"/>
  <c r="D2410" i="1"/>
  <c r="B2410" i="1"/>
  <c r="A2410" i="1"/>
  <c r="L2663" i="1"/>
  <c r="J2663" i="1"/>
  <c r="I2663" i="1"/>
  <c r="H2663" i="1"/>
  <c r="G2663" i="1"/>
  <c r="F2663" i="1"/>
  <c r="E2663" i="1"/>
  <c r="D2663" i="1"/>
  <c r="B2663" i="1"/>
  <c r="A2663" i="1"/>
  <c r="L2933" i="1"/>
  <c r="J2933" i="1"/>
  <c r="I2933" i="1"/>
  <c r="H2933" i="1"/>
  <c r="G2933" i="1"/>
  <c r="F2933" i="1"/>
  <c r="E2933" i="1"/>
  <c r="D2933" i="1"/>
  <c r="B2933" i="1"/>
  <c r="A2933" i="1"/>
  <c r="L251" i="1"/>
  <c r="J251" i="1"/>
  <c r="I251" i="1"/>
  <c r="H251" i="1"/>
  <c r="G251" i="1"/>
  <c r="F251" i="1"/>
  <c r="E251" i="1"/>
  <c r="D251" i="1"/>
  <c r="B251" i="1"/>
  <c r="A251" i="1"/>
  <c r="L1628" i="1"/>
  <c r="K1628" i="1"/>
  <c r="J1628" i="1"/>
  <c r="I1628" i="1"/>
  <c r="H1628" i="1"/>
  <c r="G1628" i="1"/>
  <c r="F1628" i="1"/>
  <c r="E1628" i="1"/>
  <c r="D1628" i="1"/>
  <c r="B1628" i="1"/>
  <c r="A1628" i="1"/>
  <c r="L2932" i="1"/>
  <c r="J2932" i="1"/>
  <c r="I2932" i="1"/>
  <c r="H2932" i="1"/>
  <c r="G2932" i="1"/>
  <c r="F2932" i="1"/>
  <c r="E2932" i="1"/>
  <c r="D2932" i="1"/>
  <c r="B2932" i="1"/>
  <c r="A2932" i="1"/>
  <c r="L250" i="1"/>
  <c r="J250" i="1"/>
  <c r="I250" i="1"/>
  <c r="H250" i="1"/>
  <c r="G250" i="1"/>
  <c r="F250" i="1"/>
  <c r="E250" i="1"/>
  <c r="D250" i="1"/>
  <c r="B250" i="1"/>
  <c r="A250" i="1"/>
  <c r="L2931" i="1"/>
  <c r="J2931" i="1"/>
  <c r="I2931" i="1"/>
  <c r="H2931" i="1"/>
  <c r="G2931" i="1"/>
  <c r="F2931" i="1"/>
  <c r="E2931" i="1"/>
  <c r="D2931" i="1"/>
  <c r="B2931" i="1"/>
  <c r="A2931" i="1"/>
  <c r="L2662" i="1"/>
  <c r="J2662" i="1"/>
  <c r="I2662" i="1"/>
  <c r="H2662" i="1"/>
  <c r="G2662" i="1"/>
  <c r="F2662" i="1"/>
  <c r="E2662" i="1"/>
  <c r="D2662" i="1"/>
  <c r="B2662" i="1"/>
  <c r="A2662" i="1"/>
  <c r="L1627" i="1"/>
  <c r="K1627" i="1"/>
  <c r="J1627" i="1"/>
  <c r="I1627" i="1"/>
  <c r="H1627" i="1"/>
  <c r="G1627" i="1"/>
  <c r="F1627" i="1"/>
  <c r="E1627" i="1"/>
  <c r="D1627" i="1"/>
  <c r="B1627" i="1"/>
  <c r="A1627" i="1"/>
  <c r="L1626" i="1"/>
  <c r="K1626" i="1"/>
  <c r="J1626" i="1"/>
  <c r="I1626" i="1"/>
  <c r="H1626" i="1"/>
  <c r="G1626" i="1"/>
  <c r="F1626" i="1"/>
  <c r="E1626" i="1"/>
  <c r="D1626" i="1"/>
  <c r="B1626" i="1"/>
  <c r="A1626" i="1"/>
  <c r="L2228" i="1"/>
  <c r="J2228" i="1"/>
  <c r="I2228" i="1"/>
  <c r="H2228" i="1"/>
  <c r="G2228" i="1"/>
  <c r="F2228" i="1"/>
  <c r="E2228" i="1"/>
  <c r="D2228" i="1"/>
  <c r="B2228" i="1"/>
  <c r="A2228" i="1"/>
  <c r="L1625" i="1"/>
  <c r="K1625" i="1"/>
  <c r="J1625" i="1"/>
  <c r="I1625" i="1"/>
  <c r="H1625" i="1"/>
  <c r="G1625" i="1"/>
  <c r="F1625" i="1"/>
  <c r="E1625" i="1"/>
  <c r="D1625" i="1"/>
  <c r="B1625" i="1"/>
  <c r="A1625" i="1"/>
  <c r="L1624" i="1"/>
  <c r="K1624" i="1"/>
  <c r="J1624" i="1"/>
  <c r="I1624" i="1"/>
  <c r="H1624" i="1"/>
  <c r="G1624" i="1"/>
  <c r="F1624" i="1"/>
  <c r="E1624" i="1"/>
  <c r="D1624" i="1"/>
  <c r="B1624" i="1"/>
  <c r="A1624" i="1"/>
  <c r="L1054" i="1"/>
  <c r="J1054" i="1"/>
  <c r="I1054" i="1"/>
  <c r="H1054" i="1"/>
  <c r="G1054" i="1"/>
  <c r="F1054" i="1"/>
  <c r="E1054" i="1"/>
  <c r="D1054" i="1"/>
  <c r="B1054" i="1"/>
  <c r="A1054" i="1"/>
  <c r="L731" i="1"/>
  <c r="J731" i="1"/>
  <c r="I731" i="1"/>
  <c r="H731" i="1"/>
  <c r="G731" i="1"/>
  <c r="F731" i="1"/>
  <c r="E731" i="1"/>
  <c r="D731" i="1"/>
  <c r="B731" i="1"/>
  <c r="A731" i="1"/>
  <c r="L2227" i="1"/>
  <c r="J2227" i="1"/>
  <c r="I2227" i="1"/>
  <c r="H2227" i="1"/>
  <c r="G2227" i="1"/>
  <c r="F2227" i="1"/>
  <c r="E2227" i="1"/>
  <c r="D2227" i="1"/>
  <c r="B2227" i="1"/>
  <c r="A2227" i="1"/>
  <c r="L1623" i="1"/>
  <c r="K1623" i="1"/>
  <c r="J1623" i="1"/>
  <c r="I1623" i="1"/>
  <c r="H1623" i="1"/>
  <c r="G1623" i="1"/>
  <c r="F1623" i="1"/>
  <c r="E1623" i="1"/>
  <c r="D1623" i="1"/>
  <c r="B1623" i="1"/>
  <c r="A1623" i="1"/>
  <c r="L1622" i="1"/>
  <c r="K1622" i="1"/>
  <c r="J1622" i="1"/>
  <c r="I1622" i="1"/>
  <c r="H1622" i="1"/>
  <c r="G1622" i="1"/>
  <c r="F1622" i="1"/>
  <c r="E1622" i="1"/>
  <c r="D1622" i="1"/>
  <c r="B1622" i="1"/>
  <c r="A1622" i="1"/>
  <c r="L2661" i="1"/>
  <c r="J2661" i="1"/>
  <c r="I2661" i="1"/>
  <c r="H2661" i="1"/>
  <c r="G2661" i="1"/>
  <c r="F2661" i="1"/>
  <c r="E2661" i="1"/>
  <c r="D2661" i="1"/>
  <c r="B2661" i="1"/>
  <c r="A2661" i="1"/>
  <c r="L1621" i="1"/>
  <c r="K1621" i="1"/>
  <c r="J1621" i="1"/>
  <c r="I1621" i="1"/>
  <c r="H1621" i="1"/>
  <c r="G1621" i="1"/>
  <c r="F1621" i="1"/>
  <c r="E1621" i="1"/>
  <c r="D1621" i="1"/>
  <c r="B1621" i="1"/>
  <c r="A1621" i="1"/>
  <c r="L2492" i="1"/>
  <c r="K2492" i="1"/>
  <c r="J2492" i="1"/>
  <c r="I2492" i="1"/>
  <c r="H2492" i="1"/>
  <c r="G2492" i="1"/>
  <c r="F2492" i="1"/>
  <c r="E2492" i="1"/>
  <c r="D2492" i="1"/>
  <c r="B2492" i="1"/>
  <c r="A2492" i="1"/>
  <c r="L2491" i="1"/>
  <c r="K2491" i="1"/>
  <c r="J2491" i="1"/>
  <c r="I2491" i="1"/>
  <c r="H2491" i="1"/>
  <c r="G2491" i="1"/>
  <c r="F2491" i="1"/>
  <c r="E2491" i="1"/>
  <c r="D2491" i="1"/>
  <c r="B2491" i="1"/>
  <c r="A2491" i="1"/>
  <c r="L3087" i="1"/>
  <c r="J3087" i="1"/>
  <c r="I3087" i="1"/>
  <c r="H3087" i="1"/>
  <c r="G3087" i="1"/>
  <c r="F3087" i="1"/>
  <c r="E3087" i="1"/>
  <c r="D3087" i="1"/>
  <c r="B3087" i="1"/>
  <c r="A3087" i="1"/>
  <c r="L2490" i="1"/>
  <c r="J2490" i="1"/>
  <c r="I2490" i="1"/>
  <c r="H2490" i="1"/>
  <c r="G2490" i="1"/>
  <c r="F2490" i="1"/>
  <c r="E2490" i="1"/>
  <c r="D2490" i="1"/>
  <c r="B2490" i="1"/>
  <c r="A2490" i="1"/>
  <c r="L2409" i="1"/>
  <c r="K2409" i="1"/>
  <c r="J2409" i="1"/>
  <c r="I2409" i="1"/>
  <c r="H2409" i="1"/>
  <c r="G2409" i="1"/>
  <c r="F2409" i="1"/>
  <c r="E2409" i="1"/>
  <c r="D2409" i="1"/>
  <c r="B2409" i="1"/>
  <c r="A2409" i="1"/>
  <c r="L2408" i="1"/>
  <c r="K2408" i="1"/>
  <c r="J2408" i="1"/>
  <c r="I2408" i="1"/>
  <c r="H2408" i="1"/>
  <c r="G2408" i="1"/>
  <c r="F2408" i="1"/>
  <c r="E2408" i="1"/>
  <c r="D2408" i="1"/>
  <c r="B2408" i="1"/>
  <c r="A2408" i="1"/>
  <c r="L730" i="1"/>
  <c r="J730" i="1"/>
  <c r="I730" i="1"/>
  <c r="H730" i="1"/>
  <c r="G730" i="1"/>
  <c r="F730" i="1"/>
  <c r="E730" i="1"/>
  <c r="D730" i="1"/>
  <c r="B730" i="1"/>
  <c r="A730" i="1"/>
  <c r="L2226" i="1"/>
  <c r="J2226" i="1"/>
  <c r="I2226" i="1"/>
  <c r="H2226" i="1"/>
  <c r="G2226" i="1"/>
  <c r="F2226" i="1"/>
  <c r="E2226" i="1"/>
  <c r="D2226" i="1"/>
  <c r="B2226" i="1"/>
  <c r="A2226" i="1"/>
  <c r="L1620" i="1"/>
  <c r="K1620" i="1"/>
  <c r="J1620" i="1"/>
  <c r="I1620" i="1"/>
  <c r="H1620" i="1"/>
  <c r="G1620" i="1"/>
  <c r="F1620" i="1"/>
  <c r="E1620" i="1"/>
  <c r="D1620" i="1"/>
  <c r="B1620" i="1"/>
  <c r="A1620" i="1"/>
  <c r="L1619" i="1"/>
  <c r="K1619" i="1"/>
  <c r="J1619" i="1"/>
  <c r="I1619" i="1"/>
  <c r="H1619" i="1"/>
  <c r="G1619" i="1"/>
  <c r="F1619" i="1"/>
  <c r="E1619" i="1"/>
  <c r="D1619" i="1"/>
  <c r="B1619" i="1"/>
  <c r="A1619" i="1"/>
  <c r="L3086" i="1"/>
  <c r="J3086" i="1"/>
  <c r="I3086" i="1"/>
  <c r="H3086" i="1"/>
  <c r="G3086" i="1"/>
  <c r="F3086" i="1"/>
  <c r="E3086" i="1"/>
  <c r="D3086" i="1"/>
  <c r="B3086" i="1"/>
  <c r="A3086" i="1"/>
  <c r="L2489" i="1"/>
  <c r="J2489" i="1"/>
  <c r="I2489" i="1"/>
  <c r="H2489" i="1"/>
  <c r="G2489" i="1"/>
  <c r="F2489" i="1"/>
  <c r="E2489" i="1"/>
  <c r="D2489" i="1"/>
  <c r="B2489" i="1"/>
  <c r="A2489" i="1"/>
  <c r="L2407" i="1"/>
  <c r="J2407" i="1"/>
  <c r="I2407" i="1"/>
  <c r="H2407" i="1"/>
  <c r="G2407" i="1"/>
  <c r="F2407" i="1"/>
  <c r="E2407" i="1"/>
  <c r="D2407" i="1"/>
  <c r="B2407" i="1"/>
  <c r="A2407" i="1"/>
  <c r="L1618" i="1"/>
  <c r="K1618" i="1"/>
  <c r="J1618" i="1"/>
  <c r="I1618" i="1"/>
  <c r="H1618" i="1"/>
  <c r="G1618" i="1"/>
  <c r="F1618" i="1"/>
  <c r="E1618" i="1"/>
  <c r="D1618" i="1"/>
  <c r="B1618" i="1"/>
  <c r="A1618" i="1"/>
  <c r="L1053" i="1"/>
  <c r="J1053" i="1"/>
  <c r="I1053" i="1"/>
  <c r="H1053" i="1"/>
  <c r="G1053" i="1"/>
  <c r="F1053" i="1"/>
  <c r="E1053" i="1"/>
  <c r="D1053" i="1"/>
  <c r="B1053" i="1"/>
  <c r="A1053" i="1"/>
  <c r="L1617" i="1"/>
  <c r="K1617" i="1"/>
  <c r="J1617" i="1"/>
  <c r="I1617" i="1"/>
  <c r="H1617" i="1"/>
  <c r="G1617" i="1"/>
  <c r="F1617" i="1"/>
  <c r="E1617" i="1"/>
  <c r="D1617" i="1"/>
  <c r="B1617" i="1"/>
  <c r="A1617" i="1"/>
  <c r="L1616" i="1"/>
  <c r="K1616" i="1"/>
  <c r="J1616" i="1"/>
  <c r="I1616" i="1"/>
  <c r="H1616" i="1"/>
  <c r="G1616" i="1"/>
  <c r="F1616" i="1"/>
  <c r="E1616" i="1"/>
  <c r="D1616" i="1"/>
  <c r="B1616" i="1"/>
  <c r="A1616" i="1"/>
  <c r="L1052" i="1"/>
  <c r="J1052" i="1"/>
  <c r="I1052" i="1"/>
  <c r="H1052" i="1"/>
  <c r="G1052" i="1"/>
  <c r="F1052" i="1"/>
  <c r="E1052" i="1"/>
  <c r="D1052" i="1"/>
  <c r="B1052" i="1"/>
  <c r="A1052" i="1"/>
  <c r="L2660" i="1"/>
  <c r="J2660" i="1"/>
  <c r="I2660" i="1"/>
  <c r="H2660" i="1"/>
  <c r="G2660" i="1"/>
  <c r="F2660" i="1"/>
  <c r="E2660" i="1"/>
  <c r="D2660" i="1"/>
  <c r="B2660" i="1"/>
  <c r="A2660" i="1"/>
  <c r="L729" i="1"/>
  <c r="J729" i="1"/>
  <c r="I729" i="1"/>
  <c r="H729" i="1"/>
  <c r="G729" i="1"/>
  <c r="F729" i="1"/>
  <c r="E729" i="1"/>
  <c r="D729" i="1"/>
  <c r="B729" i="1"/>
  <c r="A729" i="1"/>
  <c r="L2225" i="1"/>
  <c r="J2225" i="1"/>
  <c r="I2225" i="1"/>
  <c r="H2225" i="1"/>
  <c r="G2225" i="1"/>
  <c r="F2225" i="1"/>
  <c r="E2225" i="1"/>
  <c r="D2225" i="1"/>
  <c r="B2225" i="1"/>
  <c r="A2225" i="1"/>
  <c r="L2406" i="1"/>
  <c r="J2406" i="1"/>
  <c r="I2406" i="1"/>
  <c r="H2406" i="1"/>
  <c r="G2406" i="1"/>
  <c r="F2406" i="1"/>
  <c r="E2406" i="1"/>
  <c r="D2406" i="1"/>
  <c r="B2406" i="1"/>
  <c r="A2406" i="1"/>
  <c r="L2659" i="1"/>
  <c r="J2659" i="1"/>
  <c r="I2659" i="1"/>
  <c r="H2659" i="1"/>
  <c r="G2659" i="1"/>
  <c r="F2659" i="1"/>
  <c r="E2659" i="1"/>
  <c r="D2659" i="1"/>
  <c r="B2659" i="1"/>
  <c r="A2659" i="1"/>
  <c r="J1615" i="1"/>
  <c r="I1615" i="1"/>
  <c r="H1615" i="1"/>
  <c r="G1615" i="1"/>
  <c r="F1615" i="1"/>
  <c r="E1615" i="1"/>
  <c r="D1615" i="1"/>
  <c r="B1615" i="1"/>
  <c r="A1615" i="1"/>
  <c r="L2930" i="1"/>
  <c r="J2930" i="1"/>
  <c r="I2930" i="1"/>
  <c r="H2930" i="1"/>
  <c r="G2930" i="1"/>
  <c r="F2930" i="1"/>
  <c r="E2930" i="1"/>
  <c r="D2930" i="1"/>
  <c r="B2930" i="1"/>
  <c r="A2930" i="1"/>
  <c r="L728" i="1"/>
  <c r="J728" i="1"/>
  <c r="I728" i="1"/>
  <c r="H728" i="1"/>
  <c r="G728" i="1"/>
  <c r="F728" i="1"/>
  <c r="E728" i="1"/>
  <c r="D728" i="1"/>
  <c r="B728" i="1"/>
  <c r="A728" i="1"/>
  <c r="L2224" i="1"/>
  <c r="J2224" i="1"/>
  <c r="I2224" i="1"/>
  <c r="H2224" i="1"/>
  <c r="G2224" i="1"/>
  <c r="F2224" i="1"/>
  <c r="E2224" i="1"/>
  <c r="D2224" i="1"/>
  <c r="B2224" i="1"/>
  <c r="A2224" i="1"/>
  <c r="L249" i="1"/>
  <c r="J249" i="1"/>
  <c r="I249" i="1"/>
  <c r="H249" i="1"/>
  <c r="G249" i="1"/>
  <c r="F249" i="1"/>
  <c r="E249" i="1"/>
  <c r="D249" i="1"/>
  <c r="B249" i="1"/>
  <c r="A249" i="1"/>
  <c r="L2929" i="1"/>
  <c r="J2929" i="1"/>
  <c r="I2929" i="1"/>
  <c r="H2929" i="1"/>
  <c r="G2929" i="1"/>
  <c r="F2929" i="1"/>
  <c r="E2929" i="1"/>
  <c r="D2929" i="1"/>
  <c r="B2929" i="1"/>
  <c r="A2929" i="1"/>
  <c r="J1614" i="1"/>
  <c r="I1614" i="1"/>
  <c r="H1614" i="1"/>
  <c r="G1614" i="1"/>
  <c r="F1614" i="1"/>
  <c r="E1614" i="1"/>
  <c r="D1614" i="1"/>
  <c r="B1614" i="1"/>
  <c r="A1614" i="1"/>
  <c r="L727" i="1"/>
  <c r="J727" i="1"/>
  <c r="I727" i="1"/>
  <c r="H727" i="1"/>
  <c r="G727" i="1"/>
  <c r="F727" i="1"/>
  <c r="E727" i="1"/>
  <c r="D727" i="1"/>
  <c r="B727" i="1"/>
  <c r="A727" i="1"/>
  <c r="L2223" i="1"/>
  <c r="J2223" i="1"/>
  <c r="I2223" i="1"/>
  <c r="H2223" i="1"/>
  <c r="G2223" i="1"/>
  <c r="F2223" i="1"/>
  <c r="E2223" i="1"/>
  <c r="D2223" i="1"/>
  <c r="B2223" i="1"/>
  <c r="A2223" i="1"/>
  <c r="J1613" i="1"/>
  <c r="I1613" i="1"/>
  <c r="H1613" i="1"/>
  <c r="G1613" i="1"/>
  <c r="F1613" i="1"/>
  <c r="E1613" i="1"/>
  <c r="D1613" i="1"/>
  <c r="B1613" i="1"/>
  <c r="A1613" i="1"/>
  <c r="L726" i="1"/>
  <c r="J726" i="1"/>
  <c r="I726" i="1"/>
  <c r="H726" i="1"/>
  <c r="G726" i="1"/>
  <c r="F726" i="1"/>
  <c r="E726" i="1"/>
  <c r="D726" i="1"/>
  <c r="B726" i="1"/>
  <c r="A726" i="1"/>
  <c r="L2222" i="1"/>
  <c r="J2222" i="1"/>
  <c r="I2222" i="1"/>
  <c r="H2222" i="1"/>
  <c r="G2222" i="1"/>
  <c r="F2222" i="1"/>
  <c r="E2222" i="1"/>
  <c r="D2222" i="1"/>
  <c r="B2222" i="1"/>
  <c r="A2222" i="1"/>
  <c r="L248" i="1"/>
  <c r="J248" i="1"/>
  <c r="I248" i="1"/>
  <c r="H248" i="1"/>
  <c r="G248" i="1"/>
  <c r="F248" i="1"/>
  <c r="E248" i="1"/>
  <c r="D248" i="1"/>
  <c r="B248" i="1"/>
  <c r="A248" i="1"/>
  <c r="J1612" i="1"/>
  <c r="I1612" i="1"/>
  <c r="H1612" i="1"/>
  <c r="G1612" i="1"/>
  <c r="F1612" i="1"/>
  <c r="E1612" i="1"/>
  <c r="D1612" i="1"/>
  <c r="B1612" i="1"/>
  <c r="A1612" i="1"/>
  <c r="L725" i="1"/>
  <c r="J725" i="1"/>
  <c r="I725" i="1"/>
  <c r="H725" i="1"/>
  <c r="G725" i="1"/>
  <c r="F725" i="1"/>
  <c r="E725" i="1"/>
  <c r="D725" i="1"/>
  <c r="B725" i="1"/>
  <c r="A725" i="1"/>
  <c r="L2221" i="1"/>
  <c r="J2221" i="1"/>
  <c r="I2221" i="1"/>
  <c r="H2221" i="1"/>
  <c r="G2221" i="1"/>
  <c r="F2221" i="1"/>
  <c r="E2221" i="1"/>
  <c r="D2221" i="1"/>
  <c r="B2221" i="1"/>
  <c r="A2221" i="1"/>
  <c r="L2928" i="1"/>
  <c r="J2928" i="1"/>
  <c r="I2928" i="1"/>
  <c r="H2928" i="1"/>
  <c r="G2928" i="1"/>
  <c r="F2928" i="1"/>
  <c r="E2928" i="1"/>
  <c r="D2928" i="1"/>
  <c r="B2928" i="1"/>
  <c r="A2928" i="1"/>
  <c r="L724" i="1"/>
  <c r="J724" i="1"/>
  <c r="I724" i="1"/>
  <c r="H724" i="1"/>
  <c r="G724" i="1"/>
  <c r="F724" i="1"/>
  <c r="E724" i="1"/>
  <c r="D724" i="1"/>
  <c r="B724" i="1"/>
  <c r="A724" i="1"/>
  <c r="J1611" i="1"/>
  <c r="I1611" i="1"/>
  <c r="H1611" i="1"/>
  <c r="G1611" i="1"/>
  <c r="F1611" i="1"/>
  <c r="E1611" i="1"/>
  <c r="D1611" i="1"/>
  <c r="B1611" i="1"/>
  <c r="A1611" i="1"/>
  <c r="L2220" i="1"/>
  <c r="J2220" i="1"/>
  <c r="I2220" i="1"/>
  <c r="H2220" i="1"/>
  <c r="G2220" i="1"/>
  <c r="F2220" i="1"/>
  <c r="E2220" i="1"/>
  <c r="D2220" i="1"/>
  <c r="B2220" i="1"/>
  <c r="A2220" i="1"/>
  <c r="L247" i="1"/>
  <c r="J247" i="1"/>
  <c r="I247" i="1"/>
  <c r="H247" i="1"/>
  <c r="G247" i="1"/>
  <c r="F247" i="1"/>
  <c r="E247" i="1"/>
  <c r="D247" i="1"/>
  <c r="B247" i="1"/>
  <c r="A247" i="1"/>
  <c r="L3085" i="1"/>
  <c r="J3085" i="1"/>
  <c r="I3085" i="1"/>
  <c r="H3085" i="1"/>
  <c r="G3085" i="1"/>
  <c r="F3085" i="1"/>
  <c r="E3085" i="1"/>
  <c r="D3085" i="1"/>
  <c r="B3085" i="1"/>
  <c r="A3085" i="1"/>
  <c r="L2488" i="1"/>
  <c r="J2488" i="1"/>
  <c r="I2488" i="1"/>
  <c r="H2488" i="1"/>
  <c r="G2488" i="1"/>
  <c r="F2488" i="1"/>
  <c r="E2488" i="1"/>
  <c r="D2488" i="1"/>
  <c r="B2488" i="1"/>
  <c r="A2488" i="1"/>
  <c r="L2405" i="1"/>
  <c r="J2405" i="1"/>
  <c r="I2405" i="1"/>
  <c r="H2405" i="1"/>
  <c r="G2405" i="1"/>
  <c r="F2405" i="1"/>
  <c r="E2405" i="1"/>
  <c r="D2405" i="1"/>
  <c r="B2405" i="1"/>
  <c r="A2405" i="1"/>
  <c r="L723" i="1"/>
  <c r="J723" i="1"/>
  <c r="I723" i="1"/>
  <c r="H723" i="1"/>
  <c r="G723" i="1"/>
  <c r="F723" i="1"/>
  <c r="E723" i="1"/>
  <c r="D723" i="1"/>
  <c r="B723" i="1"/>
  <c r="A723" i="1"/>
  <c r="L2219" i="1"/>
  <c r="J2219" i="1"/>
  <c r="I2219" i="1"/>
  <c r="H2219" i="1"/>
  <c r="G2219" i="1"/>
  <c r="F2219" i="1"/>
  <c r="E2219" i="1"/>
  <c r="D2219" i="1"/>
  <c r="B2219" i="1"/>
  <c r="A2219" i="1"/>
  <c r="J1610" i="1"/>
  <c r="I1610" i="1"/>
  <c r="H1610" i="1"/>
  <c r="G1610" i="1"/>
  <c r="F1610" i="1"/>
  <c r="E1610" i="1"/>
  <c r="D1610" i="1"/>
  <c r="B1610" i="1"/>
  <c r="A1610" i="1"/>
  <c r="L1124" i="1"/>
  <c r="J1124" i="1"/>
  <c r="I1124" i="1"/>
  <c r="H1124" i="1"/>
  <c r="G1124" i="1"/>
  <c r="F1124" i="1"/>
  <c r="E1124" i="1"/>
  <c r="D1124" i="1"/>
  <c r="B1124" i="1"/>
  <c r="A1124" i="1"/>
  <c r="L2007" i="1"/>
  <c r="J2007" i="1"/>
  <c r="I2007" i="1"/>
  <c r="H2007" i="1"/>
  <c r="G2007" i="1"/>
  <c r="F2007" i="1"/>
  <c r="E2007" i="1"/>
  <c r="D2007" i="1"/>
  <c r="B2007" i="1"/>
  <c r="A2007" i="1"/>
  <c r="L2927" i="1"/>
  <c r="J2927" i="1"/>
  <c r="I2927" i="1"/>
  <c r="H2927" i="1"/>
  <c r="G2927" i="1"/>
  <c r="F2927" i="1"/>
  <c r="E2927" i="1"/>
  <c r="D2927" i="1"/>
  <c r="B2927" i="1"/>
  <c r="A2927" i="1"/>
  <c r="L246" i="1"/>
  <c r="J246" i="1"/>
  <c r="I246" i="1"/>
  <c r="H246" i="1"/>
  <c r="G246" i="1"/>
  <c r="F246" i="1"/>
  <c r="E246" i="1"/>
  <c r="D246" i="1"/>
  <c r="B246" i="1"/>
  <c r="A246" i="1"/>
  <c r="L722" i="1"/>
  <c r="J722" i="1"/>
  <c r="I722" i="1"/>
  <c r="H722" i="1"/>
  <c r="G722" i="1"/>
  <c r="F722" i="1"/>
  <c r="E722" i="1"/>
  <c r="D722" i="1"/>
  <c r="B722" i="1"/>
  <c r="A722" i="1"/>
  <c r="L2218" i="1"/>
  <c r="J2218" i="1"/>
  <c r="I2218" i="1"/>
  <c r="H2218" i="1"/>
  <c r="G2218" i="1"/>
  <c r="F2218" i="1"/>
  <c r="E2218" i="1"/>
  <c r="D2218" i="1"/>
  <c r="B2218" i="1"/>
  <c r="A2218" i="1"/>
  <c r="J1609" i="1"/>
  <c r="I1609" i="1"/>
  <c r="H1609" i="1"/>
  <c r="G1609" i="1"/>
  <c r="F1609" i="1"/>
  <c r="E1609" i="1"/>
  <c r="D1609" i="1"/>
  <c r="B1609" i="1"/>
  <c r="A1609" i="1"/>
  <c r="L1608" i="1"/>
  <c r="K1608" i="1"/>
  <c r="J1608" i="1"/>
  <c r="I1608" i="1"/>
  <c r="H1608" i="1"/>
  <c r="G1608" i="1"/>
  <c r="F1608" i="1"/>
  <c r="E1608" i="1"/>
  <c r="D1608" i="1"/>
  <c r="B1608" i="1"/>
  <c r="A1608" i="1"/>
  <c r="L1123" i="1"/>
  <c r="K1123" i="1"/>
  <c r="J1123" i="1"/>
  <c r="I1123" i="1"/>
  <c r="H1123" i="1"/>
  <c r="G1123" i="1"/>
  <c r="F1123" i="1"/>
  <c r="E1123" i="1"/>
  <c r="D1123" i="1"/>
  <c r="B1123" i="1"/>
  <c r="A1123" i="1"/>
  <c r="L2006" i="1"/>
  <c r="K2006" i="1"/>
  <c r="J2006" i="1"/>
  <c r="I2006" i="1"/>
  <c r="H2006" i="1"/>
  <c r="G2006" i="1"/>
  <c r="F2006" i="1"/>
  <c r="E2006" i="1"/>
  <c r="D2006" i="1"/>
  <c r="B2006" i="1"/>
  <c r="A2006" i="1"/>
  <c r="L2926" i="1"/>
  <c r="J2926" i="1"/>
  <c r="I2926" i="1"/>
  <c r="H2926" i="1"/>
  <c r="G2926" i="1"/>
  <c r="F2926" i="1"/>
  <c r="E2926" i="1"/>
  <c r="D2926" i="1"/>
  <c r="B2926" i="1"/>
  <c r="A2926" i="1"/>
  <c r="L245" i="1"/>
  <c r="J245" i="1"/>
  <c r="I245" i="1"/>
  <c r="H245" i="1"/>
  <c r="G245" i="1"/>
  <c r="F245" i="1"/>
  <c r="E245" i="1"/>
  <c r="D245" i="1"/>
  <c r="B245" i="1"/>
  <c r="A245" i="1"/>
  <c r="L2925" i="1"/>
  <c r="J2925" i="1"/>
  <c r="I2925" i="1"/>
  <c r="H2925" i="1"/>
  <c r="G2925" i="1"/>
  <c r="F2925" i="1"/>
  <c r="E2925" i="1"/>
  <c r="D2925" i="1"/>
  <c r="B2925" i="1"/>
  <c r="A2925" i="1"/>
  <c r="L2658" i="1"/>
  <c r="J2658" i="1"/>
  <c r="I2658" i="1"/>
  <c r="H2658" i="1"/>
  <c r="G2658" i="1"/>
  <c r="F2658" i="1"/>
  <c r="E2658" i="1"/>
  <c r="D2658" i="1"/>
  <c r="B2658" i="1"/>
  <c r="A2658" i="1"/>
  <c r="L721" i="1"/>
  <c r="J721" i="1"/>
  <c r="I721" i="1"/>
  <c r="H721" i="1"/>
  <c r="G721" i="1"/>
  <c r="F721" i="1"/>
  <c r="E721" i="1"/>
  <c r="D721" i="1"/>
  <c r="B721" i="1"/>
  <c r="A721" i="1"/>
  <c r="L2217" i="1"/>
  <c r="J2217" i="1"/>
  <c r="I2217" i="1"/>
  <c r="H2217" i="1"/>
  <c r="G2217" i="1"/>
  <c r="F2217" i="1"/>
  <c r="E2217" i="1"/>
  <c r="D2217" i="1"/>
  <c r="B2217" i="1"/>
  <c r="A2217" i="1"/>
  <c r="L1607" i="1"/>
  <c r="K1607" i="1"/>
  <c r="J1607" i="1"/>
  <c r="I1607" i="1"/>
  <c r="H1607" i="1"/>
  <c r="G1607" i="1"/>
  <c r="F1607" i="1"/>
  <c r="E1607" i="1"/>
  <c r="D1607" i="1"/>
  <c r="B1607" i="1"/>
  <c r="A1607" i="1"/>
  <c r="L3084" i="1"/>
  <c r="J3084" i="1"/>
  <c r="I3084" i="1"/>
  <c r="H3084" i="1"/>
  <c r="G3084" i="1"/>
  <c r="F3084" i="1"/>
  <c r="E3084" i="1"/>
  <c r="D3084" i="1"/>
  <c r="B3084" i="1"/>
  <c r="A3084" i="1"/>
  <c r="L2487" i="1"/>
  <c r="J2487" i="1"/>
  <c r="I2487" i="1"/>
  <c r="H2487" i="1"/>
  <c r="G2487" i="1"/>
  <c r="F2487" i="1"/>
  <c r="E2487" i="1"/>
  <c r="D2487" i="1"/>
  <c r="B2487" i="1"/>
  <c r="A2487" i="1"/>
  <c r="L2404" i="1"/>
  <c r="J2404" i="1"/>
  <c r="I2404" i="1"/>
  <c r="H2404" i="1"/>
  <c r="G2404" i="1"/>
  <c r="F2404" i="1"/>
  <c r="E2404" i="1"/>
  <c r="D2404" i="1"/>
  <c r="B2404" i="1"/>
  <c r="A2404" i="1"/>
  <c r="L1606" i="1"/>
  <c r="K1606" i="1"/>
  <c r="J1606" i="1"/>
  <c r="I1606" i="1"/>
  <c r="H1606" i="1"/>
  <c r="G1606" i="1"/>
  <c r="F1606" i="1"/>
  <c r="E1606" i="1"/>
  <c r="D1606" i="1"/>
  <c r="B1606" i="1"/>
  <c r="A1606" i="1"/>
  <c r="L1605" i="1"/>
  <c r="K1605" i="1"/>
  <c r="J1605" i="1"/>
  <c r="I1605" i="1"/>
  <c r="H1605" i="1"/>
  <c r="G1605" i="1"/>
  <c r="F1605" i="1"/>
  <c r="E1605" i="1"/>
  <c r="D1605" i="1"/>
  <c r="B1605" i="1"/>
  <c r="A1605" i="1"/>
  <c r="L720" i="1"/>
  <c r="J720" i="1"/>
  <c r="I720" i="1"/>
  <c r="H720" i="1"/>
  <c r="G720" i="1"/>
  <c r="F720" i="1"/>
  <c r="E720" i="1"/>
  <c r="D720" i="1"/>
  <c r="B720" i="1"/>
  <c r="A720" i="1"/>
  <c r="L2216" i="1"/>
  <c r="J2216" i="1"/>
  <c r="I2216" i="1"/>
  <c r="H2216" i="1"/>
  <c r="G2216" i="1"/>
  <c r="F2216" i="1"/>
  <c r="E2216" i="1"/>
  <c r="D2216" i="1"/>
  <c r="B2216" i="1"/>
  <c r="A2216" i="1"/>
  <c r="L2403" i="1"/>
  <c r="K2403" i="1"/>
  <c r="J2403" i="1"/>
  <c r="I2403" i="1"/>
  <c r="H2403" i="1"/>
  <c r="G2403" i="1"/>
  <c r="F2403" i="1"/>
  <c r="E2403" i="1"/>
  <c r="D2403" i="1"/>
  <c r="B2403" i="1"/>
  <c r="A2403" i="1"/>
  <c r="L1604" i="1"/>
  <c r="K1604" i="1"/>
  <c r="J1604" i="1"/>
  <c r="I1604" i="1"/>
  <c r="H1604" i="1"/>
  <c r="G1604" i="1"/>
  <c r="F1604" i="1"/>
  <c r="E1604" i="1"/>
  <c r="D1604" i="1"/>
  <c r="B1604" i="1"/>
  <c r="A1604" i="1"/>
  <c r="J1122" i="1"/>
  <c r="I1122" i="1"/>
  <c r="H1122" i="1"/>
  <c r="G1122" i="1"/>
  <c r="F1122" i="1"/>
  <c r="E1122" i="1"/>
  <c r="D1122" i="1"/>
  <c r="B1122" i="1"/>
  <c r="A1122" i="1"/>
  <c r="L2005" i="1"/>
  <c r="J2005" i="1"/>
  <c r="I2005" i="1"/>
  <c r="H2005" i="1"/>
  <c r="G2005" i="1"/>
  <c r="F2005" i="1"/>
  <c r="E2005" i="1"/>
  <c r="D2005" i="1"/>
  <c r="B2005" i="1"/>
  <c r="A2005" i="1"/>
  <c r="L244" i="1"/>
  <c r="J244" i="1"/>
  <c r="I244" i="1"/>
  <c r="H244" i="1"/>
  <c r="G244" i="1"/>
  <c r="F244" i="1"/>
  <c r="E244" i="1"/>
  <c r="D244" i="1"/>
  <c r="B244" i="1"/>
  <c r="A244" i="1"/>
  <c r="L719" i="1"/>
  <c r="J719" i="1"/>
  <c r="I719" i="1"/>
  <c r="H719" i="1"/>
  <c r="G719" i="1"/>
  <c r="F719" i="1"/>
  <c r="E719" i="1"/>
  <c r="D719" i="1"/>
  <c r="B719" i="1"/>
  <c r="A719" i="1"/>
  <c r="L2215" i="1"/>
  <c r="J2215" i="1"/>
  <c r="I2215" i="1"/>
  <c r="H2215" i="1"/>
  <c r="G2215" i="1"/>
  <c r="F2215" i="1"/>
  <c r="E2215" i="1"/>
  <c r="D2215" i="1"/>
  <c r="B2215" i="1"/>
  <c r="A2215" i="1"/>
  <c r="L1603" i="1"/>
  <c r="K1603" i="1"/>
  <c r="J1603" i="1"/>
  <c r="I1603" i="1"/>
  <c r="H1603" i="1"/>
  <c r="G1603" i="1"/>
  <c r="F1603" i="1"/>
  <c r="E1603" i="1"/>
  <c r="D1603" i="1"/>
  <c r="B1603" i="1"/>
  <c r="A1603" i="1"/>
  <c r="L3083" i="1"/>
  <c r="J3083" i="1"/>
  <c r="I3083" i="1"/>
  <c r="H3083" i="1"/>
  <c r="G3083" i="1"/>
  <c r="F3083" i="1"/>
  <c r="E3083" i="1"/>
  <c r="D3083" i="1"/>
  <c r="B3083" i="1"/>
  <c r="A3083" i="1"/>
  <c r="L2402" i="1"/>
  <c r="K2402" i="1"/>
  <c r="J2402" i="1"/>
  <c r="I2402" i="1"/>
  <c r="H2402" i="1"/>
  <c r="G2402" i="1"/>
  <c r="F2402" i="1"/>
  <c r="E2402" i="1"/>
  <c r="D2402" i="1"/>
  <c r="B2402" i="1"/>
  <c r="A2402" i="1"/>
  <c r="L2486" i="1"/>
  <c r="J2486" i="1"/>
  <c r="I2486" i="1"/>
  <c r="H2486" i="1"/>
  <c r="G2486" i="1"/>
  <c r="F2486" i="1"/>
  <c r="E2486" i="1"/>
  <c r="D2486" i="1"/>
  <c r="B2486" i="1"/>
  <c r="A2486" i="1"/>
  <c r="L2485" i="1"/>
  <c r="K2485" i="1"/>
  <c r="J2485" i="1"/>
  <c r="I2485" i="1"/>
  <c r="H2485" i="1"/>
  <c r="G2485" i="1"/>
  <c r="F2485" i="1"/>
  <c r="E2485" i="1"/>
  <c r="D2485" i="1"/>
  <c r="B2485" i="1"/>
  <c r="A2485" i="1"/>
  <c r="L2401" i="1"/>
  <c r="K2401" i="1"/>
  <c r="J2401" i="1"/>
  <c r="I2401" i="1"/>
  <c r="H2401" i="1"/>
  <c r="G2401" i="1"/>
  <c r="F2401" i="1"/>
  <c r="E2401" i="1"/>
  <c r="D2401" i="1"/>
  <c r="B2401" i="1"/>
  <c r="A2401" i="1"/>
  <c r="L1602" i="1"/>
  <c r="K1602" i="1"/>
  <c r="J1602" i="1"/>
  <c r="I1602" i="1"/>
  <c r="H1602" i="1"/>
  <c r="G1602" i="1"/>
  <c r="F1602" i="1"/>
  <c r="E1602" i="1"/>
  <c r="D1602" i="1"/>
  <c r="B1602" i="1"/>
  <c r="A1602" i="1"/>
  <c r="L1121" i="1"/>
  <c r="K1121" i="1"/>
  <c r="J1121" i="1"/>
  <c r="I1121" i="1"/>
  <c r="H1121" i="1"/>
  <c r="G1121" i="1"/>
  <c r="F1121" i="1"/>
  <c r="E1121" i="1"/>
  <c r="D1121" i="1"/>
  <c r="B1121" i="1"/>
  <c r="A1121" i="1"/>
  <c r="L2004" i="1"/>
  <c r="K2004" i="1"/>
  <c r="J2004" i="1"/>
  <c r="I2004" i="1"/>
  <c r="H2004" i="1"/>
  <c r="G2004" i="1"/>
  <c r="F2004" i="1"/>
  <c r="E2004" i="1"/>
  <c r="D2004" i="1"/>
  <c r="B2004" i="1"/>
  <c r="A2004" i="1"/>
  <c r="L2657" i="1"/>
  <c r="J2657" i="1"/>
  <c r="I2657" i="1"/>
  <c r="H2657" i="1"/>
  <c r="G2657" i="1"/>
  <c r="F2657" i="1"/>
  <c r="E2657" i="1"/>
  <c r="D2657" i="1"/>
  <c r="B2657" i="1"/>
  <c r="A2657" i="1"/>
  <c r="L2656" i="1"/>
  <c r="J2656" i="1"/>
  <c r="I2656" i="1"/>
  <c r="H2656" i="1"/>
  <c r="G2656" i="1"/>
  <c r="F2656" i="1"/>
  <c r="E2656" i="1"/>
  <c r="D2656" i="1"/>
  <c r="B2656" i="1"/>
  <c r="A2656" i="1"/>
  <c r="L718" i="1"/>
  <c r="J718" i="1"/>
  <c r="I718" i="1"/>
  <c r="H718" i="1"/>
  <c r="G718" i="1"/>
  <c r="F718" i="1"/>
  <c r="E718" i="1"/>
  <c r="D718" i="1"/>
  <c r="B718" i="1"/>
  <c r="A718" i="1"/>
  <c r="L2214" i="1"/>
  <c r="J2214" i="1"/>
  <c r="I2214" i="1"/>
  <c r="H2214" i="1"/>
  <c r="G2214" i="1"/>
  <c r="F2214" i="1"/>
  <c r="E2214" i="1"/>
  <c r="D2214" i="1"/>
  <c r="B2214" i="1"/>
  <c r="A2214" i="1"/>
  <c r="L1601" i="1"/>
  <c r="K1601" i="1"/>
  <c r="J1601" i="1"/>
  <c r="I1601" i="1"/>
  <c r="H1601" i="1"/>
  <c r="G1601" i="1"/>
  <c r="F1601" i="1"/>
  <c r="E1601" i="1"/>
  <c r="D1601" i="1"/>
  <c r="B1601" i="1"/>
  <c r="A1601" i="1"/>
  <c r="L2400" i="1"/>
  <c r="K2400" i="1"/>
  <c r="J2400" i="1"/>
  <c r="I2400" i="1"/>
  <c r="H2400" i="1"/>
  <c r="G2400" i="1"/>
  <c r="F2400" i="1"/>
  <c r="E2400" i="1"/>
  <c r="D2400" i="1"/>
  <c r="B2400" i="1"/>
  <c r="A2400" i="1"/>
  <c r="J2399" i="1"/>
  <c r="I2399" i="1"/>
  <c r="H2399" i="1"/>
  <c r="G2399" i="1"/>
  <c r="F2399" i="1"/>
  <c r="E2399" i="1"/>
  <c r="D2399" i="1"/>
  <c r="B2399" i="1"/>
  <c r="A2399" i="1"/>
  <c r="L3082" i="1"/>
  <c r="K3082" i="1"/>
  <c r="J3082" i="1"/>
  <c r="I3082" i="1"/>
  <c r="H3082" i="1"/>
  <c r="G3082" i="1"/>
  <c r="F3082" i="1"/>
  <c r="E3082" i="1"/>
  <c r="D3082" i="1"/>
  <c r="B3082" i="1"/>
  <c r="A3082" i="1"/>
  <c r="L2484" i="1"/>
  <c r="K2484" i="1"/>
  <c r="J2484" i="1"/>
  <c r="I2484" i="1"/>
  <c r="H2484" i="1"/>
  <c r="G2484" i="1"/>
  <c r="F2484" i="1"/>
  <c r="E2484" i="1"/>
  <c r="D2484" i="1"/>
  <c r="B2484" i="1"/>
  <c r="A2484" i="1"/>
  <c r="L2924" i="1"/>
  <c r="J2924" i="1"/>
  <c r="I2924" i="1"/>
  <c r="H2924" i="1"/>
  <c r="G2924" i="1"/>
  <c r="F2924" i="1"/>
  <c r="E2924" i="1"/>
  <c r="D2924" i="1"/>
  <c r="B2924" i="1"/>
  <c r="A2924" i="1"/>
  <c r="L243" i="1"/>
  <c r="J243" i="1"/>
  <c r="I243" i="1"/>
  <c r="H243" i="1"/>
  <c r="G243" i="1"/>
  <c r="F243" i="1"/>
  <c r="E243" i="1"/>
  <c r="D243" i="1"/>
  <c r="B243" i="1"/>
  <c r="A243" i="1"/>
  <c r="L2923" i="1"/>
  <c r="J2923" i="1"/>
  <c r="I2923" i="1"/>
  <c r="H2923" i="1"/>
  <c r="G2923" i="1"/>
  <c r="F2923" i="1"/>
  <c r="E2923" i="1"/>
  <c r="D2923" i="1"/>
  <c r="B2923" i="1"/>
  <c r="A2923" i="1"/>
  <c r="L242" i="1"/>
  <c r="J242" i="1"/>
  <c r="I242" i="1"/>
  <c r="H242" i="1"/>
  <c r="G242" i="1"/>
  <c r="F242" i="1"/>
  <c r="E242" i="1"/>
  <c r="D242" i="1"/>
  <c r="B242" i="1"/>
  <c r="A242" i="1"/>
  <c r="L2655" i="1"/>
  <c r="J2655" i="1"/>
  <c r="I2655" i="1"/>
  <c r="H2655" i="1"/>
  <c r="G2655" i="1"/>
  <c r="F2655" i="1"/>
  <c r="E2655" i="1"/>
  <c r="D2655" i="1"/>
  <c r="B2655" i="1"/>
  <c r="A2655" i="1"/>
  <c r="L1600" i="1"/>
  <c r="K1600" i="1"/>
  <c r="J1600" i="1"/>
  <c r="I1600" i="1"/>
  <c r="H1600" i="1"/>
  <c r="G1600" i="1"/>
  <c r="F1600" i="1"/>
  <c r="E1600" i="1"/>
  <c r="D1600" i="1"/>
  <c r="B1600" i="1"/>
  <c r="A1600" i="1"/>
  <c r="L717" i="1"/>
  <c r="J717" i="1"/>
  <c r="I717" i="1"/>
  <c r="H717" i="1"/>
  <c r="G717" i="1"/>
  <c r="F717" i="1"/>
  <c r="E717" i="1"/>
  <c r="D717" i="1"/>
  <c r="B717" i="1"/>
  <c r="A717" i="1"/>
  <c r="L2213" i="1"/>
  <c r="J2213" i="1"/>
  <c r="I2213" i="1"/>
  <c r="H2213" i="1"/>
  <c r="G2213" i="1"/>
  <c r="F2213" i="1"/>
  <c r="E2213" i="1"/>
  <c r="D2213" i="1"/>
  <c r="B2213" i="1"/>
  <c r="A2213" i="1"/>
  <c r="L1599" i="1"/>
  <c r="K1599" i="1"/>
  <c r="J1599" i="1"/>
  <c r="I1599" i="1"/>
  <c r="H1599" i="1"/>
  <c r="G1599" i="1"/>
  <c r="F1599" i="1"/>
  <c r="E1599" i="1"/>
  <c r="D1599" i="1"/>
  <c r="B1599" i="1"/>
  <c r="A1599" i="1"/>
  <c r="L1598" i="1"/>
  <c r="K1598" i="1"/>
  <c r="J1598" i="1"/>
  <c r="I1598" i="1"/>
  <c r="H1598" i="1"/>
  <c r="G1598" i="1"/>
  <c r="F1598" i="1"/>
  <c r="E1598" i="1"/>
  <c r="D1598" i="1"/>
  <c r="B1598" i="1"/>
  <c r="A1598" i="1"/>
  <c r="L1597" i="1"/>
  <c r="K1597" i="1"/>
  <c r="J1597" i="1"/>
  <c r="I1597" i="1"/>
  <c r="H1597" i="1"/>
  <c r="G1597" i="1"/>
  <c r="F1597" i="1"/>
  <c r="E1597" i="1"/>
  <c r="D1597" i="1"/>
  <c r="B1597" i="1"/>
  <c r="A1597" i="1"/>
  <c r="L716" i="1"/>
  <c r="J716" i="1"/>
  <c r="I716" i="1"/>
  <c r="H716" i="1"/>
  <c r="G716" i="1"/>
  <c r="F716" i="1"/>
  <c r="E716" i="1"/>
  <c r="D716" i="1"/>
  <c r="B716" i="1"/>
  <c r="A716" i="1"/>
  <c r="L2212" i="1"/>
  <c r="J2212" i="1"/>
  <c r="I2212" i="1"/>
  <c r="H2212" i="1"/>
  <c r="G2212" i="1"/>
  <c r="F2212" i="1"/>
  <c r="E2212" i="1"/>
  <c r="D2212" i="1"/>
  <c r="B2212" i="1"/>
  <c r="A2212" i="1"/>
  <c r="L1381" i="1"/>
  <c r="J1381" i="1"/>
  <c r="I1381" i="1"/>
  <c r="H1381" i="1"/>
  <c r="G1381" i="1"/>
  <c r="F1381" i="1"/>
  <c r="E1381" i="1"/>
  <c r="D1381" i="1"/>
  <c r="B1381" i="1"/>
  <c r="A1381" i="1"/>
  <c r="L1051" i="1"/>
  <c r="J1051" i="1"/>
  <c r="I1051" i="1"/>
  <c r="H1051" i="1"/>
  <c r="G1051" i="1"/>
  <c r="F1051" i="1"/>
  <c r="E1051" i="1"/>
  <c r="D1051" i="1"/>
  <c r="B1051" i="1"/>
  <c r="A1051" i="1"/>
  <c r="L715" i="1"/>
  <c r="J715" i="1"/>
  <c r="I715" i="1"/>
  <c r="H715" i="1"/>
  <c r="G715" i="1"/>
  <c r="F715" i="1"/>
  <c r="E715" i="1"/>
  <c r="D715" i="1"/>
  <c r="B715" i="1"/>
  <c r="A715" i="1"/>
  <c r="L2211" i="1"/>
  <c r="J2211" i="1"/>
  <c r="I2211" i="1"/>
  <c r="H2211" i="1"/>
  <c r="G2211" i="1"/>
  <c r="F2211" i="1"/>
  <c r="E2211" i="1"/>
  <c r="D2211" i="1"/>
  <c r="B2211" i="1"/>
  <c r="A2211" i="1"/>
  <c r="L2922" i="1"/>
  <c r="J2922" i="1"/>
  <c r="I2922" i="1"/>
  <c r="H2922" i="1"/>
  <c r="G2922" i="1"/>
  <c r="F2922" i="1"/>
  <c r="E2922" i="1"/>
  <c r="D2922" i="1"/>
  <c r="B2922" i="1"/>
  <c r="A2922" i="1"/>
  <c r="L241" i="1"/>
  <c r="J241" i="1"/>
  <c r="I241" i="1"/>
  <c r="H241" i="1"/>
  <c r="G241" i="1"/>
  <c r="F241" i="1"/>
  <c r="E241" i="1"/>
  <c r="D241" i="1"/>
  <c r="B241" i="1"/>
  <c r="A241" i="1"/>
  <c r="L2921" i="1"/>
  <c r="J2921" i="1"/>
  <c r="I2921" i="1"/>
  <c r="H2921" i="1"/>
  <c r="G2921" i="1"/>
  <c r="F2921" i="1"/>
  <c r="E2921" i="1"/>
  <c r="D2921" i="1"/>
  <c r="B2921" i="1"/>
  <c r="A2921" i="1"/>
  <c r="L1596" i="1"/>
  <c r="K1596" i="1"/>
  <c r="J1596" i="1"/>
  <c r="I1596" i="1"/>
  <c r="H1596" i="1"/>
  <c r="G1596" i="1"/>
  <c r="F1596" i="1"/>
  <c r="E1596" i="1"/>
  <c r="D1596" i="1"/>
  <c r="B1596" i="1"/>
  <c r="A1596" i="1"/>
  <c r="L240" i="1"/>
  <c r="J240" i="1"/>
  <c r="I240" i="1"/>
  <c r="H240" i="1"/>
  <c r="G240" i="1"/>
  <c r="F240" i="1"/>
  <c r="E240" i="1"/>
  <c r="D240" i="1"/>
  <c r="B240" i="1"/>
  <c r="A240" i="1"/>
  <c r="L1595" i="1"/>
  <c r="K1595" i="1"/>
  <c r="J1595" i="1"/>
  <c r="I1595" i="1"/>
  <c r="H1595" i="1"/>
  <c r="G1595" i="1"/>
  <c r="F1595" i="1"/>
  <c r="E1595" i="1"/>
  <c r="D1595" i="1"/>
  <c r="B1595" i="1"/>
  <c r="A1595" i="1"/>
  <c r="L1594" i="1"/>
  <c r="K1594" i="1"/>
  <c r="J1594" i="1"/>
  <c r="I1594" i="1"/>
  <c r="H1594" i="1"/>
  <c r="G1594" i="1"/>
  <c r="F1594" i="1"/>
  <c r="E1594" i="1"/>
  <c r="D1594" i="1"/>
  <c r="B1594" i="1"/>
  <c r="A1594" i="1"/>
  <c r="L714" i="1"/>
  <c r="J714" i="1"/>
  <c r="I714" i="1"/>
  <c r="H714" i="1"/>
  <c r="G714" i="1"/>
  <c r="F714" i="1"/>
  <c r="E714" i="1"/>
  <c r="D714" i="1"/>
  <c r="B714" i="1"/>
  <c r="A714" i="1"/>
  <c r="L2210" i="1"/>
  <c r="J2210" i="1"/>
  <c r="I2210" i="1"/>
  <c r="H2210" i="1"/>
  <c r="G2210" i="1"/>
  <c r="F2210" i="1"/>
  <c r="E2210" i="1"/>
  <c r="D2210" i="1"/>
  <c r="B2210" i="1"/>
  <c r="A2210" i="1"/>
  <c r="J1593" i="1"/>
  <c r="I1593" i="1"/>
  <c r="H1593" i="1"/>
  <c r="G1593" i="1"/>
  <c r="F1593" i="1"/>
  <c r="E1593" i="1"/>
  <c r="D1593" i="1"/>
  <c r="B1593" i="1"/>
  <c r="A1593" i="1"/>
  <c r="L713" i="1"/>
  <c r="J713" i="1"/>
  <c r="I713" i="1"/>
  <c r="H713" i="1"/>
  <c r="G713" i="1"/>
  <c r="F713" i="1"/>
  <c r="E713" i="1"/>
  <c r="D713" i="1"/>
  <c r="B713" i="1"/>
  <c r="A713" i="1"/>
  <c r="L2209" i="1"/>
  <c r="J2209" i="1"/>
  <c r="I2209" i="1"/>
  <c r="H2209" i="1"/>
  <c r="G2209" i="1"/>
  <c r="F2209" i="1"/>
  <c r="E2209" i="1"/>
  <c r="D2209" i="1"/>
  <c r="B2209" i="1"/>
  <c r="A2209" i="1"/>
  <c r="L2920" i="1"/>
  <c r="J2920" i="1"/>
  <c r="I2920" i="1"/>
  <c r="H2920" i="1"/>
  <c r="G2920" i="1"/>
  <c r="F2920" i="1"/>
  <c r="E2920" i="1"/>
  <c r="D2920" i="1"/>
  <c r="B2920" i="1"/>
  <c r="A2920" i="1"/>
  <c r="L239" i="1"/>
  <c r="J239" i="1"/>
  <c r="I239" i="1"/>
  <c r="H239" i="1"/>
  <c r="G239" i="1"/>
  <c r="F239" i="1"/>
  <c r="E239" i="1"/>
  <c r="D239" i="1"/>
  <c r="B239" i="1"/>
  <c r="A239" i="1"/>
  <c r="J1592" i="1"/>
  <c r="I1592" i="1"/>
  <c r="H1592" i="1"/>
  <c r="G1592" i="1"/>
  <c r="F1592" i="1"/>
  <c r="E1592" i="1"/>
  <c r="D1592" i="1"/>
  <c r="B1592" i="1"/>
  <c r="A1592" i="1"/>
  <c r="L1050" i="1"/>
  <c r="J1050" i="1"/>
  <c r="I1050" i="1"/>
  <c r="H1050" i="1"/>
  <c r="G1050" i="1"/>
  <c r="F1050" i="1"/>
  <c r="E1050" i="1"/>
  <c r="D1050" i="1"/>
  <c r="B1050" i="1"/>
  <c r="A1050" i="1"/>
  <c r="J1591" i="1"/>
  <c r="I1591" i="1"/>
  <c r="H1591" i="1"/>
  <c r="G1591" i="1"/>
  <c r="F1591" i="1"/>
  <c r="E1591" i="1"/>
  <c r="D1591" i="1"/>
  <c r="B1591" i="1"/>
  <c r="A1591" i="1"/>
  <c r="J1590" i="1"/>
  <c r="I1590" i="1"/>
  <c r="H1590" i="1"/>
  <c r="G1590" i="1"/>
  <c r="F1590" i="1"/>
  <c r="E1590" i="1"/>
  <c r="D1590" i="1"/>
  <c r="B1590" i="1"/>
  <c r="A1590" i="1"/>
  <c r="L2919" i="1"/>
  <c r="J2919" i="1"/>
  <c r="I2919" i="1"/>
  <c r="H2919" i="1"/>
  <c r="G2919" i="1"/>
  <c r="F2919" i="1"/>
  <c r="E2919" i="1"/>
  <c r="D2919" i="1"/>
  <c r="B2919" i="1"/>
  <c r="A2919" i="1"/>
  <c r="L238" i="1"/>
  <c r="J238" i="1"/>
  <c r="I238" i="1"/>
  <c r="H238" i="1"/>
  <c r="G238" i="1"/>
  <c r="F238" i="1"/>
  <c r="E238" i="1"/>
  <c r="D238" i="1"/>
  <c r="B238" i="1"/>
  <c r="A238" i="1"/>
  <c r="J1589" i="1"/>
  <c r="I1589" i="1"/>
  <c r="H1589" i="1"/>
  <c r="G1589" i="1"/>
  <c r="F1589" i="1"/>
  <c r="E1589" i="1"/>
  <c r="D1589" i="1"/>
  <c r="B1589" i="1"/>
  <c r="A1589" i="1"/>
  <c r="L2918" i="1"/>
  <c r="J2918" i="1"/>
  <c r="I2918" i="1"/>
  <c r="H2918" i="1"/>
  <c r="G2918" i="1"/>
  <c r="F2918" i="1"/>
  <c r="E2918" i="1"/>
  <c r="D2918" i="1"/>
  <c r="B2918" i="1"/>
  <c r="A2918" i="1"/>
  <c r="L237" i="1"/>
  <c r="J237" i="1"/>
  <c r="I237" i="1"/>
  <c r="H237" i="1"/>
  <c r="G237" i="1"/>
  <c r="F237" i="1"/>
  <c r="E237" i="1"/>
  <c r="D237" i="1"/>
  <c r="B237" i="1"/>
  <c r="A237" i="1"/>
  <c r="J1588" i="1"/>
  <c r="I1588" i="1"/>
  <c r="H1588" i="1"/>
  <c r="G1588" i="1"/>
  <c r="F1588" i="1"/>
  <c r="E1588" i="1"/>
  <c r="D1588" i="1"/>
  <c r="B1588" i="1"/>
  <c r="A1588" i="1"/>
  <c r="J1587" i="1"/>
  <c r="I1587" i="1"/>
  <c r="H1587" i="1"/>
  <c r="G1587" i="1"/>
  <c r="F1587" i="1"/>
  <c r="E1587" i="1"/>
  <c r="D1587" i="1"/>
  <c r="B1587" i="1"/>
  <c r="A1587" i="1"/>
  <c r="L2917" i="1"/>
  <c r="J2917" i="1"/>
  <c r="I2917" i="1"/>
  <c r="H2917" i="1"/>
  <c r="G2917" i="1"/>
  <c r="F2917" i="1"/>
  <c r="E2917" i="1"/>
  <c r="D2917" i="1"/>
  <c r="B2917" i="1"/>
  <c r="A2917" i="1"/>
  <c r="L236" i="1"/>
  <c r="J236" i="1"/>
  <c r="I236" i="1"/>
  <c r="H236" i="1"/>
  <c r="G236" i="1"/>
  <c r="F236" i="1"/>
  <c r="E236" i="1"/>
  <c r="D236" i="1"/>
  <c r="B236" i="1"/>
  <c r="A236" i="1"/>
  <c r="L1586" i="1"/>
  <c r="J1586" i="1"/>
  <c r="I1586" i="1"/>
  <c r="H1586" i="1"/>
  <c r="G1586" i="1"/>
  <c r="F1586" i="1"/>
  <c r="E1586" i="1"/>
  <c r="D1586" i="1"/>
  <c r="B1586" i="1"/>
  <c r="A1586" i="1"/>
  <c r="J1585" i="1"/>
  <c r="I1585" i="1"/>
  <c r="H1585" i="1"/>
  <c r="G1585" i="1"/>
  <c r="F1585" i="1"/>
  <c r="E1585" i="1"/>
  <c r="D1585" i="1"/>
  <c r="B1585" i="1"/>
  <c r="A1585" i="1"/>
  <c r="L1584" i="1"/>
  <c r="J1584" i="1"/>
  <c r="I1584" i="1"/>
  <c r="H1584" i="1"/>
  <c r="G1584" i="1"/>
  <c r="F1584" i="1"/>
  <c r="E1584" i="1"/>
  <c r="D1584" i="1"/>
  <c r="B1584" i="1"/>
  <c r="A1584" i="1"/>
  <c r="L1049" i="1"/>
  <c r="J1049" i="1"/>
  <c r="I1049" i="1"/>
  <c r="H1049" i="1"/>
  <c r="G1049" i="1"/>
  <c r="F1049" i="1"/>
  <c r="E1049" i="1"/>
  <c r="D1049" i="1"/>
  <c r="B1049" i="1"/>
  <c r="A1049" i="1"/>
  <c r="J1583" i="1"/>
  <c r="I1583" i="1"/>
  <c r="H1583" i="1"/>
  <c r="G1583" i="1"/>
  <c r="F1583" i="1"/>
  <c r="E1583" i="1"/>
  <c r="D1583" i="1"/>
  <c r="B1583" i="1"/>
  <c r="A1583" i="1"/>
  <c r="J1582" i="1"/>
  <c r="I1582" i="1"/>
  <c r="H1582" i="1"/>
  <c r="G1582" i="1"/>
  <c r="F1582" i="1"/>
  <c r="E1582" i="1"/>
  <c r="D1582" i="1"/>
  <c r="B1582" i="1"/>
  <c r="A1582" i="1"/>
  <c r="L2916" i="1"/>
  <c r="J2916" i="1"/>
  <c r="I2916" i="1"/>
  <c r="H2916" i="1"/>
  <c r="G2916" i="1"/>
  <c r="F2916" i="1"/>
  <c r="E2916" i="1"/>
  <c r="D2916" i="1"/>
  <c r="B2916" i="1"/>
  <c r="A2916" i="1"/>
  <c r="L235" i="1"/>
  <c r="J235" i="1"/>
  <c r="I235" i="1"/>
  <c r="H235" i="1"/>
  <c r="G235" i="1"/>
  <c r="F235" i="1"/>
  <c r="E235" i="1"/>
  <c r="D235" i="1"/>
  <c r="B235" i="1"/>
  <c r="A235" i="1"/>
  <c r="L712" i="1"/>
  <c r="J712" i="1"/>
  <c r="I712" i="1"/>
  <c r="H712" i="1"/>
  <c r="G712" i="1"/>
  <c r="F712" i="1"/>
  <c r="E712" i="1"/>
  <c r="D712" i="1"/>
  <c r="B712" i="1"/>
  <c r="A712" i="1"/>
  <c r="L2208" i="1"/>
  <c r="J2208" i="1"/>
  <c r="I2208" i="1"/>
  <c r="H2208" i="1"/>
  <c r="G2208" i="1"/>
  <c r="F2208" i="1"/>
  <c r="E2208" i="1"/>
  <c r="D2208" i="1"/>
  <c r="B2208" i="1"/>
  <c r="A2208" i="1"/>
  <c r="L711" i="1"/>
  <c r="J711" i="1"/>
  <c r="I711" i="1"/>
  <c r="H711" i="1"/>
  <c r="G711" i="1"/>
  <c r="F711" i="1"/>
  <c r="E711" i="1"/>
  <c r="D711" i="1"/>
  <c r="B711" i="1"/>
  <c r="A711" i="1"/>
  <c r="L2207" i="1"/>
  <c r="J2207" i="1"/>
  <c r="I2207" i="1"/>
  <c r="H2207" i="1"/>
  <c r="G2207" i="1"/>
  <c r="F2207" i="1"/>
  <c r="E2207" i="1"/>
  <c r="D2207" i="1"/>
  <c r="B2207" i="1"/>
  <c r="A2207" i="1"/>
  <c r="J1581" i="1"/>
  <c r="I1581" i="1"/>
  <c r="H1581" i="1"/>
  <c r="G1581" i="1"/>
  <c r="F1581" i="1"/>
  <c r="E1581" i="1"/>
  <c r="D1581" i="1"/>
  <c r="B1581" i="1"/>
  <c r="A1581" i="1"/>
  <c r="L2003" i="1"/>
  <c r="K2003" i="1"/>
  <c r="J2003" i="1"/>
  <c r="I2003" i="1"/>
  <c r="H2003" i="1"/>
  <c r="G2003" i="1"/>
  <c r="F2003" i="1"/>
  <c r="E2003" i="1"/>
  <c r="D2003" i="1"/>
  <c r="B2003" i="1"/>
  <c r="A2003" i="1"/>
  <c r="L1120" i="1"/>
  <c r="K1120" i="1"/>
  <c r="J1120" i="1"/>
  <c r="I1120" i="1"/>
  <c r="H1120" i="1"/>
  <c r="G1120" i="1"/>
  <c r="F1120" i="1"/>
  <c r="E1120" i="1"/>
  <c r="D1120" i="1"/>
  <c r="B1120" i="1"/>
  <c r="A1120" i="1"/>
  <c r="L2915" i="1"/>
  <c r="J2915" i="1"/>
  <c r="I2915" i="1"/>
  <c r="H2915" i="1"/>
  <c r="G2915" i="1"/>
  <c r="F2915" i="1"/>
  <c r="E2915" i="1"/>
  <c r="D2915" i="1"/>
  <c r="B2915" i="1"/>
  <c r="A2915" i="1"/>
  <c r="L234" i="1"/>
  <c r="J234" i="1"/>
  <c r="I234" i="1"/>
  <c r="H234" i="1"/>
  <c r="G234" i="1"/>
  <c r="F234" i="1"/>
  <c r="E234" i="1"/>
  <c r="D234" i="1"/>
  <c r="B234" i="1"/>
  <c r="A234" i="1"/>
  <c r="J1580" i="1"/>
  <c r="I1580" i="1"/>
  <c r="H1580" i="1"/>
  <c r="G1580" i="1"/>
  <c r="F1580" i="1"/>
  <c r="E1580" i="1"/>
  <c r="D1580" i="1"/>
  <c r="B1580" i="1"/>
  <c r="A1580" i="1"/>
  <c r="L1048" i="1"/>
  <c r="J1048" i="1"/>
  <c r="I1048" i="1"/>
  <c r="H1048" i="1"/>
  <c r="G1048" i="1"/>
  <c r="F1048" i="1"/>
  <c r="E1048" i="1"/>
  <c r="D1048" i="1"/>
  <c r="B1048" i="1"/>
  <c r="A1048" i="1"/>
  <c r="J63" i="1"/>
  <c r="I63" i="1"/>
  <c r="H63" i="1"/>
  <c r="G63" i="1"/>
  <c r="F63" i="1"/>
  <c r="E63" i="1"/>
  <c r="D63" i="1"/>
  <c r="B63" i="1"/>
  <c r="A63" i="1"/>
  <c r="J1174" i="1"/>
  <c r="I1174" i="1"/>
  <c r="H1174" i="1"/>
  <c r="G1174" i="1"/>
  <c r="F1174" i="1"/>
  <c r="E1174" i="1"/>
  <c r="D1174" i="1"/>
  <c r="B1174" i="1"/>
  <c r="A1174" i="1"/>
  <c r="L710" i="1"/>
  <c r="J710" i="1"/>
  <c r="I710" i="1"/>
  <c r="H710" i="1"/>
  <c r="G710" i="1"/>
  <c r="F710" i="1"/>
  <c r="E710" i="1"/>
  <c r="D710" i="1"/>
  <c r="B710" i="1"/>
  <c r="A710" i="1"/>
  <c r="L2206" i="1"/>
  <c r="J2206" i="1"/>
  <c r="I2206" i="1"/>
  <c r="H2206" i="1"/>
  <c r="G2206" i="1"/>
  <c r="F2206" i="1"/>
  <c r="E2206" i="1"/>
  <c r="D2206" i="1"/>
  <c r="B2206" i="1"/>
  <c r="A2206" i="1"/>
  <c r="J1579" i="1"/>
  <c r="I1579" i="1"/>
  <c r="H1579" i="1"/>
  <c r="G1579" i="1"/>
  <c r="F1579" i="1"/>
  <c r="E1579" i="1"/>
  <c r="D1579" i="1"/>
  <c r="B1579" i="1"/>
  <c r="A1579" i="1"/>
  <c r="L2654" i="1"/>
  <c r="J2654" i="1"/>
  <c r="I2654" i="1"/>
  <c r="H2654" i="1"/>
  <c r="G2654" i="1"/>
  <c r="F2654" i="1"/>
  <c r="E2654" i="1"/>
  <c r="D2654" i="1"/>
  <c r="B2654" i="1"/>
  <c r="A2654" i="1"/>
  <c r="L2914" i="1"/>
  <c r="J2914" i="1"/>
  <c r="I2914" i="1"/>
  <c r="H2914" i="1"/>
  <c r="G2914" i="1"/>
  <c r="F2914" i="1"/>
  <c r="E2914" i="1"/>
  <c r="D2914" i="1"/>
  <c r="B2914" i="1"/>
  <c r="A2914" i="1"/>
  <c r="L233" i="1"/>
  <c r="J233" i="1"/>
  <c r="I233" i="1"/>
  <c r="H233" i="1"/>
  <c r="G233" i="1"/>
  <c r="F233" i="1"/>
  <c r="E233" i="1"/>
  <c r="D233" i="1"/>
  <c r="B233" i="1"/>
  <c r="A233" i="1"/>
  <c r="L2653" i="1"/>
  <c r="J2653" i="1"/>
  <c r="I2653" i="1"/>
  <c r="H2653" i="1"/>
  <c r="G2653" i="1"/>
  <c r="F2653" i="1"/>
  <c r="E2653" i="1"/>
  <c r="D2653" i="1"/>
  <c r="B2653" i="1"/>
  <c r="A2653" i="1"/>
  <c r="J1578" i="1"/>
  <c r="I1578" i="1"/>
  <c r="H1578" i="1"/>
  <c r="G1578" i="1"/>
  <c r="F1578" i="1"/>
  <c r="E1578" i="1"/>
  <c r="D1578" i="1"/>
  <c r="B1578" i="1"/>
  <c r="A1578" i="1"/>
  <c r="J1119" i="1"/>
  <c r="I1119" i="1"/>
  <c r="H1119" i="1"/>
  <c r="G1119" i="1"/>
  <c r="F1119" i="1"/>
  <c r="E1119" i="1"/>
  <c r="D1119" i="1"/>
  <c r="B1119" i="1"/>
  <c r="A1119" i="1"/>
  <c r="L1047" i="1"/>
  <c r="J1047" i="1"/>
  <c r="I1047" i="1"/>
  <c r="H1047" i="1"/>
  <c r="G1047" i="1"/>
  <c r="F1047" i="1"/>
  <c r="E1047" i="1"/>
  <c r="D1047" i="1"/>
  <c r="B1047" i="1"/>
  <c r="A1047" i="1"/>
  <c r="L2002" i="1"/>
  <c r="J2002" i="1"/>
  <c r="I2002" i="1"/>
  <c r="H2002" i="1"/>
  <c r="G2002" i="1"/>
  <c r="F2002" i="1"/>
  <c r="E2002" i="1"/>
  <c r="D2002" i="1"/>
  <c r="B2002" i="1"/>
  <c r="A2002" i="1"/>
  <c r="L709" i="1"/>
  <c r="J709" i="1"/>
  <c r="I709" i="1"/>
  <c r="H709" i="1"/>
  <c r="G709" i="1"/>
  <c r="F709" i="1"/>
  <c r="E709" i="1"/>
  <c r="D709" i="1"/>
  <c r="B709" i="1"/>
  <c r="A709" i="1"/>
  <c r="L2205" i="1"/>
  <c r="J2205" i="1"/>
  <c r="I2205" i="1"/>
  <c r="H2205" i="1"/>
  <c r="G2205" i="1"/>
  <c r="F2205" i="1"/>
  <c r="E2205" i="1"/>
  <c r="D2205" i="1"/>
  <c r="B2205" i="1"/>
  <c r="A2205" i="1"/>
  <c r="L1046" i="1"/>
  <c r="J1046" i="1"/>
  <c r="I1046" i="1"/>
  <c r="H1046" i="1"/>
  <c r="G1046" i="1"/>
  <c r="F1046" i="1"/>
  <c r="E1046" i="1"/>
  <c r="D1046" i="1"/>
  <c r="B1046" i="1"/>
  <c r="A1046" i="1"/>
  <c r="L849" i="1"/>
  <c r="J849" i="1"/>
  <c r="I849" i="1"/>
  <c r="H849" i="1"/>
  <c r="G849" i="1"/>
  <c r="F849" i="1"/>
  <c r="E849" i="1"/>
  <c r="D849" i="1"/>
  <c r="B849" i="1"/>
  <c r="A849" i="1"/>
  <c r="L801" i="1"/>
  <c r="J801" i="1"/>
  <c r="I801" i="1"/>
  <c r="H801" i="1"/>
  <c r="G801" i="1"/>
  <c r="F801" i="1"/>
  <c r="E801" i="1"/>
  <c r="D801" i="1"/>
  <c r="B801" i="1"/>
  <c r="A801" i="1"/>
  <c r="L1577" i="1"/>
  <c r="K1577" i="1"/>
  <c r="J1577" i="1"/>
  <c r="I1577" i="1"/>
  <c r="H1577" i="1"/>
  <c r="G1577" i="1"/>
  <c r="F1577" i="1"/>
  <c r="E1577" i="1"/>
  <c r="D1577" i="1"/>
  <c r="B1577" i="1"/>
  <c r="A1577" i="1"/>
  <c r="L2398" i="1"/>
  <c r="K2398" i="1"/>
  <c r="J2398" i="1"/>
  <c r="I2398" i="1"/>
  <c r="H2398" i="1"/>
  <c r="G2398" i="1"/>
  <c r="F2398" i="1"/>
  <c r="E2398" i="1"/>
  <c r="D2398" i="1"/>
  <c r="B2398" i="1"/>
  <c r="A2398" i="1"/>
  <c r="L3081" i="1"/>
  <c r="K3081" i="1"/>
  <c r="J3081" i="1"/>
  <c r="I3081" i="1"/>
  <c r="H3081" i="1"/>
  <c r="G3081" i="1"/>
  <c r="F3081" i="1"/>
  <c r="E3081" i="1"/>
  <c r="D3081" i="1"/>
  <c r="B3081" i="1"/>
  <c r="A3081" i="1"/>
  <c r="L2483" i="1"/>
  <c r="K2483" i="1"/>
  <c r="J2483" i="1"/>
  <c r="I2483" i="1"/>
  <c r="H2483" i="1"/>
  <c r="G2483" i="1"/>
  <c r="F2483" i="1"/>
  <c r="E2483" i="1"/>
  <c r="D2483" i="1"/>
  <c r="B2483" i="1"/>
  <c r="A2483" i="1"/>
  <c r="J62" i="1"/>
  <c r="I62" i="1"/>
  <c r="H62" i="1"/>
  <c r="G62" i="1"/>
  <c r="F62" i="1"/>
  <c r="E62" i="1"/>
  <c r="D62" i="1"/>
  <c r="B62" i="1"/>
  <c r="A62" i="1"/>
  <c r="J1173" i="1"/>
  <c r="I1173" i="1"/>
  <c r="H1173" i="1"/>
  <c r="G1173" i="1"/>
  <c r="F1173" i="1"/>
  <c r="E1173" i="1"/>
  <c r="D1173" i="1"/>
  <c r="B1173" i="1"/>
  <c r="A1173" i="1"/>
  <c r="L2001" i="1"/>
  <c r="K2001" i="1"/>
  <c r="J2001" i="1"/>
  <c r="I2001" i="1"/>
  <c r="H2001" i="1"/>
  <c r="G2001" i="1"/>
  <c r="F2001" i="1"/>
  <c r="E2001" i="1"/>
  <c r="D2001" i="1"/>
  <c r="B2001" i="1"/>
  <c r="A2001" i="1"/>
  <c r="L1118" i="1"/>
  <c r="K1118" i="1"/>
  <c r="J1118" i="1"/>
  <c r="I1118" i="1"/>
  <c r="H1118" i="1"/>
  <c r="G1118" i="1"/>
  <c r="F1118" i="1"/>
  <c r="E1118" i="1"/>
  <c r="D1118" i="1"/>
  <c r="B1118" i="1"/>
  <c r="A1118" i="1"/>
  <c r="L2397" i="1"/>
  <c r="K2397" i="1"/>
  <c r="J2397" i="1"/>
  <c r="I2397" i="1"/>
  <c r="H2397" i="1"/>
  <c r="G2397" i="1"/>
  <c r="F2397" i="1"/>
  <c r="E2397" i="1"/>
  <c r="D2397" i="1"/>
  <c r="B2397" i="1"/>
  <c r="A2397" i="1"/>
  <c r="L2482" i="1"/>
  <c r="K2482" i="1"/>
  <c r="J2482" i="1"/>
  <c r="I2482" i="1"/>
  <c r="H2482" i="1"/>
  <c r="G2482" i="1"/>
  <c r="F2482" i="1"/>
  <c r="E2482" i="1"/>
  <c r="D2482" i="1"/>
  <c r="B2482" i="1"/>
  <c r="A2482" i="1"/>
  <c r="L3080" i="1"/>
  <c r="K3080" i="1"/>
  <c r="J3080" i="1"/>
  <c r="I3080" i="1"/>
  <c r="H3080" i="1"/>
  <c r="G3080" i="1"/>
  <c r="F3080" i="1"/>
  <c r="E3080" i="1"/>
  <c r="D3080" i="1"/>
  <c r="B3080" i="1"/>
  <c r="A3080" i="1"/>
  <c r="L2481" i="1"/>
  <c r="K2481" i="1"/>
  <c r="J2481" i="1"/>
  <c r="I2481" i="1"/>
  <c r="H2481" i="1"/>
  <c r="G2481" i="1"/>
  <c r="F2481" i="1"/>
  <c r="E2481" i="1"/>
  <c r="D2481" i="1"/>
  <c r="B2481" i="1"/>
  <c r="A2481" i="1"/>
  <c r="L2396" i="1"/>
  <c r="K2396" i="1"/>
  <c r="J2396" i="1"/>
  <c r="I2396" i="1"/>
  <c r="H2396" i="1"/>
  <c r="G2396" i="1"/>
  <c r="F2396" i="1"/>
  <c r="E2396" i="1"/>
  <c r="D2396" i="1"/>
  <c r="B2396" i="1"/>
  <c r="A2396" i="1"/>
  <c r="L2443" i="1"/>
  <c r="J2443" i="1"/>
  <c r="I2443" i="1"/>
  <c r="H2443" i="1"/>
  <c r="G2443" i="1"/>
  <c r="F2443" i="1"/>
  <c r="E2443" i="1"/>
  <c r="D2443" i="1"/>
  <c r="B2443" i="1"/>
  <c r="A2443" i="1"/>
  <c r="L848" i="1"/>
  <c r="K848" i="1"/>
  <c r="J848" i="1"/>
  <c r="I848" i="1"/>
  <c r="H848" i="1"/>
  <c r="G848" i="1"/>
  <c r="F848" i="1"/>
  <c r="E848" i="1"/>
  <c r="D848" i="1"/>
  <c r="B848" i="1"/>
  <c r="A848" i="1"/>
  <c r="L800" i="1"/>
  <c r="K800" i="1"/>
  <c r="J800" i="1"/>
  <c r="I800" i="1"/>
  <c r="H800" i="1"/>
  <c r="G800" i="1"/>
  <c r="F800" i="1"/>
  <c r="E800" i="1"/>
  <c r="D800" i="1"/>
  <c r="B800" i="1"/>
  <c r="A800" i="1"/>
  <c r="L1254" i="1"/>
  <c r="J1254" i="1"/>
  <c r="I1254" i="1"/>
  <c r="H1254" i="1"/>
  <c r="G1254" i="1"/>
  <c r="F1254" i="1"/>
  <c r="E1254" i="1"/>
  <c r="D1254" i="1"/>
  <c r="B1254" i="1"/>
  <c r="A1254" i="1"/>
  <c r="L1323" i="1"/>
  <c r="J1323" i="1"/>
  <c r="I1323" i="1"/>
  <c r="H1323" i="1"/>
  <c r="G1323" i="1"/>
  <c r="F1323" i="1"/>
  <c r="E1323" i="1"/>
  <c r="D1323" i="1"/>
  <c r="B1323" i="1"/>
  <c r="A1323" i="1"/>
  <c r="L2075" i="1"/>
  <c r="J2075" i="1"/>
  <c r="I2075" i="1"/>
  <c r="H2075" i="1"/>
  <c r="G2075" i="1"/>
  <c r="F2075" i="1"/>
  <c r="E2075" i="1"/>
  <c r="D2075" i="1"/>
  <c r="B2075" i="1"/>
  <c r="A2075" i="1"/>
  <c r="L2913" i="1"/>
  <c r="J2913" i="1"/>
  <c r="I2913" i="1"/>
  <c r="H2913" i="1"/>
  <c r="G2913" i="1"/>
  <c r="F2913" i="1"/>
  <c r="E2913" i="1"/>
  <c r="D2913" i="1"/>
  <c r="B2913" i="1"/>
  <c r="A2913" i="1"/>
  <c r="L1045" i="1"/>
  <c r="J1045" i="1"/>
  <c r="I1045" i="1"/>
  <c r="H1045" i="1"/>
  <c r="G1045" i="1"/>
  <c r="F1045" i="1"/>
  <c r="E1045" i="1"/>
  <c r="D1045" i="1"/>
  <c r="B1045" i="1"/>
  <c r="A1045" i="1"/>
  <c r="L708" i="1"/>
  <c r="J708" i="1"/>
  <c r="I708" i="1"/>
  <c r="H708" i="1"/>
  <c r="G708" i="1"/>
  <c r="F708" i="1"/>
  <c r="E708" i="1"/>
  <c r="D708" i="1"/>
  <c r="B708" i="1"/>
  <c r="A708" i="1"/>
  <c r="L2204" i="1"/>
  <c r="J2204" i="1"/>
  <c r="I2204" i="1"/>
  <c r="H2204" i="1"/>
  <c r="G2204" i="1"/>
  <c r="F2204" i="1"/>
  <c r="E2204" i="1"/>
  <c r="D2204" i="1"/>
  <c r="B2204" i="1"/>
  <c r="A2204" i="1"/>
  <c r="J1380" i="1"/>
  <c r="I1380" i="1"/>
  <c r="H1380" i="1"/>
  <c r="G1380" i="1"/>
  <c r="F1380" i="1"/>
  <c r="E1380" i="1"/>
  <c r="D1380" i="1"/>
  <c r="B1380" i="1"/>
  <c r="A1380" i="1"/>
  <c r="L1576" i="1"/>
  <c r="K1576" i="1"/>
  <c r="J1576" i="1"/>
  <c r="I1576" i="1"/>
  <c r="H1576" i="1"/>
  <c r="G1576" i="1"/>
  <c r="F1576" i="1"/>
  <c r="E1576" i="1"/>
  <c r="D1576" i="1"/>
  <c r="B1576" i="1"/>
  <c r="A1576" i="1"/>
  <c r="L232" i="1"/>
  <c r="J232" i="1"/>
  <c r="I232" i="1"/>
  <c r="H232" i="1"/>
  <c r="G232" i="1"/>
  <c r="F232" i="1"/>
  <c r="E232" i="1"/>
  <c r="D232" i="1"/>
  <c r="B232" i="1"/>
  <c r="A232" i="1"/>
  <c r="L1044" i="1"/>
  <c r="J1044" i="1"/>
  <c r="I1044" i="1"/>
  <c r="H1044" i="1"/>
  <c r="G1044" i="1"/>
  <c r="F1044" i="1"/>
  <c r="E1044" i="1"/>
  <c r="D1044" i="1"/>
  <c r="B1044" i="1"/>
  <c r="A1044" i="1"/>
  <c r="L707" i="1"/>
  <c r="J707" i="1"/>
  <c r="I707" i="1"/>
  <c r="H707" i="1"/>
  <c r="G707" i="1"/>
  <c r="F707" i="1"/>
  <c r="E707" i="1"/>
  <c r="D707" i="1"/>
  <c r="B707" i="1"/>
  <c r="A707" i="1"/>
  <c r="L2203" i="1"/>
  <c r="J2203" i="1"/>
  <c r="I2203" i="1"/>
  <c r="H2203" i="1"/>
  <c r="G2203" i="1"/>
  <c r="F2203" i="1"/>
  <c r="E2203" i="1"/>
  <c r="D2203" i="1"/>
  <c r="B2203" i="1"/>
  <c r="A2203" i="1"/>
  <c r="L799" i="1"/>
  <c r="K799" i="1"/>
  <c r="J799" i="1"/>
  <c r="I799" i="1"/>
  <c r="H799" i="1"/>
  <c r="G799" i="1"/>
  <c r="F799" i="1"/>
  <c r="E799" i="1"/>
  <c r="D799" i="1"/>
  <c r="B799" i="1"/>
  <c r="A799" i="1"/>
  <c r="L1575" i="1"/>
  <c r="K1575" i="1"/>
  <c r="J1575" i="1"/>
  <c r="I1575" i="1"/>
  <c r="H1575" i="1"/>
  <c r="G1575" i="1"/>
  <c r="F1575" i="1"/>
  <c r="E1575" i="1"/>
  <c r="D1575" i="1"/>
  <c r="B1575" i="1"/>
  <c r="A1575" i="1"/>
  <c r="L3236" i="1"/>
  <c r="J3236" i="1"/>
  <c r="I3236" i="1"/>
  <c r="H3236" i="1"/>
  <c r="G3236" i="1"/>
  <c r="F3236" i="1"/>
  <c r="E3236" i="1"/>
  <c r="D3236" i="1"/>
  <c r="B3236" i="1"/>
  <c r="A3236" i="1"/>
  <c r="L3079" i="1"/>
  <c r="J3079" i="1"/>
  <c r="I3079" i="1"/>
  <c r="H3079" i="1"/>
  <c r="G3079" i="1"/>
  <c r="F3079" i="1"/>
  <c r="E3079" i="1"/>
  <c r="D3079" i="1"/>
  <c r="B3079" i="1"/>
  <c r="A3079" i="1"/>
  <c r="L2480" i="1"/>
  <c r="J2480" i="1"/>
  <c r="I2480" i="1"/>
  <c r="H2480" i="1"/>
  <c r="G2480" i="1"/>
  <c r="F2480" i="1"/>
  <c r="E2480" i="1"/>
  <c r="D2480" i="1"/>
  <c r="B2480" i="1"/>
  <c r="A2480" i="1"/>
  <c r="L2395" i="1"/>
  <c r="J2395" i="1"/>
  <c r="I2395" i="1"/>
  <c r="H2395" i="1"/>
  <c r="G2395" i="1"/>
  <c r="F2395" i="1"/>
  <c r="E2395" i="1"/>
  <c r="D2395" i="1"/>
  <c r="B2395" i="1"/>
  <c r="A2395" i="1"/>
  <c r="L411" i="1"/>
  <c r="J411" i="1"/>
  <c r="I411" i="1"/>
  <c r="H411" i="1"/>
  <c r="G411" i="1"/>
  <c r="F411" i="1"/>
  <c r="E411" i="1"/>
  <c r="D411" i="1"/>
  <c r="B411" i="1"/>
  <c r="A411" i="1"/>
  <c r="L3133" i="1"/>
  <c r="J3133" i="1"/>
  <c r="I3133" i="1"/>
  <c r="H3133" i="1"/>
  <c r="G3133" i="1"/>
  <c r="F3133" i="1"/>
  <c r="E3133" i="1"/>
  <c r="D3133" i="1"/>
  <c r="B3133" i="1"/>
  <c r="A3133" i="1"/>
  <c r="L583" i="1"/>
  <c r="J583" i="1"/>
  <c r="I583" i="1"/>
  <c r="H583" i="1"/>
  <c r="G583" i="1"/>
  <c r="F583" i="1"/>
  <c r="E583" i="1"/>
  <c r="D583" i="1"/>
  <c r="B583" i="1"/>
  <c r="A583" i="1"/>
  <c r="L1101" i="1"/>
  <c r="J1101" i="1"/>
  <c r="I1101" i="1"/>
  <c r="H1101" i="1"/>
  <c r="G1101" i="1"/>
  <c r="F1101" i="1"/>
  <c r="E1101" i="1"/>
  <c r="D1101" i="1"/>
  <c r="B1101" i="1"/>
  <c r="A1101" i="1"/>
  <c r="L3132" i="1"/>
  <c r="J3132" i="1"/>
  <c r="I3132" i="1"/>
  <c r="H3132" i="1"/>
  <c r="G3132" i="1"/>
  <c r="F3132" i="1"/>
  <c r="E3132" i="1"/>
  <c r="D3132" i="1"/>
  <c r="B3132" i="1"/>
  <c r="A3132" i="1"/>
  <c r="J582" i="1"/>
  <c r="I582" i="1"/>
  <c r="H582" i="1"/>
  <c r="G582" i="1"/>
  <c r="F582" i="1"/>
  <c r="E582" i="1"/>
  <c r="D582" i="1"/>
  <c r="B582" i="1"/>
  <c r="A582" i="1"/>
  <c r="J1100" i="1"/>
  <c r="I1100" i="1"/>
  <c r="H1100" i="1"/>
  <c r="G1100" i="1"/>
  <c r="F1100" i="1"/>
  <c r="E1100" i="1"/>
  <c r="D1100" i="1"/>
  <c r="B1100" i="1"/>
  <c r="A1100" i="1"/>
  <c r="L2442" i="1"/>
  <c r="K2442" i="1"/>
  <c r="J2442" i="1"/>
  <c r="I2442" i="1"/>
  <c r="H2442" i="1"/>
  <c r="G2442" i="1"/>
  <c r="F2442" i="1"/>
  <c r="E2442" i="1"/>
  <c r="D2442" i="1"/>
  <c r="B2442" i="1"/>
  <c r="A2442" i="1"/>
  <c r="L1253" i="1"/>
  <c r="K1253" i="1"/>
  <c r="J1253" i="1"/>
  <c r="I1253" i="1"/>
  <c r="H1253" i="1"/>
  <c r="G1253" i="1"/>
  <c r="F1253" i="1"/>
  <c r="E1253" i="1"/>
  <c r="D1253" i="1"/>
  <c r="B1253" i="1"/>
  <c r="A1253" i="1"/>
  <c r="L1322" i="1"/>
  <c r="K1322" i="1"/>
  <c r="J1322" i="1"/>
  <c r="I1322" i="1"/>
  <c r="H1322" i="1"/>
  <c r="G1322" i="1"/>
  <c r="F1322" i="1"/>
  <c r="E1322" i="1"/>
  <c r="D1322" i="1"/>
  <c r="B1322" i="1"/>
  <c r="A1322" i="1"/>
  <c r="L2074" i="1"/>
  <c r="K2074" i="1"/>
  <c r="J2074" i="1"/>
  <c r="I2074" i="1"/>
  <c r="H2074" i="1"/>
  <c r="G2074" i="1"/>
  <c r="F2074" i="1"/>
  <c r="E2074" i="1"/>
  <c r="D2074" i="1"/>
  <c r="B2074" i="1"/>
  <c r="A2074" i="1"/>
  <c r="L847" i="1"/>
  <c r="K847" i="1"/>
  <c r="J847" i="1"/>
  <c r="I847" i="1"/>
  <c r="H847" i="1"/>
  <c r="G847" i="1"/>
  <c r="F847" i="1"/>
  <c r="E847" i="1"/>
  <c r="D847" i="1"/>
  <c r="B847" i="1"/>
  <c r="A847" i="1"/>
  <c r="L798" i="1"/>
  <c r="K798" i="1"/>
  <c r="J798" i="1"/>
  <c r="I798" i="1"/>
  <c r="H798" i="1"/>
  <c r="G798" i="1"/>
  <c r="F798" i="1"/>
  <c r="E798" i="1"/>
  <c r="D798" i="1"/>
  <c r="B798" i="1"/>
  <c r="A798" i="1"/>
  <c r="L1343" i="1"/>
  <c r="J1343" i="1"/>
  <c r="I1343" i="1"/>
  <c r="H1343" i="1"/>
  <c r="G1343" i="1"/>
  <c r="F1343" i="1"/>
  <c r="E1343" i="1"/>
  <c r="D1343" i="1"/>
  <c r="B1343" i="1"/>
  <c r="A1343" i="1"/>
  <c r="L537" i="1"/>
  <c r="J537" i="1"/>
  <c r="I537" i="1"/>
  <c r="H537" i="1"/>
  <c r="G537" i="1"/>
  <c r="F537" i="1"/>
  <c r="E537" i="1"/>
  <c r="D537" i="1"/>
  <c r="B537" i="1"/>
  <c r="A537" i="1"/>
  <c r="L818" i="1"/>
  <c r="J818" i="1"/>
  <c r="I818" i="1"/>
  <c r="H818" i="1"/>
  <c r="G818" i="1"/>
  <c r="F818" i="1"/>
  <c r="E818" i="1"/>
  <c r="D818" i="1"/>
  <c r="B818" i="1"/>
  <c r="A818" i="1"/>
  <c r="L1117" i="1"/>
  <c r="J1117" i="1"/>
  <c r="I1117" i="1"/>
  <c r="H1117" i="1"/>
  <c r="G1117" i="1"/>
  <c r="F1117" i="1"/>
  <c r="E1117" i="1"/>
  <c r="D1117" i="1"/>
  <c r="B1117" i="1"/>
  <c r="A1117" i="1"/>
  <c r="L2000" i="1"/>
  <c r="J2000" i="1"/>
  <c r="I2000" i="1"/>
  <c r="H2000" i="1"/>
  <c r="G2000" i="1"/>
  <c r="F2000" i="1"/>
  <c r="E2000" i="1"/>
  <c r="D2000" i="1"/>
  <c r="B2000" i="1"/>
  <c r="A2000" i="1"/>
  <c r="L17" i="1"/>
  <c r="J17" i="1"/>
  <c r="I17" i="1"/>
  <c r="H17" i="1"/>
  <c r="G17" i="1"/>
  <c r="F17" i="1"/>
  <c r="E17" i="1"/>
  <c r="D17" i="1"/>
  <c r="B17" i="1"/>
  <c r="A17" i="1"/>
  <c r="L2652" i="1"/>
  <c r="J2652" i="1"/>
  <c r="I2652" i="1"/>
  <c r="H2652" i="1"/>
  <c r="G2652" i="1"/>
  <c r="F2652" i="1"/>
  <c r="E2652" i="1"/>
  <c r="D2652" i="1"/>
  <c r="B2652" i="1"/>
  <c r="A2652" i="1"/>
  <c r="L2912" i="1"/>
  <c r="J2912" i="1"/>
  <c r="I2912" i="1"/>
  <c r="H2912" i="1"/>
  <c r="G2912" i="1"/>
  <c r="F2912" i="1"/>
  <c r="E2912" i="1"/>
  <c r="D2912" i="1"/>
  <c r="B2912" i="1"/>
  <c r="A2912" i="1"/>
  <c r="L231" i="1"/>
  <c r="J231" i="1"/>
  <c r="I231" i="1"/>
  <c r="H231" i="1"/>
  <c r="G231" i="1"/>
  <c r="F231" i="1"/>
  <c r="E231" i="1"/>
  <c r="D231" i="1"/>
  <c r="B231" i="1"/>
  <c r="A231" i="1"/>
  <c r="L2651" i="1"/>
  <c r="J2651" i="1"/>
  <c r="I2651" i="1"/>
  <c r="H2651" i="1"/>
  <c r="G2651" i="1"/>
  <c r="F2651" i="1"/>
  <c r="E2651" i="1"/>
  <c r="D2651" i="1"/>
  <c r="B2651" i="1"/>
  <c r="A2651" i="1"/>
  <c r="L1574" i="1"/>
  <c r="K1574" i="1"/>
  <c r="J1574" i="1"/>
  <c r="I1574" i="1"/>
  <c r="H1574" i="1"/>
  <c r="G1574" i="1"/>
  <c r="F1574" i="1"/>
  <c r="E1574" i="1"/>
  <c r="D1574" i="1"/>
  <c r="B1574" i="1"/>
  <c r="A1574" i="1"/>
  <c r="L2650" i="1"/>
  <c r="J2650" i="1"/>
  <c r="I2650" i="1"/>
  <c r="H2650" i="1"/>
  <c r="G2650" i="1"/>
  <c r="F2650" i="1"/>
  <c r="E2650" i="1"/>
  <c r="D2650" i="1"/>
  <c r="B2650" i="1"/>
  <c r="A2650" i="1"/>
  <c r="L2911" i="1"/>
  <c r="J2911" i="1"/>
  <c r="I2911" i="1"/>
  <c r="H2911" i="1"/>
  <c r="G2911" i="1"/>
  <c r="F2911" i="1"/>
  <c r="E2911" i="1"/>
  <c r="D2911" i="1"/>
  <c r="B2911" i="1"/>
  <c r="A2911" i="1"/>
  <c r="L230" i="1"/>
  <c r="J230" i="1"/>
  <c r="I230" i="1"/>
  <c r="H230" i="1"/>
  <c r="G230" i="1"/>
  <c r="F230" i="1"/>
  <c r="E230" i="1"/>
  <c r="D230" i="1"/>
  <c r="B230" i="1"/>
  <c r="A230" i="1"/>
  <c r="L1573" i="1"/>
  <c r="K1573" i="1"/>
  <c r="J1573" i="1"/>
  <c r="I1573" i="1"/>
  <c r="H1573" i="1"/>
  <c r="G1573" i="1"/>
  <c r="F1573" i="1"/>
  <c r="E1573" i="1"/>
  <c r="D1573" i="1"/>
  <c r="B1573" i="1"/>
  <c r="A1573" i="1"/>
  <c r="L706" i="1"/>
  <c r="J706" i="1"/>
  <c r="I706" i="1"/>
  <c r="H706" i="1"/>
  <c r="G706" i="1"/>
  <c r="F706" i="1"/>
  <c r="E706" i="1"/>
  <c r="D706" i="1"/>
  <c r="B706" i="1"/>
  <c r="A706" i="1"/>
  <c r="L2202" i="1"/>
  <c r="J2202" i="1"/>
  <c r="I2202" i="1"/>
  <c r="H2202" i="1"/>
  <c r="G2202" i="1"/>
  <c r="F2202" i="1"/>
  <c r="E2202" i="1"/>
  <c r="D2202" i="1"/>
  <c r="B2202" i="1"/>
  <c r="A2202" i="1"/>
  <c r="L2910" i="1"/>
  <c r="J2910" i="1"/>
  <c r="I2910" i="1"/>
  <c r="H2910" i="1"/>
  <c r="G2910" i="1"/>
  <c r="F2910" i="1"/>
  <c r="E2910" i="1"/>
  <c r="D2910" i="1"/>
  <c r="B2910" i="1"/>
  <c r="A2910" i="1"/>
  <c r="L229" i="1"/>
  <c r="J229" i="1"/>
  <c r="I229" i="1"/>
  <c r="H229" i="1"/>
  <c r="G229" i="1"/>
  <c r="F229" i="1"/>
  <c r="E229" i="1"/>
  <c r="D229" i="1"/>
  <c r="B229" i="1"/>
  <c r="A229" i="1"/>
  <c r="L1572" i="1"/>
  <c r="K1572" i="1"/>
  <c r="J1572" i="1"/>
  <c r="I1572" i="1"/>
  <c r="H1572" i="1"/>
  <c r="G1572" i="1"/>
  <c r="F1572" i="1"/>
  <c r="E1572" i="1"/>
  <c r="D1572" i="1"/>
  <c r="B1572" i="1"/>
  <c r="A1572" i="1"/>
  <c r="L2909" i="1"/>
  <c r="J2909" i="1"/>
  <c r="I2909" i="1"/>
  <c r="H2909" i="1"/>
  <c r="G2909" i="1"/>
  <c r="F2909" i="1"/>
  <c r="E2909" i="1"/>
  <c r="D2909" i="1"/>
  <c r="B2909" i="1"/>
  <c r="A2909" i="1"/>
  <c r="L228" i="1"/>
  <c r="J228" i="1"/>
  <c r="I228" i="1"/>
  <c r="H228" i="1"/>
  <c r="G228" i="1"/>
  <c r="F228" i="1"/>
  <c r="E228" i="1"/>
  <c r="D228" i="1"/>
  <c r="B228" i="1"/>
  <c r="A228" i="1"/>
  <c r="L1571" i="1"/>
  <c r="K1571" i="1"/>
  <c r="J1571" i="1"/>
  <c r="I1571" i="1"/>
  <c r="H1571" i="1"/>
  <c r="G1571" i="1"/>
  <c r="F1571" i="1"/>
  <c r="E1571" i="1"/>
  <c r="D1571" i="1"/>
  <c r="B1571" i="1"/>
  <c r="A1571" i="1"/>
  <c r="L705" i="1"/>
  <c r="J705" i="1"/>
  <c r="I705" i="1"/>
  <c r="H705" i="1"/>
  <c r="G705" i="1"/>
  <c r="F705" i="1"/>
  <c r="E705" i="1"/>
  <c r="D705" i="1"/>
  <c r="B705" i="1"/>
  <c r="A705" i="1"/>
  <c r="L2201" i="1"/>
  <c r="J2201" i="1"/>
  <c r="I2201" i="1"/>
  <c r="H2201" i="1"/>
  <c r="G2201" i="1"/>
  <c r="F2201" i="1"/>
  <c r="E2201" i="1"/>
  <c r="D2201" i="1"/>
  <c r="B2201" i="1"/>
  <c r="A2201" i="1"/>
  <c r="L1570" i="1"/>
  <c r="K1570" i="1"/>
  <c r="J1570" i="1"/>
  <c r="I1570" i="1"/>
  <c r="H1570" i="1"/>
  <c r="G1570" i="1"/>
  <c r="F1570" i="1"/>
  <c r="E1570" i="1"/>
  <c r="D1570" i="1"/>
  <c r="B1570" i="1"/>
  <c r="A1570" i="1"/>
  <c r="L2908" i="1"/>
  <c r="J2908" i="1"/>
  <c r="I2908" i="1"/>
  <c r="H2908" i="1"/>
  <c r="G2908" i="1"/>
  <c r="F2908" i="1"/>
  <c r="E2908" i="1"/>
  <c r="D2908" i="1"/>
  <c r="B2908" i="1"/>
  <c r="A2908" i="1"/>
  <c r="L227" i="1"/>
  <c r="J227" i="1"/>
  <c r="I227" i="1"/>
  <c r="H227" i="1"/>
  <c r="G227" i="1"/>
  <c r="F227" i="1"/>
  <c r="E227" i="1"/>
  <c r="D227" i="1"/>
  <c r="B227" i="1"/>
  <c r="A227" i="1"/>
  <c r="L2907" i="1"/>
  <c r="J2907" i="1"/>
  <c r="I2907" i="1"/>
  <c r="H2907" i="1"/>
  <c r="G2907" i="1"/>
  <c r="F2907" i="1"/>
  <c r="E2907" i="1"/>
  <c r="D2907" i="1"/>
  <c r="B2907" i="1"/>
  <c r="A2907" i="1"/>
  <c r="L1569" i="1"/>
  <c r="K1569" i="1"/>
  <c r="J1569" i="1"/>
  <c r="I1569" i="1"/>
  <c r="H1569" i="1"/>
  <c r="G1569" i="1"/>
  <c r="F1569" i="1"/>
  <c r="E1569" i="1"/>
  <c r="D1569" i="1"/>
  <c r="B1569" i="1"/>
  <c r="A1569" i="1"/>
  <c r="L2649" i="1"/>
  <c r="J2649" i="1"/>
  <c r="I2649" i="1"/>
  <c r="H2649" i="1"/>
  <c r="G2649" i="1"/>
  <c r="F2649" i="1"/>
  <c r="E2649" i="1"/>
  <c r="D2649" i="1"/>
  <c r="B2649" i="1"/>
  <c r="A2649" i="1"/>
  <c r="L226" i="1"/>
  <c r="J226" i="1"/>
  <c r="I226" i="1"/>
  <c r="H226" i="1"/>
  <c r="G226" i="1"/>
  <c r="F226" i="1"/>
  <c r="E226" i="1"/>
  <c r="D226" i="1"/>
  <c r="B226" i="1"/>
  <c r="A226" i="1"/>
  <c r="L2648" i="1"/>
  <c r="J2648" i="1"/>
  <c r="I2648" i="1"/>
  <c r="H2648" i="1"/>
  <c r="G2648" i="1"/>
  <c r="F2648" i="1"/>
  <c r="E2648" i="1"/>
  <c r="D2648" i="1"/>
  <c r="B2648" i="1"/>
  <c r="A2648" i="1"/>
  <c r="L1568" i="1"/>
  <c r="K1568" i="1"/>
  <c r="J1568" i="1"/>
  <c r="I1568" i="1"/>
  <c r="H1568" i="1"/>
  <c r="G1568" i="1"/>
  <c r="F1568" i="1"/>
  <c r="E1568" i="1"/>
  <c r="D1568" i="1"/>
  <c r="B1568" i="1"/>
  <c r="A1568" i="1"/>
  <c r="L2647" i="1"/>
  <c r="J2647" i="1"/>
  <c r="I2647" i="1"/>
  <c r="H2647" i="1"/>
  <c r="G2647" i="1"/>
  <c r="F2647" i="1"/>
  <c r="E2647" i="1"/>
  <c r="D2647" i="1"/>
  <c r="B2647" i="1"/>
  <c r="A2647" i="1"/>
  <c r="L2906" i="1"/>
  <c r="J2906" i="1"/>
  <c r="I2906" i="1"/>
  <c r="H2906" i="1"/>
  <c r="G2906" i="1"/>
  <c r="F2906" i="1"/>
  <c r="E2906" i="1"/>
  <c r="D2906" i="1"/>
  <c r="B2906" i="1"/>
  <c r="A2906" i="1"/>
  <c r="L225" i="1"/>
  <c r="J225" i="1"/>
  <c r="I225" i="1"/>
  <c r="H225" i="1"/>
  <c r="G225" i="1"/>
  <c r="F225" i="1"/>
  <c r="E225" i="1"/>
  <c r="D225" i="1"/>
  <c r="B225" i="1"/>
  <c r="A225" i="1"/>
  <c r="J1567" i="1"/>
  <c r="I1567" i="1"/>
  <c r="H1567" i="1"/>
  <c r="G1567" i="1"/>
  <c r="F1567" i="1"/>
  <c r="E1567" i="1"/>
  <c r="D1567" i="1"/>
  <c r="B1567" i="1"/>
  <c r="A1567" i="1"/>
  <c r="L2905" i="1"/>
  <c r="J2905" i="1"/>
  <c r="I2905" i="1"/>
  <c r="H2905" i="1"/>
  <c r="G2905" i="1"/>
  <c r="F2905" i="1"/>
  <c r="E2905" i="1"/>
  <c r="D2905" i="1"/>
  <c r="B2905" i="1"/>
  <c r="A2905" i="1"/>
  <c r="L224" i="1"/>
  <c r="J224" i="1"/>
  <c r="I224" i="1"/>
  <c r="H224" i="1"/>
  <c r="G224" i="1"/>
  <c r="F224" i="1"/>
  <c r="E224" i="1"/>
  <c r="D224" i="1"/>
  <c r="B224" i="1"/>
  <c r="A224" i="1"/>
  <c r="L2904" i="1"/>
  <c r="J2904" i="1"/>
  <c r="I2904" i="1"/>
  <c r="H2904" i="1"/>
  <c r="G2904" i="1"/>
  <c r="F2904" i="1"/>
  <c r="E2904" i="1"/>
  <c r="D2904" i="1"/>
  <c r="B2904" i="1"/>
  <c r="A2904" i="1"/>
  <c r="J1566" i="1"/>
  <c r="I1566" i="1"/>
  <c r="H1566" i="1"/>
  <c r="G1566" i="1"/>
  <c r="F1566" i="1"/>
  <c r="E1566" i="1"/>
  <c r="D1566" i="1"/>
  <c r="B1566" i="1"/>
  <c r="A1566" i="1"/>
  <c r="L2646" i="1"/>
  <c r="J2646" i="1"/>
  <c r="I2646" i="1"/>
  <c r="H2646" i="1"/>
  <c r="G2646" i="1"/>
  <c r="F2646" i="1"/>
  <c r="E2646" i="1"/>
  <c r="D2646" i="1"/>
  <c r="B2646" i="1"/>
  <c r="A2646" i="1"/>
  <c r="J1565" i="1"/>
  <c r="I1565" i="1"/>
  <c r="H1565" i="1"/>
  <c r="G1565" i="1"/>
  <c r="F1565" i="1"/>
  <c r="E1565" i="1"/>
  <c r="D1565" i="1"/>
  <c r="B1565" i="1"/>
  <c r="A1565" i="1"/>
  <c r="L223" i="1"/>
  <c r="J223" i="1"/>
  <c r="I223" i="1"/>
  <c r="H223" i="1"/>
  <c r="G223" i="1"/>
  <c r="F223" i="1"/>
  <c r="E223" i="1"/>
  <c r="D223" i="1"/>
  <c r="B223" i="1"/>
  <c r="A223" i="1"/>
  <c r="L2645" i="1"/>
  <c r="J2645" i="1"/>
  <c r="I2645" i="1"/>
  <c r="H2645" i="1"/>
  <c r="G2645" i="1"/>
  <c r="F2645" i="1"/>
  <c r="E2645" i="1"/>
  <c r="D2645" i="1"/>
  <c r="B2645" i="1"/>
  <c r="A2645" i="1"/>
  <c r="J1564" i="1"/>
  <c r="I1564" i="1"/>
  <c r="H1564" i="1"/>
  <c r="G1564" i="1"/>
  <c r="F1564" i="1"/>
  <c r="E1564" i="1"/>
  <c r="D1564" i="1"/>
  <c r="B1564" i="1"/>
  <c r="A1564" i="1"/>
  <c r="L2644" i="1"/>
  <c r="J2644" i="1"/>
  <c r="I2644" i="1"/>
  <c r="H2644" i="1"/>
  <c r="G2644" i="1"/>
  <c r="F2644" i="1"/>
  <c r="E2644" i="1"/>
  <c r="D2644" i="1"/>
  <c r="B2644" i="1"/>
  <c r="A2644" i="1"/>
  <c r="L704" i="1"/>
  <c r="J704" i="1"/>
  <c r="I704" i="1"/>
  <c r="H704" i="1"/>
  <c r="G704" i="1"/>
  <c r="F704" i="1"/>
  <c r="E704" i="1"/>
  <c r="D704" i="1"/>
  <c r="B704" i="1"/>
  <c r="A704" i="1"/>
  <c r="L2200" i="1"/>
  <c r="J2200" i="1"/>
  <c r="I2200" i="1"/>
  <c r="H2200" i="1"/>
  <c r="G2200" i="1"/>
  <c r="F2200" i="1"/>
  <c r="E2200" i="1"/>
  <c r="D2200" i="1"/>
  <c r="B2200" i="1"/>
  <c r="A2200" i="1"/>
  <c r="J1563" i="1"/>
  <c r="I1563" i="1"/>
  <c r="H1563" i="1"/>
  <c r="G1563" i="1"/>
  <c r="F1563" i="1"/>
  <c r="E1563" i="1"/>
  <c r="D1563" i="1"/>
  <c r="B1563" i="1"/>
  <c r="A1563" i="1"/>
  <c r="L2643" i="1"/>
  <c r="J2643" i="1"/>
  <c r="I2643" i="1"/>
  <c r="H2643" i="1"/>
  <c r="G2643" i="1"/>
  <c r="F2643" i="1"/>
  <c r="E2643" i="1"/>
  <c r="D2643" i="1"/>
  <c r="B2643" i="1"/>
  <c r="A2643" i="1"/>
  <c r="J1562" i="1"/>
  <c r="I1562" i="1"/>
  <c r="H1562" i="1"/>
  <c r="G1562" i="1"/>
  <c r="F1562" i="1"/>
  <c r="E1562" i="1"/>
  <c r="D1562" i="1"/>
  <c r="B1562" i="1"/>
  <c r="A1562" i="1"/>
  <c r="L2642" i="1"/>
  <c r="J2642" i="1"/>
  <c r="I2642" i="1"/>
  <c r="H2642" i="1"/>
  <c r="G2642" i="1"/>
  <c r="F2642" i="1"/>
  <c r="E2642" i="1"/>
  <c r="D2642" i="1"/>
  <c r="B2642" i="1"/>
  <c r="A2642" i="1"/>
  <c r="J1561" i="1"/>
  <c r="I1561" i="1"/>
  <c r="H1561" i="1"/>
  <c r="G1561" i="1"/>
  <c r="F1561" i="1"/>
  <c r="E1561" i="1"/>
  <c r="D1561" i="1"/>
  <c r="B1561" i="1"/>
  <c r="A1561" i="1"/>
  <c r="J1560" i="1"/>
  <c r="I1560" i="1"/>
  <c r="H1560" i="1"/>
  <c r="G1560" i="1"/>
  <c r="F1560" i="1"/>
  <c r="E1560" i="1"/>
  <c r="D1560" i="1"/>
  <c r="B1560" i="1"/>
  <c r="A1560" i="1"/>
  <c r="L1559" i="1"/>
  <c r="J1559" i="1"/>
  <c r="I1559" i="1"/>
  <c r="H1559" i="1"/>
  <c r="G1559" i="1"/>
  <c r="F1559" i="1"/>
  <c r="E1559" i="1"/>
  <c r="D1559" i="1"/>
  <c r="B1559" i="1"/>
  <c r="A1559" i="1"/>
  <c r="L703" i="1"/>
  <c r="J703" i="1"/>
  <c r="I703" i="1"/>
  <c r="H703" i="1"/>
  <c r="G703" i="1"/>
  <c r="F703" i="1"/>
  <c r="E703" i="1"/>
  <c r="D703" i="1"/>
  <c r="B703" i="1"/>
  <c r="A703" i="1"/>
  <c r="L2199" i="1"/>
  <c r="J2199" i="1"/>
  <c r="I2199" i="1"/>
  <c r="H2199" i="1"/>
  <c r="G2199" i="1"/>
  <c r="F2199" i="1"/>
  <c r="E2199" i="1"/>
  <c r="D2199" i="1"/>
  <c r="B2199" i="1"/>
  <c r="A2199" i="1"/>
  <c r="L1558" i="1"/>
  <c r="J1558" i="1"/>
  <c r="I1558" i="1"/>
  <c r="H1558" i="1"/>
  <c r="G1558" i="1"/>
  <c r="F1558" i="1"/>
  <c r="E1558" i="1"/>
  <c r="D1558" i="1"/>
  <c r="B1558" i="1"/>
  <c r="A1558" i="1"/>
  <c r="L2641" i="1"/>
  <c r="J2641" i="1"/>
  <c r="I2641" i="1"/>
  <c r="H2641" i="1"/>
  <c r="G2641" i="1"/>
  <c r="F2641" i="1"/>
  <c r="E2641" i="1"/>
  <c r="D2641" i="1"/>
  <c r="B2641" i="1"/>
  <c r="A2641" i="1"/>
  <c r="L1557" i="1"/>
  <c r="K1557" i="1"/>
  <c r="J1557" i="1"/>
  <c r="I1557" i="1"/>
  <c r="H1557" i="1"/>
  <c r="G1557" i="1"/>
  <c r="F1557" i="1"/>
  <c r="E1557" i="1"/>
  <c r="D1557" i="1"/>
  <c r="B1557" i="1"/>
  <c r="A1557" i="1"/>
  <c r="L2640" i="1"/>
  <c r="J2640" i="1"/>
  <c r="I2640" i="1"/>
  <c r="H2640" i="1"/>
  <c r="G2640" i="1"/>
  <c r="F2640" i="1"/>
  <c r="E2640" i="1"/>
  <c r="D2640" i="1"/>
  <c r="B2640" i="1"/>
  <c r="A2640" i="1"/>
  <c r="L1556" i="1"/>
  <c r="J1556" i="1"/>
  <c r="I1556" i="1"/>
  <c r="H1556" i="1"/>
  <c r="G1556" i="1"/>
  <c r="F1556" i="1"/>
  <c r="E1556" i="1"/>
  <c r="D1556" i="1"/>
  <c r="B1556" i="1"/>
  <c r="A1556" i="1"/>
  <c r="L2903" i="1"/>
  <c r="J2903" i="1"/>
  <c r="I2903" i="1"/>
  <c r="H2903" i="1"/>
  <c r="G2903" i="1"/>
  <c r="F2903" i="1"/>
  <c r="E2903" i="1"/>
  <c r="D2903" i="1"/>
  <c r="B2903" i="1"/>
  <c r="A2903" i="1"/>
  <c r="L222" i="1"/>
  <c r="J222" i="1"/>
  <c r="I222" i="1"/>
  <c r="H222" i="1"/>
  <c r="G222" i="1"/>
  <c r="F222" i="1"/>
  <c r="E222" i="1"/>
  <c r="D222" i="1"/>
  <c r="B222" i="1"/>
  <c r="A222" i="1"/>
  <c r="L1555" i="1"/>
  <c r="J1555" i="1"/>
  <c r="I1555" i="1"/>
  <c r="H1555" i="1"/>
  <c r="G1555" i="1"/>
  <c r="F1555" i="1"/>
  <c r="E1555" i="1"/>
  <c r="D1555" i="1"/>
  <c r="B1555" i="1"/>
  <c r="A1555" i="1"/>
  <c r="L2902" i="1"/>
  <c r="J2902" i="1"/>
  <c r="I2902" i="1"/>
  <c r="H2902" i="1"/>
  <c r="G2902" i="1"/>
  <c r="F2902" i="1"/>
  <c r="E2902" i="1"/>
  <c r="D2902" i="1"/>
  <c r="B2902" i="1"/>
  <c r="A2902" i="1"/>
  <c r="L221" i="1"/>
  <c r="J221" i="1"/>
  <c r="I221" i="1"/>
  <c r="H221" i="1"/>
  <c r="G221" i="1"/>
  <c r="F221" i="1"/>
  <c r="E221" i="1"/>
  <c r="D221" i="1"/>
  <c r="B221" i="1"/>
  <c r="A221" i="1"/>
  <c r="L2901" i="1"/>
  <c r="J2901" i="1"/>
  <c r="I2901" i="1"/>
  <c r="H2901" i="1"/>
  <c r="G2901" i="1"/>
  <c r="F2901" i="1"/>
  <c r="E2901" i="1"/>
  <c r="D2901" i="1"/>
  <c r="B2901" i="1"/>
  <c r="A2901" i="1"/>
  <c r="L1554" i="1"/>
  <c r="J1554" i="1"/>
  <c r="I1554" i="1"/>
  <c r="H1554" i="1"/>
  <c r="G1554" i="1"/>
  <c r="F1554" i="1"/>
  <c r="E1554" i="1"/>
  <c r="D1554" i="1"/>
  <c r="B1554" i="1"/>
  <c r="A1554" i="1"/>
  <c r="L2639" i="1"/>
  <c r="J2639" i="1"/>
  <c r="I2639" i="1"/>
  <c r="H2639" i="1"/>
  <c r="G2639" i="1"/>
  <c r="F2639" i="1"/>
  <c r="E2639" i="1"/>
  <c r="D2639" i="1"/>
  <c r="B2639" i="1"/>
  <c r="A2639" i="1"/>
  <c r="L702" i="1"/>
  <c r="J702" i="1"/>
  <c r="I702" i="1"/>
  <c r="H702" i="1"/>
  <c r="G702" i="1"/>
  <c r="F702" i="1"/>
  <c r="E702" i="1"/>
  <c r="D702" i="1"/>
  <c r="B702" i="1"/>
  <c r="A702" i="1"/>
  <c r="L2198" i="1"/>
  <c r="J2198" i="1"/>
  <c r="I2198" i="1"/>
  <c r="H2198" i="1"/>
  <c r="G2198" i="1"/>
  <c r="F2198" i="1"/>
  <c r="E2198" i="1"/>
  <c r="D2198" i="1"/>
  <c r="B2198" i="1"/>
  <c r="A2198" i="1"/>
  <c r="L220" i="1"/>
  <c r="J220" i="1"/>
  <c r="I220" i="1"/>
  <c r="H220" i="1"/>
  <c r="G220" i="1"/>
  <c r="F220" i="1"/>
  <c r="E220" i="1"/>
  <c r="D220" i="1"/>
  <c r="B220" i="1"/>
  <c r="A220" i="1"/>
  <c r="L2900" i="1"/>
  <c r="J2900" i="1"/>
  <c r="I2900" i="1"/>
  <c r="H2900" i="1"/>
  <c r="G2900" i="1"/>
  <c r="F2900" i="1"/>
  <c r="E2900" i="1"/>
  <c r="D2900" i="1"/>
  <c r="B2900" i="1"/>
  <c r="A2900" i="1"/>
  <c r="L2638" i="1"/>
  <c r="J2638" i="1"/>
  <c r="I2638" i="1"/>
  <c r="H2638" i="1"/>
  <c r="G2638" i="1"/>
  <c r="F2638" i="1"/>
  <c r="E2638" i="1"/>
  <c r="D2638" i="1"/>
  <c r="B2638" i="1"/>
  <c r="A2638" i="1"/>
  <c r="L219" i="1"/>
  <c r="J219" i="1"/>
  <c r="I219" i="1"/>
  <c r="H219" i="1"/>
  <c r="G219" i="1"/>
  <c r="F219" i="1"/>
  <c r="E219" i="1"/>
  <c r="D219" i="1"/>
  <c r="B219" i="1"/>
  <c r="A219" i="1"/>
  <c r="L2899" i="1"/>
  <c r="J2899" i="1"/>
  <c r="I2899" i="1"/>
  <c r="H2899" i="1"/>
  <c r="G2899" i="1"/>
  <c r="F2899" i="1"/>
  <c r="E2899" i="1"/>
  <c r="D2899" i="1"/>
  <c r="B2899" i="1"/>
  <c r="A2899" i="1"/>
  <c r="L218" i="1"/>
  <c r="J218" i="1"/>
  <c r="I218" i="1"/>
  <c r="H218" i="1"/>
  <c r="G218" i="1"/>
  <c r="F218" i="1"/>
  <c r="E218" i="1"/>
  <c r="D218" i="1"/>
  <c r="B218" i="1"/>
  <c r="A218" i="1"/>
  <c r="L2898" i="1"/>
  <c r="J2898" i="1"/>
  <c r="I2898" i="1"/>
  <c r="H2898" i="1"/>
  <c r="G2898" i="1"/>
  <c r="F2898" i="1"/>
  <c r="E2898" i="1"/>
  <c r="D2898" i="1"/>
  <c r="B2898" i="1"/>
  <c r="A2898" i="1"/>
  <c r="L217" i="1"/>
  <c r="J217" i="1"/>
  <c r="I217" i="1"/>
  <c r="H217" i="1"/>
  <c r="G217" i="1"/>
  <c r="F217" i="1"/>
  <c r="E217" i="1"/>
  <c r="D217" i="1"/>
  <c r="B217" i="1"/>
  <c r="A217" i="1"/>
  <c r="L1553" i="1"/>
  <c r="J1553" i="1"/>
  <c r="I1553" i="1"/>
  <c r="H1553" i="1"/>
  <c r="G1553" i="1"/>
  <c r="F1553" i="1"/>
  <c r="E1553" i="1"/>
  <c r="D1553" i="1"/>
  <c r="B1553" i="1"/>
  <c r="A1553" i="1"/>
  <c r="J1552" i="1"/>
  <c r="I1552" i="1"/>
  <c r="H1552" i="1"/>
  <c r="G1552" i="1"/>
  <c r="F1552" i="1"/>
  <c r="E1552" i="1"/>
  <c r="D1552" i="1"/>
  <c r="B1552" i="1"/>
  <c r="A1552" i="1"/>
  <c r="L2897" i="1"/>
  <c r="J2897" i="1"/>
  <c r="I2897" i="1"/>
  <c r="H2897" i="1"/>
  <c r="G2897" i="1"/>
  <c r="F2897" i="1"/>
  <c r="E2897" i="1"/>
  <c r="D2897" i="1"/>
  <c r="B2897" i="1"/>
  <c r="A2897" i="1"/>
  <c r="L216" i="1"/>
  <c r="J216" i="1"/>
  <c r="I216" i="1"/>
  <c r="H216" i="1"/>
  <c r="G216" i="1"/>
  <c r="F216" i="1"/>
  <c r="E216" i="1"/>
  <c r="D216" i="1"/>
  <c r="B216" i="1"/>
  <c r="A216" i="1"/>
  <c r="J1551" i="1"/>
  <c r="I1551" i="1"/>
  <c r="H1551" i="1"/>
  <c r="G1551" i="1"/>
  <c r="F1551" i="1"/>
  <c r="E1551" i="1"/>
  <c r="D1551" i="1"/>
  <c r="B1551" i="1"/>
  <c r="A1551" i="1"/>
  <c r="L2896" i="1"/>
  <c r="J2896" i="1"/>
  <c r="I2896" i="1"/>
  <c r="H2896" i="1"/>
  <c r="G2896" i="1"/>
  <c r="F2896" i="1"/>
  <c r="E2896" i="1"/>
  <c r="D2896" i="1"/>
  <c r="B2896" i="1"/>
  <c r="A2896" i="1"/>
  <c r="L215" i="1"/>
  <c r="J215" i="1"/>
  <c r="I215" i="1"/>
  <c r="H215" i="1"/>
  <c r="G215" i="1"/>
  <c r="F215" i="1"/>
  <c r="E215" i="1"/>
  <c r="D215" i="1"/>
  <c r="B215" i="1"/>
  <c r="A215" i="1"/>
  <c r="J1550" i="1"/>
  <c r="I1550" i="1"/>
  <c r="H1550" i="1"/>
  <c r="G1550" i="1"/>
  <c r="F1550" i="1"/>
  <c r="E1550" i="1"/>
  <c r="D1550" i="1"/>
  <c r="B1550" i="1"/>
  <c r="A1550" i="1"/>
  <c r="L2637" i="1"/>
  <c r="J2637" i="1"/>
  <c r="I2637" i="1"/>
  <c r="H2637" i="1"/>
  <c r="G2637" i="1"/>
  <c r="F2637" i="1"/>
  <c r="E2637" i="1"/>
  <c r="D2637" i="1"/>
  <c r="B2637" i="1"/>
  <c r="A2637" i="1"/>
  <c r="L2895" i="1"/>
  <c r="J2895" i="1"/>
  <c r="I2895" i="1"/>
  <c r="H2895" i="1"/>
  <c r="G2895" i="1"/>
  <c r="F2895" i="1"/>
  <c r="E2895" i="1"/>
  <c r="D2895" i="1"/>
  <c r="B2895" i="1"/>
  <c r="A2895" i="1"/>
  <c r="L214" i="1"/>
  <c r="J214" i="1"/>
  <c r="I214" i="1"/>
  <c r="H214" i="1"/>
  <c r="G214" i="1"/>
  <c r="F214" i="1"/>
  <c r="E214" i="1"/>
  <c r="D214" i="1"/>
  <c r="B214" i="1"/>
  <c r="A214" i="1"/>
  <c r="J1549" i="1"/>
  <c r="I1549" i="1"/>
  <c r="H1549" i="1"/>
  <c r="G1549" i="1"/>
  <c r="F1549" i="1"/>
  <c r="E1549" i="1"/>
  <c r="D1549" i="1"/>
  <c r="B1549" i="1"/>
  <c r="A1549" i="1"/>
  <c r="J1548" i="1"/>
  <c r="I1548" i="1"/>
  <c r="H1548" i="1"/>
  <c r="G1548" i="1"/>
  <c r="F1548" i="1"/>
  <c r="E1548" i="1"/>
  <c r="D1548" i="1"/>
  <c r="B1548" i="1"/>
  <c r="A1548" i="1"/>
  <c r="L2894" i="1"/>
  <c r="J2894" i="1"/>
  <c r="I2894" i="1"/>
  <c r="H2894" i="1"/>
  <c r="G2894" i="1"/>
  <c r="F2894" i="1"/>
  <c r="E2894" i="1"/>
  <c r="D2894" i="1"/>
  <c r="B2894" i="1"/>
  <c r="A2894" i="1"/>
  <c r="L213" i="1"/>
  <c r="J213" i="1"/>
  <c r="I213" i="1"/>
  <c r="H213" i="1"/>
  <c r="G213" i="1"/>
  <c r="F213" i="1"/>
  <c r="E213" i="1"/>
  <c r="D213" i="1"/>
  <c r="B213" i="1"/>
  <c r="A213" i="1"/>
  <c r="L701" i="1"/>
  <c r="J701" i="1"/>
  <c r="I701" i="1"/>
  <c r="H701" i="1"/>
  <c r="G701" i="1"/>
  <c r="F701" i="1"/>
  <c r="E701" i="1"/>
  <c r="D701" i="1"/>
  <c r="B701" i="1"/>
  <c r="A701" i="1"/>
  <c r="L2197" i="1"/>
  <c r="J2197" i="1"/>
  <c r="I2197" i="1"/>
  <c r="H2197" i="1"/>
  <c r="G2197" i="1"/>
  <c r="F2197" i="1"/>
  <c r="E2197" i="1"/>
  <c r="D2197" i="1"/>
  <c r="B2197" i="1"/>
  <c r="A2197" i="1"/>
  <c r="J1547" i="1"/>
  <c r="I1547" i="1"/>
  <c r="H1547" i="1"/>
  <c r="G1547" i="1"/>
  <c r="F1547" i="1"/>
  <c r="E1547" i="1"/>
  <c r="D1547" i="1"/>
  <c r="B1547" i="1"/>
  <c r="A1547" i="1"/>
  <c r="J1546" i="1"/>
  <c r="I1546" i="1"/>
  <c r="H1546" i="1"/>
  <c r="G1546" i="1"/>
  <c r="F1546" i="1"/>
  <c r="E1546" i="1"/>
  <c r="D1546" i="1"/>
  <c r="B1546" i="1"/>
  <c r="A1546" i="1"/>
  <c r="J1545" i="1"/>
  <c r="I1545" i="1"/>
  <c r="H1545" i="1"/>
  <c r="G1545" i="1"/>
  <c r="F1545" i="1"/>
  <c r="E1545" i="1"/>
  <c r="D1545" i="1"/>
  <c r="B1545" i="1"/>
  <c r="A1545" i="1"/>
  <c r="L2893" i="1"/>
  <c r="J2893" i="1"/>
  <c r="I2893" i="1"/>
  <c r="H2893" i="1"/>
  <c r="G2893" i="1"/>
  <c r="F2893" i="1"/>
  <c r="E2893" i="1"/>
  <c r="D2893" i="1"/>
  <c r="B2893" i="1"/>
  <c r="A2893" i="1"/>
  <c r="L212" i="1"/>
  <c r="J212" i="1"/>
  <c r="I212" i="1"/>
  <c r="H212" i="1"/>
  <c r="G212" i="1"/>
  <c r="F212" i="1"/>
  <c r="E212" i="1"/>
  <c r="D212" i="1"/>
  <c r="B212" i="1"/>
  <c r="A212" i="1"/>
  <c r="L700" i="1"/>
  <c r="J700" i="1"/>
  <c r="I700" i="1"/>
  <c r="H700" i="1"/>
  <c r="G700" i="1"/>
  <c r="F700" i="1"/>
  <c r="E700" i="1"/>
  <c r="D700" i="1"/>
  <c r="B700" i="1"/>
  <c r="A700" i="1"/>
  <c r="L2196" i="1"/>
  <c r="J2196" i="1"/>
  <c r="I2196" i="1"/>
  <c r="H2196" i="1"/>
  <c r="G2196" i="1"/>
  <c r="F2196" i="1"/>
  <c r="E2196" i="1"/>
  <c r="D2196" i="1"/>
  <c r="B2196" i="1"/>
  <c r="A2196" i="1"/>
  <c r="L2892" i="1"/>
  <c r="J2892" i="1"/>
  <c r="I2892" i="1"/>
  <c r="H2892" i="1"/>
  <c r="G2892" i="1"/>
  <c r="F2892" i="1"/>
  <c r="E2892" i="1"/>
  <c r="D2892" i="1"/>
  <c r="B2892" i="1"/>
  <c r="A2892" i="1"/>
  <c r="J1544" i="1"/>
  <c r="I1544" i="1"/>
  <c r="H1544" i="1"/>
  <c r="G1544" i="1"/>
  <c r="F1544" i="1"/>
  <c r="E1544" i="1"/>
  <c r="D1544" i="1"/>
  <c r="B1544" i="1"/>
  <c r="A1544" i="1"/>
  <c r="J1543" i="1"/>
  <c r="I1543" i="1"/>
  <c r="H1543" i="1"/>
  <c r="G1543" i="1"/>
  <c r="F1543" i="1"/>
  <c r="E1543" i="1"/>
  <c r="D1543" i="1"/>
  <c r="B1543" i="1"/>
  <c r="A1543" i="1"/>
  <c r="L211" i="1"/>
  <c r="J211" i="1"/>
  <c r="I211" i="1"/>
  <c r="H211" i="1"/>
  <c r="G211" i="1"/>
  <c r="F211" i="1"/>
  <c r="E211" i="1"/>
  <c r="D211" i="1"/>
  <c r="B211" i="1"/>
  <c r="A211" i="1"/>
  <c r="L2636" i="1"/>
  <c r="J2636" i="1"/>
  <c r="I2636" i="1"/>
  <c r="H2636" i="1"/>
  <c r="G2636" i="1"/>
  <c r="F2636" i="1"/>
  <c r="E2636" i="1"/>
  <c r="D2636" i="1"/>
  <c r="B2636" i="1"/>
  <c r="A2636" i="1"/>
  <c r="L699" i="1"/>
  <c r="J699" i="1"/>
  <c r="I699" i="1"/>
  <c r="H699" i="1"/>
  <c r="G699" i="1"/>
  <c r="F699" i="1"/>
  <c r="E699" i="1"/>
  <c r="D699" i="1"/>
  <c r="B699" i="1"/>
  <c r="A699" i="1"/>
  <c r="L2195" i="1"/>
  <c r="J2195" i="1"/>
  <c r="I2195" i="1"/>
  <c r="H2195" i="1"/>
  <c r="G2195" i="1"/>
  <c r="F2195" i="1"/>
  <c r="E2195" i="1"/>
  <c r="D2195" i="1"/>
  <c r="B2195" i="1"/>
  <c r="A2195" i="1"/>
  <c r="J1542" i="1"/>
  <c r="I1542" i="1"/>
  <c r="H1542" i="1"/>
  <c r="G1542" i="1"/>
  <c r="F1542" i="1"/>
  <c r="E1542" i="1"/>
  <c r="D1542" i="1"/>
  <c r="B1542" i="1"/>
  <c r="A1542" i="1"/>
  <c r="J1541" i="1"/>
  <c r="I1541" i="1"/>
  <c r="H1541" i="1"/>
  <c r="G1541" i="1"/>
  <c r="F1541" i="1"/>
  <c r="E1541" i="1"/>
  <c r="D1541" i="1"/>
  <c r="B1541" i="1"/>
  <c r="A1541" i="1"/>
  <c r="L2891" i="1"/>
  <c r="J2891" i="1"/>
  <c r="I2891" i="1"/>
  <c r="H2891" i="1"/>
  <c r="G2891" i="1"/>
  <c r="F2891" i="1"/>
  <c r="E2891" i="1"/>
  <c r="D2891" i="1"/>
  <c r="B2891" i="1"/>
  <c r="A2891" i="1"/>
  <c r="L210" i="1"/>
  <c r="J210" i="1"/>
  <c r="I210" i="1"/>
  <c r="H210" i="1"/>
  <c r="G210" i="1"/>
  <c r="F210" i="1"/>
  <c r="E210" i="1"/>
  <c r="D210" i="1"/>
  <c r="B210" i="1"/>
  <c r="A210" i="1"/>
  <c r="L2890" i="1"/>
  <c r="J2890" i="1"/>
  <c r="I2890" i="1"/>
  <c r="H2890" i="1"/>
  <c r="G2890" i="1"/>
  <c r="F2890" i="1"/>
  <c r="E2890" i="1"/>
  <c r="D2890" i="1"/>
  <c r="B2890" i="1"/>
  <c r="A2890" i="1"/>
  <c r="L209" i="1"/>
  <c r="J209" i="1"/>
  <c r="I209" i="1"/>
  <c r="H209" i="1"/>
  <c r="G209" i="1"/>
  <c r="F209" i="1"/>
  <c r="E209" i="1"/>
  <c r="D209" i="1"/>
  <c r="B209" i="1"/>
  <c r="A209" i="1"/>
  <c r="J1540" i="1"/>
  <c r="I1540" i="1"/>
  <c r="H1540" i="1"/>
  <c r="G1540" i="1"/>
  <c r="F1540" i="1"/>
  <c r="E1540" i="1"/>
  <c r="D1540" i="1"/>
  <c r="B1540" i="1"/>
  <c r="A1540" i="1"/>
  <c r="L698" i="1"/>
  <c r="J698" i="1"/>
  <c r="I698" i="1"/>
  <c r="H698" i="1"/>
  <c r="G698" i="1"/>
  <c r="F698" i="1"/>
  <c r="E698" i="1"/>
  <c r="D698" i="1"/>
  <c r="B698" i="1"/>
  <c r="A698" i="1"/>
  <c r="L2194" i="1"/>
  <c r="J2194" i="1"/>
  <c r="I2194" i="1"/>
  <c r="H2194" i="1"/>
  <c r="G2194" i="1"/>
  <c r="F2194" i="1"/>
  <c r="E2194" i="1"/>
  <c r="D2194" i="1"/>
  <c r="B2194" i="1"/>
  <c r="A2194" i="1"/>
  <c r="J1539" i="1"/>
  <c r="I1539" i="1"/>
  <c r="H1539" i="1"/>
  <c r="G1539" i="1"/>
  <c r="F1539" i="1"/>
  <c r="E1539" i="1"/>
  <c r="D1539" i="1"/>
  <c r="B1539" i="1"/>
  <c r="A1539" i="1"/>
  <c r="J1538" i="1"/>
  <c r="I1538" i="1"/>
  <c r="H1538" i="1"/>
  <c r="G1538" i="1"/>
  <c r="F1538" i="1"/>
  <c r="E1538" i="1"/>
  <c r="D1538" i="1"/>
  <c r="B1538" i="1"/>
  <c r="A1538" i="1"/>
  <c r="L697" i="1"/>
  <c r="J697" i="1"/>
  <c r="I697" i="1"/>
  <c r="H697" i="1"/>
  <c r="G697" i="1"/>
  <c r="F697" i="1"/>
  <c r="E697" i="1"/>
  <c r="D697" i="1"/>
  <c r="B697" i="1"/>
  <c r="A697" i="1"/>
  <c r="L2193" i="1"/>
  <c r="J2193" i="1"/>
  <c r="I2193" i="1"/>
  <c r="H2193" i="1"/>
  <c r="G2193" i="1"/>
  <c r="F2193" i="1"/>
  <c r="E2193" i="1"/>
  <c r="D2193" i="1"/>
  <c r="B2193" i="1"/>
  <c r="A2193" i="1"/>
  <c r="L2889" i="1"/>
  <c r="J2889" i="1"/>
  <c r="I2889" i="1"/>
  <c r="H2889" i="1"/>
  <c r="G2889" i="1"/>
  <c r="F2889" i="1"/>
  <c r="E2889" i="1"/>
  <c r="D2889" i="1"/>
  <c r="B2889" i="1"/>
  <c r="A2889" i="1"/>
  <c r="L208" i="1"/>
  <c r="J208" i="1"/>
  <c r="I208" i="1"/>
  <c r="H208" i="1"/>
  <c r="G208" i="1"/>
  <c r="F208" i="1"/>
  <c r="E208" i="1"/>
  <c r="D208" i="1"/>
  <c r="B208" i="1"/>
  <c r="A208" i="1"/>
  <c r="J1537" i="1"/>
  <c r="I1537" i="1"/>
  <c r="H1537" i="1"/>
  <c r="G1537" i="1"/>
  <c r="F1537" i="1"/>
  <c r="E1537" i="1"/>
  <c r="D1537" i="1"/>
  <c r="B1537" i="1"/>
  <c r="A1537" i="1"/>
  <c r="J1536" i="1"/>
  <c r="I1536" i="1"/>
  <c r="H1536" i="1"/>
  <c r="G1536" i="1"/>
  <c r="F1536" i="1"/>
  <c r="E1536" i="1"/>
  <c r="D1536" i="1"/>
  <c r="B1536" i="1"/>
  <c r="A1536" i="1"/>
  <c r="L2635" i="1"/>
  <c r="J2635" i="1"/>
  <c r="I2635" i="1"/>
  <c r="H2635" i="1"/>
  <c r="G2635" i="1"/>
  <c r="F2635" i="1"/>
  <c r="E2635" i="1"/>
  <c r="D2635" i="1"/>
  <c r="B2635" i="1"/>
  <c r="A2635" i="1"/>
  <c r="L2888" i="1"/>
  <c r="J2888" i="1"/>
  <c r="I2888" i="1"/>
  <c r="H2888" i="1"/>
  <c r="G2888" i="1"/>
  <c r="F2888" i="1"/>
  <c r="E2888" i="1"/>
  <c r="D2888" i="1"/>
  <c r="B2888" i="1"/>
  <c r="A2888" i="1"/>
  <c r="L696" i="1"/>
  <c r="J696" i="1"/>
  <c r="I696" i="1"/>
  <c r="H696" i="1"/>
  <c r="G696" i="1"/>
  <c r="F696" i="1"/>
  <c r="E696" i="1"/>
  <c r="D696" i="1"/>
  <c r="B696" i="1"/>
  <c r="A696" i="1"/>
  <c r="L2192" i="1"/>
  <c r="J2192" i="1"/>
  <c r="I2192" i="1"/>
  <c r="H2192" i="1"/>
  <c r="G2192" i="1"/>
  <c r="F2192" i="1"/>
  <c r="E2192" i="1"/>
  <c r="D2192" i="1"/>
  <c r="B2192" i="1"/>
  <c r="A2192" i="1"/>
  <c r="L1535" i="1"/>
  <c r="J1535" i="1"/>
  <c r="I1535" i="1"/>
  <c r="H1535" i="1"/>
  <c r="G1535" i="1"/>
  <c r="F1535" i="1"/>
  <c r="E1535" i="1"/>
  <c r="D1535" i="1"/>
  <c r="B1535" i="1"/>
  <c r="A1535" i="1"/>
  <c r="L207" i="1"/>
  <c r="J207" i="1"/>
  <c r="I207" i="1"/>
  <c r="H207" i="1"/>
  <c r="G207" i="1"/>
  <c r="F207" i="1"/>
  <c r="E207" i="1"/>
  <c r="D207" i="1"/>
  <c r="B207" i="1"/>
  <c r="A207" i="1"/>
  <c r="L2887" i="1"/>
  <c r="J2887" i="1"/>
  <c r="I2887" i="1"/>
  <c r="H2887" i="1"/>
  <c r="G2887" i="1"/>
  <c r="F2887" i="1"/>
  <c r="E2887" i="1"/>
  <c r="D2887" i="1"/>
  <c r="B2887" i="1"/>
  <c r="A2887" i="1"/>
  <c r="L206" i="1"/>
  <c r="J206" i="1"/>
  <c r="I206" i="1"/>
  <c r="H206" i="1"/>
  <c r="G206" i="1"/>
  <c r="F206" i="1"/>
  <c r="E206" i="1"/>
  <c r="D206" i="1"/>
  <c r="B206" i="1"/>
  <c r="A206" i="1"/>
  <c r="L1534" i="1"/>
  <c r="J1534" i="1"/>
  <c r="I1534" i="1"/>
  <c r="H1534" i="1"/>
  <c r="G1534" i="1"/>
  <c r="F1534" i="1"/>
  <c r="E1534" i="1"/>
  <c r="D1534" i="1"/>
  <c r="B1534" i="1"/>
  <c r="A1534" i="1"/>
  <c r="L2886" i="1"/>
  <c r="J2886" i="1"/>
  <c r="I2886" i="1"/>
  <c r="H2886" i="1"/>
  <c r="G2886" i="1"/>
  <c r="F2886" i="1"/>
  <c r="E2886" i="1"/>
  <c r="D2886" i="1"/>
  <c r="B2886" i="1"/>
  <c r="A2886" i="1"/>
  <c r="L205" i="1"/>
  <c r="J205" i="1"/>
  <c r="I205" i="1"/>
  <c r="H205" i="1"/>
  <c r="G205" i="1"/>
  <c r="F205" i="1"/>
  <c r="E205" i="1"/>
  <c r="D205" i="1"/>
  <c r="B205" i="1"/>
  <c r="A205" i="1"/>
  <c r="L2634" i="1"/>
  <c r="J2634" i="1"/>
  <c r="I2634" i="1"/>
  <c r="H2634" i="1"/>
  <c r="G2634" i="1"/>
  <c r="F2634" i="1"/>
  <c r="E2634" i="1"/>
  <c r="D2634" i="1"/>
  <c r="B2634" i="1"/>
  <c r="A2634" i="1"/>
  <c r="L695" i="1"/>
  <c r="J695" i="1"/>
  <c r="I695" i="1"/>
  <c r="H695" i="1"/>
  <c r="G695" i="1"/>
  <c r="F695" i="1"/>
  <c r="E695" i="1"/>
  <c r="D695" i="1"/>
  <c r="B695" i="1"/>
  <c r="A695" i="1"/>
  <c r="L2191" i="1"/>
  <c r="J2191" i="1"/>
  <c r="I2191" i="1"/>
  <c r="H2191" i="1"/>
  <c r="G2191" i="1"/>
  <c r="F2191" i="1"/>
  <c r="E2191" i="1"/>
  <c r="D2191" i="1"/>
  <c r="B2191" i="1"/>
  <c r="A2191" i="1"/>
  <c r="L2885" i="1"/>
  <c r="J2885" i="1"/>
  <c r="I2885" i="1"/>
  <c r="H2885" i="1"/>
  <c r="G2885" i="1"/>
  <c r="F2885" i="1"/>
  <c r="E2885" i="1"/>
  <c r="D2885" i="1"/>
  <c r="B2885" i="1"/>
  <c r="A2885" i="1"/>
  <c r="L204" i="1"/>
  <c r="J204" i="1"/>
  <c r="I204" i="1"/>
  <c r="H204" i="1"/>
  <c r="G204" i="1"/>
  <c r="F204" i="1"/>
  <c r="E204" i="1"/>
  <c r="D204" i="1"/>
  <c r="B204" i="1"/>
  <c r="A204" i="1"/>
  <c r="L2884" i="1"/>
  <c r="J2884" i="1"/>
  <c r="I2884" i="1"/>
  <c r="H2884" i="1"/>
  <c r="G2884" i="1"/>
  <c r="F2884" i="1"/>
  <c r="E2884" i="1"/>
  <c r="D2884" i="1"/>
  <c r="B2884" i="1"/>
  <c r="A2884" i="1"/>
  <c r="L203" i="1"/>
  <c r="J203" i="1"/>
  <c r="I203" i="1"/>
  <c r="H203" i="1"/>
  <c r="G203" i="1"/>
  <c r="F203" i="1"/>
  <c r="E203" i="1"/>
  <c r="D203" i="1"/>
  <c r="B203" i="1"/>
  <c r="A203" i="1"/>
  <c r="L2633" i="1"/>
  <c r="J2633" i="1"/>
  <c r="I2633" i="1"/>
  <c r="H2633" i="1"/>
  <c r="G2633" i="1"/>
  <c r="F2633" i="1"/>
  <c r="E2633" i="1"/>
  <c r="D2633" i="1"/>
  <c r="B2633" i="1"/>
  <c r="A2633" i="1"/>
  <c r="L2883" i="1"/>
  <c r="J2883" i="1"/>
  <c r="I2883" i="1"/>
  <c r="H2883" i="1"/>
  <c r="G2883" i="1"/>
  <c r="F2883" i="1"/>
  <c r="E2883" i="1"/>
  <c r="D2883" i="1"/>
  <c r="B2883" i="1"/>
  <c r="A2883" i="1"/>
  <c r="L202" i="1"/>
  <c r="J202" i="1"/>
  <c r="I202" i="1"/>
  <c r="H202" i="1"/>
  <c r="G202" i="1"/>
  <c r="F202" i="1"/>
  <c r="E202" i="1"/>
  <c r="D202" i="1"/>
  <c r="B202" i="1"/>
  <c r="A202" i="1"/>
  <c r="L1533" i="1"/>
  <c r="K1533" i="1"/>
  <c r="J1533" i="1"/>
  <c r="I1533" i="1"/>
  <c r="H1533" i="1"/>
  <c r="G1533" i="1"/>
  <c r="F1533" i="1"/>
  <c r="E1533" i="1"/>
  <c r="D1533" i="1"/>
  <c r="B1533" i="1"/>
  <c r="A1533" i="1"/>
  <c r="L694" i="1"/>
  <c r="J694" i="1"/>
  <c r="I694" i="1"/>
  <c r="H694" i="1"/>
  <c r="G694" i="1"/>
  <c r="F694" i="1"/>
  <c r="E694" i="1"/>
  <c r="D694" i="1"/>
  <c r="B694" i="1"/>
  <c r="A694" i="1"/>
  <c r="L2190" i="1"/>
  <c r="J2190" i="1"/>
  <c r="I2190" i="1"/>
  <c r="H2190" i="1"/>
  <c r="G2190" i="1"/>
  <c r="F2190" i="1"/>
  <c r="E2190" i="1"/>
  <c r="D2190" i="1"/>
  <c r="B2190" i="1"/>
  <c r="A2190" i="1"/>
  <c r="L2882" i="1"/>
  <c r="J2882" i="1"/>
  <c r="I2882" i="1"/>
  <c r="H2882" i="1"/>
  <c r="G2882" i="1"/>
  <c r="F2882" i="1"/>
  <c r="E2882" i="1"/>
  <c r="D2882" i="1"/>
  <c r="B2882" i="1"/>
  <c r="A2882" i="1"/>
  <c r="L201" i="1"/>
  <c r="J201" i="1"/>
  <c r="I201" i="1"/>
  <c r="H201" i="1"/>
  <c r="G201" i="1"/>
  <c r="F201" i="1"/>
  <c r="E201" i="1"/>
  <c r="D201" i="1"/>
  <c r="B201" i="1"/>
  <c r="A201" i="1"/>
  <c r="L1532" i="1"/>
  <c r="K1532" i="1"/>
  <c r="J1532" i="1"/>
  <c r="I1532" i="1"/>
  <c r="H1532" i="1"/>
  <c r="G1532" i="1"/>
  <c r="F1532" i="1"/>
  <c r="E1532" i="1"/>
  <c r="D1532" i="1"/>
  <c r="B1532" i="1"/>
  <c r="A1532" i="1"/>
  <c r="L2881" i="1"/>
  <c r="J2881" i="1"/>
  <c r="I2881" i="1"/>
  <c r="H2881" i="1"/>
  <c r="G2881" i="1"/>
  <c r="F2881" i="1"/>
  <c r="E2881" i="1"/>
  <c r="D2881" i="1"/>
  <c r="B2881" i="1"/>
  <c r="A2881" i="1"/>
  <c r="L200" i="1"/>
  <c r="J200" i="1"/>
  <c r="I200" i="1"/>
  <c r="H200" i="1"/>
  <c r="G200" i="1"/>
  <c r="F200" i="1"/>
  <c r="E200" i="1"/>
  <c r="D200" i="1"/>
  <c r="B200" i="1"/>
  <c r="A200" i="1"/>
  <c r="L693" i="1"/>
  <c r="J693" i="1"/>
  <c r="I693" i="1"/>
  <c r="H693" i="1"/>
  <c r="G693" i="1"/>
  <c r="F693" i="1"/>
  <c r="E693" i="1"/>
  <c r="D693" i="1"/>
  <c r="B693" i="1"/>
  <c r="A693" i="1"/>
  <c r="L2189" i="1"/>
  <c r="J2189" i="1"/>
  <c r="I2189" i="1"/>
  <c r="H2189" i="1"/>
  <c r="G2189" i="1"/>
  <c r="F2189" i="1"/>
  <c r="E2189" i="1"/>
  <c r="D2189" i="1"/>
  <c r="B2189" i="1"/>
  <c r="A2189" i="1"/>
  <c r="L1531" i="1"/>
  <c r="J1531" i="1"/>
  <c r="I1531" i="1"/>
  <c r="H1531" i="1"/>
  <c r="G1531" i="1"/>
  <c r="F1531" i="1"/>
  <c r="E1531" i="1"/>
  <c r="D1531" i="1"/>
  <c r="B1531" i="1"/>
  <c r="A1531" i="1"/>
  <c r="L2880" i="1"/>
  <c r="J2880" i="1"/>
  <c r="I2880" i="1"/>
  <c r="H2880" i="1"/>
  <c r="G2880" i="1"/>
  <c r="F2880" i="1"/>
  <c r="E2880" i="1"/>
  <c r="D2880" i="1"/>
  <c r="B2880" i="1"/>
  <c r="A2880" i="1"/>
  <c r="L199" i="1"/>
  <c r="J199" i="1"/>
  <c r="I199" i="1"/>
  <c r="H199" i="1"/>
  <c r="G199" i="1"/>
  <c r="F199" i="1"/>
  <c r="E199" i="1"/>
  <c r="D199" i="1"/>
  <c r="B199" i="1"/>
  <c r="A199" i="1"/>
  <c r="J1530" i="1"/>
  <c r="I1530" i="1"/>
  <c r="H1530" i="1"/>
  <c r="G1530" i="1"/>
  <c r="F1530" i="1"/>
  <c r="E1530" i="1"/>
  <c r="D1530" i="1"/>
  <c r="B1530" i="1"/>
  <c r="A1530" i="1"/>
  <c r="L2879" i="1"/>
  <c r="J2879" i="1"/>
  <c r="I2879" i="1"/>
  <c r="H2879" i="1"/>
  <c r="G2879" i="1"/>
  <c r="F2879" i="1"/>
  <c r="E2879" i="1"/>
  <c r="D2879" i="1"/>
  <c r="B2879" i="1"/>
  <c r="A2879" i="1"/>
  <c r="L198" i="1"/>
  <c r="J198" i="1"/>
  <c r="I198" i="1"/>
  <c r="H198" i="1"/>
  <c r="G198" i="1"/>
  <c r="F198" i="1"/>
  <c r="E198" i="1"/>
  <c r="D198" i="1"/>
  <c r="B198" i="1"/>
  <c r="A198" i="1"/>
  <c r="J1529" i="1"/>
  <c r="I1529" i="1"/>
  <c r="H1529" i="1"/>
  <c r="G1529" i="1"/>
  <c r="F1529" i="1"/>
  <c r="E1529" i="1"/>
  <c r="D1529" i="1"/>
  <c r="B1529" i="1"/>
  <c r="A1529" i="1"/>
  <c r="J1528" i="1"/>
  <c r="I1528" i="1"/>
  <c r="H1528" i="1"/>
  <c r="G1528" i="1"/>
  <c r="F1528" i="1"/>
  <c r="E1528" i="1"/>
  <c r="D1528" i="1"/>
  <c r="B1528" i="1"/>
  <c r="A1528" i="1"/>
  <c r="L984" i="1"/>
  <c r="J984" i="1"/>
  <c r="I984" i="1"/>
  <c r="H984" i="1"/>
  <c r="G984" i="1"/>
  <c r="F984" i="1"/>
  <c r="E984" i="1"/>
  <c r="D984" i="1"/>
  <c r="B984" i="1"/>
  <c r="A984" i="1"/>
  <c r="J1527" i="1"/>
  <c r="I1527" i="1"/>
  <c r="H1527" i="1"/>
  <c r="G1527" i="1"/>
  <c r="F1527" i="1"/>
  <c r="E1527" i="1"/>
  <c r="D1527" i="1"/>
  <c r="B1527" i="1"/>
  <c r="A1527" i="1"/>
  <c r="L2878" i="1"/>
  <c r="J2878" i="1"/>
  <c r="I2878" i="1"/>
  <c r="H2878" i="1"/>
  <c r="G2878" i="1"/>
  <c r="F2878" i="1"/>
  <c r="E2878" i="1"/>
  <c r="D2878" i="1"/>
  <c r="B2878" i="1"/>
  <c r="A2878" i="1"/>
  <c r="L197" i="1"/>
  <c r="J197" i="1"/>
  <c r="I197" i="1"/>
  <c r="H197" i="1"/>
  <c r="G197" i="1"/>
  <c r="F197" i="1"/>
  <c r="E197" i="1"/>
  <c r="D197" i="1"/>
  <c r="B197" i="1"/>
  <c r="A197" i="1"/>
  <c r="L2877" i="1"/>
  <c r="J2877" i="1"/>
  <c r="I2877" i="1"/>
  <c r="H2877" i="1"/>
  <c r="G2877" i="1"/>
  <c r="F2877" i="1"/>
  <c r="E2877" i="1"/>
  <c r="D2877" i="1"/>
  <c r="B2877" i="1"/>
  <c r="A2877" i="1"/>
  <c r="L196" i="1"/>
  <c r="J196" i="1"/>
  <c r="I196" i="1"/>
  <c r="H196" i="1"/>
  <c r="G196" i="1"/>
  <c r="F196" i="1"/>
  <c r="E196" i="1"/>
  <c r="D196" i="1"/>
  <c r="B196" i="1"/>
  <c r="A196" i="1"/>
  <c r="J1526" i="1"/>
  <c r="I1526" i="1"/>
  <c r="H1526" i="1"/>
  <c r="G1526" i="1"/>
  <c r="F1526" i="1"/>
  <c r="E1526" i="1"/>
  <c r="D1526" i="1"/>
  <c r="B1526" i="1"/>
  <c r="A1526" i="1"/>
  <c r="L2876" i="1"/>
  <c r="J2876" i="1"/>
  <c r="I2876" i="1"/>
  <c r="H2876" i="1"/>
  <c r="G2876" i="1"/>
  <c r="F2876" i="1"/>
  <c r="E2876" i="1"/>
  <c r="D2876" i="1"/>
  <c r="B2876" i="1"/>
  <c r="A2876" i="1"/>
  <c r="L195" i="1"/>
  <c r="J195" i="1"/>
  <c r="I195" i="1"/>
  <c r="H195" i="1"/>
  <c r="G195" i="1"/>
  <c r="F195" i="1"/>
  <c r="E195" i="1"/>
  <c r="D195" i="1"/>
  <c r="B195" i="1"/>
  <c r="A195" i="1"/>
  <c r="J1525" i="1"/>
  <c r="I1525" i="1"/>
  <c r="H1525" i="1"/>
  <c r="G1525" i="1"/>
  <c r="F1525" i="1"/>
  <c r="E1525" i="1"/>
  <c r="D1525" i="1"/>
  <c r="B1525" i="1"/>
  <c r="A1525" i="1"/>
  <c r="L2632" i="1"/>
  <c r="J2632" i="1"/>
  <c r="I2632" i="1"/>
  <c r="H2632" i="1"/>
  <c r="G2632" i="1"/>
  <c r="F2632" i="1"/>
  <c r="E2632" i="1"/>
  <c r="D2632" i="1"/>
  <c r="B2632" i="1"/>
  <c r="A2632" i="1"/>
  <c r="L2875" i="1"/>
  <c r="J2875" i="1"/>
  <c r="I2875" i="1"/>
  <c r="H2875" i="1"/>
  <c r="G2875" i="1"/>
  <c r="F2875" i="1"/>
  <c r="E2875" i="1"/>
  <c r="D2875" i="1"/>
  <c r="B2875" i="1"/>
  <c r="A2875" i="1"/>
  <c r="L194" i="1"/>
  <c r="J194" i="1"/>
  <c r="I194" i="1"/>
  <c r="H194" i="1"/>
  <c r="G194" i="1"/>
  <c r="F194" i="1"/>
  <c r="E194" i="1"/>
  <c r="D194" i="1"/>
  <c r="B194" i="1"/>
  <c r="A194" i="1"/>
  <c r="L983" i="1"/>
  <c r="J983" i="1"/>
  <c r="I983" i="1"/>
  <c r="H983" i="1"/>
  <c r="G983" i="1"/>
  <c r="F983" i="1"/>
  <c r="E983" i="1"/>
  <c r="D983" i="1"/>
  <c r="B983" i="1"/>
  <c r="A983" i="1"/>
  <c r="J1524" i="1"/>
  <c r="I1524" i="1"/>
  <c r="H1524" i="1"/>
  <c r="G1524" i="1"/>
  <c r="F1524" i="1"/>
  <c r="E1524" i="1"/>
  <c r="D1524" i="1"/>
  <c r="B1524" i="1"/>
  <c r="A1524" i="1"/>
  <c r="L2631" i="1"/>
  <c r="J2631" i="1"/>
  <c r="I2631" i="1"/>
  <c r="H2631" i="1"/>
  <c r="G2631" i="1"/>
  <c r="F2631" i="1"/>
  <c r="E2631" i="1"/>
  <c r="D2631" i="1"/>
  <c r="B2631" i="1"/>
  <c r="A2631" i="1"/>
  <c r="L1523" i="1"/>
  <c r="J1523" i="1"/>
  <c r="I1523" i="1"/>
  <c r="H1523" i="1"/>
  <c r="G1523" i="1"/>
  <c r="F1523" i="1"/>
  <c r="E1523" i="1"/>
  <c r="D1523" i="1"/>
  <c r="B1523" i="1"/>
  <c r="A1523" i="1"/>
  <c r="L2874" i="1"/>
  <c r="J2874" i="1"/>
  <c r="I2874" i="1"/>
  <c r="H2874" i="1"/>
  <c r="G2874" i="1"/>
  <c r="F2874" i="1"/>
  <c r="E2874" i="1"/>
  <c r="D2874" i="1"/>
  <c r="B2874" i="1"/>
  <c r="A2874" i="1"/>
  <c r="L193" i="1"/>
  <c r="J193" i="1"/>
  <c r="I193" i="1"/>
  <c r="H193" i="1"/>
  <c r="G193" i="1"/>
  <c r="F193" i="1"/>
  <c r="E193" i="1"/>
  <c r="D193" i="1"/>
  <c r="B193" i="1"/>
  <c r="A193" i="1"/>
  <c r="L1522" i="1"/>
  <c r="J1522" i="1"/>
  <c r="I1522" i="1"/>
  <c r="H1522" i="1"/>
  <c r="G1522" i="1"/>
  <c r="F1522" i="1"/>
  <c r="E1522" i="1"/>
  <c r="D1522" i="1"/>
  <c r="B1522" i="1"/>
  <c r="A1522" i="1"/>
  <c r="L2873" i="1"/>
  <c r="J2873" i="1"/>
  <c r="I2873" i="1"/>
  <c r="H2873" i="1"/>
  <c r="G2873" i="1"/>
  <c r="F2873" i="1"/>
  <c r="E2873" i="1"/>
  <c r="D2873" i="1"/>
  <c r="B2873" i="1"/>
  <c r="A2873" i="1"/>
  <c r="L192" i="1"/>
  <c r="J192" i="1"/>
  <c r="I192" i="1"/>
  <c r="H192" i="1"/>
  <c r="G192" i="1"/>
  <c r="F192" i="1"/>
  <c r="E192" i="1"/>
  <c r="D192" i="1"/>
  <c r="B192" i="1"/>
  <c r="A192" i="1"/>
  <c r="J1521" i="1"/>
  <c r="I1521" i="1"/>
  <c r="H1521" i="1"/>
  <c r="G1521" i="1"/>
  <c r="F1521" i="1"/>
  <c r="E1521" i="1"/>
  <c r="D1521" i="1"/>
  <c r="B1521" i="1"/>
  <c r="A1521" i="1"/>
  <c r="L692" i="1"/>
  <c r="J692" i="1"/>
  <c r="I692" i="1"/>
  <c r="H692" i="1"/>
  <c r="G692" i="1"/>
  <c r="F692" i="1"/>
  <c r="E692" i="1"/>
  <c r="D692" i="1"/>
  <c r="B692" i="1"/>
  <c r="A692" i="1"/>
  <c r="L2188" i="1"/>
  <c r="J2188" i="1"/>
  <c r="I2188" i="1"/>
  <c r="H2188" i="1"/>
  <c r="G2188" i="1"/>
  <c r="F2188" i="1"/>
  <c r="E2188" i="1"/>
  <c r="D2188" i="1"/>
  <c r="B2188" i="1"/>
  <c r="A2188" i="1"/>
  <c r="L982" i="1"/>
  <c r="J982" i="1"/>
  <c r="I982" i="1"/>
  <c r="H982" i="1"/>
  <c r="G982" i="1"/>
  <c r="F982" i="1"/>
  <c r="E982" i="1"/>
  <c r="D982" i="1"/>
  <c r="B982" i="1"/>
  <c r="A982" i="1"/>
  <c r="J1520" i="1"/>
  <c r="I1520" i="1"/>
  <c r="H1520" i="1"/>
  <c r="G1520" i="1"/>
  <c r="F1520" i="1"/>
  <c r="E1520" i="1"/>
  <c r="D1520" i="1"/>
  <c r="B1520" i="1"/>
  <c r="A1520" i="1"/>
  <c r="J1519" i="1"/>
  <c r="I1519" i="1"/>
  <c r="H1519" i="1"/>
  <c r="G1519" i="1"/>
  <c r="F1519" i="1"/>
  <c r="E1519" i="1"/>
  <c r="D1519" i="1"/>
  <c r="B1519" i="1"/>
  <c r="A1519" i="1"/>
  <c r="L2872" i="1"/>
  <c r="J2872" i="1"/>
  <c r="I2872" i="1"/>
  <c r="H2872" i="1"/>
  <c r="G2872" i="1"/>
  <c r="F2872" i="1"/>
  <c r="E2872" i="1"/>
  <c r="D2872" i="1"/>
  <c r="B2872" i="1"/>
  <c r="A2872" i="1"/>
  <c r="L191" i="1"/>
  <c r="J191" i="1"/>
  <c r="I191" i="1"/>
  <c r="H191" i="1"/>
  <c r="G191" i="1"/>
  <c r="F191" i="1"/>
  <c r="E191" i="1"/>
  <c r="D191" i="1"/>
  <c r="B191" i="1"/>
  <c r="A191" i="1"/>
  <c r="J1518" i="1"/>
  <c r="I1518" i="1"/>
  <c r="H1518" i="1"/>
  <c r="G1518" i="1"/>
  <c r="F1518" i="1"/>
  <c r="E1518" i="1"/>
  <c r="D1518" i="1"/>
  <c r="B1518" i="1"/>
  <c r="A1518" i="1"/>
  <c r="L61" i="1"/>
  <c r="K61" i="1"/>
  <c r="J61" i="1"/>
  <c r="I61" i="1"/>
  <c r="H61" i="1"/>
  <c r="G61" i="1"/>
  <c r="F61" i="1"/>
  <c r="E61" i="1"/>
  <c r="D61" i="1"/>
  <c r="B61" i="1"/>
  <c r="A61" i="1"/>
  <c r="L1172" i="1"/>
  <c r="K1172" i="1"/>
  <c r="J1172" i="1"/>
  <c r="I1172" i="1"/>
  <c r="H1172" i="1"/>
  <c r="G1172" i="1"/>
  <c r="F1172" i="1"/>
  <c r="E1172" i="1"/>
  <c r="D1172" i="1"/>
  <c r="B1172" i="1"/>
  <c r="A1172" i="1"/>
  <c r="L981" i="1"/>
  <c r="J981" i="1"/>
  <c r="I981" i="1"/>
  <c r="H981" i="1"/>
  <c r="G981" i="1"/>
  <c r="F981" i="1"/>
  <c r="E981" i="1"/>
  <c r="D981" i="1"/>
  <c r="B981" i="1"/>
  <c r="A981" i="1"/>
  <c r="L691" i="1"/>
  <c r="J691" i="1"/>
  <c r="I691" i="1"/>
  <c r="H691" i="1"/>
  <c r="G691" i="1"/>
  <c r="F691" i="1"/>
  <c r="E691" i="1"/>
  <c r="D691" i="1"/>
  <c r="B691" i="1"/>
  <c r="A691" i="1"/>
  <c r="L2187" i="1"/>
  <c r="J2187" i="1"/>
  <c r="I2187" i="1"/>
  <c r="H2187" i="1"/>
  <c r="G2187" i="1"/>
  <c r="F2187" i="1"/>
  <c r="E2187" i="1"/>
  <c r="D2187" i="1"/>
  <c r="B2187" i="1"/>
  <c r="A2187" i="1"/>
  <c r="L980" i="1"/>
  <c r="J980" i="1"/>
  <c r="I980" i="1"/>
  <c r="H980" i="1"/>
  <c r="G980" i="1"/>
  <c r="F980" i="1"/>
  <c r="E980" i="1"/>
  <c r="D980" i="1"/>
  <c r="B980" i="1"/>
  <c r="A980" i="1"/>
  <c r="J1517" i="1"/>
  <c r="I1517" i="1"/>
  <c r="H1517" i="1"/>
  <c r="G1517" i="1"/>
  <c r="F1517" i="1"/>
  <c r="E1517" i="1"/>
  <c r="D1517" i="1"/>
  <c r="B1517" i="1"/>
  <c r="A1517" i="1"/>
  <c r="L2871" i="1"/>
  <c r="J2871" i="1"/>
  <c r="I2871" i="1"/>
  <c r="H2871" i="1"/>
  <c r="G2871" i="1"/>
  <c r="F2871" i="1"/>
  <c r="E2871" i="1"/>
  <c r="D2871" i="1"/>
  <c r="B2871" i="1"/>
  <c r="A2871" i="1"/>
  <c r="L190" i="1"/>
  <c r="J190" i="1"/>
  <c r="I190" i="1"/>
  <c r="H190" i="1"/>
  <c r="G190" i="1"/>
  <c r="F190" i="1"/>
  <c r="E190" i="1"/>
  <c r="D190" i="1"/>
  <c r="B190" i="1"/>
  <c r="A190" i="1"/>
  <c r="L2870" i="1"/>
  <c r="J2870" i="1"/>
  <c r="I2870" i="1"/>
  <c r="H2870" i="1"/>
  <c r="G2870" i="1"/>
  <c r="F2870" i="1"/>
  <c r="E2870" i="1"/>
  <c r="D2870" i="1"/>
  <c r="B2870" i="1"/>
  <c r="A2870" i="1"/>
  <c r="L189" i="1"/>
  <c r="J189" i="1"/>
  <c r="I189" i="1"/>
  <c r="H189" i="1"/>
  <c r="G189" i="1"/>
  <c r="F189" i="1"/>
  <c r="E189" i="1"/>
  <c r="D189" i="1"/>
  <c r="B189" i="1"/>
  <c r="A189" i="1"/>
  <c r="J1516" i="1"/>
  <c r="I1516" i="1"/>
  <c r="H1516" i="1"/>
  <c r="G1516" i="1"/>
  <c r="F1516" i="1"/>
  <c r="E1516" i="1"/>
  <c r="D1516" i="1"/>
  <c r="B1516" i="1"/>
  <c r="A1516" i="1"/>
  <c r="L2869" i="1"/>
  <c r="J2869" i="1"/>
  <c r="I2869" i="1"/>
  <c r="H2869" i="1"/>
  <c r="G2869" i="1"/>
  <c r="F2869" i="1"/>
  <c r="E2869" i="1"/>
  <c r="D2869" i="1"/>
  <c r="B2869" i="1"/>
  <c r="A2869" i="1"/>
  <c r="L188" i="1"/>
  <c r="J188" i="1"/>
  <c r="I188" i="1"/>
  <c r="H188" i="1"/>
  <c r="G188" i="1"/>
  <c r="F188" i="1"/>
  <c r="E188" i="1"/>
  <c r="D188" i="1"/>
  <c r="B188" i="1"/>
  <c r="A188" i="1"/>
  <c r="L690" i="1"/>
  <c r="J690" i="1"/>
  <c r="I690" i="1"/>
  <c r="H690" i="1"/>
  <c r="G690" i="1"/>
  <c r="F690" i="1"/>
  <c r="E690" i="1"/>
  <c r="D690" i="1"/>
  <c r="B690" i="1"/>
  <c r="A690" i="1"/>
  <c r="L2186" i="1"/>
  <c r="J2186" i="1"/>
  <c r="I2186" i="1"/>
  <c r="H2186" i="1"/>
  <c r="G2186" i="1"/>
  <c r="F2186" i="1"/>
  <c r="E2186" i="1"/>
  <c r="D2186" i="1"/>
  <c r="B2186" i="1"/>
  <c r="A2186" i="1"/>
  <c r="L2868" i="1"/>
  <c r="J2868" i="1"/>
  <c r="I2868" i="1"/>
  <c r="H2868" i="1"/>
  <c r="G2868" i="1"/>
  <c r="F2868" i="1"/>
  <c r="E2868" i="1"/>
  <c r="D2868" i="1"/>
  <c r="B2868" i="1"/>
  <c r="A2868" i="1"/>
  <c r="L187" i="1"/>
  <c r="J187" i="1"/>
  <c r="I187" i="1"/>
  <c r="H187" i="1"/>
  <c r="G187" i="1"/>
  <c r="F187" i="1"/>
  <c r="E187" i="1"/>
  <c r="D187" i="1"/>
  <c r="B187" i="1"/>
  <c r="A187" i="1"/>
  <c r="L2867" i="1"/>
  <c r="J2867" i="1"/>
  <c r="I2867" i="1"/>
  <c r="H2867" i="1"/>
  <c r="G2867" i="1"/>
  <c r="F2867" i="1"/>
  <c r="E2867" i="1"/>
  <c r="D2867" i="1"/>
  <c r="B2867" i="1"/>
  <c r="A2867" i="1"/>
  <c r="L1515" i="1"/>
  <c r="J1515" i="1"/>
  <c r="I1515" i="1"/>
  <c r="H1515" i="1"/>
  <c r="G1515" i="1"/>
  <c r="F1515" i="1"/>
  <c r="E1515" i="1"/>
  <c r="D1515" i="1"/>
  <c r="B1515" i="1"/>
  <c r="A1515" i="1"/>
  <c r="L60" i="1"/>
  <c r="K60" i="1"/>
  <c r="J60" i="1"/>
  <c r="I60" i="1"/>
  <c r="H60" i="1"/>
  <c r="G60" i="1"/>
  <c r="F60" i="1"/>
  <c r="E60" i="1"/>
  <c r="D60" i="1"/>
  <c r="B60" i="1"/>
  <c r="A60" i="1"/>
  <c r="L1171" i="1"/>
  <c r="K1171" i="1"/>
  <c r="J1171" i="1"/>
  <c r="I1171" i="1"/>
  <c r="H1171" i="1"/>
  <c r="G1171" i="1"/>
  <c r="F1171" i="1"/>
  <c r="E1171" i="1"/>
  <c r="D1171" i="1"/>
  <c r="B1171" i="1"/>
  <c r="A1171" i="1"/>
  <c r="L979" i="1"/>
  <c r="J979" i="1"/>
  <c r="I979" i="1"/>
  <c r="H979" i="1"/>
  <c r="G979" i="1"/>
  <c r="F979" i="1"/>
  <c r="E979" i="1"/>
  <c r="D979" i="1"/>
  <c r="B979" i="1"/>
  <c r="A979" i="1"/>
  <c r="L186" i="1"/>
  <c r="J186" i="1"/>
  <c r="I186" i="1"/>
  <c r="H186" i="1"/>
  <c r="G186" i="1"/>
  <c r="F186" i="1"/>
  <c r="E186" i="1"/>
  <c r="D186" i="1"/>
  <c r="B186" i="1"/>
  <c r="A186" i="1"/>
  <c r="L978" i="1"/>
  <c r="J978" i="1"/>
  <c r="I978" i="1"/>
  <c r="H978" i="1"/>
  <c r="G978" i="1"/>
  <c r="F978" i="1"/>
  <c r="E978" i="1"/>
  <c r="D978" i="1"/>
  <c r="B978" i="1"/>
  <c r="A978" i="1"/>
  <c r="L59" i="1"/>
  <c r="K59" i="1"/>
  <c r="J59" i="1"/>
  <c r="I59" i="1"/>
  <c r="H59" i="1"/>
  <c r="G59" i="1"/>
  <c r="F59" i="1"/>
  <c r="E59" i="1"/>
  <c r="D59" i="1"/>
  <c r="B59" i="1"/>
  <c r="A59" i="1"/>
  <c r="L1170" i="1"/>
  <c r="K1170" i="1"/>
  <c r="J1170" i="1"/>
  <c r="I1170" i="1"/>
  <c r="H1170" i="1"/>
  <c r="G1170" i="1"/>
  <c r="F1170" i="1"/>
  <c r="E1170" i="1"/>
  <c r="D1170" i="1"/>
  <c r="B1170" i="1"/>
  <c r="A1170" i="1"/>
  <c r="L689" i="1"/>
  <c r="J689" i="1"/>
  <c r="I689" i="1"/>
  <c r="H689" i="1"/>
  <c r="G689" i="1"/>
  <c r="F689" i="1"/>
  <c r="E689" i="1"/>
  <c r="D689" i="1"/>
  <c r="B689" i="1"/>
  <c r="A689" i="1"/>
  <c r="L2185" i="1"/>
  <c r="J2185" i="1"/>
  <c r="I2185" i="1"/>
  <c r="H2185" i="1"/>
  <c r="G2185" i="1"/>
  <c r="F2185" i="1"/>
  <c r="E2185" i="1"/>
  <c r="D2185" i="1"/>
  <c r="B2185" i="1"/>
  <c r="A2185" i="1"/>
  <c r="L2866" i="1"/>
  <c r="J2866" i="1"/>
  <c r="I2866" i="1"/>
  <c r="H2866" i="1"/>
  <c r="G2866" i="1"/>
  <c r="F2866" i="1"/>
  <c r="E2866" i="1"/>
  <c r="D2866" i="1"/>
  <c r="B2866" i="1"/>
  <c r="A2866" i="1"/>
  <c r="L185" i="1"/>
  <c r="J185" i="1"/>
  <c r="I185" i="1"/>
  <c r="H185" i="1"/>
  <c r="G185" i="1"/>
  <c r="F185" i="1"/>
  <c r="E185" i="1"/>
  <c r="D185" i="1"/>
  <c r="B185" i="1"/>
  <c r="A185" i="1"/>
  <c r="L977" i="1"/>
  <c r="J977" i="1"/>
  <c r="I977" i="1"/>
  <c r="H977" i="1"/>
  <c r="G977" i="1"/>
  <c r="F977" i="1"/>
  <c r="E977" i="1"/>
  <c r="D977" i="1"/>
  <c r="B977" i="1"/>
  <c r="A977" i="1"/>
  <c r="L2865" i="1"/>
  <c r="J2865" i="1"/>
  <c r="I2865" i="1"/>
  <c r="H2865" i="1"/>
  <c r="G2865" i="1"/>
  <c r="F2865" i="1"/>
  <c r="E2865" i="1"/>
  <c r="D2865" i="1"/>
  <c r="B2865" i="1"/>
  <c r="A2865" i="1"/>
  <c r="L184" i="1"/>
  <c r="J184" i="1"/>
  <c r="I184" i="1"/>
  <c r="H184" i="1"/>
  <c r="G184" i="1"/>
  <c r="F184" i="1"/>
  <c r="E184" i="1"/>
  <c r="D184" i="1"/>
  <c r="B184" i="1"/>
  <c r="A184" i="1"/>
  <c r="L976" i="1"/>
  <c r="J976" i="1"/>
  <c r="I976" i="1"/>
  <c r="H976" i="1"/>
  <c r="G976" i="1"/>
  <c r="F976" i="1"/>
  <c r="E976" i="1"/>
  <c r="D976" i="1"/>
  <c r="B976" i="1"/>
  <c r="A976" i="1"/>
  <c r="L58" i="1"/>
  <c r="K58" i="1"/>
  <c r="J58" i="1"/>
  <c r="I58" i="1"/>
  <c r="H58" i="1"/>
  <c r="G58" i="1"/>
  <c r="F58" i="1"/>
  <c r="E58" i="1"/>
  <c r="D58" i="1"/>
  <c r="B58" i="1"/>
  <c r="A58" i="1"/>
  <c r="L1169" i="1"/>
  <c r="K1169" i="1"/>
  <c r="J1169" i="1"/>
  <c r="I1169" i="1"/>
  <c r="H1169" i="1"/>
  <c r="G1169" i="1"/>
  <c r="F1169" i="1"/>
  <c r="E1169" i="1"/>
  <c r="D1169" i="1"/>
  <c r="B1169" i="1"/>
  <c r="A1169" i="1"/>
  <c r="L2864" i="1"/>
  <c r="J2864" i="1"/>
  <c r="I2864" i="1"/>
  <c r="H2864" i="1"/>
  <c r="G2864" i="1"/>
  <c r="F2864" i="1"/>
  <c r="E2864" i="1"/>
  <c r="D2864" i="1"/>
  <c r="B2864" i="1"/>
  <c r="A2864" i="1"/>
  <c r="L183" i="1"/>
  <c r="J183" i="1"/>
  <c r="I183" i="1"/>
  <c r="H183" i="1"/>
  <c r="G183" i="1"/>
  <c r="F183" i="1"/>
  <c r="E183" i="1"/>
  <c r="D183" i="1"/>
  <c r="B183" i="1"/>
  <c r="A183" i="1"/>
  <c r="L2863" i="1"/>
  <c r="J2863" i="1"/>
  <c r="I2863" i="1"/>
  <c r="H2863" i="1"/>
  <c r="G2863" i="1"/>
  <c r="F2863" i="1"/>
  <c r="E2863" i="1"/>
  <c r="D2863" i="1"/>
  <c r="B2863" i="1"/>
  <c r="A2863" i="1"/>
  <c r="L182" i="1"/>
  <c r="J182" i="1"/>
  <c r="I182" i="1"/>
  <c r="H182" i="1"/>
  <c r="G182" i="1"/>
  <c r="F182" i="1"/>
  <c r="E182" i="1"/>
  <c r="D182" i="1"/>
  <c r="B182" i="1"/>
  <c r="A182" i="1"/>
  <c r="L1514" i="1"/>
  <c r="J1514" i="1"/>
  <c r="I1514" i="1"/>
  <c r="H1514" i="1"/>
  <c r="G1514" i="1"/>
  <c r="F1514" i="1"/>
  <c r="E1514" i="1"/>
  <c r="D1514" i="1"/>
  <c r="B1514" i="1"/>
  <c r="A1514" i="1"/>
  <c r="L2862" i="1"/>
  <c r="J2862" i="1"/>
  <c r="I2862" i="1"/>
  <c r="H2862" i="1"/>
  <c r="G2862" i="1"/>
  <c r="F2862" i="1"/>
  <c r="E2862" i="1"/>
  <c r="D2862" i="1"/>
  <c r="B2862" i="1"/>
  <c r="A2862" i="1"/>
  <c r="L181" i="1"/>
  <c r="J181" i="1"/>
  <c r="I181" i="1"/>
  <c r="H181" i="1"/>
  <c r="G181" i="1"/>
  <c r="F181" i="1"/>
  <c r="E181" i="1"/>
  <c r="D181" i="1"/>
  <c r="B181" i="1"/>
  <c r="A181" i="1"/>
  <c r="L57" i="1"/>
  <c r="K57" i="1"/>
  <c r="J57" i="1"/>
  <c r="I57" i="1"/>
  <c r="H57" i="1"/>
  <c r="G57" i="1"/>
  <c r="F57" i="1"/>
  <c r="E57" i="1"/>
  <c r="D57" i="1"/>
  <c r="B57" i="1"/>
  <c r="A57" i="1"/>
  <c r="L1168" i="1"/>
  <c r="K1168" i="1"/>
  <c r="J1168" i="1"/>
  <c r="I1168" i="1"/>
  <c r="H1168" i="1"/>
  <c r="G1168" i="1"/>
  <c r="F1168" i="1"/>
  <c r="E1168" i="1"/>
  <c r="D1168" i="1"/>
  <c r="B1168" i="1"/>
  <c r="A1168" i="1"/>
  <c r="L975" i="1"/>
  <c r="J975" i="1"/>
  <c r="I975" i="1"/>
  <c r="H975" i="1"/>
  <c r="G975" i="1"/>
  <c r="F975" i="1"/>
  <c r="E975" i="1"/>
  <c r="D975" i="1"/>
  <c r="B975" i="1"/>
  <c r="A975" i="1"/>
  <c r="L974" i="1"/>
  <c r="J974" i="1"/>
  <c r="I974" i="1"/>
  <c r="H974" i="1"/>
  <c r="G974" i="1"/>
  <c r="F974" i="1"/>
  <c r="E974" i="1"/>
  <c r="D974" i="1"/>
  <c r="B974" i="1"/>
  <c r="A974" i="1"/>
  <c r="L1513" i="1"/>
  <c r="J1513" i="1"/>
  <c r="I1513" i="1"/>
  <c r="H1513" i="1"/>
  <c r="G1513" i="1"/>
  <c r="F1513" i="1"/>
  <c r="E1513" i="1"/>
  <c r="D1513" i="1"/>
  <c r="B1513" i="1"/>
  <c r="A1513" i="1"/>
  <c r="L973" i="1"/>
  <c r="J973" i="1"/>
  <c r="I973" i="1"/>
  <c r="H973" i="1"/>
  <c r="G973" i="1"/>
  <c r="F973" i="1"/>
  <c r="E973" i="1"/>
  <c r="D973" i="1"/>
  <c r="B973" i="1"/>
  <c r="A973" i="1"/>
  <c r="L56" i="1"/>
  <c r="K56" i="1"/>
  <c r="J56" i="1"/>
  <c r="I56" i="1"/>
  <c r="H56" i="1"/>
  <c r="G56" i="1"/>
  <c r="F56" i="1"/>
  <c r="E56" i="1"/>
  <c r="D56" i="1"/>
  <c r="B56" i="1"/>
  <c r="A56" i="1"/>
  <c r="L1167" i="1"/>
  <c r="K1167" i="1"/>
  <c r="J1167" i="1"/>
  <c r="I1167" i="1"/>
  <c r="H1167" i="1"/>
  <c r="G1167" i="1"/>
  <c r="F1167" i="1"/>
  <c r="E1167" i="1"/>
  <c r="D1167" i="1"/>
  <c r="B1167" i="1"/>
  <c r="A1167" i="1"/>
  <c r="L2630" i="1"/>
  <c r="J2630" i="1"/>
  <c r="I2630" i="1"/>
  <c r="H2630" i="1"/>
  <c r="G2630" i="1"/>
  <c r="F2630" i="1"/>
  <c r="E2630" i="1"/>
  <c r="D2630" i="1"/>
  <c r="B2630" i="1"/>
  <c r="A2630" i="1"/>
  <c r="L972" i="1"/>
  <c r="J972" i="1"/>
  <c r="I972" i="1"/>
  <c r="H972" i="1"/>
  <c r="G972" i="1"/>
  <c r="F972" i="1"/>
  <c r="E972" i="1"/>
  <c r="D972" i="1"/>
  <c r="B972" i="1"/>
  <c r="A972" i="1"/>
  <c r="L2861" i="1"/>
  <c r="J2861" i="1"/>
  <c r="I2861" i="1"/>
  <c r="H2861" i="1"/>
  <c r="G2861" i="1"/>
  <c r="F2861" i="1"/>
  <c r="E2861" i="1"/>
  <c r="D2861" i="1"/>
  <c r="B2861" i="1"/>
  <c r="A2861" i="1"/>
  <c r="L180" i="1"/>
  <c r="J180" i="1"/>
  <c r="I180" i="1"/>
  <c r="H180" i="1"/>
  <c r="G180" i="1"/>
  <c r="F180" i="1"/>
  <c r="E180" i="1"/>
  <c r="D180" i="1"/>
  <c r="B180" i="1"/>
  <c r="A180" i="1"/>
  <c r="L2860" i="1"/>
  <c r="J2860" i="1"/>
  <c r="I2860" i="1"/>
  <c r="H2860" i="1"/>
  <c r="G2860" i="1"/>
  <c r="F2860" i="1"/>
  <c r="E2860" i="1"/>
  <c r="D2860" i="1"/>
  <c r="B2860" i="1"/>
  <c r="A2860" i="1"/>
  <c r="L179" i="1"/>
  <c r="J179" i="1"/>
  <c r="I179" i="1"/>
  <c r="H179" i="1"/>
  <c r="G179" i="1"/>
  <c r="F179" i="1"/>
  <c r="E179" i="1"/>
  <c r="D179" i="1"/>
  <c r="B179" i="1"/>
  <c r="A179" i="1"/>
  <c r="L2859" i="1"/>
  <c r="J2859" i="1"/>
  <c r="I2859" i="1"/>
  <c r="H2859" i="1"/>
  <c r="G2859" i="1"/>
  <c r="F2859" i="1"/>
  <c r="E2859" i="1"/>
  <c r="D2859" i="1"/>
  <c r="B2859" i="1"/>
  <c r="A2859" i="1"/>
  <c r="L688" i="1"/>
  <c r="J688" i="1"/>
  <c r="I688" i="1"/>
  <c r="H688" i="1"/>
  <c r="G688" i="1"/>
  <c r="F688" i="1"/>
  <c r="E688" i="1"/>
  <c r="D688" i="1"/>
  <c r="B688" i="1"/>
  <c r="A688" i="1"/>
  <c r="L2184" i="1"/>
  <c r="J2184" i="1"/>
  <c r="I2184" i="1"/>
  <c r="H2184" i="1"/>
  <c r="G2184" i="1"/>
  <c r="F2184" i="1"/>
  <c r="E2184" i="1"/>
  <c r="D2184" i="1"/>
  <c r="B2184" i="1"/>
  <c r="A2184" i="1"/>
  <c r="L1512" i="1"/>
  <c r="J1512" i="1"/>
  <c r="I1512" i="1"/>
  <c r="H1512" i="1"/>
  <c r="G1512" i="1"/>
  <c r="F1512" i="1"/>
  <c r="E1512" i="1"/>
  <c r="D1512" i="1"/>
  <c r="B1512" i="1"/>
  <c r="A1512" i="1"/>
  <c r="L2629" i="1"/>
  <c r="J2629" i="1"/>
  <c r="I2629" i="1"/>
  <c r="H2629" i="1"/>
  <c r="G2629" i="1"/>
  <c r="F2629" i="1"/>
  <c r="E2629" i="1"/>
  <c r="D2629" i="1"/>
  <c r="B2629" i="1"/>
  <c r="A2629" i="1"/>
  <c r="L971" i="1"/>
  <c r="J971" i="1"/>
  <c r="I971" i="1"/>
  <c r="H971" i="1"/>
  <c r="G971" i="1"/>
  <c r="F971" i="1"/>
  <c r="E971" i="1"/>
  <c r="D971" i="1"/>
  <c r="B971" i="1"/>
  <c r="A971" i="1"/>
  <c r="L1511" i="1"/>
  <c r="J1511" i="1"/>
  <c r="I1511" i="1"/>
  <c r="H1511" i="1"/>
  <c r="G1511" i="1"/>
  <c r="F1511" i="1"/>
  <c r="E1511" i="1"/>
  <c r="D1511" i="1"/>
  <c r="B1511" i="1"/>
  <c r="A1511" i="1"/>
  <c r="L1510" i="1"/>
  <c r="J1510" i="1"/>
  <c r="I1510" i="1"/>
  <c r="H1510" i="1"/>
  <c r="G1510" i="1"/>
  <c r="F1510" i="1"/>
  <c r="E1510" i="1"/>
  <c r="D1510" i="1"/>
  <c r="B1510" i="1"/>
  <c r="A1510" i="1"/>
  <c r="L55" i="1"/>
  <c r="K55" i="1"/>
  <c r="J55" i="1"/>
  <c r="I55" i="1"/>
  <c r="H55" i="1"/>
  <c r="G55" i="1"/>
  <c r="F55" i="1"/>
  <c r="E55" i="1"/>
  <c r="D55" i="1"/>
  <c r="B55" i="1"/>
  <c r="A55" i="1"/>
  <c r="L1166" i="1"/>
  <c r="K1166" i="1"/>
  <c r="J1166" i="1"/>
  <c r="I1166" i="1"/>
  <c r="H1166" i="1"/>
  <c r="G1166" i="1"/>
  <c r="F1166" i="1"/>
  <c r="E1166" i="1"/>
  <c r="D1166" i="1"/>
  <c r="B1166" i="1"/>
  <c r="A1166" i="1"/>
  <c r="L178" i="1"/>
  <c r="J178" i="1"/>
  <c r="I178" i="1"/>
  <c r="H178" i="1"/>
  <c r="G178" i="1"/>
  <c r="F178" i="1"/>
  <c r="E178" i="1"/>
  <c r="D178" i="1"/>
  <c r="B178" i="1"/>
  <c r="A178" i="1"/>
  <c r="L970" i="1"/>
  <c r="J970" i="1"/>
  <c r="I970" i="1"/>
  <c r="H970" i="1"/>
  <c r="G970" i="1"/>
  <c r="F970" i="1"/>
  <c r="E970" i="1"/>
  <c r="D970" i="1"/>
  <c r="B970" i="1"/>
  <c r="A970" i="1"/>
  <c r="L1509" i="1"/>
  <c r="J1509" i="1"/>
  <c r="I1509" i="1"/>
  <c r="H1509" i="1"/>
  <c r="G1509" i="1"/>
  <c r="F1509" i="1"/>
  <c r="E1509" i="1"/>
  <c r="D1509" i="1"/>
  <c r="B1509" i="1"/>
  <c r="A1509" i="1"/>
  <c r="L687" i="1"/>
  <c r="J687" i="1"/>
  <c r="I687" i="1"/>
  <c r="H687" i="1"/>
  <c r="G687" i="1"/>
  <c r="F687" i="1"/>
  <c r="E687" i="1"/>
  <c r="D687" i="1"/>
  <c r="B687" i="1"/>
  <c r="A687" i="1"/>
  <c r="L2183" i="1"/>
  <c r="J2183" i="1"/>
  <c r="I2183" i="1"/>
  <c r="H2183" i="1"/>
  <c r="G2183" i="1"/>
  <c r="F2183" i="1"/>
  <c r="E2183" i="1"/>
  <c r="D2183" i="1"/>
  <c r="B2183" i="1"/>
  <c r="A2183" i="1"/>
  <c r="L2858" i="1"/>
  <c r="J2858" i="1"/>
  <c r="I2858" i="1"/>
  <c r="H2858" i="1"/>
  <c r="G2858" i="1"/>
  <c r="F2858" i="1"/>
  <c r="E2858" i="1"/>
  <c r="D2858" i="1"/>
  <c r="B2858" i="1"/>
  <c r="A2858" i="1"/>
  <c r="L177" i="1"/>
  <c r="J177" i="1"/>
  <c r="I177" i="1"/>
  <c r="H177" i="1"/>
  <c r="G177" i="1"/>
  <c r="F177" i="1"/>
  <c r="E177" i="1"/>
  <c r="D177" i="1"/>
  <c r="B177" i="1"/>
  <c r="A177" i="1"/>
  <c r="L54" i="1"/>
  <c r="K54" i="1"/>
  <c r="J54" i="1"/>
  <c r="I54" i="1"/>
  <c r="H54" i="1"/>
  <c r="G54" i="1"/>
  <c r="F54" i="1"/>
  <c r="E54" i="1"/>
  <c r="D54" i="1"/>
  <c r="B54" i="1"/>
  <c r="A54" i="1"/>
  <c r="L1165" i="1"/>
  <c r="K1165" i="1"/>
  <c r="J1165" i="1"/>
  <c r="I1165" i="1"/>
  <c r="H1165" i="1"/>
  <c r="G1165" i="1"/>
  <c r="F1165" i="1"/>
  <c r="E1165" i="1"/>
  <c r="D1165" i="1"/>
  <c r="B1165" i="1"/>
  <c r="A1165" i="1"/>
  <c r="J1508" i="1"/>
  <c r="I1508" i="1"/>
  <c r="H1508" i="1"/>
  <c r="G1508" i="1"/>
  <c r="F1508" i="1"/>
  <c r="E1508" i="1"/>
  <c r="D1508" i="1"/>
  <c r="B1508" i="1"/>
  <c r="A1508" i="1"/>
  <c r="J1507" i="1"/>
  <c r="I1507" i="1"/>
  <c r="H1507" i="1"/>
  <c r="G1507" i="1"/>
  <c r="F1507" i="1"/>
  <c r="E1507" i="1"/>
  <c r="D1507" i="1"/>
  <c r="B1507" i="1"/>
  <c r="A1507" i="1"/>
  <c r="L2857" i="1"/>
  <c r="J2857" i="1"/>
  <c r="I2857" i="1"/>
  <c r="H2857" i="1"/>
  <c r="G2857" i="1"/>
  <c r="F2857" i="1"/>
  <c r="E2857" i="1"/>
  <c r="D2857" i="1"/>
  <c r="B2857" i="1"/>
  <c r="A2857" i="1"/>
  <c r="L2628" i="1"/>
  <c r="J2628" i="1"/>
  <c r="I2628" i="1"/>
  <c r="H2628" i="1"/>
  <c r="G2628" i="1"/>
  <c r="F2628" i="1"/>
  <c r="E2628" i="1"/>
  <c r="D2628" i="1"/>
  <c r="B2628" i="1"/>
  <c r="A2628" i="1"/>
  <c r="J1506" i="1"/>
  <c r="I1506" i="1"/>
  <c r="H1506" i="1"/>
  <c r="G1506" i="1"/>
  <c r="F1506" i="1"/>
  <c r="E1506" i="1"/>
  <c r="D1506" i="1"/>
  <c r="B1506" i="1"/>
  <c r="A1506" i="1"/>
  <c r="L176" i="1"/>
  <c r="J176" i="1"/>
  <c r="I176" i="1"/>
  <c r="H176" i="1"/>
  <c r="G176" i="1"/>
  <c r="F176" i="1"/>
  <c r="E176" i="1"/>
  <c r="D176" i="1"/>
  <c r="B176" i="1"/>
  <c r="A176" i="1"/>
  <c r="L2627" i="1"/>
  <c r="J2627" i="1"/>
  <c r="I2627" i="1"/>
  <c r="H2627" i="1"/>
  <c r="G2627" i="1"/>
  <c r="F2627" i="1"/>
  <c r="E2627" i="1"/>
  <c r="D2627" i="1"/>
  <c r="B2627" i="1"/>
  <c r="A2627" i="1"/>
  <c r="J1505" i="1"/>
  <c r="I1505" i="1"/>
  <c r="H1505" i="1"/>
  <c r="G1505" i="1"/>
  <c r="F1505" i="1"/>
  <c r="E1505" i="1"/>
  <c r="D1505" i="1"/>
  <c r="B1505" i="1"/>
  <c r="A1505" i="1"/>
  <c r="L686" i="1"/>
  <c r="J686" i="1"/>
  <c r="I686" i="1"/>
  <c r="H686" i="1"/>
  <c r="G686" i="1"/>
  <c r="F686" i="1"/>
  <c r="E686" i="1"/>
  <c r="D686" i="1"/>
  <c r="B686" i="1"/>
  <c r="A686" i="1"/>
  <c r="L2182" i="1"/>
  <c r="J2182" i="1"/>
  <c r="I2182" i="1"/>
  <c r="H2182" i="1"/>
  <c r="G2182" i="1"/>
  <c r="F2182" i="1"/>
  <c r="E2182" i="1"/>
  <c r="D2182" i="1"/>
  <c r="B2182" i="1"/>
  <c r="A2182" i="1"/>
  <c r="L2856" i="1"/>
  <c r="J2856" i="1"/>
  <c r="I2856" i="1"/>
  <c r="H2856" i="1"/>
  <c r="G2856" i="1"/>
  <c r="F2856" i="1"/>
  <c r="E2856" i="1"/>
  <c r="D2856" i="1"/>
  <c r="B2856" i="1"/>
  <c r="A2856" i="1"/>
  <c r="L175" i="1"/>
  <c r="J175" i="1"/>
  <c r="I175" i="1"/>
  <c r="H175" i="1"/>
  <c r="G175" i="1"/>
  <c r="F175" i="1"/>
  <c r="E175" i="1"/>
  <c r="D175" i="1"/>
  <c r="B175" i="1"/>
  <c r="A175" i="1"/>
  <c r="L2626" i="1"/>
  <c r="J2626" i="1"/>
  <c r="I2626" i="1"/>
  <c r="H2626" i="1"/>
  <c r="G2626" i="1"/>
  <c r="F2626" i="1"/>
  <c r="E2626" i="1"/>
  <c r="D2626" i="1"/>
  <c r="B2626" i="1"/>
  <c r="A2626" i="1"/>
  <c r="J1504" i="1"/>
  <c r="I1504" i="1"/>
  <c r="H1504" i="1"/>
  <c r="G1504" i="1"/>
  <c r="F1504" i="1"/>
  <c r="E1504" i="1"/>
  <c r="D1504" i="1"/>
  <c r="B1504" i="1"/>
  <c r="A1504" i="1"/>
  <c r="L2625" i="1"/>
  <c r="J2625" i="1"/>
  <c r="I2625" i="1"/>
  <c r="H2625" i="1"/>
  <c r="G2625" i="1"/>
  <c r="F2625" i="1"/>
  <c r="E2625" i="1"/>
  <c r="D2625" i="1"/>
  <c r="B2625" i="1"/>
  <c r="A2625" i="1"/>
  <c r="L2624" i="1"/>
  <c r="J2624" i="1"/>
  <c r="I2624" i="1"/>
  <c r="H2624" i="1"/>
  <c r="G2624" i="1"/>
  <c r="F2624" i="1"/>
  <c r="E2624" i="1"/>
  <c r="D2624" i="1"/>
  <c r="B2624" i="1"/>
  <c r="A2624" i="1"/>
  <c r="L2855" i="1"/>
  <c r="J2855" i="1"/>
  <c r="I2855" i="1"/>
  <c r="H2855" i="1"/>
  <c r="G2855" i="1"/>
  <c r="F2855" i="1"/>
  <c r="E2855" i="1"/>
  <c r="D2855" i="1"/>
  <c r="B2855" i="1"/>
  <c r="A2855" i="1"/>
  <c r="L174" i="1"/>
  <c r="J174" i="1"/>
  <c r="I174" i="1"/>
  <c r="H174" i="1"/>
  <c r="G174" i="1"/>
  <c r="F174" i="1"/>
  <c r="E174" i="1"/>
  <c r="D174" i="1"/>
  <c r="B174" i="1"/>
  <c r="A174" i="1"/>
  <c r="J1503" i="1"/>
  <c r="I1503" i="1"/>
  <c r="H1503" i="1"/>
  <c r="G1503" i="1"/>
  <c r="F1503" i="1"/>
  <c r="E1503" i="1"/>
  <c r="D1503" i="1"/>
  <c r="B1503" i="1"/>
  <c r="A1503" i="1"/>
  <c r="L2623" i="1"/>
  <c r="J2623" i="1"/>
  <c r="I2623" i="1"/>
  <c r="H2623" i="1"/>
  <c r="G2623" i="1"/>
  <c r="F2623" i="1"/>
  <c r="E2623" i="1"/>
  <c r="D2623" i="1"/>
  <c r="B2623" i="1"/>
  <c r="A2623" i="1"/>
  <c r="J1502" i="1"/>
  <c r="I1502" i="1"/>
  <c r="H1502" i="1"/>
  <c r="G1502" i="1"/>
  <c r="F1502" i="1"/>
  <c r="E1502" i="1"/>
  <c r="D1502" i="1"/>
  <c r="B1502" i="1"/>
  <c r="A1502" i="1"/>
  <c r="L685" i="1"/>
  <c r="J685" i="1"/>
  <c r="I685" i="1"/>
  <c r="H685" i="1"/>
  <c r="G685" i="1"/>
  <c r="F685" i="1"/>
  <c r="E685" i="1"/>
  <c r="D685" i="1"/>
  <c r="B685" i="1"/>
  <c r="A685" i="1"/>
  <c r="L2181" i="1"/>
  <c r="J2181" i="1"/>
  <c r="I2181" i="1"/>
  <c r="H2181" i="1"/>
  <c r="G2181" i="1"/>
  <c r="F2181" i="1"/>
  <c r="E2181" i="1"/>
  <c r="D2181" i="1"/>
  <c r="B2181" i="1"/>
  <c r="A2181" i="1"/>
  <c r="L2622" i="1"/>
  <c r="J2622" i="1"/>
  <c r="I2622" i="1"/>
  <c r="H2622" i="1"/>
  <c r="G2622" i="1"/>
  <c r="F2622" i="1"/>
  <c r="E2622" i="1"/>
  <c r="D2622" i="1"/>
  <c r="B2622" i="1"/>
  <c r="A2622" i="1"/>
  <c r="L2854" i="1"/>
  <c r="J2854" i="1"/>
  <c r="I2854" i="1"/>
  <c r="H2854" i="1"/>
  <c r="G2854" i="1"/>
  <c r="F2854" i="1"/>
  <c r="E2854" i="1"/>
  <c r="D2854" i="1"/>
  <c r="B2854" i="1"/>
  <c r="A2854" i="1"/>
  <c r="L173" i="1"/>
  <c r="J173" i="1"/>
  <c r="I173" i="1"/>
  <c r="H173" i="1"/>
  <c r="G173" i="1"/>
  <c r="F173" i="1"/>
  <c r="E173" i="1"/>
  <c r="D173" i="1"/>
  <c r="B173" i="1"/>
  <c r="A173" i="1"/>
  <c r="J1501" i="1"/>
  <c r="I1501" i="1"/>
  <c r="H1501" i="1"/>
  <c r="G1501" i="1"/>
  <c r="F1501" i="1"/>
  <c r="E1501" i="1"/>
  <c r="D1501" i="1"/>
  <c r="B1501" i="1"/>
  <c r="A1501" i="1"/>
  <c r="L53" i="1"/>
  <c r="K53" i="1"/>
  <c r="J53" i="1"/>
  <c r="I53" i="1"/>
  <c r="H53" i="1"/>
  <c r="G53" i="1"/>
  <c r="F53" i="1"/>
  <c r="E53" i="1"/>
  <c r="D53" i="1"/>
  <c r="B53" i="1"/>
  <c r="A53" i="1"/>
  <c r="L1164" i="1"/>
  <c r="K1164" i="1"/>
  <c r="J1164" i="1"/>
  <c r="I1164" i="1"/>
  <c r="H1164" i="1"/>
  <c r="G1164" i="1"/>
  <c r="F1164" i="1"/>
  <c r="E1164" i="1"/>
  <c r="D1164" i="1"/>
  <c r="B1164" i="1"/>
  <c r="A1164" i="1"/>
  <c r="L684" i="1"/>
  <c r="J684" i="1"/>
  <c r="I684" i="1"/>
  <c r="H684" i="1"/>
  <c r="G684" i="1"/>
  <c r="F684" i="1"/>
  <c r="E684" i="1"/>
  <c r="D684" i="1"/>
  <c r="B684" i="1"/>
  <c r="A684" i="1"/>
  <c r="L2180" i="1"/>
  <c r="J2180" i="1"/>
  <c r="I2180" i="1"/>
  <c r="H2180" i="1"/>
  <c r="G2180" i="1"/>
  <c r="F2180" i="1"/>
  <c r="E2180" i="1"/>
  <c r="D2180" i="1"/>
  <c r="B2180" i="1"/>
  <c r="A2180" i="1"/>
  <c r="L2621" i="1"/>
  <c r="J2621" i="1"/>
  <c r="I2621" i="1"/>
  <c r="H2621" i="1"/>
  <c r="G2621" i="1"/>
  <c r="F2621" i="1"/>
  <c r="E2621" i="1"/>
  <c r="D2621" i="1"/>
  <c r="B2621" i="1"/>
  <c r="A2621" i="1"/>
  <c r="J1500" i="1"/>
  <c r="I1500" i="1"/>
  <c r="H1500" i="1"/>
  <c r="G1500" i="1"/>
  <c r="F1500" i="1"/>
  <c r="E1500" i="1"/>
  <c r="D1500" i="1"/>
  <c r="B1500" i="1"/>
  <c r="A1500" i="1"/>
  <c r="L2853" i="1"/>
  <c r="J2853" i="1"/>
  <c r="I2853" i="1"/>
  <c r="H2853" i="1"/>
  <c r="G2853" i="1"/>
  <c r="F2853" i="1"/>
  <c r="E2853" i="1"/>
  <c r="D2853" i="1"/>
  <c r="B2853" i="1"/>
  <c r="A2853" i="1"/>
  <c r="L172" i="1"/>
  <c r="J172" i="1"/>
  <c r="I172" i="1"/>
  <c r="H172" i="1"/>
  <c r="G172" i="1"/>
  <c r="F172" i="1"/>
  <c r="E172" i="1"/>
  <c r="D172" i="1"/>
  <c r="B172" i="1"/>
  <c r="A172" i="1"/>
  <c r="L2620" i="1"/>
  <c r="J2620" i="1"/>
  <c r="I2620" i="1"/>
  <c r="H2620" i="1"/>
  <c r="G2620" i="1"/>
  <c r="F2620" i="1"/>
  <c r="E2620" i="1"/>
  <c r="D2620" i="1"/>
  <c r="B2620" i="1"/>
  <c r="A2620" i="1"/>
  <c r="J1499" i="1"/>
  <c r="I1499" i="1"/>
  <c r="H1499" i="1"/>
  <c r="G1499" i="1"/>
  <c r="F1499" i="1"/>
  <c r="E1499" i="1"/>
  <c r="D1499" i="1"/>
  <c r="B1499" i="1"/>
  <c r="A1499" i="1"/>
  <c r="L2852" i="1"/>
  <c r="J2852" i="1"/>
  <c r="I2852" i="1"/>
  <c r="H2852" i="1"/>
  <c r="G2852" i="1"/>
  <c r="F2852" i="1"/>
  <c r="E2852" i="1"/>
  <c r="D2852" i="1"/>
  <c r="B2852" i="1"/>
  <c r="A2852" i="1"/>
  <c r="L171" i="1"/>
  <c r="J171" i="1"/>
  <c r="I171" i="1"/>
  <c r="H171" i="1"/>
  <c r="G171" i="1"/>
  <c r="F171" i="1"/>
  <c r="E171" i="1"/>
  <c r="D171" i="1"/>
  <c r="B171" i="1"/>
  <c r="A171" i="1"/>
  <c r="L2619" i="1"/>
  <c r="J2619" i="1"/>
  <c r="I2619" i="1"/>
  <c r="H2619" i="1"/>
  <c r="G2619" i="1"/>
  <c r="F2619" i="1"/>
  <c r="E2619" i="1"/>
  <c r="D2619" i="1"/>
  <c r="B2619" i="1"/>
  <c r="A2619" i="1"/>
  <c r="J1498" i="1"/>
  <c r="I1498" i="1"/>
  <c r="H1498" i="1"/>
  <c r="G1498" i="1"/>
  <c r="F1498" i="1"/>
  <c r="E1498" i="1"/>
  <c r="D1498" i="1"/>
  <c r="B1498" i="1"/>
  <c r="A1498" i="1"/>
  <c r="L2618" i="1"/>
  <c r="J2618" i="1"/>
  <c r="I2618" i="1"/>
  <c r="H2618" i="1"/>
  <c r="G2618" i="1"/>
  <c r="F2618" i="1"/>
  <c r="E2618" i="1"/>
  <c r="D2618" i="1"/>
  <c r="B2618" i="1"/>
  <c r="A2618" i="1"/>
  <c r="L2617" i="1"/>
  <c r="J2617" i="1"/>
  <c r="I2617" i="1"/>
  <c r="H2617" i="1"/>
  <c r="G2617" i="1"/>
  <c r="F2617" i="1"/>
  <c r="E2617" i="1"/>
  <c r="D2617" i="1"/>
  <c r="B2617" i="1"/>
  <c r="A2617" i="1"/>
  <c r="L2851" i="1"/>
  <c r="J2851" i="1"/>
  <c r="I2851" i="1"/>
  <c r="H2851" i="1"/>
  <c r="G2851" i="1"/>
  <c r="F2851" i="1"/>
  <c r="E2851" i="1"/>
  <c r="D2851" i="1"/>
  <c r="B2851" i="1"/>
  <c r="A2851" i="1"/>
  <c r="L170" i="1"/>
  <c r="J170" i="1"/>
  <c r="I170" i="1"/>
  <c r="H170" i="1"/>
  <c r="G170" i="1"/>
  <c r="F170" i="1"/>
  <c r="E170" i="1"/>
  <c r="D170" i="1"/>
  <c r="B170" i="1"/>
  <c r="A170" i="1"/>
  <c r="L52" i="1"/>
  <c r="K52" i="1"/>
  <c r="J52" i="1"/>
  <c r="I52" i="1"/>
  <c r="H52" i="1"/>
  <c r="G52" i="1"/>
  <c r="F52" i="1"/>
  <c r="E52" i="1"/>
  <c r="D52" i="1"/>
  <c r="B52" i="1"/>
  <c r="A52" i="1"/>
  <c r="L1163" i="1"/>
  <c r="K1163" i="1"/>
  <c r="J1163" i="1"/>
  <c r="I1163" i="1"/>
  <c r="H1163" i="1"/>
  <c r="G1163" i="1"/>
  <c r="F1163" i="1"/>
  <c r="E1163" i="1"/>
  <c r="D1163" i="1"/>
  <c r="B1163" i="1"/>
  <c r="A1163" i="1"/>
  <c r="J1497" i="1"/>
  <c r="I1497" i="1"/>
  <c r="H1497" i="1"/>
  <c r="G1497" i="1"/>
  <c r="F1497" i="1"/>
  <c r="E1497" i="1"/>
  <c r="D1497" i="1"/>
  <c r="B1497" i="1"/>
  <c r="A1497" i="1"/>
  <c r="L2616" i="1"/>
  <c r="J2616" i="1"/>
  <c r="I2616" i="1"/>
  <c r="H2616" i="1"/>
  <c r="G2616" i="1"/>
  <c r="F2616" i="1"/>
  <c r="E2616" i="1"/>
  <c r="D2616" i="1"/>
  <c r="B2616" i="1"/>
  <c r="A2616" i="1"/>
  <c r="L2850" i="1"/>
  <c r="J2850" i="1"/>
  <c r="I2850" i="1"/>
  <c r="H2850" i="1"/>
  <c r="G2850" i="1"/>
  <c r="F2850" i="1"/>
  <c r="E2850" i="1"/>
  <c r="D2850" i="1"/>
  <c r="B2850" i="1"/>
  <c r="A2850" i="1"/>
  <c r="L169" i="1"/>
  <c r="J169" i="1"/>
  <c r="I169" i="1"/>
  <c r="H169" i="1"/>
  <c r="G169" i="1"/>
  <c r="F169" i="1"/>
  <c r="E169" i="1"/>
  <c r="D169" i="1"/>
  <c r="B169" i="1"/>
  <c r="A169" i="1"/>
  <c r="J1496" i="1"/>
  <c r="I1496" i="1"/>
  <c r="H1496" i="1"/>
  <c r="G1496" i="1"/>
  <c r="F1496" i="1"/>
  <c r="E1496" i="1"/>
  <c r="D1496" i="1"/>
  <c r="B1496" i="1"/>
  <c r="A1496" i="1"/>
  <c r="L51" i="1"/>
  <c r="K51" i="1"/>
  <c r="J51" i="1"/>
  <c r="I51" i="1"/>
  <c r="H51" i="1"/>
  <c r="G51" i="1"/>
  <c r="F51" i="1"/>
  <c r="E51" i="1"/>
  <c r="D51" i="1"/>
  <c r="B51" i="1"/>
  <c r="A51" i="1"/>
  <c r="L1162" i="1"/>
  <c r="K1162" i="1"/>
  <c r="J1162" i="1"/>
  <c r="I1162" i="1"/>
  <c r="H1162" i="1"/>
  <c r="G1162" i="1"/>
  <c r="F1162" i="1"/>
  <c r="E1162" i="1"/>
  <c r="D1162" i="1"/>
  <c r="B1162" i="1"/>
  <c r="A1162" i="1"/>
  <c r="L2615" i="1"/>
  <c r="J2615" i="1"/>
  <c r="I2615" i="1"/>
  <c r="H2615" i="1"/>
  <c r="G2615" i="1"/>
  <c r="F2615" i="1"/>
  <c r="E2615" i="1"/>
  <c r="D2615" i="1"/>
  <c r="B2615" i="1"/>
  <c r="A2615" i="1"/>
  <c r="L683" i="1"/>
  <c r="J683" i="1"/>
  <c r="I683" i="1"/>
  <c r="H683" i="1"/>
  <c r="G683" i="1"/>
  <c r="F683" i="1"/>
  <c r="E683" i="1"/>
  <c r="D683" i="1"/>
  <c r="B683" i="1"/>
  <c r="A683" i="1"/>
  <c r="L2179" i="1"/>
  <c r="J2179" i="1"/>
  <c r="I2179" i="1"/>
  <c r="H2179" i="1"/>
  <c r="G2179" i="1"/>
  <c r="F2179" i="1"/>
  <c r="E2179" i="1"/>
  <c r="D2179" i="1"/>
  <c r="B2179" i="1"/>
  <c r="A2179" i="1"/>
  <c r="L2614" i="1"/>
  <c r="J2614" i="1"/>
  <c r="I2614" i="1"/>
  <c r="H2614" i="1"/>
  <c r="G2614" i="1"/>
  <c r="F2614" i="1"/>
  <c r="E2614" i="1"/>
  <c r="D2614" i="1"/>
  <c r="B2614" i="1"/>
  <c r="A2614" i="1"/>
  <c r="L1495" i="1"/>
  <c r="J1495" i="1"/>
  <c r="I1495" i="1"/>
  <c r="H1495" i="1"/>
  <c r="G1495" i="1"/>
  <c r="F1495" i="1"/>
  <c r="E1495" i="1"/>
  <c r="D1495" i="1"/>
  <c r="B1495" i="1"/>
  <c r="A1495" i="1"/>
  <c r="L969" i="1"/>
  <c r="J969" i="1"/>
  <c r="I969" i="1"/>
  <c r="H969" i="1"/>
  <c r="G969" i="1"/>
  <c r="F969" i="1"/>
  <c r="E969" i="1"/>
  <c r="D969" i="1"/>
  <c r="B969" i="1"/>
  <c r="A969" i="1"/>
  <c r="L2849" i="1"/>
  <c r="J2849" i="1"/>
  <c r="I2849" i="1"/>
  <c r="H2849" i="1"/>
  <c r="G2849" i="1"/>
  <c r="F2849" i="1"/>
  <c r="E2849" i="1"/>
  <c r="D2849" i="1"/>
  <c r="B2849" i="1"/>
  <c r="A2849" i="1"/>
  <c r="L168" i="1"/>
  <c r="J168" i="1"/>
  <c r="I168" i="1"/>
  <c r="H168" i="1"/>
  <c r="G168" i="1"/>
  <c r="F168" i="1"/>
  <c r="E168" i="1"/>
  <c r="D168" i="1"/>
  <c r="B168" i="1"/>
  <c r="A168" i="1"/>
  <c r="L968" i="1"/>
  <c r="J968" i="1"/>
  <c r="I968" i="1"/>
  <c r="H968" i="1"/>
  <c r="G968" i="1"/>
  <c r="F968" i="1"/>
  <c r="E968" i="1"/>
  <c r="D968" i="1"/>
  <c r="B968" i="1"/>
  <c r="A968" i="1"/>
  <c r="L682" i="1"/>
  <c r="J682" i="1"/>
  <c r="I682" i="1"/>
  <c r="H682" i="1"/>
  <c r="G682" i="1"/>
  <c r="F682" i="1"/>
  <c r="E682" i="1"/>
  <c r="D682" i="1"/>
  <c r="B682" i="1"/>
  <c r="A682" i="1"/>
  <c r="L2613" i="1"/>
  <c r="J2613" i="1"/>
  <c r="I2613" i="1"/>
  <c r="H2613" i="1"/>
  <c r="G2613" i="1"/>
  <c r="F2613" i="1"/>
  <c r="E2613" i="1"/>
  <c r="D2613" i="1"/>
  <c r="B2613" i="1"/>
  <c r="A2613" i="1"/>
  <c r="L2178" i="1"/>
  <c r="J2178" i="1"/>
  <c r="I2178" i="1"/>
  <c r="H2178" i="1"/>
  <c r="G2178" i="1"/>
  <c r="F2178" i="1"/>
  <c r="E2178" i="1"/>
  <c r="D2178" i="1"/>
  <c r="B2178" i="1"/>
  <c r="A2178" i="1"/>
  <c r="L2612" i="1"/>
  <c r="J2612" i="1"/>
  <c r="I2612" i="1"/>
  <c r="H2612" i="1"/>
  <c r="G2612" i="1"/>
  <c r="F2612" i="1"/>
  <c r="E2612" i="1"/>
  <c r="D2612" i="1"/>
  <c r="B2612" i="1"/>
  <c r="A2612" i="1"/>
  <c r="L2848" i="1"/>
  <c r="J2848" i="1"/>
  <c r="I2848" i="1"/>
  <c r="H2848" i="1"/>
  <c r="G2848" i="1"/>
  <c r="F2848" i="1"/>
  <c r="E2848" i="1"/>
  <c r="D2848" i="1"/>
  <c r="B2848" i="1"/>
  <c r="A2848" i="1"/>
  <c r="L167" i="1"/>
  <c r="J167" i="1"/>
  <c r="I167" i="1"/>
  <c r="H167" i="1"/>
  <c r="G167" i="1"/>
  <c r="F167" i="1"/>
  <c r="E167" i="1"/>
  <c r="D167" i="1"/>
  <c r="B167" i="1"/>
  <c r="A167" i="1"/>
  <c r="L2847" i="1"/>
  <c r="J2847" i="1"/>
  <c r="I2847" i="1"/>
  <c r="H2847" i="1"/>
  <c r="G2847" i="1"/>
  <c r="F2847" i="1"/>
  <c r="E2847" i="1"/>
  <c r="D2847" i="1"/>
  <c r="B2847" i="1"/>
  <c r="A2847" i="1"/>
  <c r="L2611" i="1"/>
  <c r="J2611" i="1"/>
  <c r="I2611" i="1"/>
  <c r="H2611" i="1"/>
  <c r="G2611" i="1"/>
  <c r="F2611" i="1"/>
  <c r="E2611" i="1"/>
  <c r="D2611" i="1"/>
  <c r="B2611" i="1"/>
  <c r="A2611" i="1"/>
  <c r="L2610" i="1"/>
  <c r="J2610" i="1"/>
  <c r="I2610" i="1"/>
  <c r="H2610" i="1"/>
  <c r="G2610" i="1"/>
  <c r="F2610" i="1"/>
  <c r="E2610" i="1"/>
  <c r="D2610" i="1"/>
  <c r="B2610" i="1"/>
  <c r="A2610" i="1"/>
  <c r="L1494" i="1"/>
  <c r="J1494" i="1"/>
  <c r="I1494" i="1"/>
  <c r="H1494" i="1"/>
  <c r="G1494" i="1"/>
  <c r="F1494" i="1"/>
  <c r="E1494" i="1"/>
  <c r="D1494" i="1"/>
  <c r="B1494" i="1"/>
  <c r="A1494" i="1"/>
  <c r="L681" i="1"/>
  <c r="J681" i="1"/>
  <c r="I681" i="1"/>
  <c r="H681" i="1"/>
  <c r="G681" i="1"/>
  <c r="F681" i="1"/>
  <c r="E681" i="1"/>
  <c r="D681" i="1"/>
  <c r="B681" i="1"/>
  <c r="A681" i="1"/>
  <c r="L2177" i="1"/>
  <c r="J2177" i="1"/>
  <c r="I2177" i="1"/>
  <c r="H2177" i="1"/>
  <c r="G2177" i="1"/>
  <c r="F2177" i="1"/>
  <c r="E2177" i="1"/>
  <c r="D2177" i="1"/>
  <c r="B2177" i="1"/>
  <c r="A2177" i="1"/>
  <c r="L967" i="1"/>
  <c r="J967" i="1"/>
  <c r="I967" i="1"/>
  <c r="H967" i="1"/>
  <c r="G967" i="1"/>
  <c r="F967" i="1"/>
  <c r="E967" i="1"/>
  <c r="D967" i="1"/>
  <c r="B967" i="1"/>
  <c r="A967" i="1"/>
  <c r="L966" i="1"/>
  <c r="J966" i="1"/>
  <c r="I966" i="1"/>
  <c r="H966" i="1"/>
  <c r="G966" i="1"/>
  <c r="F966" i="1"/>
  <c r="E966" i="1"/>
  <c r="D966" i="1"/>
  <c r="B966" i="1"/>
  <c r="A966" i="1"/>
  <c r="L1493" i="1"/>
  <c r="J1493" i="1"/>
  <c r="I1493" i="1"/>
  <c r="H1493" i="1"/>
  <c r="G1493" i="1"/>
  <c r="F1493" i="1"/>
  <c r="E1493" i="1"/>
  <c r="D1493" i="1"/>
  <c r="B1493" i="1"/>
  <c r="A1493" i="1"/>
  <c r="L166" i="1"/>
  <c r="J166" i="1"/>
  <c r="I166" i="1"/>
  <c r="H166" i="1"/>
  <c r="G166" i="1"/>
  <c r="F166" i="1"/>
  <c r="E166" i="1"/>
  <c r="D166" i="1"/>
  <c r="B166" i="1"/>
  <c r="A166" i="1"/>
  <c r="L2176" i="1"/>
  <c r="J2176" i="1"/>
  <c r="I2176" i="1"/>
  <c r="H2176" i="1"/>
  <c r="G2176" i="1"/>
  <c r="F2176" i="1"/>
  <c r="E2176" i="1"/>
  <c r="D2176" i="1"/>
  <c r="B2176" i="1"/>
  <c r="A2176" i="1"/>
  <c r="L2175" i="1"/>
  <c r="K2175" i="1"/>
  <c r="J2175" i="1"/>
  <c r="I2175" i="1"/>
  <c r="H2175" i="1"/>
  <c r="G2175" i="1"/>
  <c r="F2175" i="1"/>
  <c r="E2175" i="1"/>
  <c r="D2175" i="1"/>
  <c r="B2175" i="1"/>
  <c r="A2175" i="1"/>
  <c r="L680" i="1"/>
  <c r="J680" i="1"/>
  <c r="I680" i="1"/>
  <c r="H680" i="1"/>
  <c r="G680" i="1"/>
  <c r="F680" i="1"/>
  <c r="E680" i="1"/>
  <c r="D680" i="1"/>
  <c r="B680" i="1"/>
  <c r="A680" i="1"/>
  <c r="L2609" i="1"/>
  <c r="J2609" i="1"/>
  <c r="I2609" i="1"/>
  <c r="H2609" i="1"/>
  <c r="G2609" i="1"/>
  <c r="F2609" i="1"/>
  <c r="E2609" i="1"/>
  <c r="D2609" i="1"/>
  <c r="B2609" i="1"/>
  <c r="A2609" i="1"/>
  <c r="L50" i="1"/>
  <c r="K50" i="1"/>
  <c r="J50" i="1"/>
  <c r="I50" i="1"/>
  <c r="H50" i="1"/>
  <c r="G50" i="1"/>
  <c r="F50" i="1"/>
  <c r="E50" i="1"/>
  <c r="D50" i="1"/>
  <c r="B50" i="1"/>
  <c r="A50" i="1"/>
  <c r="L1161" i="1"/>
  <c r="K1161" i="1"/>
  <c r="J1161" i="1"/>
  <c r="I1161" i="1"/>
  <c r="H1161" i="1"/>
  <c r="G1161" i="1"/>
  <c r="F1161" i="1"/>
  <c r="E1161" i="1"/>
  <c r="D1161" i="1"/>
  <c r="B1161" i="1"/>
  <c r="A1161" i="1"/>
  <c r="L965" i="1"/>
  <c r="J965" i="1"/>
  <c r="I965" i="1"/>
  <c r="H965" i="1"/>
  <c r="G965" i="1"/>
  <c r="F965" i="1"/>
  <c r="E965" i="1"/>
  <c r="D965" i="1"/>
  <c r="B965" i="1"/>
  <c r="A965" i="1"/>
  <c r="L964" i="1"/>
  <c r="J964" i="1"/>
  <c r="I964" i="1"/>
  <c r="H964" i="1"/>
  <c r="G964" i="1"/>
  <c r="F964" i="1"/>
  <c r="E964" i="1"/>
  <c r="D964" i="1"/>
  <c r="B964" i="1"/>
  <c r="A964" i="1"/>
  <c r="L1492" i="1"/>
  <c r="J1492" i="1"/>
  <c r="I1492" i="1"/>
  <c r="H1492" i="1"/>
  <c r="G1492" i="1"/>
  <c r="F1492" i="1"/>
  <c r="E1492" i="1"/>
  <c r="D1492" i="1"/>
  <c r="B1492" i="1"/>
  <c r="A1492" i="1"/>
  <c r="L2608" i="1"/>
  <c r="J2608" i="1"/>
  <c r="I2608" i="1"/>
  <c r="H2608" i="1"/>
  <c r="G2608" i="1"/>
  <c r="F2608" i="1"/>
  <c r="E2608" i="1"/>
  <c r="D2608" i="1"/>
  <c r="B2608" i="1"/>
  <c r="A2608" i="1"/>
  <c r="L963" i="1"/>
  <c r="J963" i="1"/>
  <c r="I963" i="1"/>
  <c r="H963" i="1"/>
  <c r="G963" i="1"/>
  <c r="F963" i="1"/>
  <c r="E963" i="1"/>
  <c r="D963" i="1"/>
  <c r="B963" i="1"/>
  <c r="A963" i="1"/>
  <c r="L2846" i="1"/>
  <c r="J2846" i="1"/>
  <c r="I2846" i="1"/>
  <c r="H2846" i="1"/>
  <c r="G2846" i="1"/>
  <c r="F2846" i="1"/>
  <c r="E2846" i="1"/>
  <c r="D2846" i="1"/>
  <c r="B2846" i="1"/>
  <c r="A2846" i="1"/>
  <c r="L165" i="1"/>
  <c r="J165" i="1"/>
  <c r="I165" i="1"/>
  <c r="H165" i="1"/>
  <c r="G165" i="1"/>
  <c r="F165" i="1"/>
  <c r="E165" i="1"/>
  <c r="D165" i="1"/>
  <c r="B165" i="1"/>
  <c r="A165" i="1"/>
  <c r="L2845" i="1"/>
  <c r="J2845" i="1"/>
  <c r="I2845" i="1"/>
  <c r="H2845" i="1"/>
  <c r="G2845" i="1"/>
  <c r="F2845" i="1"/>
  <c r="E2845" i="1"/>
  <c r="D2845" i="1"/>
  <c r="B2845" i="1"/>
  <c r="A2845" i="1"/>
  <c r="L164" i="1"/>
  <c r="J164" i="1"/>
  <c r="I164" i="1"/>
  <c r="H164" i="1"/>
  <c r="G164" i="1"/>
  <c r="F164" i="1"/>
  <c r="E164" i="1"/>
  <c r="D164" i="1"/>
  <c r="B164" i="1"/>
  <c r="A164" i="1"/>
  <c r="L2607" i="1"/>
  <c r="J2607" i="1"/>
  <c r="I2607" i="1"/>
  <c r="H2607" i="1"/>
  <c r="G2607" i="1"/>
  <c r="F2607" i="1"/>
  <c r="E2607" i="1"/>
  <c r="D2607" i="1"/>
  <c r="B2607" i="1"/>
  <c r="A2607" i="1"/>
  <c r="L1491" i="1"/>
  <c r="J1491" i="1"/>
  <c r="I1491" i="1"/>
  <c r="H1491" i="1"/>
  <c r="G1491" i="1"/>
  <c r="F1491" i="1"/>
  <c r="E1491" i="1"/>
  <c r="D1491" i="1"/>
  <c r="B1491" i="1"/>
  <c r="A1491" i="1"/>
  <c r="L2606" i="1"/>
  <c r="J2606" i="1"/>
  <c r="I2606" i="1"/>
  <c r="H2606" i="1"/>
  <c r="G2606" i="1"/>
  <c r="F2606" i="1"/>
  <c r="E2606" i="1"/>
  <c r="D2606" i="1"/>
  <c r="B2606" i="1"/>
  <c r="A2606" i="1"/>
  <c r="L2605" i="1"/>
  <c r="J2605" i="1"/>
  <c r="I2605" i="1"/>
  <c r="H2605" i="1"/>
  <c r="G2605" i="1"/>
  <c r="F2605" i="1"/>
  <c r="E2605" i="1"/>
  <c r="D2605" i="1"/>
  <c r="B2605" i="1"/>
  <c r="A2605" i="1"/>
  <c r="L679" i="1"/>
  <c r="J679" i="1"/>
  <c r="I679" i="1"/>
  <c r="H679" i="1"/>
  <c r="G679" i="1"/>
  <c r="F679" i="1"/>
  <c r="E679" i="1"/>
  <c r="D679" i="1"/>
  <c r="B679" i="1"/>
  <c r="A679" i="1"/>
  <c r="L2174" i="1"/>
  <c r="J2174" i="1"/>
  <c r="I2174" i="1"/>
  <c r="H2174" i="1"/>
  <c r="G2174" i="1"/>
  <c r="F2174" i="1"/>
  <c r="E2174" i="1"/>
  <c r="D2174" i="1"/>
  <c r="B2174" i="1"/>
  <c r="A2174" i="1"/>
  <c r="L2604" i="1"/>
  <c r="J2604" i="1"/>
  <c r="I2604" i="1"/>
  <c r="H2604" i="1"/>
  <c r="G2604" i="1"/>
  <c r="F2604" i="1"/>
  <c r="E2604" i="1"/>
  <c r="D2604" i="1"/>
  <c r="B2604" i="1"/>
  <c r="A2604" i="1"/>
  <c r="L2844" i="1"/>
  <c r="J2844" i="1"/>
  <c r="I2844" i="1"/>
  <c r="H2844" i="1"/>
  <c r="G2844" i="1"/>
  <c r="F2844" i="1"/>
  <c r="E2844" i="1"/>
  <c r="D2844" i="1"/>
  <c r="B2844" i="1"/>
  <c r="A2844" i="1"/>
  <c r="L163" i="1"/>
  <c r="J163" i="1"/>
  <c r="I163" i="1"/>
  <c r="H163" i="1"/>
  <c r="G163" i="1"/>
  <c r="F163" i="1"/>
  <c r="E163" i="1"/>
  <c r="D163" i="1"/>
  <c r="B163" i="1"/>
  <c r="A163" i="1"/>
  <c r="L962" i="1"/>
  <c r="J962" i="1"/>
  <c r="I962" i="1"/>
  <c r="H962" i="1"/>
  <c r="G962" i="1"/>
  <c r="F962" i="1"/>
  <c r="E962" i="1"/>
  <c r="D962" i="1"/>
  <c r="B962" i="1"/>
  <c r="A962" i="1"/>
  <c r="L1490" i="1"/>
  <c r="J1490" i="1"/>
  <c r="I1490" i="1"/>
  <c r="H1490" i="1"/>
  <c r="G1490" i="1"/>
  <c r="F1490" i="1"/>
  <c r="E1490" i="1"/>
  <c r="D1490" i="1"/>
  <c r="B1490" i="1"/>
  <c r="A1490" i="1"/>
  <c r="L2843" i="1"/>
  <c r="J2843" i="1"/>
  <c r="I2843" i="1"/>
  <c r="H2843" i="1"/>
  <c r="G2843" i="1"/>
  <c r="F2843" i="1"/>
  <c r="E2843" i="1"/>
  <c r="D2843" i="1"/>
  <c r="B2843" i="1"/>
  <c r="A2843" i="1"/>
  <c r="L2603" i="1"/>
  <c r="J2603" i="1"/>
  <c r="I2603" i="1"/>
  <c r="H2603" i="1"/>
  <c r="G2603" i="1"/>
  <c r="F2603" i="1"/>
  <c r="E2603" i="1"/>
  <c r="D2603" i="1"/>
  <c r="B2603" i="1"/>
  <c r="A2603" i="1"/>
  <c r="L961" i="1"/>
  <c r="J961" i="1"/>
  <c r="I961" i="1"/>
  <c r="H961" i="1"/>
  <c r="G961" i="1"/>
  <c r="F961" i="1"/>
  <c r="E961" i="1"/>
  <c r="D961" i="1"/>
  <c r="B961" i="1"/>
  <c r="A961" i="1"/>
  <c r="L162" i="1"/>
  <c r="J162" i="1"/>
  <c r="I162" i="1"/>
  <c r="H162" i="1"/>
  <c r="G162" i="1"/>
  <c r="F162" i="1"/>
  <c r="E162" i="1"/>
  <c r="D162" i="1"/>
  <c r="B162" i="1"/>
  <c r="A162" i="1"/>
  <c r="L2602" i="1"/>
  <c r="J2602" i="1"/>
  <c r="I2602" i="1"/>
  <c r="H2602" i="1"/>
  <c r="G2602" i="1"/>
  <c r="F2602" i="1"/>
  <c r="E2602" i="1"/>
  <c r="D2602" i="1"/>
  <c r="B2602" i="1"/>
  <c r="A2602" i="1"/>
  <c r="L960" i="1"/>
  <c r="J960" i="1"/>
  <c r="I960" i="1"/>
  <c r="H960" i="1"/>
  <c r="G960" i="1"/>
  <c r="F960" i="1"/>
  <c r="E960" i="1"/>
  <c r="D960" i="1"/>
  <c r="B960" i="1"/>
  <c r="A960" i="1"/>
  <c r="L1489" i="1"/>
  <c r="J1489" i="1"/>
  <c r="I1489" i="1"/>
  <c r="H1489" i="1"/>
  <c r="G1489" i="1"/>
  <c r="F1489" i="1"/>
  <c r="E1489" i="1"/>
  <c r="D1489" i="1"/>
  <c r="B1489" i="1"/>
  <c r="A1489" i="1"/>
  <c r="L2842" i="1"/>
  <c r="J2842" i="1"/>
  <c r="I2842" i="1"/>
  <c r="H2842" i="1"/>
  <c r="G2842" i="1"/>
  <c r="F2842" i="1"/>
  <c r="E2842" i="1"/>
  <c r="D2842" i="1"/>
  <c r="B2842" i="1"/>
  <c r="A2842" i="1"/>
  <c r="L161" i="1"/>
  <c r="J161" i="1"/>
  <c r="I161" i="1"/>
  <c r="H161" i="1"/>
  <c r="G161" i="1"/>
  <c r="F161" i="1"/>
  <c r="E161" i="1"/>
  <c r="D161" i="1"/>
  <c r="B161" i="1"/>
  <c r="A161" i="1"/>
  <c r="L678" i="1"/>
  <c r="J678" i="1"/>
  <c r="I678" i="1"/>
  <c r="H678" i="1"/>
  <c r="G678" i="1"/>
  <c r="F678" i="1"/>
  <c r="E678" i="1"/>
  <c r="D678" i="1"/>
  <c r="B678" i="1"/>
  <c r="A678" i="1"/>
  <c r="L2173" i="1"/>
  <c r="J2173" i="1"/>
  <c r="I2173" i="1"/>
  <c r="H2173" i="1"/>
  <c r="G2173" i="1"/>
  <c r="F2173" i="1"/>
  <c r="E2173" i="1"/>
  <c r="D2173" i="1"/>
  <c r="B2173" i="1"/>
  <c r="A2173" i="1"/>
  <c r="L2601" i="1"/>
  <c r="J2601" i="1"/>
  <c r="I2601" i="1"/>
  <c r="H2601" i="1"/>
  <c r="G2601" i="1"/>
  <c r="F2601" i="1"/>
  <c r="E2601" i="1"/>
  <c r="D2601" i="1"/>
  <c r="B2601" i="1"/>
  <c r="A2601" i="1"/>
  <c r="J1488" i="1"/>
  <c r="I1488" i="1"/>
  <c r="H1488" i="1"/>
  <c r="G1488" i="1"/>
  <c r="F1488" i="1"/>
  <c r="E1488" i="1"/>
  <c r="D1488" i="1"/>
  <c r="B1488" i="1"/>
  <c r="A1488" i="1"/>
  <c r="L959" i="1"/>
  <c r="J959" i="1"/>
  <c r="I959" i="1"/>
  <c r="H959" i="1"/>
  <c r="G959" i="1"/>
  <c r="F959" i="1"/>
  <c r="E959" i="1"/>
  <c r="D959" i="1"/>
  <c r="B959" i="1"/>
  <c r="A959" i="1"/>
  <c r="L2600" i="1"/>
  <c r="J2600" i="1"/>
  <c r="I2600" i="1"/>
  <c r="H2600" i="1"/>
  <c r="G2600" i="1"/>
  <c r="F2600" i="1"/>
  <c r="E2600" i="1"/>
  <c r="D2600" i="1"/>
  <c r="B2600" i="1"/>
  <c r="A2600" i="1"/>
  <c r="L2841" i="1"/>
  <c r="J2841" i="1"/>
  <c r="I2841" i="1"/>
  <c r="H2841" i="1"/>
  <c r="G2841" i="1"/>
  <c r="F2841" i="1"/>
  <c r="E2841" i="1"/>
  <c r="D2841" i="1"/>
  <c r="B2841" i="1"/>
  <c r="A2841" i="1"/>
  <c r="L160" i="1"/>
  <c r="J160" i="1"/>
  <c r="I160" i="1"/>
  <c r="H160" i="1"/>
  <c r="G160" i="1"/>
  <c r="F160" i="1"/>
  <c r="E160" i="1"/>
  <c r="D160" i="1"/>
  <c r="B160" i="1"/>
  <c r="A160" i="1"/>
  <c r="L677" i="1"/>
  <c r="J677" i="1"/>
  <c r="I677" i="1"/>
  <c r="H677" i="1"/>
  <c r="G677" i="1"/>
  <c r="F677" i="1"/>
  <c r="E677" i="1"/>
  <c r="D677" i="1"/>
  <c r="B677" i="1"/>
  <c r="A677" i="1"/>
  <c r="L2172" i="1"/>
  <c r="J2172" i="1"/>
  <c r="I2172" i="1"/>
  <c r="H2172" i="1"/>
  <c r="G2172" i="1"/>
  <c r="F2172" i="1"/>
  <c r="E2172" i="1"/>
  <c r="D2172" i="1"/>
  <c r="B2172" i="1"/>
  <c r="A2172" i="1"/>
  <c r="L958" i="1"/>
  <c r="J958" i="1"/>
  <c r="I958" i="1"/>
  <c r="H958" i="1"/>
  <c r="G958" i="1"/>
  <c r="F958" i="1"/>
  <c r="E958" i="1"/>
  <c r="D958" i="1"/>
  <c r="B958" i="1"/>
  <c r="A958" i="1"/>
  <c r="L1487" i="1"/>
  <c r="J1487" i="1"/>
  <c r="I1487" i="1"/>
  <c r="H1487" i="1"/>
  <c r="G1487" i="1"/>
  <c r="F1487" i="1"/>
  <c r="E1487" i="1"/>
  <c r="D1487" i="1"/>
  <c r="B1487" i="1"/>
  <c r="A1487" i="1"/>
  <c r="L1486" i="1"/>
  <c r="J1486" i="1"/>
  <c r="I1486" i="1"/>
  <c r="H1486" i="1"/>
  <c r="G1486" i="1"/>
  <c r="F1486" i="1"/>
  <c r="E1486" i="1"/>
  <c r="D1486" i="1"/>
  <c r="B1486" i="1"/>
  <c r="A1486" i="1"/>
  <c r="L2840" i="1"/>
  <c r="J2840" i="1"/>
  <c r="I2840" i="1"/>
  <c r="H2840" i="1"/>
  <c r="G2840" i="1"/>
  <c r="F2840" i="1"/>
  <c r="E2840" i="1"/>
  <c r="D2840" i="1"/>
  <c r="B2840" i="1"/>
  <c r="A2840" i="1"/>
  <c r="L159" i="1"/>
  <c r="J159" i="1"/>
  <c r="I159" i="1"/>
  <c r="H159" i="1"/>
  <c r="G159" i="1"/>
  <c r="F159" i="1"/>
  <c r="E159" i="1"/>
  <c r="D159" i="1"/>
  <c r="B159" i="1"/>
  <c r="A159" i="1"/>
  <c r="L2599" i="1"/>
  <c r="J2599" i="1"/>
  <c r="I2599" i="1"/>
  <c r="H2599" i="1"/>
  <c r="G2599" i="1"/>
  <c r="F2599" i="1"/>
  <c r="E2599" i="1"/>
  <c r="D2599" i="1"/>
  <c r="B2599" i="1"/>
  <c r="A2599" i="1"/>
  <c r="L1485" i="1"/>
  <c r="J1485" i="1"/>
  <c r="I1485" i="1"/>
  <c r="H1485" i="1"/>
  <c r="G1485" i="1"/>
  <c r="F1485" i="1"/>
  <c r="E1485" i="1"/>
  <c r="D1485" i="1"/>
  <c r="B1485" i="1"/>
  <c r="A1485" i="1"/>
  <c r="L2598" i="1"/>
  <c r="J2598" i="1"/>
  <c r="I2598" i="1"/>
  <c r="H2598" i="1"/>
  <c r="G2598" i="1"/>
  <c r="F2598" i="1"/>
  <c r="E2598" i="1"/>
  <c r="D2598" i="1"/>
  <c r="B2598" i="1"/>
  <c r="A2598" i="1"/>
  <c r="J1484" i="1"/>
  <c r="I1484" i="1"/>
  <c r="H1484" i="1"/>
  <c r="G1484" i="1"/>
  <c r="F1484" i="1"/>
  <c r="E1484" i="1"/>
  <c r="D1484" i="1"/>
  <c r="B1484" i="1"/>
  <c r="A1484" i="1"/>
  <c r="L957" i="1"/>
  <c r="J957" i="1"/>
  <c r="I957" i="1"/>
  <c r="H957" i="1"/>
  <c r="G957" i="1"/>
  <c r="F957" i="1"/>
  <c r="E957" i="1"/>
  <c r="D957" i="1"/>
  <c r="B957" i="1"/>
  <c r="A957" i="1"/>
  <c r="L2839" i="1"/>
  <c r="J2839" i="1"/>
  <c r="I2839" i="1"/>
  <c r="H2839" i="1"/>
  <c r="G2839" i="1"/>
  <c r="F2839" i="1"/>
  <c r="E2839" i="1"/>
  <c r="D2839" i="1"/>
  <c r="B2839" i="1"/>
  <c r="A2839" i="1"/>
  <c r="L158" i="1"/>
  <c r="J158" i="1"/>
  <c r="I158" i="1"/>
  <c r="H158" i="1"/>
  <c r="G158" i="1"/>
  <c r="F158" i="1"/>
  <c r="E158" i="1"/>
  <c r="D158" i="1"/>
  <c r="B158" i="1"/>
  <c r="A158" i="1"/>
  <c r="L676" i="1"/>
  <c r="J676" i="1"/>
  <c r="I676" i="1"/>
  <c r="H676" i="1"/>
  <c r="G676" i="1"/>
  <c r="F676" i="1"/>
  <c r="E676" i="1"/>
  <c r="D676" i="1"/>
  <c r="B676" i="1"/>
  <c r="A676" i="1"/>
  <c r="L2171" i="1"/>
  <c r="J2171" i="1"/>
  <c r="I2171" i="1"/>
  <c r="H2171" i="1"/>
  <c r="G2171" i="1"/>
  <c r="F2171" i="1"/>
  <c r="E2171" i="1"/>
  <c r="D2171" i="1"/>
  <c r="B2171" i="1"/>
  <c r="A2171" i="1"/>
  <c r="L2597" i="1"/>
  <c r="J2597" i="1"/>
  <c r="I2597" i="1"/>
  <c r="H2597" i="1"/>
  <c r="G2597" i="1"/>
  <c r="F2597" i="1"/>
  <c r="E2597" i="1"/>
  <c r="D2597" i="1"/>
  <c r="B2597" i="1"/>
  <c r="A2597" i="1"/>
  <c r="L2838" i="1"/>
  <c r="J2838" i="1"/>
  <c r="I2838" i="1"/>
  <c r="H2838" i="1"/>
  <c r="G2838" i="1"/>
  <c r="F2838" i="1"/>
  <c r="E2838" i="1"/>
  <c r="D2838" i="1"/>
  <c r="B2838" i="1"/>
  <c r="A2838" i="1"/>
  <c r="L157" i="1"/>
  <c r="J157" i="1"/>
  <c r="I157" i="1"/>
  <c r="H157" i="1"/>
  <c r="G157" i="1"/>
  <c r="F157" i="1"/>
  <c r="E157" i="1"/>
  <c r="D157" i="1"/>
  <c r="B157" i="1"/>
  <c r="A157" i="1"/>
  <c r="L956" i="1"/>
  <c r="J956" i="1"/>
  <c r="I956" i="1"/>
  <c r="H956" i="1"/>
  <c r="G956" i="1"/>
  <c r="F956" i="1"/>
  <c r="E956" i="1"/>
  <c r="D956" i="1"/>
  <c r="B956" i="1"/>
  <c r="A956" i="1"/>
  <c r="L1252" i="1"/>
  <c r="J1252" i="1"/>
  <c r="I1252" i="1"/>
  <c r="H1252" i="1"/>
  <c r="G1252" i="1"/>
  <c r="F1252" i="1"/>
  <c r="E1252" i="1"/>
  <c r="D1252" i="1"/>
  <c r="B1252" i="1"/>
  <c r="A1252" i="1"/>
  <c r="L2073" i="1"/>
  <c r="J2073" i="1"/>
  <c r="I2073" i="1"/>
  <c r="H2073" i="1"/>
  <c r="G2073" i="1"/>
  <c r="F2073" i="1"/>
  <c r="E2073" i="1"/>
  <c r="D2073" i="1"/>
  <c r="B2073" i="1"/>
  <c r="A2073" i="1"/>
  <c r="L1321" i="1"/>
  <c r="J1321" i="1"/>
  <c r="I1321" i="1"/>
  <c r="H1321" i="1"/>
  <c r="G1321" i="1"/>
  <c r="F1321" i="1"/>
  <c r="E1321" i="1"/>
  <c r="D1321" i="1"/>
  <c r="B1321" i="1"/>
  <c r="A1321" i="1"/>
  <c r="L1251" i="1"/>
  <c r="J1251" i="1"/>
  <c r="I1251" i="1"/>
  <c r="H1251" i="1"/>
  <c r="G1251" i="1"/>
  <c r="F1251" i="1"/>
  <c r="E1251" i="1"/>
  <c r="D1251" i="1"/>
  <c r="B1251" i="1"/>
  <c r="A1251" i="1"/>
  <c r="L2596" i="1"/>
  <c r="J2596" i="1"/>
  <c r="I2596" i="1"/>
  <c r="H2596" i="1"/>
  <c r="G2596" i="1"/>
  <c r="F2596" i="1"/>
  <c r="E2596" i="1"/>
  <c r="D2596" i="1"/>
  <c r="B2596" i="1"/>
  <c r="A2596" i="1"/>
  <c r="J3078" i="1"/>
  <c r="I3078" i="1"/>
  <c r="H3078" i="1"/>
  <c r="G3078" i="1"/>
  <c r="F3078" i="1"/>
  <c r="E3078" i="1"/>
  <c r="D3078" i="1"/>
  <c r="B3078" i="1"/>
  <c r="A3078" i="1"/>
  <c r="L2479" i="1"/>
  <c r="J2479" i="1"/>
  <c r="I2479" i="1"/>
  <c r="H2479" i="1"/>
  <c r="G2479" i="1"/>
  <c r="F2479" i="1"/>
  <c r="E2479" i="1"/>
  <c r="D2479" i="1"/>
  <c r="B2479" i="1"/>
  <c r="A2479" i="1"/>
  <c r="J2394" i="1"/>
  <c r="I2394" i="1"/>
  <c r="H2394" i="1"/>
  <c r="G2394" i="1"/>
  <c r="F2394" i="1"/>
  <c r="E2394" i="1"/>
  <c r="D2394" i="1"/>
  <c r="B2394" i="1"/>
  <c r="A2394" i="1"/>
  <c r="L1483" i="1"/>
  <c r="J1483" i="1"/>
  <c r="I1483" i="1"/>
  <c r="H1483" i="1"/>
  <c r="G1483" i="1"/>
  <c r="F1483" i="1"/>
  <c r="E1483" i="1"/>
  <c r="D1483" i="1"/>
  <c r="B1483" i="1"/>
  <c r="A1483" i="1"/>
  <c r="L2837" i="1"/>
  <c r="J2837" i="1"/>
  <c r="I2837" i="1"/>
  <c r="H2837" i="1"/>
  <c r="G2837" i="1"/>
  <c r="F2837" i="1"/>
  <c r="E2837" i="1"/>
  <c r="D2837" i="1"/>
  <c r="B2837" i="1"/>
  <c r="A2837" i="1"/>
  <c r="L156" i="1"/>
  <c r="J156" i="1"/>
  <c r="I156" i="1"/>
  <c r="H156" i="1"/>
  <c r="G156" i="1"/>
  <c r="F156" i="1"/>
  <c r="E156" i="1"/>
  <c r="D156" i="1"/>
  <c r="B156" i="1"/>
  <c r="A156" i="1"/>
  <c r="L675" i="1"/>
  <c r="J675" i="1"/>
  <c r="I675" i="1"/>
  <c r="H675" i="1"/>
  <c r="G675" i="1"/>
  <c r="F675" i="1"/>
  <c r="E675" i="1"/>
  <c r="D675" i="1"/>
  <c r="B675" i="1"/>
  <c r="A675" i="1"/>
  <c r="L2170" i="1"/>
  <c r="J2170" i="1"/>
  <c r="I2170" i="1"/>
  <c r="H2170" i="1"/>
  <c r="G2170" i="1"/>
  <c r="F2170" i="1"/>
  <c r="E2170" i="1"/>
  <c r="D2170" i="1"/>
  <c r="B2170" i="1"/>
  <c r="A2170" i="1"/>
  <c r="L1482" i="1"/>
  <c r="J1482" i="1"/>
  <c r="I1482" i="1"/>
  <c r="H1482" i="1"/>
  <c r="G1482" i="1"/>
  <c r="F1482" i="1"/>
  <c r="E1482" i="1"/>
  <c r="D1482" i="1"/>
  <c r="B1482" i="1"/>
  <c r="A1482" i="1"/>
  <c r="L2595" i="1"/>
  <c r="J2595" i="1"/>
  <c r="I2595" i="1"/>
  <c r="H2595" i="1"/>
  <c r="G2595" i="1"/>
  <c r="F2595" i="1"/>
  <c r="E2595" i="1"/>
  <c r="D2595" i="1"/>
  <c r="B2595" i="1"/>
  <c r="A2595" i="1"/>
  <c r="L2836" i="1"/>
  <c r="J2836" i="1"/>
  <c r="I2836" i="1"/>
  <c r="H2836" i="1"/>
  <c r="G2836" i="1"/>
  <c r="F2836" i="1"/>
  <c r="E2836" i="1"/>
  <c r="D2836" i="1"/>
  <c r="B2836" i="1"/>
  <c r="A2836" i="1"/>
  <c r="L155" i="1"/>
  <c r="J155" i="1"/>
  <c r="I155" i="1"/>
  <c r="H155" i="1"/>
  <c r="G155" i="1"/>
  <c r="F155" i="1"/>
  <c r="E155" i="1"/>
  <c r="D155" i="1"/>
  <c r="B155" i="1"/>
  <c r="A155" i="1"/>
  <c r="L674" i="1"/>
  <c r="J674" i="1"/>
  <c r="I674" i="1"/>
  <c r="H674" i="1"/>
  <c r="G674" i="1"/>
  <c r="F674" i="1"/>
  <c r="E674" i="1"/>
  <c r="D674" i="1"/>
  <c r="B674" i="1"/>
  <c r="A674" i="1"/>
  <c r="L2169" i="1"/>
  <c r="J2169" i="1"/>
  <c r="I2169" i="1"/>
  <c r="H2169" i="1"/>
  <c r="G2169" i="1"/>
  <c r="F2169" i="1"/>
  <c r="E2169" i="1"/>
  <c r="D2169" i="1"/>
  <c r="B2169" i="1"/>
  <c r="A2169" i="1"/>
  <c r="L2594" i="1"/>
  <c r="J2594" i="1"/>
  <c r="I2594" i="1"/>
  <c r="H2594" i="1"/>
  <c r="G2594" i="1"/>
  <c r="F2594" i="1"/>
  <c r="E2594" i="1"/>
  <c r="D2594" i="1"/>
  <c r="B2594" i="1"/>
  <c r="A2594" i="1"/>
  <c r="L2393" i="1"/>
  <c r="K2393" i="1"/>
  <c r="J2393" i="1"/>
  <c r="I2393" i="1"/>
  <c r="H2393" i="1"/>
  <c r="G2393" i="1"/>
  <c r="F2393" i="1"/>
  <c r="E2393" i="1"/>
  <c r="D2393" i="1"/>
  <c r="B2393" i="1"/>
  <c r="A2393" i="1"/>
  <c r="L2593" i="1"/>
  <c r="J2593" i="1"/>
  <c r="I2593" i="1"/>
  <c r="H2593" i="1"/>
  <c r="G2593" i="1"/>
  <c r="F2593" i="1"/>
  <c r="E2593" i="1"/>
  <c r="D2593" i="1"/>
  <c r="B2593" i="1"/>
  <c r="A2593" i="1"/>
  <c r="L1481" i="1"/>
  <c r="J1481" i="1"/>
  <c r="I1481" i="1"/>
  <c r="H1481" i="1"/>
  <c r="G1481" i="1"/>
  <c r="F1481" i="1"/>
  <c r="E1481" i="1"/>
  <c r="D1481" i="1"/>
  <c r="B1481" i="1"/>
  <c r="A1481" i="1"/>
  <c r="L2392" i="1"/>
  <c r="K2392" i="1"/>
  <c r="J2392" i="1"/>
  <c r="I2392" i="1"/>
  <c r="H2392" i="1"/>
  <c r="G2392" i="1"/>
  <c r="F2392" i="1"/>
  <c r="E2392" i="1"/>
  <c r="D2392" i="1"/>
  <c r="B2392" i="1"/>
  <c r="A2392" i="1"/>
  <c r="L2835" i="1"/>
  <c r="J2835" i="1"/>
  <c r="I2835" i="1"/>
  <c r="H2835" i="1"/>
  <c r="G2835" i="1"/>
  <c r="F2835" i="1"/>
  <c r="E2835" i="1"/>
  <c r="D2835" i="1"/>
  <c r="B2835" i="1"/>
  <c r="A2835" i="1"/>
  <c r="L154" i="1"/>
  <c r="J154" i="1"/>
  <c r="I154" i="1"/>
  <c r="H154" i="1"/>
  <c r="G154" i="1"/>
  <c r="F154" i="1"/>
  <c r="E154" i="1"/>
  <c r="D154" i="1"/>
  <c r="B154" i="1"/>
  <c r="A154" i="1"/>
  <c r="L2592" i="1"/>
  <c r="J2592" i="1"/>
  <c r="I2592" i="1"/>
  <c r="H2592" i="1"/>
  <c r="G2592" i="1"/>
  <c r="F2592" i="1"/>
  <c r="E2592" i="1"/>
  <c r="D2592" i="1"/>
  <c r="B2592" i="1"/>
  <c r="A2592" i="1"/>
  <c r="L1480" i="1"/>
  <c r="J1480" i="1"/>
  <c r="I1480" i="1"/>
  <c r="H1480" i="1"/>
  <c r="G1480" i="1"/>
  <c r="F1480" i="1"/>
  <c r="E1480" i="1"/>
  <c r="D1480" i="1"/>
  <c r="B1480" i="1"/>
  <c r="A1480" i="1"/>
  <c r="L1250" i="1"/>
  <c r="J1250" i="1"/>
  <c r="I1250" i="1"/>
  <c r="H1250" i="1"/>
  <c r="G1250" i="1"/>
  <c r="F1250" i="1"/>
  <c r="E1250" i="1"/>
  <c r="D1250" i="1"/>
  <c r="B1250" i="1"/>
  <c r="A1250" i="1"/>
  <c r="L2072" i="1"/>
  <c r="J2072" i="1"/>
  <c r="I2072" i="1"/>
  <c r="H2072" i="1"/>
  <c r="G2072" i="1"/>
  <c r="F2072" i="1"/>
  <c r="E2072" i="1"/>
  <c r="D2072" i="1"/>
  <c r="B2072" i="1"/>
  <c r="A2072" i="1"/>
  <c r="L1320" i="1"/>
  <c r="J1320" i="1"/>
  <c r="I1320" i="1"/>
  <c r="H1320" i="1"/>
  <c r="G1320" i="1"/>
  <c r="F1320" i="1"/>
  <c r="E1320" i="1"/>
  <c r="D1320" i="1"/>
  <c r="B1320" i="1"/>
  <c r="A1320" i="1"/>
  <c r="L1249" i="1"/>
  <c r="J1249" i="1"/>
  <c r="I1249" i="1"/>
  <c r="H1249" i="1"/>
  <c r="G1249" i="1"/>
  <c r="F1249" i="1"/>
  <c r="E1249" i="1"/>
  <c r="D1249" i="1"/>
  <c r="B1249" i="1"/>
  <c r="A1249" i="1"/>
  <c r="J1479" i="1"/>
  <c r="I1479" i="1"/>
  <c r="H1479" i="1"/>
  <c r="G1479" i="1"/>
  <c r="F1479" i="1"/>
  <c r="E1479" i="1"/>
  <c r="D1479" i="1"/>
  <c r="B1479" i="1"/>
  <c r="A1479" i="1"/>
  <c r="L2591" i="1"/>
  <c r="J2591" i="1"/>
  <c r="I2591" i="1"/>
  <c r="H2591" i="1"/>
  <c r="G2591" i="1"/>
  <c r="F2591" i="1"/>
  <c r="E2591" i="1"/>
  <c r="D2591" i="1"/>
  <c r="B2591" i="1"/>
  <c r="A2591" i="1"/>
  <c r="L2834" i="1"/>
  <c r="J2834" i="1"/>
  <c r="I2834" i="1"/>
  <c r="H2834" i="1"/>
  <c r="G2834" i="1"/>
  <c r="F2834" i="1"/>
  <c r="E2834" i="1"/>
  <c r="D2834" i="1"/>
  <c r="B2834" i="1"/>
  <c r="A2834" i="1"/>
  <c r="L153" i="1"/>
  <c r="J153" i="1"/>
  <c r="I153" i="1"/>
  <c r="H153" i="1"/>
  <c r="G153" i="1"/>
  <c r="F153" i="1"/>
  <c r="E153" i="1"/>
  <c r="D153" i="1"/>
  <c r="B153" i="1"/>
  <c r="A153" i="1"/>
  <c r="L673" i="1"/>
  <c r="J673" i="1"/>
  <c r="I673" i="1"/>
  <c r="H673" i="1"/>
  <c r="G673" i="1"/>
  <c r="F673" i="1"/>
  <c r="E673" i="1"/>
  <c r="D673" i="1"/>
  <c r="B673" i="1"/>
  <c r="A673" i="1"/>
  <c r="L2168" i="1"/>
  <c r="J2168" i="1"/>
  <c r="I2168" i="1"/>
  <c r="H2168" i="1"/>
  <c r="G2168" i="1"/>
  <c r="F2168" i="1"/>
  <c r="E2168" i="1"/>
  <c r="D2168" i="1"/>
  <c r="B2168" i="1"/>
  <c r="A2168" i="1"/>
  <c r="L672" i="1"/>
  <c r="J672" i="1"/>
  <c r="I672" i="1"/>
  <c r="H672" i="1"/>
  <c r="G672" i="1"/>
  <c r="F672" i="1"/>
  <c r="E672" i="1"/>
  <c r="D672" i="1"/>
  <c r="B672" i="1"/>
  <c r="A672" i="1"/>
  <c r="L2167" i="1"/>
  <c r="J2167" i="1"/>
  <c r="I2167" i="1"/>
  <c r="H2167" i="1"/>
  <c r="G2167" i="1"/>
  <c r="F2167" i="1"/>
  <c r="E2167" i="1"/>
  <c r="D2167" i="1"/>
  <c r="B2167" i="1"/>
  <c r="A2167" i="1"/>
  <c r="L1248" i="1"/>
  <c r="J1248" i="1"/>
  <c r="I1248" i="1"/>
  <c r="H1248" i="1"/>
  <c r="G1248" i="1"/>
  <c r="F1248" i="1"/>
  <c r="E1248" i="1"/>
  <c r="D1248" i="1"/>
  <c r="B1248" i="1"/>
  <c r="A1248" i="1"/>
  <c r="L1247" i="1"/>
  <c r="J1247" i="1"/>
  <c r="I1247" i="1"/>
  <c r="H1247" i="1"/>
  <c r="G1247" i="1"/>
  <c r="F1247" i="1"/>
  <c r="E1247" i="1"/>
  <c r="D1247" i="1"/>
  <c r="B1247" i="1"/>
  <c r="A1247" i="1"/>
  <c r="L2071" i="1"/>
  <c r="J2071" i="1"/>
  <c r="I2071" i="1"/>
  <c r="H2071" i="1"/>
  <c r="G2071" i="1"/>
  <c r="F2071" i="1"/>
  <c r="E2071" i="1"/>
  <c r="D2071" i="1"/>
  <c r="B2071" i="1"/>
  <c r="A2071" i="1"/>
  <c r="L1319" i="1"/>
  <c r="J1319" i="1"/>
  <c r="I1319" i="1"/>
  <c r="H1319" i="1"/>
  <c r="G1319" i="1"/>
  <c r="F1319" i="1"/>
  <c r="E1319" i="1"/>
  <c r="D1319" i="1"/>
  <c r="B1319" i="1"/>
  <c r="A1319" i="1"/>
  <c r="L1246" i="1"/>
  <c r="J1246" i="1"/>
  <c r="I1246" i="1"/>
  <c r="H1246" i="1"/>
  <c r="G1246" i="1"/>
  <c r="F1246" i="1"/>
  <c r="E1246" i="1"/>
  <c r="D1246" i="1"/>
  <c r="B1246" i="1"/>
  <c r="A1246" i="1"/>
  <c r="J1478" i="1"/>
  <c r="I1478" i="1"/>
  <c r="H1478" i="1"/>
  <c r="G1478" i="1"/>
  <c r="F1478" i="1"/>
  <c r="E1478" i="1"/>
  <c r="D1478" i="1"/>
  <c r="B1478" i="1"/>
  <c r="A1478" i="1"/>
  <c r="L955" i="1"/>
  <c r="J955" i="1"/>
  <c r="I955" i="1"/>
  <c r="H955" i="1"/>
  <c r="G955" i="1"/>
  <c r="F955" i="1"/>
  <c r="E955" i="1"/>
  <c r="D955" i="1"/>
  <c r="B955" i="1"/>
  <c r="A955" i="1"/>
  <c r="L2590" i="1"/>
  <c r="J2590" i="1"/>
  <c r="I2590" i="1"/>
  <c r="H2590" i="1"/>
  <c r="G2590" i="1"/>
  <c r="F2590" i="1"/>
  <c r="E2590" i="1"/>
  <c r="D2590" i="1"/>
  <c r="B2590" i="1"/>
  <c r="A2590" i="1"/>
  <c r="L2833" i="1"/>
  <c r="J2833" i="1"/>
  <c r="I2833" i="1"/>
  <c r="H2833" i="1"/>
  <c r="G2833" i="1"/>
  <c r="F2833" i="1"/>
  <c r="E2833" i="1"/>
  <c r="D2833" i="1"/>
  <c r="B2833" i="1"/>
  <c r="A2833" i="1"/>
  <c r="L152" i="1"/>
  <c r="J152" i="1"/>
  <c r="I152" i="1"/>
  <c r="H152" i="1"/>
  <c r="G152" i="1"/>
  <c r="F152" i="1"/>
  <c r="E152" i="1"/>
  <c r="D152" i="1"/>
  <c r="B152" i="1"/>
  <c r="A152" i="1"/>
  <c r="L2070" i="1"/>
  <c r="J2070" i="1"/>
  <c r="I2070" i="1"/>
  <c r="H2070" i="1"/>
  <c r="G2070" i="1"/>
  <c r="F2070" i="1"/>
  <c r="E2070" i="1"/>
  <c r="D2070" i="1"/>
  <c r="B2070" i="1"/>
  <c r="A2070" i="1"/>
  <c r="L1318" i="1"/>
  <c r="J1318" i="1"/>
  <c r="I1318" i="1"/>
  <c r="H1318" i="1"/>
  <c r="G1318" i="1"/>
  <c r="F1318" i="1"/>
  <c r="E1318" i="1"/>
  <c r="D1318" i="1"/>
  <c r="B1318" i="1"/>
  <c r="A1318" i="1"/>
  <c r="L1245" i="1"/>
  <c r="J1245" i="1"/>
  <c r="I1245" i="1"/>
  <c r="H1245" i="1"/>
  <c r="G1245" i="1"/>
  <c r="F1245" i="1"/>
  <c r="E1245" i="1"/>
  <c r="D1245" i="1"/>
  <c r="B1245" i="1"/>
  <c r="A1245" i="1"/>
  <c r="L1244" i="1"/>
  <c r="J1244" i="1"/>
  <c r="I1244" i="1"/>
  <c r="H1244" i="1"/>
  <c r="G1244" i="1"/>
  <c r="F1244" i="1"/>
  <c r="E1244" i="1"/>
  <c r="D1244" i="1"/>
  <c r="B1244" i="1"/>
  <c r="A1244" i="1"/>
  <c r="L1317" i="1"/>
  <c r="J1317" i="1"/>
  <c r="I1317" i="1"/>
  <c r="H1317" i="1"/>
  <c r="G1317" i="1"/>
  <c r="F1317" i="1"/>
  <c r="E1317" i="1"/>
  <c r="D1317" i="1"/>
  <c r="B1317" i="1"/>
  <c r="A1317" i="1"/>
  <c r="L1243" i="1"/>
  <c r="J1243" i="1"/>
  <c r="I1243" i="1"/>
  <c r="H1243" i="1"/>
  <c r="G1243" i="1"/>
  <c r="F1243" i="1"/>
  <c r="E1243" i="1"/>
  <c r="D1243" i="1"/>
  <c r="B1243" i="1"/>
  <c r="A1243" i="1"/>
  <c r="L1242" i="1"/>
  <c r="J1242" i="1"/>
  <c r="I1242" i="1"/>
  <c r="H1242" i="1"/>
  <c r="G1242" i="1"/>
  <c r="F1242" i="1"/>
  <c r="E1242" i="1"/>
  <c r="D1242" i="1"/>
  <c r="B1242" i="1"/>
  <c r="A1242" i="1"/>
  <c r="L2069" i="1"/>
  <c r="J2069" i="1"/>
  <c r="I2069" i="1"/>
  <c r="H2069" i="1"/>
  <c r="G2069" i="1"/>
  <c r="F2069" i="1"/>
  <c r="E2069" i="1"/>
  <c r="D2069" i="1"/>
  <c r="B2069" i="1"/>
  <c r="A2069" i="1"/>
  <c r="L1316" i="1"/>
  <c r="J1316" i="1"/>
  <c r="I1316" i="1"/>
  <c r="H1316" i="1"/>
  <c r="G1316" i="1"/>
  <c r="F1316" i="1"/>
  <c r="E1316" i="1"/>
  <c r="D1316" i="1"/>
  <c r="B1316" i="1"/>
  <c r="A1316" i="1"/>
  <c r="L1241" i="1"/>
  <c r="J1241" i="1"/>
  <c r="I1241" i="1"/>
  <c r="H1241" i="1"/>
  <c r="G1241" i="1"/>
  <c r="F1241" i="1"/>
  <c r="E1241" i="1"/>
  <c r="D1241" i="1"/>
  <c r="B1241" i="1"/>
  <c r="A1241" i="1"/>
  <c r="L2832" i="1"/>
  <c r="J2832" i="1"/>
  <c r="I2832" i="1"/>
  <c r="H2832" i="1"/>
  <c r="G2832" i="1"/>
  <c r="F2832" i="1"/>
  <c r="E2832" i="1"/>
  <c r="D2832" i="1"/>
  <c r="B2832" i="1"/>
  <c r="A2832" i="1"/>
  <c r="L151" i="1"/>
  <c r="J151" i="1"/>
  <c r="I151" i="1"/>
  <c r="H151" i="1"/>
  <c r="G151" i="1"/>
  <c r="F151" i="1"/>
  <c r="E151" i="1"/>
  <c r="D151" i="1"/>
  <c r="B151" i="1"/>
  <c r="A151" i="1"/>
  <c r="L2589" i="1"/>
  <c r="J2589" i="1"/>
  <c r="I2589" i="1"/>
  <c r="H2589" i="1"/>
  <c r="G2589" i="1"/>
  <c r="F2589" i="1"/>
  <c r="E2589" i="1"/>
  <c r="D2589" i="1"/>
  <c r="B2589" i="1"/>
  <c r="A2589" i="1"/>
  <c r="L1477" i="1"/>
  <c r="J1477" i="1"/>
  <c r="I1477" i="1"/>
  <c r="H1477" i="1"/>
  <c r="G1477" i="1"/>
  <c r="F1477" i="1"/>
  <c r="E1477" i="1"/>
  <c r="D1477" i="1"/>
  <c r="B1477" i="1"/>
  <c r="A1477" i="1"/>
  <c r="L1240" i="1"/>
  <c r="J1240" i="1"/>
  <c r="I1240" i="1"/>
  <c r="H1240" i="1"/>
  <c r="G1240" i="1"/>
  <c r="F1240" i="1"/>
  <c r="E1240" i="1"/>
  <c r="D1240" i="1"/>
  <c r="B1240" i="1"/>
  <c r="A1240" i="1"/>
  <c r="L2068" i="1"/>
  <c r="J2068" i="1"/>
  <c r="I2068" i="1"/>
  <c r="H2068" i="1"/>
  <c r="G2068" i="1"/>
  <c r="F2068" i="1"/>
  <c r="E2068" i="1"/>
  <c r="D2068" i="1"/>
  <c r="B2068" i="1"/>
  <c r="A2068" i="1"/>
  <c r="L1315" i="1"/>
  <c r="J1315" i="1"/>
  <c r="I1315" i="1"/>
  <c r="H1315" i="1"/>
  <c r="G1315" i="1"/>
  <c r="F1315" i="1"/>
  <c r="E1315" i="1"/>
  <c r="D1315" i="1"/>
  <c r="B1315" i="1"/>
  <c r="A1315" i="1"/>
  <c r="L1239" i="1"/>
  <c r="J1239" i="1"/>
  <c r="I1239" i="1"/>
  <c r="H1239" i="1"/>
  <c r="G1239" i="1"/>
  <c r="F1239" i="1"/>
  <c r="E1239" i="1"/>
  <c r="D1239" i="1"/>
  <c r="B1239" i="1"/>
  <c r="A1239" i="1"/>
  <c r="L954" i="1"/>
  <c r="J954" i="1"/>
  <c r="I954" i="1"/>
  <c r="H954" i="1"/>
  <c r="G954" i="1"/>
  <c r="F954" i="1"/>
  <c r="E954" i="1"/>
  <c r="D954" i="1"/>
  <c r="B954" i="1"/>
  <c r="A954" i="1"/>
  <c r="L1476" i="1"/>
  <c r="J1476" i="1"/>
  <c r="I1476" i="1"/>
  <c r="H1476" i="1"/>
  <c r="G1476" i="1"/>
  <c r="F1476" i="1"/>
  <c r="E1476" i="1"/>
  <c r="D1476" i="1"/>
  <c r="B1476" i="1"/>
  <c r="A1476" i="1"/>
  <c r="L671" i="1"/>
  <c r="J671" i="1"/>
  <c r="I671" i="1"/>
  <c r="H671" i="1"/>
  <c r="G671" i="1"/>
  <c r="F671" i="1"/>
  <c r="E671" i="1"/>
  <c r="D671" i="1"/>
  <c r="B671" i="1"/>
  <c r="A671" i="1"/>
  <c r="L2166" i="1"/>
  <c r="J2166" i="1"/>
  <c r="I2166" i="1"/>
  <c r="H2166" i="1"/>
  <c r="G2166" i="1"/>
  <c r="F2166" i="1"/>
  <c r="E2166" i="1"/>
  <c r="D2166" i="1"/>
  <c r="B2166" i="1"/>
  <c r="A2166" i="1"/>
  <c r="L2588" i="1"/>
  <c r="J2588" i="1"/>
  <c r="I2588" i="1"/>
  <c r="H2588" i="1"/>
  <c r="G2588" i="1"/>
  <c r="F2588" i="1"/>
  <c r="E2588" i="1"/>
  <c r="D2588" i="1"/>
  <c r="B2588" i="1"/>
  <c r="A2588" i="1"/>
  <c r="L1238" i="1"/>
  <c r="J1238" i="1"/>
  <c r="I1238" i="1"/>
  <c r="H1238" i="1"/>
  <c r="G1238" i="1"/>
  <c r="F1238" i="1"/>
  <c r="E1238" i="1"/>
  <c r="D1238" i="1"/>
  <c r="B1238" i="1"/>
  <c r="A1238" i="1"/>
  <c r="L2067" i="1"/>
  <c r="J2067" i="1"/>
  <c r="I2067" i="1"/>
  <c r="H2067" i="1"/>
  <c r="G2067" i="1"/>
  <c r="F2067" i="1"/>
  <c r="E2067" i="1"/>
  <c r="D2067" i="1"/>
  <c r="B2067" i="1"/>
  <c r="A2067" i="1"/>
  <c r="L1314" i="1"/>
  <c r="J1314" i="1"/>
  <c r="I1314" i="1"/>
  <c r="H1314" i="1"/>
  <c r="G1314" i="1"/>
  <c r="F1314" i="1"/>
  <c r="E1314" i="1"/>
  <c r="D1314" i="1"/>
  <c r="B1314" i="1"/>
  <c r="A1314" i="1"/>
  <c r="L1237" i="1"/>
  <c r="J1237" i="1"/>
  <c r="I1237" i="1"/>
  <c r="H1237" i="1"/>
  <c r="G1237" i="1"/>
  <c r="F1237" i="1"/>
  <c r="E1237" i="1"/>
  <c r="D1237" i="1"/>
  <c r="B1237" i="1"/>
  <c r="A1237" i="1"/>
  <c r="L953" i="1"/>
  <c r="J953" i="1"/>
  <c r="I953" i="1"/>
  <c r="H953" i="1"/>
  <c r="G953" i="1"/>
  <c r="F953" i="1"/>
  <c r="E953" i="1"/>
  <c r="D953" i="1"/>
  <c r="B953" i="1"/>
  <c r="A953" i="1"/>
  <c r="L2587" i="1"/>
  <c r="J2587" i="1"/>
  <c r="I2587" i="1"/>
  <c r="H2587" i="1"/>
  <c r="G2587" i="1"/>
  <c r="F2587" i="1"/>
  <c r="E2587" i="1"/>
  <c r="D2587" i="1"/>
  <c r="B2587" i="1"/>
  <c r="A2587" i="1"/>
  <c r="J1475" i="1"/>
  <c r="I1475" i="1"/>
  <c r="H1475" i="1"/>
  <c r="G1475" i="1"/>
  <c r="F1475" i="1"/>
  <c r="E1475" i="1"/>
  <c r="D1475" i="1"/>
  <c r="B1475" i="1"/>
  <c r="A1475" i="1"/>
  <c r="L2831" i="1"/>
  <c r="J2831" i="1"/>
  <c r="I2831" i="1"/>
  <c r="H2831" i="1"/>
  <c r="G2831" i="1"/>
  <c r="F2831" i="1"/>
  <c r="E2831" i="1"/>
  <c r="D2831" i="1"/>
  <c r="B2831" i="1"/>
  <c r="A2831" i="1"/>
  <c r="L150" i="1"/>
  <c r="J150" i="1"/>
  <c r="I150" i="1"/>
  <c r="H150" i="1"/>
  <c r="G150" i="1"/>
  <c r="F150" i="1"/>
  <c r="E150" i="1"/>
  <c r="D150" i="1"/>
  <c r="B150" i="1"/>
  <c r="A150" i="1"/>
  <c r="L2830" i="1"/>
  <c r="J2830" i="1"/>
  <c r="I2830" i="1"/>
  <c r="H2830" i="1"/>
  <c r="G2830" i="1"/>
  <c r="F2830" i="1"/>
  <c r="E2830" i="1"/>
  <c r="D2830" i="1"/>
  <c r="B2830" i="1"/>
  <c r="A2830" i="1"/>
  <c r="L149" i="1"/>
  <c r="J149" i="1"/>
  <c r="I149" i="1"/>
  <c r="H149" i="1"/>
  <c r="G149" i="1"/>
  <c r="F149" i="1"/>
  <c r="E149" i="1"/>
  <c r="D149" i="1"/>
  <c r="B149" i="1"/>
  <c r="A149" i="1"/>
  <c r="L2586" i="1"/>
  <c r="J2586" i="1"/>
  <c r="I2586" i="1"/>
  <c r="H2586" i="1"/>
  <c r="G2586" i="1"/>
  <c r="F2586" i="1"/>
  <c r="E2586" i="1"/>
  <c r="D2586" i="1"/>
  <c r="B2586" i="1"/>
  <c r="A2586" i="1"/>
  <c r="J1474" i="1"/>
  <c r="I1474" i="1"/>
  <c r="H1474" i="1"/>
  <c r="G1474" i="1"/>
  <c r="F1474" i="1"/>
  <c r="E1474" i="1"/>
  <c r="D1474" i="1"/>
  <c r="B1474" i="1"/>
  <c r="A1474" i="1"/>
  <c r="L952" i="1"/>
  <c r="J952" i="1"/>
  <c r="I952" i="1"/>
  <c r="H952" i="1"/>
  <c r="G952" i="1"/>
  <c r="F952" i="1"/>
  <c r="E952" i="1"/>
  <c r="D952" i="1"/>
  <c r="B952" i="1"/>
  <c r="A952" i="1"/>
  <c r="L670" i="1"/>
  <c r="J670" i="1"/>
  <c r="I670" i="1"/>
  <c r="H670" i="1"/>
  <c r="G670" i="1"/>
  <c r="F670" i="1"/>
  <c r="E670" i="1"/>
  <c r="D670" i="1"/>
  <c r="B670" i="1"/>
  <c r="A670" i="1"/>
  <c r="L2165" i="1"/>
  <c r="J2165" i="1"/>
  <c r="I2165" i="1"/>
  <c r="H2165" i="1"/>
  <c r="G2165" i="1"/>
  <c r="F2165" i="1"/>
  <c r="E2165" i="1"/>
  <c r="D2165" i="1"/>
  <c r="B2165" i="1"/>
  <c r="A2165" i="1"/>
  <c r="L1236" i="1"/>
  <c r="J1236" i="1"/>
  <c r="I1236" i="1"/>
  <c r="H1236" i="1"/>
  <c r="G1236" i="1"/>
  <c r="F1236" i="1"/>
  <c r="E1236" i="1"/>
  <c r="D1236" i="1"/>
  <c r="B1236" i="1"/>
  <c r="A1236" i="1"/>
  <c r="L2066" i="1"/>
  <c r="J2066" i="1"/>
  <c r="I2066" i="1"/>
  <c r="H2066" i="1"/>
  <c r="G2066" i="1"/>
  <c r="F2066" i="1"/>
  <c r="E2066" i="1"/>
  <c r="D2066" i="1"/>
  <c r="B2066" i="1"/>
  <c r="A2066" i="1"/>
  <c r="L1313" i="1"/>
  <c r="J1313" i="1"/>
  <c r="I1313" i="1"/>
  <c r="H1313" i="1"/>
  <c r="G1313" i="1"/>
  <c r="F1313" i="1"/>
  <c r="E1313" i="1"/>
  <c r="D1313" i="1"/>
  <c r="B1313" i="1"/>
  <c r="A1313" i="1"/>
  <c r="L1235" i="1"/>
  <c r="J1235" i="1"/>
  <c r="I1235" i="1"/>
  <c r="H1235" i="1"/>
  <c r="G1235" i="1"/>
  <c r="F1235" i="1"/>
  <c r="E1235" i="1"/>
  <c r="D1235" i="1"/>
  <c r="B1235" i="1"/>
  <c r="A1235" i="1"/>
  <c r="J1473" i="1"/>
  <c r="I1473" i="1"/>
  <c r="H1473" i="1"/>
  <c r="G1473" i="1"/>
  <c r="F1473" i="1"/>
  <c r="E1473" i="1"/>
  <c r="D1473" i="1"/>
  <c r="B1473" i="1"/>
  <c r="A1473" i="1"/>
  <c r="L951" i="1"/>
  <c r="J951" i="1"/>
  <c r="I951" i="1"/>
  <c r="H951" i="1"/>
  <c r="G951" i="1"/>
  <c r="F951" i="1"/>
  <c r="E951" i="1"/>
  <c r="D951" i="1"/>
  <c r="B951" i="1"/>
  <c r="A951" i="1"/>
  <c r="L2585" i="1"/>
  <c r="J2585" i="1"/>
  <c r="I2585" i="1"/>
  <c r="H2585" i="1"/>
  <c r="G2585" i="1"/>
  <c r="F2585" i="1"/>
  <c r="E2585" i="1"/>
  <c r="D2585" i="1"/>
  <c r="B2585" i="1"/>
  <c r="A2585" i="1"/>
  <c r="L49" i="1"/>
  <c r="K49" i="1"/>
  <c r="J49" i="1"/>
  <c r="I49" i="1"/>
  <c r="H49" i="1"/>
  <c r="G49" i="1"/>
  <c r="F49" i="1"/>
  <c r="E49" i="1"/>
  <c r="D49" i="1"/>
  <c r="B49" i="1"/>
  <c r="A49" i="1"/>
  <c r="L1160" i="1"/>
  <c r="K1160" i="1"/>
  <c r="J1160" i="1"/>
  <c r="I1160" i="1"/>
  <c r="H1160" i="1"/>
  <c r="G1160" i="1"/>
  <c r="F1160" i="1"/>
  <c r="E1160" i="1"/>
  <c r="D1160" i="1"/>
  <c r="B1160" i="1"/>
  <c r="A1160" i="1"/>
  <c r="L1159" i="1"/>
  <c r="K1159" i="1"/>
  <c r="J1159" i="1"/>
  <c r="I1159" i="1"/>
  <c r="H1159" i="1"/>
  <c r="G1159" i="1"/>
  <c r="F1159" i="1"/>
  <c r="E1159" i="1"/>
  <c r="D1159" i="1"/>
  <c r="B1159" i="1"/>
  <c r="A1159" i="1"/>
  <c r="L48" i="1"/>
  <c r="K48" i="1"/>
  <c r="J48" i="1"/>
  <c r="I48" i="1"/>
  <c r="H48" i="1"/>
  <c r="G48" i="1"/>
  <c r="F48" i="1"/>
  <c r="E48" i="1"/>
  <c r="D48" i="1"/>
  <c r="B48" i="1"/>
  <c r="A48" i="1"/>
  <c r="L47" i="1"/>
  <c r="K47" i="1"/>
  <c r="J47" i="1"/>
  <c r="I47" i="1"/>
  <c r="H47" i="1"/>
  <c r="G47" i="1"/>
  <c r="F47" i="1"/>
  <c r="E47" i="1"/>
  <c r="D47" i="1"/>
  <c r="B47" i="1"/>
  <c r="A47" i="1"/>
  <c r="L1158" i="1"/>
  <c r="K1158" i="1"/>
  <c r="J1158" i="1"/>
  <c r="I1158" i="1"/>
  <c r="H1158" i="1"/>
  <c r="G1158" i="1"/>
  <c r="F1158" i="1"/>
  <c r="E1158" i="1"/>
  <c r="D1158" i="1"/>
  <c r="B1158" i="1"/>
  <c r="A1158" i="1"/>
  <c r="L46" i="1"/>
  <c r="K46" i="1"/>
  <c r="J46" i="1"/>
  <c r="I46" i="1"/>
  <c r="H46" i="1"/>
  <c r="G46" i="1"/>
  <c r="F46" i="1"/>
  <c r="E46" i="1"/>
  <c r="D46" i="1"/>
  <c r="B46" i="1"/>
  <c r="A46" i="1"/>
  <c r="L1157" i="1"/>
  <c r="K1157" i="1"/>
  <c r="J1157" i="1"/>
  <c r="I1157" i="1"/>
  <c r="H1157" i="1"/>
  <c r="G1157" i="1"/>
  <c r="F1157" i="1"/>
  <c r="E1157" i="1"/>
  <c r="D1157" i="1"/>
  <c r="B1157" i="1"/>
  <c r="A1157" i="1"/>
  <c r="L45" i="1"/>
  <c r="K45" i="1"/>
  <c r="J45" i="1"/>
  <c r="I45" i="1"/>
  <c r="H45" i="1"/>
  <c r="G45" i="1"/>
  <c r="F45" i="1"/>
  <c r="E45" i="1"/>
  <c r="D45" i="1"/>
  <c r="B45" i="1"/>
  <c r="A45" i="1"/>
  <c r="L1156" i="1"/>
  <c r="K1156" i="1"/>
  <c r="J1156" i="1"/>
  <c r="I1156" i="1"/>
  <c r="H1156" i="1"/>
  <c r="G1156" i="1"/>
  <c r="F1156" i="1"/>
  <c r="E1156" i="1"/>
  <c r="D1156" i="1"/>
  <c r="B1156" i="1"/>
  <c r="A1156" i="1"/>
  <c r="L1234" i="1"/>
  <c r="J1234" i="1"/>
  <c r="I1234" i="1"/>
  <c r="H1234" i="1"/>
  <c r="G1234" i="1"/>
  <c r="F1234" i="1"/>
  <c r="E1234" i="1"/>
  <c r="D1234" i="1"/>
  <c r="B1234" i="1"/>
  <c r="A1234" i="1"/>
  <c r="L1472" i="1"/>
  <c r="J1472" i="1"/>
  <c r="I1472" i="1"/>
  <c r="H1472" i="1"/>
  <c r="G1472" i="1"/>
  <c r="F1472" i="1"/>
  <c r="E1472" i="1"/>
  <c r="D1472" i="1"/>
  <c r="B1472" i="1"/>
  <c r="A1472" i="1"/>
  <c r="L2065" i="1"/>
  <c r="J2065" i="1"/>
  <c r="I2065" i="1"/>
  <c r="H2065" i="1"/>
  <c r="G2065" i="1"/>
  <c r="F2065" i="1"/>
  <c r="E2065" i="1"/>
  <c r="D2065" i="1"/>
  <c r="B2065" i="1"/>
  <c r="A2065" i="1"/>
  <c r="L1312" i="1"/>
  <c r="J1312" i="1"/>
  <c r="I1312" i="1"/>
  <c r="H1312" i="1"/>
  <c r="G1312" i="1"/>
  <c r="F1312" i="1"/>
  <c r="E1312" i="1"/>
  <c r="D1312" i="1"/>
  <c r="B1312" i="1"/>
  <c r="A1312" i="1"/>
  <c r="L1233" i="1"/>
  <c r="J1233" i="1"/>
  <c r="I1233" i="1"/>
  <c r="H1233" i="1"/>
  <c r="G1233" i="1"/>
  <c r="F1233" i="1"/>
  <c r="E1233" i="1"/>
  <c r="D1233" i="1"/>
  <c r="B1233" i="1"/>
  <c r="A1233" i="1"/>
  <c r="L2829" i="1"/>
  <c r="J2829" i="1"/>
  <c r="I2829" i="1"/>
  <c r="H2829" i="1"/>
  <c r="G2829" i="1"/>
  <c r="F2829" i="1"/>
  <c r="E2829" i="1"/>
  <c r="D2829" i="1"/>
  <c r="B2829" i="1"/>
  <c r="A2829" i="1"/>
  <c r="L148" i="1"/>
  <c r="J148" i="1"/>
  <c r="I148" i="1"/>
  <c r="H148" i="1"/>
  <c r="G148" i="1"/>
  <c r="F148" i="1"/>
  <c r="E148" i="1"/>
  <c r="D148" i="1"/>
  <c r="B148" i="1"/>
  <c r="A148" i="1"/>
  <c r="L669" i="1"/>
  <c r="J669" i="1"/>
  <c r="I669" i="1"/>
  <c r="H669" i="1"/>
  <c r="G669" i="1"/>
  <c r="F669" i="1"/>
  <c r="E669" i="1"/>
  <c r="D669" i="1"/>
  <c r="B669" i="1"/>
  <c r="A669" i="1"/>
  <c r="L2164" i="1"/>
  <c r="J2164" i="1"/>
  <c r="I2164" i="1"/>
  <c r="H2164" i="1"/>
  <c r="G2164" i="1"/>
  <c r="F2164" i="1"/>
  <c r="E2164" i="1"/>
  <c r="D2164" i="1"/>
  <c r="B2164" i="1"/>
  <c r="A2164" i="1"/>
  <c r="L2584" i="1"/>
  <c r="J2584" i="1"/>
  <c r="I2584" i="1"/>
  <c r="H2584" i="1"/>
  <c r="G2584" i="1"/>
  <c r="F2584" i="1"/>
  <c r="E2584" i="1"/>
  <c r="D2584" i="1"/>
  <c r="B2584" i="1"/>
  <c r="A2584" i="1"/>
  <c r="L410" i="1"/>
  <c r="J410" i="1"/>
  <c r="I410" i="1"/>
  <c r="H410" i="1"/>
  <c r="G410" i="1"/>
  <c r="F410" i="1"/>
  <c r="E410" i="1"/>
  <c r="D410" i="1"/>
  <c r="B410" i="1"/>
  <c r="A410" i="1"/>
  <c r="L581" i="1"/>
  <c r="J581" i="1"/>
  <c r="I581" i="1"/>
  <c r="H581" i="1"/>
  <c r="G581" i="1"/>
  <c r="F581" i="1"/>
  <c r="E581" i="1"/>
  <c r="D581" i="1"/>
  <c r="B581" i="1"/>
  <c r="A581" i="1"/>
  <c r="L3131" i="1"/>
  <c r="J3131" i="1"/>
  <c r="I3131" i="1"/>
  <c r="H3131" i="1"/>
  <c r="G3131" i="1"/>
  <c r="F3131" i="1"/>
  <c r="E3131" i="1"/>
  <c r="D3131" i="1"/>
  <c r="B3131" i="1"/>
  <c r="A3131" i="1"/>
  <c r="L1099" i="1"/>
  <c r="J1099" i="1"/>
  <c r="I1099" i="1"/>
  <c r="H1099" i="1"/>
  <c r="G1099" i="1"/>
  <c r="F1099" i="1"/>
  <c r="E1099" i="1"/>
  <c r="D1099" i="1"/>
  <c r="B1099" i="1"/>
  <c r="A1099" i="1"/>
  <c r="L950" i="1"/>
  <c r="J950" i="1"/>
  <c r="I950" i="1"/>
  <c r="H950" i="1"/>
  <c r="G950" i="1"/>
  <c r="F950" i="1"/>
  <c r="E950" i="1"/>
  <c r="D950" i="1"/>
  <c r="B950" i="1"/>
  <c r="A950" i="1"/>
  <c r="L1471" i="1"/>
  <c r="J1471" i="1"/>
  <c r="I1471" i="1"/>
  <c r="H1471" i="1"/>
  <c r="G1471" i="1"/>
  <c r="F1471" i="1"/>
  <c r="E1471" i="1"/>
  <c r="D1471" i="1"/>
  <c r="B1471" i="1"/>
  <c r="A1471" i="1"/>
  <c r="L1470" i="1"/>
  <c r="J1470" i="1"/>
  <c r="I1470" i="1"/>
  <c r="H1470" i="1"/>
  <c r="G1470" i="1"/>
  <c r="F1470" i="1"/>
  <c r="E1470" i="1"/>
  <c r="D1470" i="1"/>
  <c r="B1470" i="1"/>
  <c r="A1470" i="1"/>
  <c r="L1311" i="1"/>
  <c r="J1311" i="1"/>
  <c r="I1311" i="1"/>
  <c r="H1311" i="1"/>
  <c r="G1311" i="1"/>
  <c r="F1311" i="1"/>
  <c r="E1311" i="1"/>
  <c r="D1311" i="1"/>
  <c r="B1311" i="1"/>
  <c r="A1311" i="1"/>
  <c r="L1310" i="1"/>
  <c r="J1310" i="1"/>
  <c r="I1310" i="1"/>
  <c r="H1310" i="1"/>
  <c r="G1310" i="1"/>
  <c r="F1310" i="1"/>
  <c r="E1310" i="1"/>
  <c r="D1310" i="1"/>
  <c r="B1310" i="1"/>
  <c r="A1310" i="1"/>
  <c r="L1232" i="1"/>
  <c r="J1232" i="1"/>
  <c r="I1232" i="1"/>
  <c r="H1232" i="1"/>
  <c r="G1232" i="1"/>
  <c r="F1232" i="1"/>
  <c r="E1232" i="1"/>
  <c r="D1232" i="1"/>
  <c r="B1232" i="1"/>
  <c r="A1232" i="1"/>
  <c r="L2064" i="1"/>
  <c r="J2064" i="1"/>
  <c r="I2064" i="1"/>
  <c r="H2064" i="1"/>
  <c r="G2064" i="1"/>
  <c r="F2064" i="1"/>
  <c r="E2064" i="1"/>
  <c r="D2064" i="1"/>
  <c r="B2064" i="1"/>
  <c r="A2064" i="1"/>
  <c r="L668" i="1"/>
  <c r="J668" i="1"/>
  <c r="I668" i="1"/>
  <c r="H668" i="1"/>
  <c r="G668" i="1"/>
  <c r="F668" i="1"/>
  <c r="E668" i="1"/>
  <c r="D668" i="1"/>
  <c r="B668" i="1"/>
  <c r="A668" i="1"/>
  <c r="L2163" i="1"/>
  <c r="J2163" i="1"/>
  <c r="I2163" i="1"/>
  <c r="H2163" i="1"/>
  <c r="G2163" i="1"/>
  <c r="F2163" i="1"/>
  <c r="E2163" i="1"/>
  <c r="D2163" i="1"/>
  <c r="B2163" i="1"/>
  <c r="A2163" i="1"/>
  <c r="L2583" i="1"/>
  <c r="J2583" i="1"/>
  <c r="I2583" i="1"/>
  <c r="H2583" i="1"/>
  <c r="G2583" i="1"/>
  <c r="F2583" i="1"/>
  <c r="E2583" i="1"/>
  <c r="D2583" i="1"/>
  <c r="B2583" i="1"/>
  <c r="A2583" i="1"/>
  <c r="L2582" i="1"/>
  <c r="J2582" i="1"/>
  <c r="I2582" i="1"/>
  <c r="H2582" i="1"/>
  <c r="G2582" i="1"/>
  <c r="F2582" i="1"/>
  <c r="E2582" i="1"/>
  <c r="D2582" i="1"/>
  <c r="B2582" i="1"/>
  <c r="A2582" i="1"/>
  <c r="L1231" i="1"/>
  <c r="J1231" i="1"/>
  <c r="I1231" i="1"/>
  <c r="H1231" i="1"/>
  <c r="G1231" i="1"/>
  <c r="F1231" i="1"/>
  <c r="E1231" i="1"/>
  <c r="D1231" i="1"/>
  <c r="B1231" i="1"/>
  <c r="A1231" i="1"/>
  <c r="L2063" i="1"/>
  <c r="J2063" i="1"/>
  <c r="I2063" i="1"/>
  <c r="H2063" i="1"/>
  <c r="G2063" i="1"/>
  <c r="F2063" i="1"/>
  <c r="E2063" i="1"/>
  <c r="D2063" i="1"/>
  <c r="B2063" i="1"/>
  <c r="A2063" i="1"/>
  <c r="L2062" i="1"/>
  <c r="J2062" i="1"/>
  <c r="I2062" i="1"/>
  <c r="H2062" i="1"/>
  <c r="G2062" i="1"/>
  <c r="F2062" i="1"/>
  <c r="E2062" i="1"/>
  <c r="D2062" i="1"/>
  <c r="B2062" i="1"/>
  <c r="A2062" i="1"/>
  <c r="L1230" i="1"/>
  <c r="J1230" i="1"/>
  <c r="I1230" i="1"/>
  <c r="H1230" i="1"/>
  <c r="G1230" i="1"/>
  <c r="F1230" i="1"/>
  <c r="E1230" i="1"/>
  <c r="D1230" i="1"/>
  <c r="B1230" i="1"/>
  <c r="A1230" i="1"/>
  <c r="L1309" i="1"/>
  <c r="J1309" i="1"/>
  <c r="I1309" i="1"/>
  <c r="H1309" i="1"/>
  <c r="G1309" i="1"/>
  <c r="F1309" i="1"/>
  <c r="E1309" i="1"/>
  <c r="D1309" i="1"/>
  <c r="B1309" i="1"/>
  <c r="A1309" i="1"/>
  <c r="L949" i="1"/>
  <c r="J949" i="1"/>
  <c r="I949" i="1"/>
  <c r="H949" i="1"/>
  <c r="G949" i="1"/>
  <c r="F949" i="1"/>
  <c r="E949" i="1"/>
  <c r="D949" i="1"/>
  <c r="B949" i="1"/>
  <c r="A949" i="1"/>
  <c r="L1469" i="1"/>
  <c r="J1469" i="1"/>
  <c r="I1469" i="1"/>
  <c r="H1469" i="1"/>
  <c r="G1469" i="1"/>
  <c r="F1469" i="1"/>
  <c r="E1469" i="1"/>
  <c r="D1469" i="1"/>
  <c r="B1469" i="1"/>
  <c r="A1469" i="1"/>
  <c r="L1468" i="1"/>
  <c r="J1468" i="1"/>
  <c r="I1468" i="1"/>
  <c r="H1468" i="1"/>
  <c r="G1468" i="1"/>
  <c r="F1468" i="1"/>
  <c r="E1468" i="1"/>
  <c r="D1468" i="1"/>
  <c r="B1468" i="1"/>
  <c r="A1468" i="1"/>
  <c r="L2828" i="1"/>
  <c r="J2828" i="1"/>
  <c r="I2828" i="1"/>
  <c r="H2828" i="1"/>
  <c r="G2828" i="1"/>
  <c r="F2828" i="1"/>
  <c r="E2828" i="1"/>
  <c r="D2828" i="1"/>
  <c r="B2828" i="1"/>
  <c r="A2828" i="1"/>
  <c r="L147" i="1"/>
  <c r="J147" i="1"/>
  <c r="I147" i="1"/>
  <c r="H147" i="1"/>
  <c r="G147" i="1"/>
  <c r="F147" i="1"/>
  <c r="E147" i="1"/>
  <c r="D147" i="1"/>
  <c r="B147" i="1"/>
  <c r="A147" i="1"/>
  <c r="L667" i="1"/>
  <c r="J667" i="1"/>
  <c r="I667" i="1"/>
  <c r="H667" i="1"/>
  <c r="G667" i="1"/>
  <c r="F667" i="1"/>
  <c r="E667" i="1"/>
  <c r="D667" i="1"/>
  <c r="B667" i="1"/>
  <c r="A667" i="1"/>
  <c r="L2162" i="1"/>
  <c r="J2162" i="1"/>
  <c r="I2162" i="1"/>
  <c r="H2162" i="1"/>
  <c r="G2162" i="1"/>
  <c r="F2162" i="1"/>
  <c r="E2162" i="1"/>
  <c r="D2162" i="1"/>
  <c r="B2162" i="1"/>
  <c r="A2162" i="1"/>
  <c r="L1308" i="1"/>
  <c r="J1308" i="1"/>
  <c r="I1308" i="1"/>
  <c r="H1308" i="1"/>
  <c r="G1308" i="1"/>
  <c r="F1308" i="1"/>
  <c r="E1308" i="1"/>
  <c r="D1308" i="1"/>
  <c r="B1308" i="1"/>
  <c r="A1308" i="1"/>
  <c r="J1467" i="1"/>
  <c r="I1467" i="1"/>
  <c r="H1467" i="1"/>
  <c r="G1467" i="1"/>
  <c r="F1467" i="1"/>
  <c r="E1467" i="1"/>
  <c r="D1467" i="1"/>
  <c r="B1467" i="1"/>
  <c r="A1467" i="1"/>
  <c r="L2061" i="1"/>
  <c r="J2061" i="1"/>
  <c r="I2061" i="1"/>
  <c r="H2061" i="1"/>
  <c r="G2061" i="1"/>
  <c r="F2061" i="1"/>
  <c r="E2061" i="1"/>
  <c r="D2061" i="1"/>
  <c r="B2061" i="1"/>
  <c r="A2061" i="1"/>
  <c r="L1307" i="1"/>
  <c r="J1307" i="1"/>
  <c r="I1307" i="1"/>
  <c r="H1307" i="1"/>
  <c r="G1307" i="1"/>
  <c r="F1307" i="1"/>
  <c r="E1307" i="1"/>
  <c r="D1307" i="1"/>
  <c r="B1307" i="1"/>
  <c r="A1307" i="1"/>
  <c r="J1229" i="1"/>
  <c r="I1229" i="1"/>
  <c r="H1229" i="1"/>
  <c r="G1229" i="1"/>
  <c r="F1229" i="1"/>
  <c r="E1229" i="1"/>
  <c r="D1229" i="1"/>
  <c r="B1229" i="1"/>
  <c r="A1229" i="1"/>
  <c r="L2060" i="1"/>
  <c r="J2060" i="1"/>
  <c r="I2060" i="1"/>
  <c r="H2060" i="1"/>
  <c r="G2060" i="1"/>
  <c r="F2060" i="1"/>
  <c r="E2060" i="1"/>
  <c r="D2060" i="1"/>
  <c r="B2060" i="1"/>
  <c r="A2060" i="1"/>
  <c r="L948" i="1"/>
  <c r="J948" i="1"/>
  <c r="I948" i="1"/>
  <c r="H948" i="1"/>
  <c r="G948" i="1"/>
  <c r="F948" i="1"/>
  <c r="E948" i="1"/>
  <c r="D948" i="1"/>
  <c r="B948" i="1"/>
  <c r="A948" i="1"/>
  <c r="L2581" i="1"/>
  <c r="J2581" i="1"/>
  <c r="I2581" i="1"/>
  <c r="H2581" i="1"/>
  <c r="G2581" i="1"/>
  <c r="F2581" i="1"/>
  <c r="E2581" i="1"/>
  <c r="D2581" i="1"/>
  <c r="B2581" i="1"/>
  <c r="A2581" i="1"/>
  <c r="L580" i="1"/>
  <c r="J580" i="1"/>
  <c r="I580" i="1"/>
  <c r="H580" i="1"/>
  <c r="G580" i="1"/>
  <c r="F580" i="1"/>
  <c r="E580" i="1"/>
  <c r="D580" i="1"/>
  <c r="B580" i="1"/>
  <c r="A580" i="1"/>
  <c r="L409" i="1"/>
  <c r="J409" i="1"/>
  <c r="I409" i="1"/>
  <c r="H409" i="1"/>
  <c r="G409" i="1"/>
  <c r="F409" i="1"/>
  <c r="E409" i="1"/>
  <c r="D409" i="1"/>
  <c r="B409" i="1"/>
  <c r="A409" i="1"/>
  <c r="L3130" i="1"/>
  <c r="J3130" i="1"/>
  <c r="I3130" i="1"/>
  <c r="H3130" i="1"/>
  <c r="G3130" i="1"/>
  <c r="F3130" i="1"/>
  <c r="E3130" i="1"/>
  <c r="D3130" i="1"/>
  <c r="B3130" i="1"/>
  <c r="A3130" i="1"/>
  <c r="L1098" i="1"/>
  <c r="J1098" i="1"/>
  <c r="I1098" i="1"/>
  <c r="H1098" i="1"/>
  <c r="G1098" i="1"/>
  <c r="F1098" i="1"/>
  <c r="E1098" i="1"/>
  <c r="D1098" i="1"/>
  <c r="B1098" i="1"/>
  <c r="A1098" i="1"/>
  <c r="L2580" i="1"/>
  <c r="J2580" i="1"/>
  <c r="I2580" i="1"/>
  <c r="H2580" i="1"/>
  <c r="G2580" i="1"/>
  <c r="F2580" i="1"/>
  <c r="E2580" i="1"/>
  <c r="D2580" i="1"/>
  <c r="B2580" i="1"/>
  <c r="A2580" i="1"/>
  <c r="L666" i="1"/>
  <c r="J666" i="1"/>
  <c r="I666" i="1"/>
  <c r="H666" i="1"/>
  <c r="G666" i="1"/>
  <c r="F666" i="1"/>
  <c r="E666" i="1"/>
  <c r="D666" i="1"/>
  <c r="B666" i="1"/>
  <c r="A666" i="1"/>
  <c r="L2161" i="1"/>
  <c r="J2161" i="1"/>
  <c r="I2161" i="1"/>
  <c r="H2161" i="1"/>
  <c r="G2161" i="1"/>
  <c r="F2161" i="1"/>
  <c r="E2161" i="1"/>
  <c r="D2161" i="1"/>
  <c r="B2161" i="1"/>
  <c r="A2161" i="1"/>
  <c r="L2827" i="1"/>
  <c r="J2827" i="1"/>
  <c r="I2827" i="1"/>
  <c r="H2827" i="1"/>
  <c r="G2827" i="1"/>
  <c r="F2827" i="1"/>
  <c r="E2827" i="1"/>
  <c r="D2827" i="1"/>
  <c r="B2827" i="1"/>
  <c r="A2827" i="1"/>
  <c r="L146" i="1"/>
  <c r="J146" i="1"/>
  <c r="I146" i="1"/>
  <c r="H146" i="1"/>
  <c r="G146" i="1"/>
  <c r="F146" i="1"/>
  <c r="E146" i="1"/>
  <c r="D146" i="1"/>
  <c r="B146" i="1"/>
  <c r="A146" i="1"/>
  <c r="L2579" i="1"/>
  <c r="J2579" i="1"/>
  <c r="I2579" i="1"/>
  <c r="H2579" i="1"/>
  <c r="G2579" i="1"/>
  <c r="F2579" i="1"/>
  <c r="E2579" i="1"/>
  <c r="D2579" i="1"/>
  <c r="B2579" i="1"/>
  <c r="A2579" i="1"/>
  <c r="L1466" i="1"/>
  <c r="J1466" i="1"/>
  <c r="I1466" i="1"/>
  <c r="H1466" i="1"/>
  <c r="G1466" i="1"/>
  <c r="F1466" i="1"/>
  <c r="E1466" i="1"/>
  <c r="D1466" i="1"/>
  <c r="B1466" i="1"/>
  <c r="A1466" i="1"/>
  <c r="L1465" i="1"/>
  <c r="J1465" i="1"/>
  <c r="I1465" i="1"/>
  <c r="H1465" i="1"/>
  <c r="G1465" i="1"/>
  <c r="F1465" i="1"/>
  <c r="E1465" i="1"/>
  <c r="D1465" i="1"/>
  <c r="B1465" i="1"/>
  <c r="A1465" i="1"/>
  <c r="L1464" i="1"/>
  <c r="J1464" i="1"/>
  <c r="I1464" i="1"/>
  <c r="H1464" i="1"/>
  <c r="G1464" i="1"/>
  <c r="F1464" i="1"/>
  <c r="E1464" i="1"/>
  <c r="D1464" i="1"/>
  <c r="B1464" i="1"/>
  <c r="A1464" i="1"/>
  <c r="L2578" i="1"/>
  <c r="J2578" i="1"/>
  <c r="I2578" i="1"/>
  <c r="H2578" i="1"/>
  <c r="G2578" i="1"/>
  <c r="F2578" i="1"/>
  <c r="E2578" i="1"/>
  <c r="D2578" i="1"/>
  <c r="B2578" i="1"/>
  <c r="A2578" i="1"/>
  <c r="L665" i="1"/>
  <c r="J665" i="1"/>
  <c r="I665" i="1"/>
  <c r="H665" i="1"/>
  <c r="G665" i="1"/>
  <c r="F665" i="1"/>
  <c r="E665" i="1"/>
  <c r="D665" i="1"/>
  <c r="B665" i="1"/>
  <c r="A665" i="1"/>
  <c r="L2160" i="1"/>
  <c r="J2160" i="1"/>
  <c r="I2160" i="1"/>
  <c r="H2160" i="1"/>
  <c r="G2160" i="1"/>
  <c r="F2160" i="1"/>
  <c r="E2160" i="1"/>
  <c r="D2160" i="1"/>
  <c r="B2160" i="1"/>
  <c r="A2160" i="1"/>
  <c r="L1463" i="1"/>
  <c r="J1463" i="1"/>
  <c r="I1463" i="1"/>
  <c r="H1463" i="1"/>
  <c r="G1463" i="1"/>
  <c r="F1463" i="1"/>
  <c r="E1463" i="1"/>
  <c r="D1463" i="1"/>
  <c r="B1463" i="1"/>
  <c r="A1463" i="1"/>
  <c r="L947" i="1"/>
  <c r="J947" i="1"/>
  <c r="I947" i="1"/>
  <c r="H947" i="1"/>
  <c r="G947" i="1"/>
  <c r="F947" i="1"/>
  <c r="E947" i="1"/>
  <c r="D947" i="1"/>
  <c r="B947" i="1"/>
  <c r="A947" i="1"/>
  <c r="L2059" i="1"/>
  <c r="J2059" i="1"/>
  <c r="I2059" i="1"/>
  <c r="H2059" i="1"/>
  <c r="G2059" i="1"/>
  <c r="F2059" i="1"/>
  <c r="E2059" i="1"/>
  <c r="D2059" i="1"/>
  <c r="B2059" i="1"/>
  <c r="A2059" i="1"/>
  <c r="L1306" i="1"/>
  <c r="J1306" i="1"/>
  <c r="I1306" i="1"/>
  <c r="H1306" i="1"/>
  <c r="G1306" i="1"/>
  <c r="F1306" i="1"/>
  <c r="E1306" i="1"/>
  <c r="D1306" i="1"/>
  <c r="B1306" i="1"/>
  <c r="A1306" i="1"/>
  <c r="L1228" i="1"/>
  <c r="J1228" i="1"/>
  <c r="I1228" i="1"/>
  <c r="H1228" i="1"/>
  <c r="G1228" i="1"/>
  <c r="F1228" i="1"/>
  <c r="E1228" i="1"/>
  <c r="D1228" i="1"/>
  <c r="B1228" i="1"/>
  <c r="A1228" i="1"/>
  <c r="L2826" i="1"/>
  <c r="J2826" i="1"/>
  <c r="I2826" i="1"/>
  <c r="H2826" i="1"/>
  <c r="G2826" i="1"/>
  <c r="F2826" i="1"/>
  <c r="E2826" i="1"/>
  <c r="D2826" i="1"/>
  <c r="B2826" i="1"/>
  <c r="A2826" i="1"/>
  <c r="L145" i="1"/>
  <c r="J145" i="1"/>
  <c r="I145" i="1"/>
  <c r="H145" i="1"/>
  <c r="G145" i="1"/>
  <c r="F145" i="1"/>
  <c r="E145" i="1"/>
  <c r="D145" i="1"/>
  <c r="B145" i="1"/>
  <c r="A145" i="1"/>
  <c r="L2577" i="1"/>
  <c r="J2577" i="1"/>
  <c r="I2577" i="1"/>
  <c r="H2577" i="1"/>
  <c r="G2577" i="1"/>
  <c r="F2577" i="1"/>
  <c r="E2577" i="1"/>
  <c r="D2577" i="1"/>
  <c r="B2577" i="1"/>
  <c r="A2577" i="1"/>
  <c r="L2058" i="1"/>
  <c r="J2058" i="1"/>
  <c r="I2058" i="1"/>
  <c r="H2058" i="1"/>
  <c r="G2058" i="1"/>
  <c r="F2058" i="1"/>
  <c r="E2058" i="1"/>
  <c r="D2058" i="1"/>
  <c r="B2058" i="1"/>
  <c r="A2058" i="1"/>
  <c r="L1227" i="1"/>
  <c r="J1227" i="1"/>
  <c r="I1227" i="1"/>
  <c r="H1227" i="1"/>
  <c r="G1227" i="1"/>
  <c r="F1227" i="1"/>
  <c r="E1227" i="1"/>
  <c r="D1227" i="1"/>
  <c r="B1227" i="1"/>
  <c r="A1227" i="1"/>
  <c r="L1305" i="1"/>
  <c r="J1305" i="1"/>
  <c r="I1305" i="1"/>
  <c r="H1305" i="1"/>
  <c r="G1305" i="1"/>
  <c r="F1305" i="1"/>
  <c r="E1305" i="1"/>
  <c r="D1305" i="1"/>
  <c r="B1305" i="1"/>
  <c r="A1305" i="1"/>
  <c r="L946" i="1"/>
  <c r="J946" i="1"/>
  <c r="I946" i="1"/>
  <c r="H946" i="1"/>
  <c r="G946" i="1"/>
  <c r="F946" i="1"/>
  <c r="E946" i="1"/>
  <c r="D946" i="1"/>
  <c r="B946" i="1"/>
  <c r="A946" i="1"/>
  <c r="L408" i="1"/>
  <c r="J408" i="1"/>
  <c r="I408" i="1"/>
  <c r="H408" i="1"/>
  <c r="G408" i="1"/>
  <c r="F408" i="1"/>
  <c r="E408" i="1"/>
  <c r="D408" i="1"/>
  <c r="B408" i="1"/>
  <c r="A408" i="1"/>
  <c r="L579" i="1"/>
  <c r="J579" i="1"/>
  <c r="I579" i="1"/>
  <c r="H579" i="1"/>
  <c r="G579" i="1"/>
  <c r="F579" i="1"/>
  <c r="E579" i="1"/>
  <c r="D579" i="1"/>
  <c r="B579" i="1"/>
  <c r="A579" i="1"/>
  <c r="L3129" i="1"/>
  <c r="J3129" i="1"/>
  <c r="I3129" i="1"/>
  <c r="H3129" i="1"/>
  <c r="G3129" i="1"/>
  <c r="F3129" i="1"/>
  <c r="E3129" i="1"/>
  <c r="D3129" i="1"/>
  <c r="B3129" i="1"/>
  <c r="A3129" i="1"/>
  <c r="L1097" i="1"/>
  <c r="J1097" i="1"/>
  <c r="I1097" i="1"/>
  <c r="H1097" i="1"/>
  <c r="G1097" i="1"/>
  <c r="F1097" i="1"/>
  <c r="E1097" i="1"/>
  <c r="D1097" i="1"/>
  <c r="B1097" i="1"/>
  <c r="A1097" i="1"/>
  <c r="L521" i="1"/>
  <c r="J521" i="1"/>
  <c r="I521" i="1"/>
  <c r="H521" i="1"/>
  <c r="G521" i="1"/>
  <c r="F521" i="1"/>
  <c r="E521" i="1"/>
  <c r="D521" i="1"/>
  <c r="B521" i="1"/>
  <c r="A521" i="1"/>
  <c r="L2576" i="1"/>
  <c r="J2576" i="1"/>
  <c r="I2576" i="1"/>
  <c r="H2576" i="1"/>
  <c r="G2576" i="1"/>
  <c r="F2576" i="1"/>
  <c r="E2576" i="1"/>
  <c r="D2576" i="1"/>
  <c r="B2576" i="1"/>
  <c r="A2576" i="1"/>
  <c r="L1462" i="1"/>
  <c r="J1462" i="1"/>
  <c r="I1462" i="1"/>
  <c r="H1462" i="1"/>
  <c r="G1462" i="1"/>
  <c r="F1462" i="1"/>
  <c r="E1462" i="1"/>
  <c r="D1462" i="1"/>
  <c r="B1462" i="1"/>
  <c r="A1462" i="1"/>
  <c r="J1461" i="1"/>
  <c r="I1461" i="1"/>
  <c r="H1461" i="1"/>
  <c r="G1461" i="1"/>
  <c r="F1461" i="1"/>
  <c r="E1461" i="1"/>
  <c r="D1461" i="1"/>
  <c r="B1461" i="1"/>
  <c r="A1461" i="1"/>
  <c r="L1460" i="1"/>
  <c r="J1460" i="1"/>
  <c r="I1460" i="1"/>
  <c r="H1460" i="1"/>
  <c r="G1460" i="1"/>
  <c r="F1460" i="1"/>
  <c r="E1460" i="1"/>
  <c r="D1460" i="1"/>
  <c r="B1460" i="1"/>
  <c r="A1460" i="1"/>
  <c r="L2057" i="1"/>
  <c r="J2057" i="1"/>
  <c r="I2057" i="1"/>
  <c r="H2057" i="1"/>
  <c r="G2057" i="1"/>
  <c r="F2057" i="1"/>
  <c r="E2057" i="1"/>
  <c r="D2057" i="1"/>
  <c r="B2057" i="1"/>
  <c r="A2057" i="1"/>
  <c r="L1304" i="1"/>
  <c r="J1304" i="1"/>
  <c r="I1304" i="1"/>
  <c r="H1304" i="1"/>
  <c r="G1304" i="1"/>
  <c r="F1304" i="1"/>
  <c r="E1304" i="1"/>
  <c r="D1304" i="1"/>
  <c r="B1304" i="1"/>
  <c r="A1304" i="1"/>
  <c r="L1226" i="1"/>
  <c r="J1226" i="1"/>
  <c r="I1226" i="1"/>
  <c r="H1226" i="1"/>
  <c r="G1226" i="1"/>
  <c r="F1226" i="1"/>
  <c r="E1226" i="1"/>
  <c r="D1226" i="1"/>
  <c r="B1226" i="1"/>
  <c r="A1226" i="1"/>
  <c r="L945" i="1"/>
  <c r="J945" i="1"/>
  <c r="I945" i="1"/>
  <c r="H945" i="1"/>
  <c r="G945" i="1"/>
  <c r="F945" i="1"/>
  <c r="E945" i="1"/>
  <c r="D945" i="1"/>
  <c r="B945" i="1"/>
  <c r="A945" i="1"/>
  <c r="L2825" i="1"/>
  <c r="J2825" i="1"/>
  <c r="I2825" i="1"/>
  <c r="H2825" i="1"/>
  <c r="G2825" i="1"/>
  <c r="F2825" i="1"/>
  <c r="E2825" i="1"/>
  <c r="D2825" i="1"/>
  <c r="B2825" i="1"/>
  <c r="A2825" i="1"/>
  <c r="L144" i="1"/>
  <c r="J144" i="1"/>
  <c r="I144" i="1"/>
  <c r="H144" i="1"/>
  <c r="G144" i="1"/>
  <c r="F144" i="1"/>
  <c r="E144" i="1"/>
  <c r="D144" i="1"/>
  <c r="B144" i="1"/>
  <c r="A144" i="1"/>
  <c r="L664" i="1"/>
  <c r="J664" i="1"/>
  <c r="I664" i="1"/>
  <c r="H664" i="1"/>
  <c r="G664" i="1"/>
  <c r="F664" i="1"/>
  <c r="E664" i="1"/>
  <c r="D664" i="1"/>
  <c r="B664" i="1"/>
  <c r="A664" i="1"/>
  <c r="L2159" i="1"/>
  <c r="J2159" i="1"/>
  <c r="I2159" i="1"/>
  <c r="H2159" i="1"/>
  <c r="G2159" i="1"/>
  <c r="F2159" i="1"/>
  <c r="E2159" i="1"/>
  <c r="D2159" i="1"/>
  <c r="B2159" i="1"/>
  <c r="A2159" i="1"/>
  <c r="L2575" i="1"/>
  <c r="J2575" i="1"/>
  <c r="I2575" i="1"/>
  <c r="H2575" i="1"/>
  <c r="G2575" i="1"/>
  <c r="F2575" i="1"/>
  <c r="E2575" i="1"/>
  <c r="D2575" i="1"/>
  <c r="B2575" i="1"/>
  <c r="A2575" i="1"/>
  <c r="L1459" i="1"/>
  <c r="J1459" i="1"/>
  <c r="I1459" i="1"/>
  <c r="H1459" i="1"/>
  <c r="G1459" i="1"/>
  <c r="F1459" i="1"/>
  <c r="E1459" i="1"/>
  <c r="D1459" i="1"/>
  <c r="B1459" i="1"/>
  <c r="A1459" i="1"/>
  <c r="L663" i="1"/>
  <c r="J663" i="1"/>
  <c r="I663" i="1"/>
  <c r="H663" i="1"/>
  <c r="G663" i="1"/>
  <c r="F663" i="1"/>
  <c r="E663" i="1"/>
  <c r="D663" i="1"/>
  <c r="B663" i="1"/>
  <c r="A663" i="1"/>
  <c r="L2158" i="1"/>
  <c r="J2158" i="1"/>
  <c r="I2158" i="1"/>
  <c r="H2158" i="1"/>
  <c r="G2158" i="1"/>
  <c r="F2158" i="1"/>
  <c r="E2158" i="1"/>
  <c r="D2158" i="1"/>
  <c r="B2158" i="1"/>
  <c r="A2158" i="1"/>
  <c r="L944" i="1"/>
  <c r="J944" i="1"/>
  <c r="I944" i="1"/>
  <c r="H944" i="1"/>
  <c r="G944" i="1"/>
  <c r="F944" i="1"/>
  <c r="E944" i="1"/>
  <c r="D944" i="1"/>
  <c r="B944" i="1"/>
  <c r="A944" i="1"/>
  <c r="L2056" i="1"/>
  <c r="J2056" i="1"/>
  <c r="I2056" i="1"/>
  <c r="H2056" i="1"/>
  <c r="G2056" i="1"/>
  <c r="F2056" i="1"/>
  <c r="E2056" i="1"/>
  <c r="D2056" i="1"/>
  <c r="B2056" i="1"/>
  <c r="A2056" i="1"/>
  <c r="L1303" i="1"/>
  <c r="J1303" i="1"/>
  <c r="I1303" i="1"/>
  <c r="H1303" i="1"/>
  <c r="G1303" i="1"/>
  <c r="F1303" i="1"/>
  <c r="E1303" i="1"/>
  <c r="D1303" i="1"/>
  <c r="B1303" i="1"/>
  <c r="A1303" i="1"/>
  <c r="L1225" i="1"/>
  <c r="J1225" i="1"/>
  <c r="I1225" i="1"/>
  <c r="H1225" i="1"/>
  <c r="G1225" i="1"/>
  <c r="F1225" i="1"/>
  <c r="E1225" i="1"/>
  <c r="D1225" i="1"/>
  <c r="B1225" i="1"/>
  <c r="A1225" i="1"/>
  <c r="J2311" i="1"/>
  <c r="I2311" i="1"/>
  <c r="H2311" i="1"/>
  <c r="G2311" i="1"/>
  <c r="F2311" i="1"/>
  <c r="E2311" i="1"/>
  <c r="D2311" i="1"/>
  <c r="B2311" i="1"/>
  <c r="A2311" i="1"/>
  <c r="J2348" i="1"/>
  <c r="I2348" i="1"/>
  <c r="H2348" i="1"/>
  <c r="G2348" i="1"/>
  <c r="F2348" i="1"/>
  <c r="E2348" i="1"/>
  <c r="D2348" i="1"/>
  <c r="B2348" i="1"/>
  <c r="A2348" i="1"/>
  <c r="J3173" i="1"/>
  <c r="I3173" i="1"/>
  <c r="H3173" i="1"/>
  <c r="G3173" i="1"/>
  <c r="F3173" i="1"/>
  <c r="E3173" i="1"/>
  <c r="D3173" i="1"/>
  <c r="B3173" i="1"/>
  <c r="A3173" i="1"/>
  <c r="J453" i="1"/>
  <c r="I453" i="1"/>
  <c r="H453" i="1"/>
  <c r="G453" i="1"/>
  <c r="F453" i="1"/>
  <c r="E453" i="1"/>
  <c r="D453" i="1"/>
  <c r="B453" i="1"/>
  <c r="A453" i="1"/>
  <c r="L1224" i="1"/>
  <c r="J1224" i="1"/>
  <c r="I1224" i="1"/>
  <c r="H1224" i="1"/>
  <c r="G1224" i="1"/>
  <c r="F1224" i="1"/>
  <c r="E1224" i="1"/>
  <c r="D1224" i="1"/>
  <c r="B1224" i="1"/>
  <c r="A1224" i="1"/>
  <c r="L2055" i="1"/>
  <c r="J2055" i="1"/>
  <c r="I2055" i="1"/>
  <c r="H2055" i="1"/>
  <c r="G2055" i="1"/>
  <c r="F2055" i="1"/>
  <c r="E2055" i="1"/>
  <c r="D2055" i="1"/>
  <c r="B2055" i="1"/>
  <c r="A2055" i="1"/>
  <c r="L1302" i="1"/>
  <c r="J1302" i="1"/>
  <c r="I1302" i="1"/>
  <c r="H1302" i="1"/>
  <c r="G1302" i="1"/>
  <c r="F1302" i="1"/>
  <c r="E1302" i="1"/>
  <c r="D1302" i="1"/>
  <c r="B1302" i="1"/>
  <c r="A1302" i="1"/>
  <c r="L943" i="1"/>
  <c r="J943" i="1"/>
  <c r="I943" i="1"/>
  <c r="H943" i="1"/>
  <c r="G943" i="1"/>
  <c r="F943" i="1"/>
  <c r="E943" i="1"/>
  <c r="D943" i="1"/>
  <c r="B943" i="1"/>
  <c r="A943" i="1"/>
  <c r="L2574" i="1"/>
  <c r="J2574" i="1"/>
  <c r="I2574" i="1"/>
  <c r="H2574" i="1"/>
  <c r="G2574" i="1"/>
  <c r="F2574" i="1"/>
  <c r="E2574" i="1"/>
  <c r="D2574" i="1"/>
  <c r="B2574" i="1"/>
  <c r="A2574" i="1"/>
  <c r="J1458" i="1"/>
  <c r="I1458" i="1"/>
  <c r="H1458" i="1"/>
  <c r="G1458" i="1"/>
  <c r="F1458" i="1"/>
  <c r="E1458" i="1"/>
  <c r="D1458" i="1"/>
  <c r="B1458" i="1"/>
  <c r="A1458" i="1"/>
  <c r="L662" i="1"/>
  <c r="J662" i="1"/>
  <c r="I662" i="1"/>
  <c r="H662" i="1"/>
  <c r="G662" i="1"/>
  <c r="F662" i="1"/>
  <c r="E662" i="1"/>
  <c r="D662" i="1"/>
  <c r="B662" i="1"/>
  <c r="A662" i="1"/>
  <c r="L2157" i="1"/>
  <c r="J2157" i="1"/>
  <c r="I2157" i="1"/>
  <c r="H2157" i="1"/>
  <c r="G2157" i="1"/>
  <c r="F2157" i="1"/>
  <c r="E2157" i="1"/>
  <c r="D2157" i="1"/>
  <c r="B2157" i="1"/>
  <c r="A2157" i="1"/>
  <c r="L2824" i="1"/>
  <c r="J2824" i="1"/>
  <c r="I2824" i="1"/>
  <c r="H2824" i="1"/>
  <c r="G2824" i="1"/>
  <c r="F2824" i="1"/>
  <c r="E2824" i="1"/>
  <c r="D2824" i="1"/>
  <c r="B2824" i="1"/>
  <c r="A2824" i="1"/>
  <c r="L143" i="1"/>
  <c r="J143" i="1"/>
  <c r="I143" i="1"/>
  <c r="H143" i="1"/>
  <c r="G143" i="1"/>
  <c r="F143" i="1"/>
  <c r="E143" i="1"/>
  <c r="D143" i="1"/>
  <c r="B143" i="1"/>
  <c r="A143" i="1"/>
  <c r="L578" i="1"/>
  <c r="J578" i="1"/>
  <c r="I578" i="1"/>
  <c r="H578" i="1"/>
  <c r="G578" i="1"/>
  <c r="F578" i="1"/>
  <c r="E578" i="1"/>
  <c r="D578" i="1"/>
  <c r="B578" i="1"/>
  <c r="A578" i="1"/>
  <c r="L3128" i="1"/>
  <c r="J3128" i="1"/>
  <c r="I3128" i="1"/>
  <c r="H3128" i="1"/>
  <c r="G3128" i="1"/>
  <c r="F3128" i="1"/>
  <c r="E3128" i="1"/>
  <c r="D3128" i="1"/>
  <c r="B3128" i="1"/>
  <c r="A3128" i="1"/>
  <c r="L407" i="1"/>
  <c r="J407" i="1"/>
  <c r="I407" i="1"/>
  <c r="H407" i="1"/>
  <c r="G407" i="1"/>
  <c r="F407" i="1"/>
  <c r="E407" i="1"/>
  <c r="D407" i="1"/>
  <c r="B407" i="1"/>
  <c r="A407" i="1"/>
  <c r="L1096" i="1"/>
  <c r="J1096" i="1"/>
  <c r="I1096" i="1"/>
  <c r="H1096" i="1"/>
  <c r="G1096" i="1"/>
  <c r="F1096" i="1"/>
  <c r="E1096" i="1"/>
  <c r="D1096" i="1"/>
  <c r="B1096" i="1"/>
  <c r="A1096" i="1"/>
  <c r="L2823" i="1"/>
  <c r="J2823" i="1"/>
  <c r="I2823" i="1"/>
  <c r="H2823" i="1"/>
  <c r="G2823" i="1"/>
  <c r="F2823" i="1"/>
  <c r="E2823" i="1"/>
  <c r="D2823" i="1"/>
  <c r="B2823" i="1"/>
  <c r="A2823" i="1"/>
  <c r="L142" i="1"/>
  <c r="J142" i="1"/>
  <c r="I142" i="1"/>
  <c r="H142" i="1"/>
  <c r="G142" i="1"/>
  <c r="F142" i="1"/>
  <c r="E142" i="1"/>
  <c r="D142" i="1"/>
  <c r="B142" i="1"/>
  <c r="A142" i="1"/>
  <c r="L2573" i="1"/>
  <c r="J2573" i="1"/>
  <c r="I2573" i="1"/>
  <c r="H2573" i="1"/>
  <c r="G2573" i="1"/>
  <c r="F2573" i="1"/>
  <c r="E2573" i="1"/>
  <c r="D2573" i="1"/>
  <c r="B2573" i="1"/>
  <c r="A2573" i="1"/>
  <c r="L1457" i="1"/>
  <c r="J1457" i="1"/>
  <c r="I1457" i="1"/>
  <c r="H1457" i="1"/>
  <c r="G1457" i="1"/>
  <c r="F1457" i="1"/>
  <c r="E1457" i="1"/>
  <c r="D1457" i="1"/>
  <c r="B1457" i="1"/>
  <c r="A1457" i="1"/>
  <c r="L2572" i="1"/>
  <c r="J2572" i="1"/>
  <c r="I2572" i="1"/>
  <c r="H2572" i="1"/>
  <c r="G2572" i="1"/>
  <c r="F2572" i="1"/>
  <c r="E2572" i="1"/>
  <c r="D2572" i="1"/>
  <c r="B2572" i="1"/>
  <c r="A2572" i="1"/>
  <c r="J1456" i="1"/>
  <c r="I1456" i="1"/>
  <c r="H1456" i="1"/>
  <c r="G1456" i="1"/>
  <c r="F1456" i="1"/>
  <c r="E1456" i="1"/>
  <c r="D1456" i="1"/>
  <c r="B1456" i="1"/>
  <c r="A1456" i="1"/>
  <c r="L942" i="1"/>
  <c r="J942" i="1"/>
  <c r="I942" i="1"/>
  <c r="H942" i="1"/>
  <c r="G942" i="1"/>
  <c r="F942" i="1"/>
  <c r="E942" i="1"/>
  <c r="D942" i="1"/>
  <c r="B942" i="1"/>
  <c r="A942" i="1"/>
  <c r="J1455" i="1"/>
  <c r="I1455" i="1"/>
  <c r="H1455" i="1"/>
  <c r="G1455" i="1"/>
  <c r="F1455" i="1"/>
  <c r="E1455" i="1"/>
  <c r="D1455" i="1"/>
  <c r="B1455" i="1"/>
  <c r="A1455" i="1"/>
  <c r="L2822" i="1"/>
  <c r="J2822" i="1"/>
  <c r="I2822" i="1"/>
  <c r="H2822" i="1"/>
  <c r="G2822" i="1"/>
  <c r="F2822" i="1"/>
  <c r="E2822" i="1"/>
  <c r="D2822" i="1"/>
  <c r="B2822" i="1"/>
  <c r="A2822" i="1"/>
  <c r="L141" i="1"/>
  <c r="J141" i="1"/>
  <c r="I141" i="1"/>
  <c r="H141" i="1"/>
  <c r="G141" i="1"/>
  <c r="F141" i="1"/>
  <c r="E141" i="1"/>
  <c r="D141" i="1"/>
  <c r="B141" i="1"/>
  <c r="A141" i="1"/>
  <c r="L661" i="1"/>
  <c r="J661" i="1"/>
  <c r="I661" i="1"/>
  <c r="H661" i="1"/>
  <c r="G661" i="1"/>
  <c r="F661" i="1"/>
  <c r="E661" i="1"/>
  <c r="D661" i="1"/>
  <c r="B661" i="1"/>
  <c r="A661" i="1"/>
  <c r="L2156" i="1"/>
  <c r="J2156" i="1"/>
  <c r="I2156" i="1"/>
  <c r="H2156" i="1"/>
  <c r="G2156" i="1"/>
  <c r="F2156" i="1"/>
  <c r="E2156" i="1"/>
  <c r="D2156" i="1"/>
  <c r="B2156" i="1"/>
  <c r="A2156" i="1"/>
  <c r="L577" i="1"/>
  <c r="J577" i="1"/>
  <c r="I577" i="1"/>
  <c r="H577" i="1"/>
  <c r="G577" i="1"/>
  <c r="F577" i="1"/>
  <c r="E577" i="1"/>
  <c r="D577" i="1"/>
  <c r="B577" i="1"/>
  <c r="A577" i="1"/>
  <c r="L406" i="1"/>
  <c r="J406" i="1"/>
  <c r="I406" i="1"/>
  <c r="H406" i="1"/>
  <c r="G406" i="1"/>
  <c r="F406" i="1"/>
  <c r="E406" i="1"/>
  <c r="D406" i="1"/>
  <c r="B406" i="1"/>
  <c r="A406" i="1"/>
  <c r="L3127" i="1"/>
  <c r="J3127" i="1"/>
  <c r="I3127" i="1"/>
  <c r="H3127" i="1"/>
  <c r="G3127" i="1"/>
  <c r="F3127" i="1"/>
  <c r="E3127" i="1"/>
  <c r="D3127" i="1"/>
  <c r="B3127" i="1"/>
  <c r="A3127" i="1"/>
  <c r="L1095" i="1"/>
  <c r="J1095" i="1"/>
  <c r="I1095" i="1"/>
  <c r="H1095" i="1"/>
  <c r="G1095" i="1"/>
  <c r="F1095" i="1"/>
  <c r="E1095" i="1"/>
  <c r="D1095" i="1"/>
  <c r="B1095" i="1"/>
  <c r="A1095" i="1"/>
  <c r="L1301" i="1"/>
  <c r="J1301" i="1"/>
  <c r="I1301" i="1"/>
  <c r="H1301" i="1"/>
  <c r="G1301" i="1"/>
  <c r="F1301" i="1"/>
  <c r="E1301" i="1"/>
  <c r="D1301" i="1"/>
  <c r="B1301" i="1"/>
  <c r="A1301" i="1"/>
  <c r="L2054" i="1"/>
  <c r="J2054" i="1"/>
  <c r="I2054" i="1"/>
  <c r="H2054" i="1"/>
  <c r="G2054" i="1"/>
  <c r="F2054" i="1"/>
  <c r="E2054" i="1"/>
  <c r="D2054" i="1"/>
  <c r="B2054" i="1"/>
  <c r="A2054" i="1"/>
  <c r="L1223" i="1"/>
  <c r="J1223" i="1"/>
  <c r="I1223" i="1"/>
  <c r="H1223" i="1"/>
  <c r="G1223" i="1"/>
  <c r="F1223" i="1"/>
  <c r="E1223" i="1"/>
  <c r="D1223" i="1"/>
  <c r="B1223" i="1"/>
  <c r="A1223" i="1"/>
  <c r="L2571" i="1"/>
  <c r="J2571" i="1"/>
  <c r="I2571" i="1"/>
  <c r="H2571" i="1"/>
  <c r="G2571" i="1"/>
  <c r="F2571" i="1"/>
  <c r="E2571" i="1"/>
  <c r="D2571" i="1"/>
  <c r="B2571" i="1"/>
  <c r="A2571" i="1"/>
  <c r="L1155" i="1"/>
  <c r="K1155" i="1"/>
  <c r="J1155" i="1"/>
  <c r="I1155" i="1"/>
  <c r="H1155" i="1"/>
  <c r="G1155" i="1"/>
  <c r="F1155" i="1"/>
  <c r="E1155" i="1"/>
  <c r="D1155" i="1"/>
  <c r="B1155" i="1"/>
  <c r="A1155" i="1"/>
  <c r="L2821" i="1"/>
  <c r="J2821" i="1"/>
  <c r="I2821" i="1"/>
  <c r="H2821" i="1"/>
  <c r="G2821" i="1"/>
  <c r="F2821" i="1"/>
  <c r="E2821" i="1"/>
  <c r="D2821" i="1"/>
  <c r="B2821" i="1"/>
  <c r="A2821" i="1"/>
  <c r="L660" i="1"/>
  <c r="J660" i="1"/>
  <c r="I660" i="1"/>
  <c r="H660" i="1"/>
  <c r="G660" i="1"/>
  <c r="F660" i="1"/>
  <c r="E660" i="1"/>
  <c r="D660" i="1"/>
  <c r="B660" i="1"/>
  <c r="A660" i="1"/>
  <c r="L140" i="1"/>
  <c r="J140" i="1"/>
  <c r="I140" i="1"/>
  <c r="H140" i="1"/>
  <c r="G140" i="1"/>
  <c r="F140" i="1"/>
  <c r="E140" i="1"/>
  <c r="D140" i="1"/>
  <c r="B140" i="1"/>
  <c r="A140" i="1"/>
  <c r="L2155" i="1"/>
  <c r="J2155" i="1"/>
  <c r="I2155" i="1"/>
  <c r="H2155" i="1"/>
  <c r="G2155" i="1"/>
  <c r="F2155" i="1"/>
  <c r="E2155" i="1"/>
  <c r="D2155" i="1"/>
  <c r="B2155" i="1"/>
  <c r="A2155" i="1"/>
  <c r="L2820" i="1"/>
  <c r="J2820" i="1"/>
  <c r="I2820" i="1"/>
  <c r="H2820" i="1"/>
  <c r="G2820" i="1"/>
  <c r="F2820" i="1"/>
  <c r="E2820" i="1"/>
  <c r="D2820" i="1"/>
  <c r="B2820" i="1"/>
  <c r="A2820" i="1"/>
  <c r="L405" i="1"/>
  <c r="J405" i="1"/>
  <c r="I405" i="1"/>
  <c r="H405" i="1"/>
  <c r="G405" i="1"/>
  <c r="F405" i="1"/>
  <c r="E405" i="1"/>
  <c r="D405" i="1"/>
  <c r="B405" i="1"/>
  <c r="A405" i="1"/>
  <c r="L139" i="1"/>
  <c r="J139" i="1"/>
  <c r="I139" i="1"/>
  <c r="H139" i="1"/>
  <c r="G139" i="1"/>
  <c r="F139" i="1"/>
  <c r="E139" i="1"/>
  <c r="D139" i="1"/>
  <c r="B139" i="1"/>
  <c r="A139" i="1"/>
  <c r="L576" i="1"/>
  <c r="J576" i="1"/>
  <c r="I576" i="1"/>
  <c r="H576" i="1"/>
  <c r="G576" i="1"/>
  <c r="F576" i="1"/>
  <c r="E576" i="1"/>
  <c r="D576" i="1"/>
  <c r="B576" i="1"/>
  <c r="A576" i="1"/>
  <c r="L3126" i="1"/>
  <c r="J3126" i="1"/>
  <c r="I3126" i="1"/>
  <c r="H3126" i="1"/>
  <c r="G3126" i="1"/>
  <c r="F3126" i="1"/>
  <c r="E3126" i="1"/>
  <c r="D3126" i="1"/>
  <c r="B3126" i="1"/>
  <c r="A3126" i="1"/>
  <c r="L1094" i="1"/>
  <c r="J1094" i="1"/>
  <c r="I1094" i="1"/>
  <c r="H1094" i="1"/>
  <c r="G1094" i="1"/>
  <c r="F1094" i="1"/>
  <c r="E1094" i="1"/>
  <c r="D1094" i="1"/>
  <c r="B1094" i="1"/>
  <c r="A1094" i="1"/>
  <c r="J941" i="1"/>
  <c r="I941" i="1"/>
  <c r="H941" i="1"/>
  <c r="G941" i="1"/>
  <c r="F941" i="1"/>
  <c r="E941" i="1"/>
  <c r="D941" i="1"/>
  <c r="B941" i="1"/>
  <c r="A941" i="1"/>
  <c r="L2570" i="1"/>
  <c r="J2570" i="1"/>
  <c r="I2570" i="1"/>
  <c r="H2570" i="1"/>
  <c r="G2570" i="1"/>
  <c r="F2570" i="1"/>
  <c r="E2570" i="1"/>
  <c r="D2570" i="1"/>
  <c r="B2570" i="1"/>
  <c r="A2570" i="1"/>
  <c r="L1454" i="1"/>
  <c r="J1454" i="1"/>
  <c r="I1454" i="1"/>
  <c r="H1454" i="1"/>
  <c r="G1454" i="1"/>
  <c r="F1454" i="1"/>
  <c r="E1454" i="1"/>
  <c r="D1454" i="1"/>
  <c r="B1454" i="1"/>
  <c r="A1454" i="1"/>
  <c r="L2053" i="1"/>
  <c r="J2053" i="1"/>
  <c r="I2053" i="1"/>
  <c r="H2053" i="1"/>
  <c r="G2053" i="1"/>
  <c r="F2053" i="1"/>
  <c r="E2053" i="1"/>
  <c r="D2053" i="1"/>
  <c r="B2053" i="1"/>
  <c r="A2053" i="1"/>
  <c r="L1222" i="1"/>
  <c r="J1222" i="1"/>
  <c r="I1222" i="1"/>
  <c r="H1222" i="1"/>
  <c r="G1222" i="1"/>
  <c r="F1222" i="1"/>
  <c r="E1222" i="1"/>
  <c r="D1222" i="1"/>
  <c r="B1222" i="1"/>
  <c r="A1222" i="1"/>
  <c r="L1300" i="1"/>
  <c r="J1300" i="1"/>
  <c r="I1300" i="1"/>
  <c r="H1300" i="1"/>
  <c r="G1300" i="1"/>
  <c r="F1300" i="1"/>
  <c r="E1300" i="1"/>
  <c r="D1300" i="1"/>
  <c r="B1300" i="1"/>
  <c r="A1300" i="1"/>
  <c r="J940" i="1"/>
  <c r="I940" i="1"/>
  <c r="H940" i="1"/>
  <c r="G940" i="1"/>
  <c r="F940" i="1"/>
  <c r="E940" i="1"/>
  <c r="D940" i="1"/>
  <c r="B940" i="1"/>
  <c r="A940" i="1"/>
  <c r="L2310" i="1"/>
  <c r="J2310" i="1"/>
  <c r="I2310" i="1"/>
  <c r="H2310" i="1"/>
  <c r="G2310" i="1"/>
  <c r="F2310" i="1"/>
  <c r="E2310" i="1"/>
  <c r="D2310" i="1"/>
  <c r="B2310" i="1"/>
  <c r="A2310" i="1"/>
  <c r="L2347" i="1"/>
  <c r="J2347" i="1"/>
  <c r="I2347" i="1"/>
  <c r="H2347" i="1"/>
  <c r="G2347" i="1"/>
  <c r="F2347" i="1"/>
  <c r="E2347" i="1"/>
  <c r="D2347" i="1"/>
  <c r="B2347" i="1"/>
  <c r="A2347" i="1"/>
  <c r="L3172" i="1"/>
  <c r="J3172" i="1"/>
  <c r="I3172" i="1"/>
  <c r="H3172" i="1"/>
  <c r="G3172" i="1"/>
  <c r="F3172" i="1"/>
  <c r="E3172" i="1"/>
  <c r="D3172" i="1"/>
  <c r="B3172" i="1"/>
  <c r="A3172" i="1"/>
  <c r="L452" i="1"/>
  <c r="J452" i="1"/>
  <c r="I452" i="1"/>
  <c r="H452" i="1"/>
  <c r="G452" i="1"/>
  <c r="F452" i="1"/>
  <c r="E452" i="1"/>
  <c r="D452" i="1"/>
  <c r="B452" i="1"/>
  <c r="A452" i="1"/>
  <c r="L2569" i="1"/>
  <c r="J2569" i="1"/>
  <c r="I2569" i="1"/>
  <c r="H2569" i="1"/>
  <c r="G2569" i="1"/>
  <c r="F2569" i="1"/>
  <c r="E2569" i="1"/>
  <c r="D2569" i="1"/>
  <c r="B2569" i="1"/>
  <c r="A2569" i="1"/>
  <c r="L575" i="1"/>
  <c r="J575" i="1"/>
  <c r="I575" i="1"/>
  <c r="H575" i="1"/>
  <c r="G575" i="1"/>
  <c r="F575" i="1"/>
  <c r="E575" i="1"/>
  <c r="D575" i="1"/>
  <c r="B575" i="1"/>
  <c r="A575" i="1"/>
  <c r="L3125" i="1"/>
  <c r="J3125" i="1"/>
  <c r="I3125" i="1"/>
  <c r="H3125" i="1"/>
  <c r="G3125" i="1"/>
  <c r="F3125" i="1"/>
  <c r="E3125" i="1"/>
  <c r="D3125" i="1"/>
  <c r="B3125" i="1"/>
  <c r="A3125" i="1"/>
  <c r="L404" i="1"/>
  <c r="J404" i="1"/>
  <c r="I404" i="1"/>
  <c r="H404" i="1"/>
  <c r="G404" i="1"/>
  <c r="F404" i="1"/>
  <c r="E404" i="1"/>
  <c r="D404" i="1"/>
  <c r="B404" i="1"/>
  <c r="A404" i="1"/>
  <c r="L1093" i="1"/>
  <c r="J1093" i="1"/>
  <c r="I1093" i="1"/>
  <c r="H1093" i="1"/>
  <c r="G1093" i="1"/>
  <c r="F1093" i="1"/>
  <c r="E1093" i="1"/>
  <c r="D1093" i="1"/>
  <c r="B1093" i="1"/>
  <c r="A1093" i="1"/>
  <c r="L2052" i="1"/>
  <c r="J2052" i="1"/>
  <c r="I2052" i="1"/>
  <c r="H2052" i="1"/>
  <c r="G2052" i="1"/>
  <c r="F2052" i="1"/>
  <c r="E2052" i="1"/>
  <c r="D2052" i="1"/>
  <c r="B2052" i="1"/>
  <c r="A2052" i="1"/>
  <c r="L1221" i="1"/>
  <c r="J1221" i="1"/>
  <c r="I1221" i="1"/>
  <c r="H1221" i="1"/>
  <c r="G1221" i="1"/>
  <c r="F1221" i="1"/>
  <c r="E1221" i="1"/>
  <c r="D1221" i="1"/>
  <c r="B1221" i="1"/>
  <c r="A1221" i="1"/>
  <c r="L1299" i="1"/>
  <c r="J1299" i="1"/>
  <c r="I1299" i="1"/>
  <c r="H1299" i="1"/>
  <c r="G1299" i="1"/>
  <c r="F1299" i="1"/>
  <c r="E1299" i="1"/>
  <c r="D1299" i="1"/>
  <c r="B1299" i="1"/>
  <c r="A1299" i="1"/>
  <c r="L659" i="1"/>
  <c r="J659" i="1"/>
  <c r="I659" i="1"/>
  <c r="H659" i="1"/>
  <c r="G659" i="1"/>
  <c r="F659" i="1"/>
  <c r="E659" i="1"/>
  <c r="D659" i="1"/>
  <c r="B659" i="1"/>
  <c r="A659" i="1"/>
  <c r="L2154" i="1"/>
  <c r="J2154" i="1"/>
  <c r="I2154" i="1"/>
  <c r="H2154" i="1"/>
  <c r="G2154" i="1"/>
  <c r="F2154" i="1"/>
  <c r="E2154" i="1"/>
  <c r="D2154" i="1"/>
  <c r="B2154" i="1"/>
  <c r="A2154" i="1"/>
  <c r="L658" i="1"/>
  <c r="J658" i="1"/>
  <c r="I658" i="1"/>
  <c r="H658" i="1"/>
  <c r="G658" i="1"/>
  <c r="F658" i="1"/>
  <c r="E658" i="1"/>
  <c r="D658" i="1"/>
  <c r="B658" i="1"/>
  <c r="A658" i="1"/>
  <c r="L2153" i="1"/>
  <c r="J2153" i="1"/>
  <c r="I2153" i="1"/>
  <c r="H2153" i="1"/>
  <c r="G2153" i="1"/>
  <c r="F2153" i="1"/>
  <c r="E2153" i="1"/>
  <c r="D2153" i="1"/>
  <c r="B2153" i="1"/>
  <c r="A2153" i="1"/>
  <c r="L44" i="1"/>
  <c r="K44" i="1"/>
  <c r="J44" i="1"/>
  <c r="I44" i="1"/>
  <c r="H44" i="1"/>
  <c r="G44" i="1"/>
  <c r="F44" i="1"/>
  <c r="E44" i="1"/>
  <c r="D44" i="1"/>
  <c r="B44" i="1"/>
  <c r="A44" i="1"/>
  <c r="L1154" i="1"/>
  <c r="K1154" i="1"/>
  <c r="J1154" i="1"/>
  <c r="I1154" i="1"/>
  <c r="H1154" i="1"/>
  <c r="G1154" i="1"/>
  <c r="F1154" i="1"/>
  <c r="E1154" i="1"/>
  <c r="D1154" i="1"/>
  <c r="B1154" i="1"/>
  <c r="A1154" i="1"/>
  <c r="L2568" i="1"/>
  <c r="J2568" i="1"/>
  <c r="I2568" i="1"/>
  <c r="H2568" i="1"/>
  <c r="G2568" i="1"/>
  <c r="F2568" i="1"/>
  <c r="E2568" i="1"/>
  <c r="D2568" i="1"/>
  <c r="B2568" i="1"/>
  <c r="A2568" i="1"/>
  <c r="L1220" i="1"/>
  <c r="J1220" i="1"/>
  <c r="I1220" i="1"/>
  <c r="H1220" i="1"/>
  <c r="G1220" i="1"/>
  <c r="F1220" i="1"/>
  <c r="E1220" i="1"/>
  <c r="D1220" i="1"/>
  <c r="B1220" i="1"/>
  <c r="A1220" i="1"/>
  <c r="L2051" i="1"/>
  <c r="J2051" i="1"/>
  <c r="I2051" i="1"/>
  <c r="H2051" i="1"/>
  <c r="G2051" i="1"/>
  <c r="F2051" i="1"/>
  <c r="E2051" i="1"/>
  <c r="D2051" i="1"/>
  <c r="B2051" i="1"/>
  <c r="A2051" i="1"/>
  <c r="L1298" i="1"/>
  <c r="J1298" i="1"/>
  <c r="I1298" i="1"/>
  <c r="H1298" i="1"/>
  <c r="G1298" i="1"/>
  <c r="F1298" i="1"/>
  <c r="E1298" i="1"/>
  <c r="D1298" i="1"/>
  <c r="B1298" i="1"/>
  <c r="A1298" i="1"/>
  <c r="L403" i="1"/>
  <c r="J403" i="1"/>
  <c r="I403" i="1"/>
  <c r="H403" i="1"/>
  <c r="G403" i="1"/>
  <c r="F403" i="1"/>
  <c r="E403" i="1"/>
  <c r="D403" i="1"/>
  <c r="B403" i="1"/>
  <c r="A403" i="1"/>
  <c r="L574" i="1"/>
  <c r="J574" i="1"/>
  <c r="I574" i="1"/>
  <c r="H574" i="1"/>
  <c r="G574" i="1"/>
  <c r="F574" i="1"/>
  <c r="E574" i="1"/>
  <c r="D574" i="1"/>
  <c r="B574" i="1"/>
  <c r="A574" i="1"/>
  <c r="L3124" i="1"/>
  <c r="J3124" i="1"/>
  <c r="I3124" i="1"/>
  <c r="H3124" i="1"/>
  <c r="G3124" i="1"/>
  <c r="F3124" i="1"/>
  <c r="E3124" i="1"/>
  <c r="D3124" i="1"/>
  <c r="B3124" i="1"/>
  <c r="A3124" i="1"/>
  <c r="L1092" i="1"/>
  <c r="J1092" i="1"/>
  <c r="I1092" i="1"/>
  <c r="H1092" i="1"/>
  <c r="G1092" i="1"/>
  <c r="F1092" i="1"/>
  <c r="E1092" i="1"/>
  <c r="D1092" i="1"/>
  <c r="B1092" i="1"/>
  <c r="A1092" i="1"/>
  <c r="L2819" i="1"/>
  <c r="J2819" i="1"/>
  <c r="I2819" i="1"/>
  <c r="H2819" i="1"/>
  <c r="G2819" i="1"/>
  <c r="F2819" i="1"/>
  <c r="E2819" i="1"/>
  <c r="D2819" i="1"/>
  <c r="B2819" i="1"/>
  <c r="A2819" i="1"/>
  <c r="L138" i="1"/>
  <c r="J138" i="1"/>
  <c r="I138" i="1"/>
  <c r="H138" i="1"/>
  <c r="G138" i="1"/>
  <c r="F138" i="1"/>
  <c r="E138" i="1"/>
  <c r="D138" i="1"/>
  <c r="B138" i="1"/>
  <c r="A138" i="1"/>
  <c r="L402" i="1"/>
  <c r="J402" i="1"/>
  <c r="I402" i="1"/>
  <c r="H402" i="1"/>
  <c r="G402" i="1"/>
  <c r="F402" i="1"/>
  <c r="E402" i="1"/>
  <c r="D402" i="1"/>
  <c r="B402" i="1"/>
  <c r="A402" i="1"/>
  <c r="L573" i="1"/>
  <c r="J573" i="1"/>
  <c r="I573" i="1"/>
  <c r="H573" i="1"/>
  <c r="G573" i="1"/>
  <c r="F573" i="1"/>
  <c r="E573" i="1"/>
  <c r="D573" i="1"/>
  <c r="B573" i="1"/>
  <c r="A573" i="1"/>
  <c r="L3123" i="1"/>
  <c r="J3123" i="1"/>
  <c r="I3123" i="1"/>
  <c r="H3123" i="1"/>
  <c r="G3123" i="1"/>
  <c r="F3123" i="1"/>
  <c r="E3123" i="1"/>
  <c r="D3123" i="1"/>
  <c r="B3123" i="1"/>
  <c r="A3123" i="1"/>
  <c r="L1091" i="1"/>
  <c r="J1091" i="1"/>
  <c r="I1091" i="1"/>
  <c r="H1091" i="1"/>
  <c r="G1091" i="1"/>
  <c r="F1091" i="1"/>
  <c r="E1091" i="1"/>
  <c r="D1091" i="1"/>
  <c r="B1091" i="1"/>
  <c r="A1091" i="1"/>
  <c r="J939" i="1"/>
  <c r="I939" i="1"/>
  <c r="H939" i="1"/>
  <c r="G939" i="1"/>
  <c r="F939" i="1"/>
  <c r="E939" i="1"/>
  <c r="D939" i="1"/>
  <c r="B939" i="1"/>
  <c r="A939" i="1"/>
  <c r="L2050" i="1"/>
  <c r="J2050" i="1"/>
  <c r="I2050" i="1"/>
  <c r="H2050" i="1"/>
  <c r="G2050" i="1"/>
  <c r="F2050" i="1"/>
  <c r="E2050" i="1"/>
  <c r="D2050" i="1"/>
  <c r="B2050" i="1"/>
  <c r="A2050" i="1"/>
  <c r="L1219" i="1"/>
  <c r="J1219" i="1"/>
  <c r="I1219" i="1"/>
  <c r="H1219" i="1"/>
  <c r="G1219" i="1"/>
  <c r="F1219" i="1"/>
  <c r="E1219" i="1"/>
  <c r="D1219" i="1"/>
  <c r="B1219" i="1"/>
  <c r="A1219" i="1"/>
  <c r="L1297" i="1"/>
  <c r="J1297" i="1"/>
  <c r="I1297" i="1"/>
  <c r="H1297" i="1"/>
  <c r="G1297" i="1"/>
  <c r="F1297" i="1"/>
  <c r="E1297" i="1"/>
  <c r="D1297" i="1"/>
  <c r="B1297" i="1"/>
  <c r="A1297" i="1"/>
  <c r="J1453" i="1"/>
  <c r="I1453" i="1"/>
  <c r="H1453" i="1"/>
  <c r="G1453" i="1"/>
  <c r="F1453" i="1"/>
  <c r="E1453" i="1"/>
  <c r="D1453" i="1"/>
  <c r="B1453" i="1"/>
  <c r="A1453" i="1"/>
  <c r="L2567" i="1"/>
  <c r="J2567" i="1"/>
  <c r="I2567" i="1"/>
  <c r="H2567" i="1"/>
  <c r="G2567" i="1"/>
  <c r="F2567" i="1"/>
  <c r="E2567" i="1"/>
  <c r="D2567" i="1"/>
  <c r="B2567" i="1"/>
  <c r="A2567" i="1"/>
  <c r="L2152" i="1"/>
  <c r="J2152" i="1"/>
  <c r="I2152" i="1"/>
  <c r="H2152" i="1"/>
  <c r="G2152" i="1"/>
  <c r="F2152" i="1"/>
  <c r="E2152" i="1"/>
  <c r="D2152" i="1"/>
  <c r="B2152" i="1"/>
  <c r="A2152" i="1"/>
  <c r="L657" i="1"/>
  <c r="J657" i="1"/>
  <c r="I657" i="1"/>
  <c r="H657" i="1"/>
  <c r="G657" i="1"/>
  <c r="F657" i="1"/>
  <c r="E657" i="1"/>
  <c r="D657" i="1"/>
  <c r="B657" i="1"/>
  <c r="A657" i="1"/>
  <c r="L2566" i="1"/>
  <c r="J2566" i="1"/>
  <c r="I2566" i="1"/>
  <c r="H2566" i="1"/>
  <c r="G2566" i="1"/>
  <c r="F2566" i="1"/>
  <c r="E2566" i="1"/>
  <c r="D2566" i="1"/>
  <c r="B2566" i="1"/>
  <c r="A2566" i="1"/>
  <c r="L1452" i="1"/>
  <c r="J1452" i="1"/>
  <c r="I1452" i="1"/>
  <c r="H1452" i="1"/>
  <c r="G1452" i="1"/>
  <c r="F1452" i="1"/>
  <c r="E1452" i="1"/>
  <c r="D1452" i="1"/>
  <c r="B1452" i="1"/>
  <c r="A1452" i="1"/>
  <c r="L2818" i="1"/>
  <c r="J2818" i="1"/>
  <c r="I2818" i="1"/>
  <c r="H2818" i="1"/>
  <c r="G2818" i="1"/>
  <c r="F2818" i="1"/>
  <c r="E2818" i="1"/>
  <c r="D2818" i="1"/>
  <c r="B2818" i="1"/>
  <c r="A2818" i="1"/>
  <c r="L137" i="1"/>
  <c r="J137" i="1"/>
  <c r="I137" i="1"/>
  <c r="H137" i="1"/>
  <c r="G137" i="1"/>
  <c r="F137" i="1"/>
  <c r="E137" i="1"/>
  <c r="D137" i="1"/>
  <c r="B137" i="1"/>
  <c r="A137" i="1"/>
  <c r="J1451" i="1"/>
  <c r="I1451" i="1"/>
  <c r="H1451" i="1"/>
  <c r="G1451" i="1"/>
  <c r="F1451" i="1"/>
  <c r="E1451" i="1"/>
  <c r="D1451" i="1"/>
  <c r="B1451" i="1"/>
  <c r="A1451" i="1"/>
  <c r="J1450" i="1"/>
  <c r="I1450" i="1"/>
  <c r="H1450" i="1"/>
  <c r="G1450" i="1"/>
  <c r="F1450" i="1"/>
  <c r="E1450" i="1"/>
  <c r="D1450" i="1"/>
  <c r="B1450" i="1"/>
  <c r="A1450" i="1"/>
  <c r="L2565" i="1"/>
  <c r="J2565" i="1"/>
  <c r="I2565" i="1"/>
  <c r="H2565" i="1"/>
  <c r="G2565" i="1"/>
  <c r="F2565" i="1"/>
  <c r="E2565" i="1"/>
  <c r="D2565" i="1"/>
  <c r="B2565" i="1"/>
  <c r="A2565" i="1"/>
  <c r="L2817" i="1"/>
  <c r="J2817" i="1"/>
  <c r="I2817" i="1"/>
  <c r="H2817" i="1"/>
  <c r="G2817" i="1"/>
  <c r="F2817" i="1"/>
  <c r="E2817" i="1"/>
  <c r="D2817" i="1"/>
  <c r="B2817" i="1"/>
  <c r="A2817" i="1"/>
  <c r="L136" i="1"/>
  <c r="J136" i="1"/>
  <c r="I136" i="1"/>
  <c r="H136" i="1"/>
  <c r="G136" i="1"/>
  <c r="F136" i="1"/>
  <c r="E136" i="1"/>
  <c r="D136" i="1"/>
  <c r="B136" i="1"/>
  <c r="A136" i="1"/>
  <c r="L43" i="1"/>
  <c r="J43" i="1"/>
  <c r="I43" i="1"/>
  <c r="H43" i="1"/>
  <c r="G43" i="1"/>
  <c r="F43" i="1"/>
  <c r="E43" i="1"/>
  <c r="D43" i="1"/>
  <c r="B43" i="1"/>
  <c r="A43" i="1"/>
  <c r="L1153" i="1"/>
  <c r="J1153" i="1"/>
  <c r="I1153" i="1"/>
  <c r="H1153" i="1"/>
  <c r="G1153" i="1"/>
  <c r="F1153" i="1"/>
  <c r="E1153" i="1"/>
  <c r="D1153" i="1"/>
  <c r="B1153" i="1"/>
  <c r="A1153" i="1"/>
  <c r="L1218" i="1"/>
  <c r="J1218" i="1"/>
  <c r="I1218" i="1"/>
  <c r="H1218" i="1"/>
  <c r="G1218" i="1"/>
  <c r="F1218" i="1"/>
  <c r="E1218" i="1"/>
  <c r="D1218" i="1"/>
  <c r="B1218" i="1"/>
  <c r="A1218" i="1"/>
  <c r="L2049" i="1"/>
  <c r="J2049" i="1"/>
  <c r="I2049" i="1"/>
  <c r="H2049" i="1"/>
  <c r="G2049" i="1"/>
  <c r="F2049" i="1"/>
  <c r="E2049" i="1"/>
  <c r="D2049" i="1"/>
  <c r="B2049" i="1"/>
  <c r="A2049" i="1"/>
  <c r="L1296" i="1"/>
  <c r="J1296" i="1"/>
  <c r="I1296" i="1"/>
  <c r="H1296" i="1"/>
  <c r="G1296" i="1"/>
  <c r="F1296" i="1"/>
  <c r="E1296" i="1"/>
  <c r="D1296" i="1"/>
  <c r="B1296" i="1"/>
  <c r="A1296" i="1"/>
  <c r="L1090" i="1"/>
  <c r="J1090" i="1"/>
  <c r="I1090" i="1"/>
  <c r="H1090" i="1"/>
  <c r="G1090" i="1"/>
  <c r="F1090" i="1"/>
  <c r="E1090" i="1"/>
  <c r="D1090" i="1"/>
  <c r="B1090" i="1"/>
  <c r="A1090" i="1"/>
  <c r="L401" i="1"/>
  <c r="J401" i="1"/>
  <c r="I401" i="1"/>
  <c r="H401" i="1"/>
  <c r="G401" i="1"/>
  <c r="F401" i="1"/>
  <c r="E401" i="1"/>
  <c r="D401" i="1"/>
  <c r="B401" i="1"/>
  <c r="A401" i="1"/>
  <c r="L3122" i="1"/>
  <c r="J3122" i="1"/>
  <c r="I3122" i="1"/>
  <c r="H3122" i="1"/>
  <c r="G3122" i="1"/>
  <c r="F3122" i="1"/>
  <c r="E3122" i="1"/>
  <c r="D3122" i="1"/>
  <c r="B3122" i="1"/>
  <c r="A3122" i="1"/>
  <c r="L572" i="1"/>
  <c r="J572" i="1"/>
  <c r="I572" i="1"/>
  <c r="H572" i="1"/>
  <c r="G572" i="1"/>
  <c r="F572" i="1"/>
  <c r="E572" i="1"/>
  <c r="D572" i="1"/>
  <c r="B572" i="1"/>
  <c r="A572" i="1"/>
  <c r="L2564" i="1"/>
  <c r="J2564" i="1"/>
  <c r="I2564" i="1"/>
  <c r="H2564" i="1"/>
  <c r="G2564" i="1"/>
  <c r="F2564" i="1"/>
  <c r="E2564" i="1"/>
  <c r="D2564" i="1"/>
  <c r="B2564" i="1"/>
  <c r="A2564" i="1"/>
  <c r="L2816" i="1"/>
  <c r="J2816" i="1"/>
  <c r="I2816" i="1"/>
  <c r="H2816" i="1"/>
  <c r="G2816" i="1"/>
  <c r="F2816" i="1"/>
  <c r="E2816" i="1"/>
  <c r="D2816" i="1"/>
  <c r="B2816" i="1"/>
  <c r="A2816" i="1"/>
  <c r="L656" i="1"/>
  <c r="J656" i="1"/>
  <c r="I656" i="1"/>
  <c r="H656" i="1"/>
  <c r="G656" i="1"/>
  <c r="F656" i="1"/>
  <c r="E656" i="1"/>
  <c r="D656" i="1"/>
  <c r="B656" i="1"/>
  <c r="A656" i="1"/>
  <c r="L2151" i="1"/>
  <c r="J2151" i="1"/>
  <c r="I2151" i="1"/>
  <c r="H2151" i="1"/>
  <c r="G2151" i="1"/>
  <c r="F2151" i="1"/>
  <c r="E2151" i="1"/>
  <c r="D2151" i="1"/>
  <c r="B2151" i="1"/>
  <c r="A2151" i="1"/>
  <c r="L2815" i="1"/>
  <c r="J2815" i="1"/>
  <c r="I2815" i="1"/>
  <c r="H2815" i="1"/>
  <c r="G2815" i="1"/>
  <c r="F2815" i="1"/>
  <c r="E2815" i="1"/>
  <c r="D2815" i="1"/>
  <c r="B2815" i="1"/>
  <c r="A2815" i="1"/>
  <c r="L135" i="1"/>
  <c r="J135" i="1"/>
  <c r="I135" i="1"/>
  <c r="H135" i="1"/>
  <c r="G135" i="1"/>
  <c r="F135" i="1"/>
  <c r="E135" i="1"/>
  <c r="D135" i="1"/>
  <c r="B135" i="1"/>
  <c r="A135" i="1"/>
  <c r="L134" i="1"/>
  <c r="J134" i="1"/>
  <c r="I134" i="1"/>
  <c r="H134" i="1"/>
  <c r="G134" i="1"/>
  <c r="F134" i="1"/>
  <c r="E134" i="1"/>
  <c r="D134" i="1"/>
  <c r="B134" i="1"/>
  <c r="A134" i="1"/>
  <c r="J3171" i="1"/>
  <c r="I3171" i="1"/>
  <c r="H3171" i="1"/>
  <c r="G3171" i="1"/>
  <c r="F3171" i="1"/>
  <c r="E3171" i="1"/>
  <c r="D3171" i="1"/>
  <c r="B3171" i="1"/>
  <c r="A3171" i="1"/>
  <c r="J2309" i="1"/>
  <c r="I2309" i="1"/>
  <c r="H2309" i="1"/>
  <c r="G2309" i="1"/>
  <c r="F2309" i="1"/>
  <c r="E2309" i="1"/>
  <c r="D2309" i="1"/>
  <c r="B2309" i="1"/>
  <c r="A2309" i="1"/>
  <c r="J2346" i="1"/>
  <c r="I2346" i="1"/>
  <c r="H2346" i="1"/>
  <c r="G2346" i="1"/>
  <c r="F2346" i="1"/>
  <c r="E2346" i="1"/>
  <c r="D2346" i="1"/>
  <c r="B2346" i="1"/>
  <c r="A2346" i="1"/>
  <c r="J451" i="1"/>
  <c r="I451" i="1"/>
  <c r="H451" i="1"/>
  <c r="G451" i="1"/>
  <c r="F451" i="1"/>
  <c r="E451" i="1"/>
  <c r="D451" i="1"/>
  <c r="B451" i="1"/>
  <c r="A451" i="1"/>
  <c r="L2048" i="1"/>
  <c r="J2048" i="1"/>
  <c r="I2048" i="1"/>
  <c r="H2048" i="1"/>
  <c r="G2048" i="1"/>
  <c r="F2048" i="1"/>
  <c r="E2048" i="1"/>
  <c r="D2048" i="1"/>
  <c r="B2048" i="1"/>
  <c r="A2048" i="1"/>
  <c r="L1217" i="1"/>
  <c r="J1217" i="1"/>
  <c r="I1217" i="1"/>
  <c r="H1217" i="1"/>
  <c r="G1217" i="1"/>
  <c r="F1217" i="1"/>
  <c r="E1217" i="1"/>
  <c r="D1217" i="1"/>
  <c r="B1217" i="1"/>
  <c r="A1217" i="1"/>
  <c r="L1295" i="1"/>
  <c r="J1295" i="1"/>
  <c r="I1295" i="1"/>
  <c r="H1295" i="1"/>
  <c r="G1295" i="1"/>
  <c r="F1295" i="1"/>
  <c r="E1295" i="1"/>
  <c r="D1295" i="1"/>
  <c r="B1295" i="1"/>
  <c r="A1295" i="1"/>
  <c r="L133" i="1"/>
  <c r="J133" i="1"/>
  <c r="I133" i="1"/>
  <c r="H133" i="1"/>
  <c r="G133" i="1"/>
  <c r="F133" i="1"/>
  <c r="E133" i="1"/>
  <c r="D133" i="1"/>
  <c r="B133" i="1"/>
  <c r="A133" i="1"/>
  <c r="J2150" i="1"/>
  <c r="I2150" i="1"/>
  <c r="H2150" i="1"/>
  <c r="G2150" i="1"/>
  <c r="F2150" i="1"/>
  <c r="E2150" i="1"/>
  <c r="D2150" i="1"/>
  <c r="B2150" i="1"/>
  <c r="A2150" i="1"/>
  <c r="L2563" i="1"/>
  <c r="J2563" i="1"/>
  <c r="I2563" i="1"/>
  <c r="H2563" i="1"/>
  <c r="G2563" i="1"/>
  <c r="F2563" i="1"/>
  <c r="E2563" i="1"/>
  <c r="D2563" i="1"/>
  <c r="B2563" i="1"/>
  <c r="A2563" i="1"/>
  <c r="L938" i="1"/>
  <c r="J938" i="1"/>
  <c r="I938" i="1"/>
  <c r="H938" i="1"/>
  <c r="G938" i="1"/>
  <c r="F938" i="1"/>
  <c r="E938" i="1"/>
  <c r="D938" i="1"/>
  <c r="B938" i="1"/>
  <c r="A938" i="1"/>
  <c r="L1449" i="1"/>
  <c r="J1449" i="1"/>
  <c r="I1449" i="1"/>
  <c r="H1449" i="1"/>
  <c r="G1449" i="1"/>
  <c r="F1449" i="1"/>
  <c r="E1449" i="1"/>
  <c r="D1449" i="1"/>
  <c r="B1449" i="1"/>
  <c r="A1449" i="1"/>
  <c r="L400" i="1"/>
  <c r="J400" i="1"/>
  <c r="I400" i="1"/>
  <c r="H400" i="1"/>
  <c r="G400" i="1"/>
  <c r="F400" i="1"/>
  <c r="E400" i="1"/>
  <c r="D400" i="1"/>
  <c r="B400" i="1"/>
  <c r="A400" i="1"/>
  <c r="L571" i="1"/>
  <c r="J571" i="1"/>
  <c r="I571" i="1"/>
  <c r="H571" i="1"/>
  <c r="G571" i="1"/>
  <c r="F571" i="1"/>
  <c r="E571" i="1"/>
  <c r="D571" i="1"/>
  <c r="B571" i="1"/>
  <c r="A571" i="1"/>
  <c r="L3121" i="1"/>
  <c r="J3121" i="1"/>
  <c r="I3121" i="1"/>
  <c r="H3121" i="1"/>
  <c r="G3121" i="1"/>
  <c r="F3121" i="1"/>
  <c r="E3121" i="1"/>
  <c r="D3121" i="1"/>
  <c r="B3121" i="1"/>
  <c r="A3121" i="1"/>
  <c r="L1089" i="1"/>
  <c r="J1089" i="1"/>
  <c r="I1089" i="1"/>
  <c r="H1089" i="1"/>
  <c r="G1089" i="1"/>
  <c r="F1089" i="1"/>
  <c r="E1089" i="1"/>
  <c r="D1089" i="1"/>
  <c r="B1089" i="1"/>
  <c r="A1089" i="1"/>
  <c r="J520" i="1"/>
  <c r="I520" i="1"/>
  <c r="H520" i="1"/>
  <c r="G520" i="1"/>
  <c r="F520" i="1"/>
  <c r="E520" i="1"/>
  <c r="D520" i="1"/>
  <c r="B520" i="1"/>
  <c r="A520" i="1"/>
  <c r="L2814" i="1"/>
  <c r="J2814" i="1"/>
  <c r="I2814" i="1"/>
  <c r="H2814" i="1"/>
  <c r="G2814" i="1"/>
  <c r="F2814" i="1"/>
  <c r="E2814" i="1"/>
  <c r="D2814" i="1"/>
  <c r="B2814" i="1"/>
  <c r="A2814" i="1"/>
  <c r="L655" i="1"/>
  <c r="J655" i="1"/>
  <c r="I655" i="1"/>
  <c r="H655" i="1"/>
  <c r="G655" i="1"/>
  <c r="F655" i="1"/>
  <c r="E655" i="1"/>
  <c r="D655" i="1"/>
  <c r="B655" i="1"/>
  <c r="A655" i="1"/>
  <c r="L937" i="1"/>
  <c r="J937" i="1"/>
  <c r="I937" i="1"/>
  <c r="H937" i="1"/>
  <c r="G937" i="1"/>
  <c r="F937" i="1"/>
  <c r="E937" i="1"/>
  <c r="D937" i="1"/>
  <c r="B937" i="1"/>
  <c r="A937" i="1"/>
  <c r="L2813" i="1"/>
  <c r="J2813" i="1"/>
  <c r="I2813" i="1"/>
  <c r="H2813" i="1"/>
  <c r="G2813" i="1"/>
  <c r="F2813" i="1"/>
  <c r="E2813" i="1"/>
  <c r="D2813" i="1"/>
  <c r="B2813" i="1"/>
  <c r="A2813" i="1"/>
  <c r="L654" i="1"/>
  <c r="J654" i="1"/>
  <c r="I654" i="1"/>
  <c r="H654" i="1"/>
  <c r="G654" i="1"/>
  <c r="F654" i="1"/>
  <c r="E654" i="1"/>
  <c r="D654" i="1"/>
  <c r="B654" i="1"/>
  <c r="A654" i="1"/>
  <c r="L132" i="1"/>
  <c r="J132" i="1"/>
  <c r="I132" i="1"/>
  <c r="H132" i="1"/>
  <c r="G132" i="1"/>
  <c r="F132" i="1"/>
  <c r="E132" i="1"/>
  <c r="D132" i="1"/>
  <c r="B132" i="1"/>
  <c r="A132" i="1"/>
  <c r="L2149" i="1"/>
  <c r="J2149" i="1"/>
  <c r="I2149" i="1"/>
  <c r="H2149" i="1"/>
  <c r="G2149" i="1"/>
  <c r="F2149" i="1"/>
  <c r="E2149" i="1"/>
  <c r="D2149" i="1"/>
  <c r="B2149" i="1"/>
  <c r="A2149" i="1"/>
  <c r="J2562" i="1"/>
  <c r="I2562" i="1"/>
  <c r="H2562" i="1"/>
  <c r="G2562" i="1"/>
  <c r="F2562" i="1"/>
  <c r="E2562" i="1"/>
  <c r="D2562" i="1"/>
  <c r="B2562" i="1"/>
  <c r="A2562" i="1"/>
  <c r="L2148" i="1"/>
  <c r="J2148" i="1"/>
  <c r="I2148" i="1"/>
  <c r="H2148" i="1"/>
  <c r="G2148" i="1"/>
  <c r="F2148" i="1"/>
  <c r="E2148" i="1"/>
  <c r="D2148" i="1"/>
  <c r="B2148" i="1"/>
  <c r="A2148" i="1"/>
  <c r="L570" i="1"/>
  <c r="J570" i="1"/>
  <c r="I570" i="1"/>
  <c r="H570" i="1"/>
  <c r="G570" i="1"/>
  <c r="F570" i="1"/>
  <c r="E570" i="1"/>
  <c r="D570" i="1"/>
  <c r="B570" i="1"/>
  <c r="A570" i="1"/>
  <c r="L399" i="1"/>
  <c r="J399" i="1"/>
  <c r="I399" i="1"/>
  <c r="H399" i="1"/>
  <c r="G399" i="1"/>
  <c r="F399" i="1"/>
  <c r="E399" i="1"/>
  <c r="D399" i="1"/>
  <c r="B399" i="1"/>
  <c r="A399" i="1"/>
  <c r="L3120" i="1"/>
  <c r="J3120" i="1"/>
  <c r="I3120" i="1"/>
  <c r="H3120" i="1"/>
  <c r="G3120" i="1"/>
  <c r="F3120" i="1"/>
  <c r="E3120" i="1"/>
  <c r="D3120" i="1"/>
  <c r="B3120" i="1"/>
  <c r="A3120" i="1"/>
  <c r="L1088" i="1"/>
  <c r="J1088" i="1"/>
  <c r="I1088" i="1"/>
  <c r="H1088" i="1"/>
  <c r="G1088" i="1"/>
  <c r="F1088" i="1"/>
  <c r="E1088" i="1"/>
  <c r="D1088" i="1"/>
  <c r="B1088" i="1"/>
  <c r="A1088" i="1"/>
  <c r="J2308" i="1"/>
  <c r="I2308" i="1"/>
  <c r="H2308" i="1"/>
  <c r="G2308" i="1"/>
  <c r="F2308" i="1"/>
  <c r="E2308" i="1"/>
  <c r="D2308" i="1"/>
  <c r="B2308" i="1"/>
  <c r="A2308" i="1"/>
  <c r="J2345" i="1"/>
  <c r="I2345" i="1"/>
  <c r="H2345" i="1"/>
  <c r="G2345" i="1"/>
  <c r="F2345" i="1"/>
  <c r="E2345" i="1"/>
  <c r="D2345" i="1"/>
  <c r="B2345" i="1"/>
  <c r="A2345" i="1"/>
  <c r="J3170" i="1"/>
  <c r="I3170" i="1"/>
  <c r="H3170" i="1"/>
  <c r="G3170" i="1"/>
  <c r="F3170" i="1"/>
  <c r="E3170" i="1"/>
  <c r="D3170" i="1"/>
  <c r="B3170" i="1"/>
  <c r="A3170" i="1"/>
  <c r="J450" i="1"/>
  <c r="I450" i="1"/>
  <c r="H450" i="1"/>
  <c r="G450" i="1"/>
  <c r="F450" i="1"/>
  <c r="E450" i="1"/>
  <c r="D450" i="1"/>
  <c r="B450" i="1"/>
  <c r="A450" i="1"/>
  <c r="L936" i="1"/>
  <c r="J936" i="1"/>
  <c r="I936" i="1"/>
  <c r="H936" i="1"/>
  <c r="G936" i="1"/>
  <c r="F936" i="1"/>
  <c r="E936" i="1"/>
  <c r="D936" i="1"/>
  <c r="B936" i="1"/>
  <c r="A936" i="1"/>
  <c r="L398" i="1"/>
  <c r="J398" i="1"/>
  <c r="I398" i="1"/>
  <c r="H398" i="1"/>
  <c r="G398" i="1"/>
  <c r="F398" i="1"/>
  <c r="E398" i="1"/>
  <c r="D398" i="1"/>
  <c r="B398" i="1"/>
  <c r="A398" i="1"/>
  <c r="L569" i="1"/>
  <c r="J569" i="1"/>
  <c r="I569" i="1"/>
  <c r="H569" i="1"/>
  <c r="G569" i="1"/>
  <c r="F569" i="1"/>
  <c r="E569" i="1"/>
  <c r="D569" i="1"/>
  <c r="B569" i="1"/>
  <c r="A569" i="1"/>
  <c r="L3119" i="1"/>
  <c r="J3119" i="1"/>
  <c r="I3119" i="1"/>
  <c r="H3119" i="1"/>
  <c r="G3119" i="1"/>
  <c r="F3119" i="1"/>
  <c r="E3119" i="1"/>
  <c r="D3119" i="1"/>
  <c r="B3119" i="1"/>
  <c r="A3119" i="1"/>
  <c r="L1087" i="1"/>
  <c r="J1087" i="1"/>
  <c r="I1087" i="1"/>
  <c r="H1087" i="1"/>
  <c r="G1087" i="1"/>
  <c r="F1087" i="1"/>
  <c r="E1087" i="1"/>
  <c r="D1087" i="1"/>
  <c r="B1087" i="1"/>
  <c r="A1087" i="1"/>
  <c r="L1216" i="1"/>
  <c r="J1216" i="1"/>
  <c r="I1216" i="1"/>
  <c r="H1216" i="1"/>
  <c r="G1216" i="1"/>
  <c r="F1216" i="1"/>
  <c r="E1216" i="1"/>
  <c r="D1216" i="1"/>
  <c r="B1216" i="1"/>
  <c r="A1216" i="1"/>
  <c r="L1294" i="1"/>
  <c r="J1294" i="1"/>
  <c r="I1294" i="1"/>
  <c r="H1294" i="1"/>
  <c r="G1294" i="1"/>
  <c r="F1294" i="1"/>
  <c r="E1294" i="1"/>
  <c r="D1294" i="1"/>
  <c r="B1294" i="1"/>
  <c r="A1294" i="1"/>
  <c r="L2047" i="1"/>
  <c r="J2047" i="1"/>
  <c r="I2047" i="1"/>
  <c r="H2047" i="1"/>
  <c r="G2047" i="1"/>
  <c r="F2047" i="1"/>
  <c r="E2047" i="1"/>
  <c r="D2047" i="1"/>
  <c r="B2047" i="1"/>
  <c r="A2047" i="1"/>
  <c r="L2812" i="1"/>
  <c r="J2812" i="1"/>
  <c r="I2812" i="1"/>
  <c r="H2812" i="1"/>
  <c r="G2812" i="1"/>
  <c r="F2812" i="1"/>
  <c r="E2812" i="1"/>
  <c r="D2812" i="1"/>
  <c r="B2812" i="1"/>
  <c r="A2812" i="1"/>
  <c r="L653" i="1"/>
  <c r="J653" i="1"/>
  <c r="I653" i="1"/>
  <c r="H653" i="1"/>
  <c r="G653" i="1"/>
  <c r="F653" i="1"/>
  <c r="E653" i="1"/>
  <c r="D653" i="1"/>
  <c r="B653" i="1"/>
  <c r="A653" i="1"/>
  <c r="L131" i="1"/>
  <c r="J131" i="1"/>
  <c r="I131" i="1"/>
  <c r="H131" i="1"/>
  <c r="G131" i="1"/>
  <c r="F131" i="1"/>
  <c r="E131" i="1"/>
  <c r="D131" i="1"/>
  <c r="B131" i="1"/>
  <c r="A131" i="1"/>
  <c r="L2147" i="1"/>
  <c r="J2147" i="1"/>
  <c r="I2147" i="1"/>
  <c r="H2147" i="1"/>
  <c r="G2147" i="1"/>
  <c r="F2147" i="1"/>
  <c r="E2147" i="1"/>
  <c r="D2147" i="1"/>
  <c r="B2147" i="1"/>
  <c r="A2147" i="1"/>
  <c r="L519" i="1"/>
  <c r="J519" i="1"/>
  <c r="I519" i="1"/>
  <c r="H519" i="1"/>
  <c r="G519" i="1"/>
  <c r="F519" i="1"/>
  <c r="E519" i="1"/>
  <c r="D519" i="1"/>
  <c r="B519" i="1"/>
  <c r="A519" i="1"/>
  <c r="L2561" i="1"/>
  <c r="J2561" i="1"/>
  <c r="I2561" i="1"/>
  <c r="H2561" i="1"/>
  <c r="G2561" i="1"/>
  <c r="F2561" i="1"/>
  <c r="E2561" i="1"/>
  <c r="D2561" i="1"/>
  <c r="B2561" i="1"/>
  <c r="A2561" i="1"/>
  <c r="L1448" i="1"/>
  <c r="J1448" i="1"/>
  <c r="I1448" i="1"/>
  <c r="H1448" i="1"/>
  <c r="G1448" i="1"/>
  <c r="F1448" i="1"/>
  <c r="E1448" i="1"/>
  <c r="D1448" i="1"/>
  <c r="B1448" i="1"/>
  <c r="A1448" i="1"/>
  <c r="L935" i="1"/>
  <c r="J935" i="1"/>
  <c r="I935" i="1"/>
  <c r="H935" i="1"/>
  <c r="G935" i="1"/>
  <c r="F935" i="1"/>
  <c r="E935" i="1"/>
  <c r="D935" i="1"/>
  <c r="B935" i="1"/>
  <c r="A935" i="1"/>
  <c r="L2811" i="1"/>
  <c r="J2811" i="1"/>
  <c r="I2811" i="1"/>
  <c r="H2811" i="1"/>
  <c r="G2811" i="1"/>
  <c r="F2811" i="1"/>
  <c r="E2811" i="1"/>
  <c r="D2811" i="1"/>
  <c r="B2811" i="1"/>
  <c r="A2811" i="1"/>
  <c r="L652" i="1"/>
  <c r="J652" i="1"/>
  <c r="I652" i="1"/>
  <c r="H652" i="1"/>
  <c r="G652" i="1"/>
  <c r="F652" i="1"/>
  <c r="E652" i="1"/>
  <c r="D652" i="1"/>
  <c r="B652" i="1"/>
  <c r="A652" i="1"/>
  <c r="L42" i="1"/>
  <c r="J42" i="1"/>
  <c r="I42" i="1"/>
  <c r="H42" i="1"/>
  <c r="G42" i="1"/>
  <c r="F42" i="1"/>
  <c r="E42" i="1"/>
  <c r="D42" i="1"/>
  <c r="B42" i="1"/>
  <c r="A42" i="1"/>
  <c r="L1152" i="1"/>
  <c r="J1152" i="1"/>
  <c r="I1152" i="1"/>
  <c r="H1152" i="1"/>
  <c r="G1152" i="1"/>
  <c r="F1152" i="1"/>
  <c r="E1152" i="1"/>
  <c r="D1152" i="1"/>
  <c r="B1152" i="1"/>
  <c r="A1152" i="1"/>
  <c r="J2307" i="1"/>
  <c r="I2307" i="1"/>
  <c r="H2307" i="1"/>
  <c r="G2307" i="1"/>
  <c r="F2307" i="1"/>
  <c r="E2307" i="1"/>
  <c r="D2307" i="1"/>
  <c r="B2307" i="1"/>
  <c r="A2307" i="1"/>
  <c r="J2344" i="1"/>
  <c r="I2344" i="1"/>
  <c r="H2344" i="1"/>
  <c r="G2344" i="1"/>
  <c r="F2344" i="1"/>
  <c r="E2344" i="1"/>
  <c r="D2344" i="1"/>
  <c r="B2344" i="1"/>
  <c r="A2344" i="1"/>
  <c r="J449" i="1"/>
  <c r="I449" i="1"/>
  <c r="H449" i="1"/>
  <c r="G449" i="1"/>
  <c r="F449" i="1"/>
  <c r="E449" i="1"/>
  <c r="D449" i="1"/>
  <c r="B449" i="1"/>
  <c r="A449" i="1"/>
  <c r="L3169" i="1"/>
  <c r="J3169" i="1"/>
  <c r="I3169" i="1"/>
  <c r="H3169" i="1"/>
  <c r="G3169" i="1"/>
  <c r="F3169" i="1"/>
  <c r="E3169" i="1"/>
  <c r="D3169" i="1"/>
  <c r="B3169" i="1"/>
  <c r="A3169" i="1"/>
  <c r="L518" i="1"/>
  <c r="J518" i="1"/>
  <c r="I518" i="1"/>
  <c r="H518" i="1"/>
  <c r="G518" i="1"/>
  <c r="F518" i="1"/>
  <c r="E518" i="1"/>
  <c r="D518" i="1"/>
  <c r="B518" i="1"/>
  <c r="A518" i="1"/>
  <c r="L2560" i="1"/>
  <c r="J2560" i="1"/>
  <c r="I2560" i="1"/>
  <c r="H2560" i="1"/>
  <c r="G2560" i="1"/>
  <c r="F2560" i="1"/>
  <c r="E2560" i="1"/>
  <c r="D2560" i="1"/>
  <c r="B2560" i="1"/>
  <c r="A2560" i="1"/>
  <c r="L1447" i="1"/>
  <c r="J1447" i="1"/>
  <c r="I1447" i="1"/>
  <c r="H1447" i="1"/>
  <c r="G1447" i="1"/>
  <c r="F1447" i="1"/>
  <c r="E1447" i="1"/>
  <c r="D1447" i="1"/>
  <c r="B1447" i="1"/>
  <c r="A1447" i="1"/>
  <c r="L934" i="1"/>
  <c r="J934" i="1"/>
  <c r="I934" i="1"/>
  <c r="H934" i="1"/>
  <c r="G934" i="1"/>
  <c r="F934" i="1"/>
  <c r="E934" i="1"/>
  <c r="D934" i="1"/>
  <c r="B934" i="1"/>
  <c r="A934" i="1"/>
  <c r="L2046" i="1"/>
  <c r="J2046" i="1"/>
  <c r="I2046" i="1"/>
  <c r="H2046" i="1"/>
  <c r="G2046" i="1"/>
  <c r="F2046" i="1"/>
  <c r="E2046" i="1"/>
  <c r="D2046" i="1"/>
  <c r="B2046" i="1"/>
  <c r="A2046" i="1"/>
  <c r="L1215" i="1"/>
  <c r="J1215" i="1"/>
  <c r="I1215" i="1"/>
  <c r="H1215" i="1"/>
  <c r="G1215" i="1"/>
  <c r="F1215" i="1"/>
  <c r="E1215" i="1"/>
  <c r="D1215" i="1"/>
  <c r="B1215" i="1"/>
  <c r="A1215" i="1"/>
  <c r="L1293" i="1"/>
  <c r="J1293" i="1"/>
  <c r="I1293" i="1"/>
  <c r="H1293" i="1"/>
  <c r="G1293" i="1"/>
  <c r="F1293" i="1"/>
  <c r="E1293" i="1"/>
  <c r="D1293" i="1"/>
  <c r="B1293" i="1"/>
  <c r="A1293" i="1"/>
  <c r="L2810" i="1"/>
  <c r="J2810" i="1"/>
  <c r="I2810" i="1"/>
  <c r="H2810" i="1"/>
  <c r="G2810" i="1"/>
  <c r="F2810" i="1"/>
  <c r="E2810" i="1"/>
  <c r="D2810" i="1"/>
  <c r="B2810" i="1"/>
  <c r="A2810" i="1"/>
  <c r="L651" i="1"/>
  <c r="J651" i="1"/>
  <c r="I651" i="1"/>
  <c r="H651" i="1"/>
  <c r="G651" i="1"/>
  <c r="F651" i="1"/>
  <c r="E651" i="1"/>
  <c r="D651" i="1"/>
  <c r="B651" i="1"/>
  <c r="A651" i="1"/>
  <c r="L130" i="1"/>
  <c r="J130" i="1"/>
  <c r="I130" i="1"/>
  <c r="H130" i="1"/>
  <c r="G130" i="1"/>
  <c r="F130" i="1"/>
  <c r="E130" i="1"/>
  <c r="D130" i="1"/>
  <c r="B130" i="1"/>
  <c r="A130" i="1"/>
  <c r="L2146" i="1"/>
  <c r="J2146" i="1"/>
  <c r="I2146" i="1"/>
  <c r="H2146" i="1"/>
  <c r="G2146" i="1"/>
  <c r="F2146" i="1"/>
  <c r="E2146" i="1"/>
  <c r="D2146" i="1"/>
  <c r="B2146" i="1"/>
  <c r="A2146" i="1"/>
  <c r="L517" i="1"/>
  <c r="J517" i="1"/>
  <c r="I517" i="1"/>
  <c r="H517" i="1"/>
  <c r="G517" i="1"/>
  <c r="F517" i="1"/>
  <c r="E517" i="1"/>
  <c r="D517" i="1"/>
  <c r="B517" i="1"/>
  <c r="A517" i="1"/>
  <c r="L2559" i="1"/>
  <c r="J2559" i="1"/>
  <c r="I2559" i="1"/>
  <c r="H2559" i="1"/>
  <c r="G2559" i="1"/>
  <c r="F2559" i="1"/>
  <c r="E2559" i="1"/>
  <c r="D2559" i="1"/>
  <c r="B2559" i="1"/>
  <c r="A2559" i="1"/>
  <c r="L1446" i="1"/>
  <c r="J1446" i="1"/>
  <c r="I1446" i="1"/>
  <c r="H1446" i="1"/>
  <c r="G1446" i="1"/>
  <c r="F1446" i="1"/>
  <c r="E1446" i="1"/>
  <c r="D1446" i="1"/>
  <c r="B1446" i="1"/>
  <c r="A1446" i="1"/>
  <c r="L933" i="1"/>
  <c r="J933" i="1"/>
  <c r="I933" i="1"/>
  <c r="H933" i="1"/>
  <c r="G933" i="1"/>
  <c r="F933" i="1"/>
  <c r="E933" i="1"/>
  <c r="D933" i="1"/>
  <c r="B933" i="1"/>
  <c r="A933" i="1"/>
  <c r="L2809" i="1"/>
  <c r="J2809" i="1"/>
  <c r="I2809" i="1"/>
  <c r="H2809" i="1"/>
  <c r="G2809" i="1"/>
  <c r="F2809" i="1"/>
  <c r="E2809" i="1"/>
  <c r="D2809" i="1"/>
  <c r="B2809" i="1"/>
  <c r="A2809" i="1"/>
  <c r="L650" i="1"/>
  <c r="J650" i="1"/>
  <c r="I650" i="1"/>
  <c r="H650" i="1"/>
  <c r="G650" i="1"/>
  <c r="F650" i="1"/>
  <c r="E650" i="1"/>
  <c r="D650" i="1"/>
  <c r="B650" i="1"/>
  <c r="A650" i="1"/>
  <c r="L129" i="1"/>
  <c r="J129" i="1"/>
  <c r="I129" i="1"/>
  <c r="H129" i="1"/>
  <c r="G129" i="1"/>
  <c r="F129" i="1"/>
  <c r="E129" i="1"/>
  <c r="D129" i="1"/>
  <c r="B129" i="1"/>
  <c r="A129" i="1"/>
  <c r="L2145" i="1"/>
  <c r="J2145" i="1"/>
  <c r="I2145" i="1"/>
  <c r="H2145" i="1"/>
  <c r="G2145" i="1"/>
  <c r="F2145" i="1"/>
  <c r="E2145" i="1"/>
  <c r="D2145" i="1"/>
  <c r="B2145" i="1"/>
  <c r="A2145" i="1"/>
  <c r="L2808" i="1"/>
  <c r="J2808" i="1"/>
  <c r="I2808" i="1"/>
  <c r="H2808" i="1"/>
  <c r="G2808" i="1"/>
  <c r="F2808" i="1"/>
  <c r="E2808" i="1"/>
  <c r="D2808" i="1"/>
  <c r="B2808" i="1"/>
  <c r="A2808" i="1"/>
  <c r="L649" i="1"/>
  <c r="J649" i="1"/>
  <c r="I649" i="1"/>
  <c r="H649" i="1"/>
  <c r="G649" i="1"/>
  <c r="F649" i="1"/>
  <c r="E649" i="1"/>
  <c r="D649" i="1"/>
  <c r="B649" i="1"/>
  <c r="A649" i="1"/>
  <c r="L128" i="1"/>
  <c r="J128" i="1"/>
  <c r="I128" i="1"/>
  <c r="H128" i="1"/>
  <c r="G128" i="1"/>
  <c r="F128" i="1"/>
  <c r="E128" i="1"/>
  <c r="D128" i="1"/>
  <c r="B128" i="1"/>
  <c r="A128" i="1"/>
  <c r="L2144" i="1"/>
  <c r="J2144" i="1"/>
  <c r="I2144" i="1"/>
  <c r="H2144" i="1"/>
  <c r="G2144" i="1"/>
  <c r="F2144" i="1"/>
  <c r="E2144" i="1"/>
  <c r="D2144" i="1"/>
  <c r="B2144" i="1"/>
  <c r="A2144" i="1"/>
  <c r="L516" i="1"/>
  <c r="J516" i="1"/>
  <c r="I516" i="1"/>
  <c r="H516" i="1"/>
  <c r="G516" i="1"/>
  <c r="F516" i="1"/>
  <c r="E516" i="1"/>
  <c r="D516" i="1"/>
  <c r="B516" i="1"/>
  <c r="A516" i="1"/>
  <c r="L2558" i="1"/>
  <c r="J2558" i="1"/>
  <c r="I2558" i="1"/>
  <c r="H2558" i="1"/>
  <c r="G2558" i="1"/>
  <c r="F2558" i="1"/>
  <c r="E2558" i="1"/>
  <c r="D2558" i="1"/>
  <c r="B2558" i="1"/>
  <c r="A2558" i="1"/>
  <c r="L1445" i="1"/>
  <c r="J1445" i="1"/>
  <c r="I1445" i="1"/>
  <c r="H1445" i="1"/>
  <c r="G1445" i="1"/>
  <c r="F1445" i="1"/>
  <c r="E1445" i="1"/>
  <c r="D1445" i="1"/>
  <c r="B1445" i="1"/>
  <c r="A1445" i="1"/>
  <c r="L932" i="1"/>
  <c r="J932" i="1"/>
  <c r="I932" i="1"/>
  <c r="H932" i="1"/>
  <c r="G932" i="1"/>
  <c r="F932" i="1"/>
  <c r="E932" i="1"/>
  <c r="D932" i="1"/>
  <c r="B932" i="1"/>
  <c r="A932" i="1"/>
  <c r="L41" i="1"/>
  <c r="J41" i="1"/>
  <c r="I41" i="1"/>
  <c r="H41" i="1"/>
  <c r="G41" i="1"/>
  <c r="F41" i="1"/>
  <c r="E41" i="1"/>
  <c r="D41" i="1"/>
  <c r="B41" i="1"/>
  <c r="A41" i="1"/>
  <c r="L1151" i="1"/>
  <c r="J1151" i="1"/>
  <c r="I1151" i="1"/>
  <c r="H1151" i="1"/>
  <c r="G1151" i="1"/>
  <c r="F1151" i="1"/>
  <c r="E1151" i="1"/>
  <c r="D1151" i="1"/>
  <c r="B1151" i="1"/>
  <c r="A1151" i="1"/>
  <c r="L2807" i="1"/>
  <c r="J2807" i="1"/>
  <c r="I2807" i="1"/>
  <c r="H2807" i="1"/>
  <c r="G2807" i="1"/>
  <c r="F2807" i="1"/>
  <c r="E2807" i="1"/>
  <c r="D2807" i="1"/>
  <c r="B2807" i="1"/>
  <c r="A2807" i="1"/>
  <c r="L648" i="1"/>
  <c r="J648" i="1"/>
  <c r="I648" i="1"/>
  <c r="H648" i="1"/>
  <c r="G648" i="1"/>
  <c r="F648" i="1"/>
  <c r="E648" i="1"/>
  <c r="D648" i="1"/>
  <c r="B648" i="1"/>
  <c r="A648" i="1"/>
  <c r="L127" i="1"/>
  <c r="J127" i="1"/>
  <c r="I127" i="1"/>
  <c r="H127" i="1"/>
  <c r="G127" i="1"/>
  <c r="F127" i="1"/>
  <c r="E127" i="1"/>
  <c r="D127" i="1"/>
  <c r="B127" i="1"/>
  <c r="A127" i="1"/>
  <c r="L2143" i="1"/>
  <c r="J2143" i="1"/>
  <c r="I2143" i="1"/>
  <c r="H2143" i="1"/>
  <c r="G2143" i="1"/>
  <c r="F2143" i="1"/>
  <c r="E2143" i="1"/>
  <c r="D2143" i="1"/>
  <c r="B2143" i="1"/>
  <c r="A2143" i="1"/>
  <c r="L397" i="1"/>
  <c r="J397" i="1"/>
  <c r="I397" i="1"/>
  <c r="H397" i="1"/>
  <c r="G397" i="1"/>
  <c r="F397" i="1"/>
  <c r="E397" i="1"/>
  <c r="D397" i="1"/>
  <c r="B397" i="1"/>
  <c r="A397" i="1"/>
  <c r="L568" i="1"/>
  <c r="J568" i="1"/>
  <c r="I568" i="1"/>
  <c r="H568" i="1"/>
  <c r="G568" i="1"/>
  <c r="F568" i="1"/>
  <c r="E568" i="1"/>
  <c r="D568" i="1"/>
  <c r="B568" i="1"/>
  <c r="A568" i="1"/>
  <c r="L3118" i="1"/>
  <c r="J3118" i="1"/>
  <c r="I3118" i="1"/>
  <c r="H3118" i="1"/>
  <c r="G3118" i="1"/>
  <c r="F3118" i="1"/>
  <c r="E3118" i="1"/>
  <c r="D3118" i="1"/>
  <c r="B3118" i="1"/>
  <c r="A3118" i="1"/>
  <c r="L1086" i="1"/>
  <c r="J1086" i="1"/>
  <c r="I1086" i="1"/>
  <c r="H1086" i="1"/>
  <c r="G1086" i="1"/>
  <c r="F1086" i="1"/>
  <c r="E1086" i="1"/>
  <c r="D1086" i="1"/>
  <c r="B1086" i="1"/>
  <c r="A1086" i="1"/>
  <c r="L515" i="1"/>
  <c r="J515" i="1"/>
  <c r="I515" i="1"/>
  <c r="H515" i="1"/>
  <c r="G515" i="1"/>
  <c r="F515" i="1"/>
  <c r="E515" i="1"/>
  <c r="D515" i="1"/>
  <c r="B515" i="1"/>
  <c r="A515" i="1"/>
  <c r="L2557" i="1"/>
  <c r="J2557" i="1"/>
  <c r="I2557" i="1"/>
  <c r="H2557" i="1"/>
  <c r="G2557" i="1"/>
  <c r="F2557" i="1"/>
  <c r="E2557" i="1"/>
  <c r="D2557" i="1"/>
  <c r="B2557" i="1"/>
  <c r="A2557" i="1"/>
  <c r="L1444" i="1"/>
  <c r="J1444" i="1"/>
  <c r="I1444" i="1"/>
  <c r="H1444" i="1"/>
  <c r="G1444" i="1"/>
  <c r="F1444" i="1"/>
  <c r="E1444" i="1"/>
  <c r="D1444" i="1"/>
  <c r="B1444" i="1"/>
  <c r="A1444" i="1"/>
  <c r="L931" i="1"/>
  <c r="J931" i="1"/>
  <c r="I931" i="1"/>
  <c r="H931" i="1"/>
  <c r="G931" i="1"/>
  <c r="F931" i="1"/>
  <c r="E931" i="1"/>
  <c r="D931" i="1"/>
  <c r="B931" i="1"/>
  <c r="A931" i="1"/>
  <c r="L536" i="1"/>
  <c r="J536" i="1"/>
  <c r="I536" i="1"/>
  <c r="H536" i="1"/>
  <c r="G536" i="1"/>
  <c r="F536" i="1"/>
  <c r="E536" i="1"/>
  <c r="D536" i="1"/>
  <c r="B536" i="1"/>
  <c r="A536" i="1"/>
  <c r="L396" i="1"/>
  <c r="J396" i="1"/>
  <c r="I396" i="1"/>
  <c r="H396" i="1"/>
  <c r="G396" i="1"/>
  <c r="F396" i="1"/>
  <c r="E396" i="1"/>
  <c r="D396" i="1"/>
  <c r="B396" i="1"/>
  <c r="A396" i="1"/>
  <c r="L3117" i="1"/>
  <c r="J3117" i="1"/>
  <c r="I3117" i="1"/>
  <c r="H3117" i="1"/>
  <c r="G3117" i="1"/>
  <c r="F3117" i="1"/>
  <c r="E3117" i="1"/>
  <c r="D3117" i="1"/>
  <c r="B3117" i="1"/>
  <c r="A3117" i="1"/>
  <c r="L567" i="1"/>
  <c r="J567" i="1"/>
  <c r="I567" i="1"/>
  <c r="H567" i="1"/>
  <c r="G567" i="1"/>
  <c r="F567" i="1"/>
  <c r="E567" i="1"/>
  <c r="D567" i="1"/>
  <c r="B567" i="1"/>
  <c r="A567" i="1"/>
  <c r="L1085" i="1"/>
  <c r="J1085" i="1"/>
  <c r="I1085" i="1"/>
  <c r="H1085" i="1"/>
  <c r="G1085" i="1"/>
  <c r="F1085" i="1"/>
  <c r="E1085" i="1"/>
  <c r="D1085" i="1"/>
  <c r="B1085" i="1"/>
  <c r="A1085" i="1"/>
  <c r="J1379" i="1"/>
  <c r="I1379" i="1"/>
  <c r="H1379" i="1"/>
  <c r="G1379" i="1"/>
  <c r="F1379" i="1"/>
  <c r="E1379" i="1"/>
  <c r="D1379" i="1"/>
  <c r="B1379" i="1"/>
  <c r="A1379" i="1"/>
  <c r="L40" i="1"/>
  <c r="J40" i="1"/>
  <c r="I40" i="1"/>
  <c r="H40" i="1"/>
  <c r="G40" i="1"/>
  <c r="F40" i="1"/>
  <c r="E40" i="1"/>
  <c r="D40" i="1"/>
  <c r="B40" i="1"/>
  <c r="A40" i="1"/>
  <c r="L1150" i="1"/>
  <c r="J1150" i="1"/>
  <c r="I1150" i="1"/>
  <c r="H1150" i="1"/>
  <c r="G1150" i="1"/>
  <c r="F1150" i="1"/>
  <c r="E1150" i="1"/>
  <c r="D1150" i="1"/>
  <c r="B1150" i="1"/>
  <c r="A1150" i="1"/>
  <c r="L395" i="1"/>
  <c r="J395" i="1"/>
  <c r="I395" i="1"/>
  <c r="H395" i="1"/>
  <c r="G395" i="1"/>
  <c r="F395" i="1"/>
  <c r="E395" i="1"/>
  <c r="D395" i="1"/>
  <c r="B395" i="1"/>
  <c r="A395" i="1"/>
  <c r="L566" i="1"/>
  <c r="J566" i="1"/>
  <c r="I566" i="1"/>
  <c r="H566" i="1"/>
  <c r="G566" i="1"/>
  <c r="F566" i="1"/>
  <c r="E566" i="1"/>
  <c r="D566" i="1"/>
  <c r="B566" i="1"/>
  <c r="A566" i="1"/>
  <c r="L3116" i="1"/>
  <c r="J3116" i="1"/>
  <c r="I3116" i="1"/>
  <c r="H3116" i="1"/>
  <c r="G3116" i="1"/>
  <c r="F3116" i="1"/>
  <c r="E3116" i="1"/>
  <c r="D3116" i="1"/>
  <c r="B3116" i="1"/>
  <c r="A3116" i="1"/>
  <c r="L1084" i="1"/>
  <c r="J1084" i="1"/>
  <c r="I1084" i="1"/>
  <c r="H1084" i="1"/>
  <c r="G1084" i="1"/>
  <c r="F1084" i="1"/>
  <c r="E1084" i="1"/>
  <c r="D1084" i="1"/>
  <c r="B1084" i="1"/>
  <c r="A1084" i="1"/>
  <c r="L1214" i="1"/>
  <c r="J1214" i="1"/>
  <c r="I1214" i="1"/>
  <c r="H1214" i="1"/>
  <c r="G1214" i="1"/>
  <c r="F1214" i="1"/>
  <c r="E1214" i="1"/>
  <c r="D1214" i="1"/>
  <c r="B1214" i="1"/>
  <c r="A1214" i="1"/>
  <c r="L1292" i="1"/>
  <c r="J1292" i="1"/>
  <c r="I1292" i="1"/>
  <c r="H1292" i="1"/>
  <c r="G1292" i="1"/>
  <c r="F1292" i="1"/>
  <c r="E1292" i="1"/>
  <c r="D1292" i="1"/>
  <c r="B1292" i="1"/>
  <c r="A1292" i="1"/>
  <c r="L2045" i="1"/>
  <c r="J2045" i="1"/>
  <c r="I2045" i="1"/>
  <c r="H2045" i="1"/>
  <c r="G2045" i="1"/>
  <c r="F2045" i="1"/>
  <c r="E2045" i="1"/>
  <c r="D2045" i="1"/>
  <c r="B2045" i="1"/>
  <c r="A2045" i="1"/>
  <c r="L514" i="1"/>
  <c r="J514" i="1"/>
  <c r="I514" i="1"/>
  <c r="H514" i="1"/>
  <c r="G514" i="1"/>
  <c r="F514" i="1"/>
  <c r="E514" i="1"/>
  <c r="D514" i="1"/>
  <c r="B514" i="1"/>
  <c r="A514" i="1"/>
  <c r="L2556" i="1"/>
  <c r="J2556" i="1"/>
  <c r="I2556" i="1"/>
  <c r="H2556" i="1"/>
  <c r="G2556" i="1"/>
  <c r="F2556" i="1"/>
  <c r="E2556" i="1"/>
  <c r="D2556" i="1"/>
  <c r="B2556" i="1"/>
  <c r="A2556" i="1"/>
  <c r="L1443" i="1"/>
  <c r="J1443" i="1"/>
  <c r="I1443" i="1"/>
  <c r="H1443" i="1"/>
  <c r="G1443" i="1"/>
  <c r="F1443" i="1"/>
  <c r="E1443" i="1"/>
  <c r="D1443" i="1"/>
  <c r="B1443" i="1"/>
  <c r="A1443" i="1"/>
  <c r="L930" i="1"/>
  <c r="J930" i="1"/>
  <c r="I930" i="1"/>
  <c r="H930" i="1"/>
  <c r="G930" i="1"/>
  <c r="F930" i="1"/>
  <c r="E930" i="1"/>
  <c r="D930" i="1"/>
  <c r="B930" i="1"/>
  <c r="A930" i="1"/>
  <c r="L2806" i="1"/>
  <c r="J2806" i="1"/>
  <c r="I2806" i="1"/>
  <c r="H2806" i="1"/>
  <c r="G2806" i="1"/>
  <c r="F2806" i="1"/>
  <c r="E2806" i="1"/>
  <c r="D2806" i="1"/>
  <c r="B2806" i="1"/>
  <c r="A2806" i="1"/>
  <c r="L647" i="1"/>
  <c r="J647" i="1"/>
  <c r="I647" i="1"/>
  <c r="H647" i="1"/>
  <c r="G647" i="1"/>
  <c r="F647" i="1"/>
  <c r="E647" i="1"/>
  <c r="D647" i="1"/>
  <c r="B647" i="1"/>
  <c r="A647" i="1"/>
  <c r="L126" i="1"/>
  <c r="J126" i="1"/>
  <c r="I126" i="1"/>
  <c r="H126" i="1"/>
  <c r="G126" i="1"/>
  <c r="F126" i="1"/>
  <c r="E126" i="1"/>
  <c r="D126" i="1"/>
  <c r="B126" i="1"/>
  <c r="A126" i="1"/>
  <c r="L2142" i="1"/>
  <c r="J2142" i="1"/>
  <c r="I2142" i="1"/>
  <c r="H2142" i="1"/>
  <c r="G2142" i="1"/>
  <c r="F2142" i="1"/>
  <c r="E2142" i="1"/>
  <c r="D2142" i="1"/>
  <c r="B2142" i="1"/>
  <c r="A2142" i="1"/>
  <c r="L1213" i="1"/>
  <c r="J1213" i="1"/>
  <c r="I1213" i="1"/>
  <c r="H1213" i="1"/>
  <c r="G1213" i="1"/>
  <c r="F1213" i="1"/>
  <c r="E1213" i="1"/>
  <c r="D1213" i="1"/>
  <c r="B1213" i="1"/>
  <c r="A1213" i="1"/>
  <c r="L1291" i="1"/>
  <c r="J1291" i="1"/>
  <c r="I1291" i="1"/>
  <c r="H1291" i="1"/>
  <c r="G1291" i="1"/>
  <c r="F1291" i="1"/>
  <c r="E1291" i="1"/>
  <c r="D1291" i="1"/>
  <c r="B1291" i="1"/>
  <c r="A1291" i="1"/>
  <c r="L2044" i="1"/>
  <c r="J2044" i="1"/>
  <c r="I2044" i="1"/>
  <c r="H2044" i="1"/>
  <c r="G2044" i="1"/>
  <c r="F2044" i="1"/>
  <c r="E2044" i="1"/>
  <c r="D2044" i="1"/>
  <c r="B2044" i="1"/>
  <c r="A2044" i="1"/>
  <c r="L1083" i="1"/>
  <c r="J1083" i="1"/>
  <c r="I1083" i="1"/>
  <c r="H1083" i="1"/>
  <c r="G1083" i="1"/>
  <c r="F1083" i="1"/>
  <c r="E1083" i="1"/>
  <c r="D1083" i="1"/>
  <c r="B1083" i="1"/>
  <c r="A1083" i="1"/>
  <c r="L394" i="1"/>
  <c r="J394" i="1"/>
  <c r="I394" i="1"/>
  <c r="H394" i="1"/>
  <c r="G394" i="1"/>
  <c r="F394" i="1"/>
  <c r="E394" i="1"/>
  <c r="D394" i="1"/>
  <c r="B394" i="1"/>
  <c r="A394" i="1"/>
  <c r="L3115" i="1"/>
  <c r="J3115" i="1"/>
  <c r="I3115" i="1"/>
  <c r="H3115" i="1"/>
  <c r="G3115" i="1"/>
  <c r="F3115" i="1"/>
  <c r="E3115" i="1"/>
  <c r="D3115" i="1"/>
  <c r="B3115" i="1"/>
  <c r="A3115" i="1"/>
  <c r="L565" i="1"/>
  <c r="J565" i="1"/>
  <c r="I565" i="1"/>
  <c r="H565" i="1"/>
  <c r="G565" i="1"/>
  <c r="F565" i="1"/>
  <c r="E565" i="1"/>
  <c r="D565" i="1"/>
  <c r="B565" i="1"/>
  <c r="A565" i="1"/>
  <c r="J1378" i="1"/>
  <c r="I1378" i="1"/>
  <c r="H1378" i="1"/>
  <c r="G1378" i="1"/>
  <c r="F1378" i="1"/>
  <c r="E1378" i="1"/>
  <c r="D1378" i="1"/>
  <c r="B1378" i="1"/>
  <c r="A1378" i="1"/>
  <c r="L513" i="1"/>
  <c r="J513" i="1"/>
  <c r="I513" i="1"/>
  <c r="H513" i="1"/>
  <c r="G513" i="1"/>
  <c r="F513" i="1"/>
  <c r="E513" i="1"/>
  <c r="D513" i="1"/>
  <c r="B513" i="1"/>
  <c r="A513" i="1"/>
  <c r="L2555" i="1"/>
  <c r="J2555" i="1"/>
  <c r="I2555" i="1"/>
  <c r="H2555" i="1"/>
  <c r="G2555" i="1"/>
  <c r="F2555" i="1"/>
  <c r="E2555" i="1"/>
  <c r="D2555" i="1"/>
  <c r="B2555" i="1"/>
  <c r="A2555" i="1"/>
  <c r="L1442" i="1"/>
  <c r="J1442" i="1"/>
  <c r="I1442" i="1"/>
  <c r="H1442" i="1"/>
  <c r="G1442" i="1"/>
  <c r="F1442" i="1"/>
  <c r="E1442" i="1"/>
  <c r="D1442" i="1"/>
  <c r="B1442" i="1"/>
  <c r="A1442" i="1"/>
  <c r="L929" i="1"/>
  <c r="J929" i="1"/>
  <c r="I929" i="1"/>
  <c r="H929" i="1"/>
  <c r="G929" i="1"/>
  <c r="F929" i="1"/>
  <c r="E929" i="1"/>
  <c r="D929" i="1"/>
  <c r="B929" i="1"/>
  <c r="A929" i="1"/>
  <c r="J3235" i="1"/>
  <c r="I3235" i="1"/>
  <c r="H3235" i="1"/>
  <c r="G3235" i="1"/>
  <c r="F3235" i="1"/>
  <c r="E3235" i="1"/>
  <c r="D3235" i="1"/>
  <c r="B3235" i="1"/>
  <c r="A3235" i="1"/>
  <c r="J1377" i="1"/>
  <c r="I1377" i="1"/>
  <c r="H1377" i="1"/>
  <c r="G1377" i="1"/>
  <c r="F1377" i="1"/>
  <c r="E1377" i="1"/>
  <c r="D1377" i="1"/>
  <c r="B1377" i="1"/>
  <c r="A1377" i="1"/>
  <c r="L1342" i="1"/>
  <c r="J1342" i="1"/>
  <c r="I1342" i="1"/>
  <c r="H1342" i="1"/>
  <c r="G1342" i="1"/>
  <c r="F1342" i="1"/>
  <c r="E1342" i="1"/>
  <c r="D1342" i="1"/>
  <c r="B1342" i="1"/>
  <c r="A1342" i="1"/>
  <c r="L535" i="1"/>
  <c r="J535" i="1"/>
  <c r="I535" i="1"/>
  <c r="H535" i="1"/>
  <c r="G535" i="1"/>
  <c r="F535" i="1"/>
  <c r="E535" i="1"/>
  <c r="D535" i="1"/>
  <c r="B535" i="1"/>
  <c r="A535" i="1"/>
  <c r="L1116" i="1"/>
  <c r="J1116" i="1"/>
  <c r="I1116" i="1"/>
  <c r="H1116" i="1"/>
  <c r="G1116" i="1"/>
  <c r="F1116" i="1"/>
  <c r="E1116" i="1"/>
  <c r="D1116" i="1"/>
  <c r="B1116" i="1"/>
  <c r="A1116" i="1"/>
  <c r="L817" i="1"/>
  <c r="J817" i="1"/>
  <c r="I817" i="1"/>
  <c r="H817" i="1"/>
  <c r="G817" i="1"/>
  <c r="F817" i="1"/>
  <c r="E817" i="1"/>
  <c r="D817" i="1"/>
  <c r="B817" i="1"/>
  <c r="A817" i="1"/>
  <c r="L1999" i="1"/>
  <c r="J1999" i="1"/>
  <c r="I1999" i="1"/>
  <c r="H1999" i="1"/>
  <c r="G1999" i="1"/>
  <c r="F1999" i="1"/>
  <c r="E1999" i="1"/>
  <c r="D1999" i="1"/>
  <c r="B1999" i="1"/>
  <c r="A1999" i="1"/>
  <c r="L16" i="1"/>
  <c r="J16" i="1"/>
  <c r="I16" i="1"/>
  <c r="H16" i="1"/>
  <c r="G16" i="1"/>
  <c r="F16" i="1"/>
  <c r="E16" i="1"/>
  <c r="D16" i="1"/>
  <c r="B16" i="1"/>
  <c r="A16" i="1"/>
  <c r="L2306" i="1"/>
  <c r="J2306" i="1"/>
  <c r="I2306" i="1"/>
  <c r="H2306" i="1"/>
  <c r="G2306" i="1"/>
  <c r="F2306" i="1"/>
  <c r="E2306" i="1"/>
  <c r="D2306" i="1"/>
  <c r="B2306" i="1"/>
  <c r="A2306" i="1"/>
  <c r="L2343" i="1"/>
  <c r="J2343" i="1"/>
  <c r="I2343" i="1"/>
  <c r="H2343" i="1"/>
  <c r="G2343" i="1"/>
  <c r="F2343" i="1"/>
  <c r="E2343" i="1"/>
  <c r="D2343" i="1"/>
  <c r="B2343" i="1"/>
  <c r="A2343" i="1"/>
  <c r="L3168" i="1"/>
  <c r="J3168" i="1"/>
  <c r="I3168" i="1"/>
  <c r="H3168" i="1"/>
  <c r="G3168" i="1"/>
  <c r="F3168" i="1"/>
  <c r="E3168" i="1"/>
  <c r="D3168" i="1"/>
  <c r="B3168" i="1"/>
  <c r="A3168" i="1"/>
  <c r="L448" i="1"/>
  <c r="J448" i="1"/>
  <c r="I448" i="1"/>
  <c r="H448" i="1"/>
  <c r="G448" i="1"/>
  <c r="F448" i="1"/>
  <c r="E448" i="1"/>
  <c r="D448" i="1"/>
  <c r="B448" i="1"/>
  <c r="A448" i="1"/>
  <c r="J1376" i="1"/>
  <c r="I1376" i="1"/>
  <c r="H1376" i="1"/>
  <c r="G1376" i="1"/>
  <c r="F1376" i="1"/>
  <c r="E1376" i="1"/>
  <c r="D1376" i="1"/>
  <c r="B1376" i="1"/>
  <c r="A1376" i="1"/>
  <c r="L869" i="1"/>
  <c r="J869" i="1"/>
  <c r="I869" i="1"/>
  <c r="H869" i="1"/>
  <c r="G869" i="1"/>
  <c r="F869" i="1"/>
  <c r="E869" i="1"/>
  <c r="D869" i="1"/>
  <c r="B869" i="1"/>
  <c r="A869" i="1"/>
  <c r="L868" i="1"/>
  <c r="J868" i="1"/>
  <c r="I868" i="1"/>
  <c r="H868" i="1"/>
  <c r="G868" i="1"/>
  <c r="F868" i="1"/>
  <c r="E868" i="1"/>
  <c r="D868" i="1"/>
  <c r="B868" i="1"/>
  <c r="A868" i="1"/>
  <c r="L1149" i="1"/>
  <c r="J1149" i="1"/>
  <c r="I1149" i="1"/>
  <c r="H1149" i="1"/>
  <c r="G1149" i="1"/>
  <c r="F1149" i="1"/>
  <c r="E1149" i="1"/>
  <c r="D1149" i="1"/>
  <c r="B1149" i="1"/>
  <c r="A1149" i="1"/>
  <c r="L39" i="1"/>
  <c r="J39" i="1"/>
  <c r="I39" i="1"/>
  <c r="H39" i="1"/>
  <c r="G39" i="1"/>
  <c r="F39" i="1"/>
  <c r="E39" i="1"/>
  <c r="D39" i="1"/>
  <c r="B39" i="1"/>
  <c r="A39" i="1"/>
  <c r="L2305" i="1"/>
  <c r="J2305" i="1"/>
  <c r="I2305" i="1"/>
  <c r="H2305" i="1"/>
  <c r="G2305" i="1"/>
  <c r="F2305" i="1"/>
  <c r="E2305" i="1"/>
  <c r="D2305" i="1"/>
  <c r="B2305" i="1"/>
  <c r="A2305" i="1"/>
  <c r="L2342" i="1"/>
  <c r="J2342" i="1"/>
  <c r="I2342" i="1"/>
  <c r="H2342" i="1"/>
  <c r="G2342" i="1"/>
  <c r="F2342" i="1"/>
  <c r="E2342" i="1"/>
  <c r="D2342" i="1"/>
  <c r="B2342" i="1"/>
  <c r="A2342" i="1"/>
  <c r="L3167" i="1"/>
  <c r="J3167" i="1"/>
  <c r="I3167" i="1"/>
  <c r="H3167" i="1"/>
  <c r="G3167" i="1"/>
  <c r="F3167" i="1"/>
  <c r="E3167" i="1"/>
  <c r="D3167" i="1"/>
  <c r="B3167" i="1"/>
  <c r="A3167" i="1"/>
  <c r="J447" i="1"/>
  <c r="I447" i="1"/>
  <c r="H447" i="1"/>
  <c r="G447" i="1"/>
  <c r="F447" i="1"/>
  <c r="E447" i="1"/>
  <c r="D447" i="1"/>
  <c r="B447" i="1"/>
  <c r="A447" i="1"/>
  <c r="L512" i="1"/>
  <c r="J512" i="1"/>
  <c r="I512" i="1"/>
  <c r="H512" i="1"/>
  <c r="G512" i="1"/>
  <c r="F512" i="1"/>
  <c r="E512" i="1"/>
  <c r="D512" i="1"/>
  <c r="B512" i="1"/>
  <c r="A512" i="1"/>
  <c r="L2554" i="1"/>
  <c r="J2554" i="1"/>
  <c r="I2554" i="1"/>
  <c r="H2554" i="1"/>
  <c r="G2554" i="1"/>
  <c r="F2554" i="1"/>
  <c r="E2554" i="1"/>
  <c r="D2554" i="1"/>
  <c r="B2554" i="1"/>
  <c r="A2554" i="1"/>
  <c r="L1441" i="1"/>
  <c r="J1441" i="1"/>
  <c r="I1441" i="1"/>
  <c r="H1441" i="1"/>
  <c r="G1441" i="1"/>
  <c r="F1441" i="1"/>
  <c r="E1441" i="1"/>
  <c r="D1441" i="1"/>
  <c r="B1441" i="1"/>
  <c r="A1441" i="1"/>
  <c r="L928" i="1"/>
  <c r="J928" i="1"/>
  <c r="I928" i="1"/>
  <c r="H928" i="1"/>
  <c r="G928" i="1"/>
  <c r="F928" i="1"/>
  <c r="E928" i="1"/>
  <c r="D928" i="1"/>
  <c r="B928" i="1"/>
  <c r="A928" i="1"/>
  <c r="L3077" i="1"/>
  <c r="J3077" i="1"/>
  <c r="I3077" i="1"/>
  <c r="H3077" i="1"/>
  <c r="G3077" i="1"/>
  <c r="F3077" i="1"/>
  <c r="E3077" i="1"/>
  <c r="D3077" i="1"/>
  <c r="B3077" i="1"/>
  <c r="A3077" i="1"/>
  <c r="L2478" i="1"/>
  <c r="J2478" i="1"/>
  <c r="I2478" i="1"/>
  <c r="H2478" i="1"/>
  <c r="G2478" i="1"/>
  <c r="F2478" i="1"/>
  <c r="E2478" i="1"/>
  <c r="D2478" i="1"/>
  <c r="B2478" i="1"/>
  <c r="A2478" i="1"/>
  <c r="L2391" i="1"/>
  <c r="J2391" i="1"/>
  <c r="I2391" i="1"/>
  <c r="H2391" i="1"/>
  <c r="G2391" i="1"/>
  <c r="F2391" i="1"/>
  <c r="E2391" i="1"/>
  <c r="D2391" i="1"/>
  <c r="B2391" i="1"/>
  <c r="A2391" i="1"/>
  <c r="L2805" i="1"/>
  <c r="J2805" i="1"/>
  <c r="I2805" i="1"/>
  <c r="H2805" i="1"/>
  <c r="G2805" i="1"/>
  <c r="F2805" i="1"/>
  <c r="E2805" i="1"/>
  <c r="D2805" i="1"/>
  <c r="B2805" i="1"/>
  <c r="A2805" i="1"/>
  <c r="L646" i="1"/>
  <c r="J646" i="1"/>
  <c r="I646" i="1"/>
  <c r="H646" i="1"/>
  <c r="G646" i="1"/>
  <c r="F646" i="1"/>
  <c r="E646" i="1"/>
  <c r="D646" i="1"/>
  <c r="B646" i="1"/>
  <c r="A646" i="1"/>
  <c r="L125" i="1"/>
  <c r="J125" i="1"/>
  <c r="I125" i="1"/>
  <c r="H125" i="1"/>
  <c r="G125" i="1"/>
  <c r="F125" i="1"/>
  <c r="E125" i="1"/>
  <c r="D125" i="1"/>
  <c r="B125" i="1"/>
  <c r="A125" i="1"/>
  <c r="L2141" i="1"/>
  <c r="J2141" i="1"/>
  <c r="I2141" i="1"/>
  <c r="H2141" i="1"/>
  <c r="G2141" i="1"/>
  <c r="F2141" i="1"/>
  <c r="E2141" i="1"/>
  <c r="D2141" i="1"/>
  <c r="B2141" i="1"/>
  <c r="A2141" i="1"/>
  <c r="L393" i="1"/>
  <c r="J393" i="1"/>
  <c r="I393" i="1"/>
  <c r="H393" i="1"/>
  <c r="G393" i="1"/>
  <c r="F393" i="1"/>
  <c r="E393" i="1"/>
  <c r="D393" i="1"/>
  <c r="B393" i="1"/>
  <c r="A393" i="1"/>
  <c r="L564" i="1"/>
  <c r="J564" i="1"/>
  <c r="I564" i="1"/>
  <c r="H564" i="1"/>
  <c r="G564" i="1"/>
  <c r="F564" i="1"/>
  <c r="E564" i="1"/>
  <c r="D564" i="1"/>
  <c r="B564" i="1"/>
  <c r="A564" i="1"/>
  <c r="L3114" i="1"/>
  <c r="J3114" i="1"/>
  <c r="I3114" i="1"/>
  <c r="H3114" i="1"/>
  <c r="G3114" i="1"/>
  <c r="F3114" i="1"/>
  <c r="E3114" i="1"/>
  <c r="D3114" i="1"/>
  <c r="B3114" i="1"/>
  <c r="A3114" i="1"/>
  <c r="L1082" i="1"/>
  <c r="J1082" i="1"/>
  <c r="I1082" i="1"/>
  <c r="H1082" i="1"/>
  <c r="G1082" i="1"/>
  <c r="F1082" i="1"/>
  <c r="E1082" i="1"/>
  <c r="D1082" i="1"/>
  <c r="B1082" i="1"/>
  <c r="A1082" i="1"/>
  <c r="L1212" i="1"/>
  <c r="J1212" i="1"/>
  <c r="I1212" i="1"/>
  <c r="H1212" i="1"/>
  <c r="G1212" i="1"/>
  <c r="F1212" i="1"/>
  <c r="E1212" i="1"/>
  <c r="D1212" i="1"/>
  <c r="B1212" i="1"/>
  <c r="A1212" i="1"/>
  <c r="L1290" i="1"/>
  <c r="J1290" i="1"/>
  <c r="I1290" i="1"/>
  <c r="H1290" i="1"/>
  <c r="G1290" i="1"/>
  <c r="F1290" i="1"/>
  <c r="E1290" i="1"/>
  <c r="D1290" i="1"/>
  <c r="B1290" i="1"/>
  <c r="A1290" i="1"/>
  <c r="L2043" i="1"/>
  <c r="J2043" i="1"/>
  <c r="I2043" i="1"/>
  <c r="H2043" i="1"/>
  <c r="G2043" i="1"/>
  <c r="F2043" i="1"/>
  <c r="E2043" i="1"/>
  <c r="D2043" i="1"/>
  <c r="B2043" i="1"/>
  <c r="A2043" i="1"/>
  <c r="L1043" i="1"/>
  <c r="J1043" i="1"/>
  <c r="I1043" i="1"/>
  <c r="H1043" i="1"/>
  <c r="G1043" i="1"/>
  <c r="F1043" i="1"/>
  <c r="E1043" i="1"/>
  <c r="D1043" i="1"/>
  <c r="B1043" i="1"/>
  <c r="A1043" i="1"/>
  <c r="L797" i="1"/>
  <c r="J797" i="1"/>
  <c r="I797" i="1"/>
  <c r="H797" i="1"/>
  <c r="G797" i="1"/>
  <c r="F797" i="1"/>
  <c r="E797" i="1"/>
  <c r="D797" i="1"/>
  <c r="B797" i="1"/>
  <c r="A797" i="1"/>
  <c r="L2441" i="1"/>
  <c r="J2441" i="1"/>
  <c r="I2441" i="1"/>
  <c r="H2441" i="1"/>
  <c r="G2441" i="1"/>
  <c r="F2441" i="1"/>
  <c r="E2441" i="1"/>
  <c r="D2441" i="1"/>
  <c r="B2441" i="1"/>
  <c r="A2441" i="1"/>
  <c r="L846" i="1"/>
  <c r="J846" i="1"/>
  <c r="I846" i="1"/>
  <c r="H846" i="1"/>
  <c r="G846" i="1"/>
  <c r="F846" i="1"/>
  <c r="E846" i="1"/>
  <c r="D846" i="1"/>
  <c r="B846" i="1"/>
  <c r="A846" i="1"/>
  <c r="L511" i="1"/>
  <c r="J511" i="1"/>
  <c r="I511" i="1"/>
  <c r="H511" i="1"/>
  <c r="G511" i="1"/>
  <c r="F511" i="1"/>
  <c r="E511" i="1"/>
  <c r="D511" i="1"/>
  <c r="B511" i="1"/>
  <c r="A511" i="1"/>
  <c r="L2553" i="1"/>
  <c r="J2553" i="1"/>
  <c r="I2553" i="1"/>
  <c r="H2553" i="1"/>
  <c r="G2553" i="1"/>
  <c r="F2553" i="1"/>
  <c r="E2553" i="1"/>
  <c r="D2553" i="1"/>
  <c r="B2553" i="1"/>
  <c r="A2553" i="1"/>
  <c r="L1440" i="1"/>
  <c r="J1440" i="1"/>
  <c r="I1440" i="1"/>
  <c r="H1440" i="1"/>
  <c r="G1440" i="1"/>
  <c r="F1440" i="1"/>
  <c r="E1440" i="1"/>
  <c r="D1440" i="1"/>
  <c r="B1440" i="1"/>
  <c r="A1440" i="1"/>
  <c r="L927" i="1"/>
  <c r="J927" i="1"/>
  <c r="I927" i="1"/>
  <c r="H927" i="1"/>
  <c r="G927" i="1"/>
  <c r="F927" i="1"/>
  <c r="E927" i="1"/>
  <c r="D927" i="1"/>
  <c r="B927" i="1"/>
  <c r="A927" i="1"/>
  <c r="L2804" i="1"/>
  <c r="J2804" i="1"/>
  <c r="I2804" i="1"/>
  <c r="H2804" i="1"/>
  <c r="G2804" i="1"/>
  <c r="F2804" i="1"/>
  <c r="E2804" i="1"/>
  <c r="D2804" i="1"/>
  <c r="B2804" i="1"/>
  <c r="A2804" i="1"/>
  <c r="L645" i="1"/>
  <c r="J645" i="1"/>
  <c r="I645" i="1"/>
  <c r="H645" i="1"/>
  <c r="G645" i="1"/>
  <c r="F645" i="1"/>
  <c r="E645" i="1"/>
  <c r="D645" i="1"/>
  <c r="B645" i="1"/>
  <c r="A645" i="1"/>
  <c r="L644" i="1"/>
  <c r="J644" i="1"/>
  <c r="I644" i="1"/>
  <c r="H644" i="1"/>
  <c r="G644" i="1"/>
  <c r="F644" i="1"/>
  <c r="E644" i="1"/>
  <c r="D644" i="1"/>
  <c r="B644" i="1"/>
  <c r="A644" i="1"/>
  <c r="L124" i="1"/>
  <c r="J124" i="1"/>
  <c r="I124" i="1"/>
  <c r="H124" i="1"/>
  <c r="G124" i="1"/>
  <c r="F124" i="1"/>
  <c r="E124" i="1"/>
  <c r="D124" i="1"/>
  <c r="B124" i="1"/>
  <c r="A124" i="1"/>
  <c r="L2140" i="1"/>
  <c r="J2140" i="1"/>
  <c r="I2140" i="1"/>
  <c r="H2140" i="1"/>
  <c r="G2140" i="1"/>
  <c r="F2140" i="1"/>
  <c r="E2140" i="1"/>
  <c r="D2140" i="1"/>
  <c r="B2140" i="1"/>
  <c r="A2140" i="1"/>
  <c r="L2139" i="1"/>
  <c r="J2139" i="1"/>
  <c r="I2139" i="1"/>
  <c r="H2139" i="1"/>
  <c r="G2139" i="1"/>
  <c r="F2139" i="1"/>
  <c r="E2139" i="1"/>
  <c r="D2139" i="1"/>
  <c r="B2139" i="1"/>
  <c r="A2139" i="1"/>
  <c r="L2803" i="1"/>
  <c r="J2803" i="1"/>
  <c r="I2803" i="1"/>
  <c r="H2803" i="1"/>
  <c r="G2803" i="1"/>
  <c r="F2803" i="1"/>
  <c r="E2803" i="1"/>
  <c r="D2803" i="1"/>
  <c r="B2803" i="1"/>
  <c r="A2803" i="1"/>
  <c r="L643" i="1"/>
  <c r="J643" i="1"/>
  <c r="I643" i="1"/>
  <c r="H643" i="1"/>
  <c r="G643" i="1"/>
  <c r="F643" i="1"/>
  <c r="E643" i="1"/>
  <c r="D643" i="1"/>
  <c r="B643" i="1"/>
  <c r="A643" i="1"/>
  <c r="L123" i="1"/>
  <c r="J123" i="1"/>
  <c r="I123" i="1"/>
  <c r="H123" i="1"/>
  <c r="G123" i="1"/>
  <c r="F123" i="1"/>
  <c r="E123" i="1"/>
  <c r="D123" i="1"/>
  <c r="B123" i="1"/>
  <c r="A123" i="1"/>
  <c r="L2138" i="1"/>
  <c r="J2138" i="1"/>
  <c r="I2138" i="1"/>
  <c r="H2138" i="1"/>
  <c r="G2138" i="1"/>
  <c r="F2138" i="1"/>
  <c r="E2138" i="1"/>
  <c r="D2138" i="1"/>
  <c r="B2138" i="1"/>
  <c r="A2138" i="1"/>
  <c r="L510" i="1"/>
  <c r="J510" i="1"/>
  <c r="I510" i="1"/>
  <c r="H510" i="1"/>
  <c r="G510" i="1"/>
  <c r="F510" i="1"/>
  <c r="E510" i="1"/>
  <c r="D510" i="1"/>
  <c r="B510" i="1"/>
  <c r="A510" i="1"/>
  <c r="L2552" i="1"/>
  <c r="J2552" i="1"/>
  <c r="I2552" i="1"/>
  <c r="H2552" i="1"/>
  <c r="G2552" i="1"/>
  <c r="F2552" i="1"/>
  <c r="E2552" i="1"/>
  <c r="D2552" i="1"/>
  <c r="B2552" i="1"/>
  <c r="A2552" i="1"/>
  <c r="L1439" i="1"/>
  <c r="J1439" i="1"/>
  <c r="I1439" i="1"/>
  <c r="H1439" i="1"/>
  <c r="G1439" i="1"/>
  <c r="F1439" i="1"/>
  <c r="E1439" i="1"/>
  <c r="D1439" i="1"/>
  <c r="B1439" i="1"/>
  <c r="A1439" i="1"/>
  <c r="L926" i="1"/>
  <c r="J926" i="1"/>
  <c r="I926" i="1"/>
  <c r="H926" i="1"/>
  <c r="G926" i="1"/>
  <c r="F926" i="1"/>
  <c r="E926" i="1"/>
  <c r="D926" i="1"/>
  <c r="B926" i="1"/>
  <c r="A926" i="1"/>
  <c r="J2802" i="1"/>
  <c r="I2802" i="1"/>
  <c r="H2802" i="1"/>
  <c r="G2802" i="1"/>
  <c r="F2802" i="1"/>
  <c r="E2802" i="1"/>
  <c r="D2802" i="1"/>
  <c r="B2802" i="1"/>
  <c r="A2802" i="1"/>
  <c r="J642" i="1"/>
  <c r="I642" i="1"/>
  <c r="H642" i="1"/>
  <c r="G642" i="1"/>
  <c r="F642" i="1"/>
  <c r="E642" i="1"/>
  <c r="D642" i="1"/>
  <c r="B642" i="1"/>
  <c r="A642" i="1"/>
  <c r="J2137" i="1"/>
  <c r="I2137" i="1"/>
  <c r="H2137" i="1"/>
  <c r="G2137" i="1"/>
  <c r="F2137" i="1"/>
  <c r="E2137" i="1"/>
  <c r="D2137" i="1"/>
  <c r="B2137" i="1"/>
  <c r="A2137" i="1"/>
  <c r="J122" i="1"/>
  <c r="I122" i="1"/>
  <c r="H122" i="1"/>
  <c r="G122" i="1"/>
  <c r="F122" i="1"/>
  <c r="E122" i="1"/>
  <c r="D122" i="1"/>
  <c r="B122" i="1"/>
  <c r="A122" i="1"/>
  <c r="J38" i="1"/>
  <c r="I38" i="1"/>
  <c r="H38" i="1"/>
  <c r="G38" i="1"/>
  <c r="F38" i="1"/>
  <c r="E38" i="1"/>
  <c r="D38" i="1"/>
  <c r="B38" i="1"/>
  <c r="A38" i="1"/>
  <c r="J1148" i="1"/>
  <c r="I1148" i="1"/>
  <c r="H1148" i="1"/>
  <c r="G1148" i="1"/>
  <c r="F1148" i="1"/>
  <c r="E1148" i="1"/>
  <c r="D1148" i="1"/>
  <c r="B1148" i="1"/>
  <c r="A1148" i="1"/>
  <c r="L3166" i="1"/>
  <c r="J3166" i="1"/>
  <c r="I3166" i="1"/>
  <c r="H3166" i="1"/>
  <c r="G3166" i="1"/>
  <c r="F3166" i="1"/>
  <c r="E3166" i="1"/>
  <c r="D3166" i="1"/>
  <c r="B3166" i="1"/>
  <c r="A3166" i="1"/>
  <c r="L2304" i="1"/>
  <c r="J2304" i="1"/>
  <c r="I2304" i="1"/>
  <c r="H2304" i="1"/>
  <c r="G2304" i="1"/>
  <c r="F2304" i="1"/>
  <c r="E2304" i="1"/>
  <c r="D2304" i="1"/>
  <c r="B2304" i="1"/>
  <c r="A2304" i="1"/>
  <c r="L446" i="1"/>
  <c r="J446" i="1"/>
  <c r="I446" i="1"/>
  <c r="H446" i="1"/>
  <c r="G446" i="1"/>
  <c r="F446" i="1"/>
  <c r="E446" i="1"/>
  <c r="D446" i="1"/>
  <c r="B446" i="1"/>
  <c r="A446" i="1"/>
  <c r="L2341" i="1"/>
  <c r="J2341" i="1"/>
  <c r="I2341" i="1"/>
  <c r="H2341" i="1"/>
  <c r="G2341" i="1"/>
  <c r="F2341" i="1"/>
  <c r="E2341" i="1"/>
  <c r="D2341" i="1"/>
  <c r="B2341" i="1"/>
  <c r="A2341" i="1"/>
  <c r="L509" i="1"/>
  <c r="J509" i="1"/>
  <c r="I509" i="1"/>
  <c r="H509" i="1"/>
  <c r="G509" i="1"/>
  <c r="F509" i="1"/>
  <c r="E509" i="1"/>
  <c r="D509" i="1"/>
  <c r="B509" i="1"/>
  <c r="A509" i="1"/>
  <c r="L925" i="1"/>
  <c r="J925" i="1"/>
  <c r="I925" i="1"/>
  <c r="H925" i="1"/>
  <c r="G925" i="1"/>
  <c r="F925" i="1"/>
  <c r="E925" i="1"/>
  <c r="D925" i="1"/>
  <c r="B925" i="1"/>
  <c r="A925" i="1"/>
  <c r="L2551" i="1"/>
  <c r="J2551" i="1"/>
  <c r="I2551" i="1"/>
  <c r="H2551" i="1"/>
  <c r="G2551" i="1"/>
  <c r="F2551" i="1"/>
  <c r="E2551" i="1"/>
  <c r="D2551" i="1"/>
  <c r="B2551" i="1"/>
  <c r="A2551" i="1"/>
  <c r="L1438" i="1"/>
  <c r="J1438" i="1"/>
  <c r="I1438" i="1"/>
  <c r="H1438" i="1"/>
  <c r="G1438" i="1"/>
  <c r="F1438" i="1"/>
  <c r="E1438" i="1"/>
  <c r="D1438" i="1"/>
  <c r="B1438" i="1"/>
  <c r="A1438" i="1"/>
  <c r="L1211" i="1"/>
  <c r="J1211" i="1"/>
  <c r="I1211" i="1"/>
  <c r="H1211" i="1"/>
  <c r="G1211" i="1"/>
  <c r="F1211" i="1"/>
  <c r="E1211" i="1"/>
  <c r="D1211" i="1"/>
  <c r="B1211" i="1"/>
  <c r="A1211" i="1"/>
  <c r="L1289" i="1"/>
  <c r="J1289" i="1"/>
  <c r="I1289" i="1"/>
  <c r="H1289" i="1"/>
  <c r="G1289" i="1"/>
  <c r="F1289" i="1"/>
  <c r="E1289" i="1"/>
  <c r="D1289" i="1"/>
  <c r="B1289" i="1"/>
  <c r="A1289" i="1"/>
  <c r="L2042" i="1"/>
  <c r="J2042" i="1"/>
  <c r="I2042" i="1"/>
  <c r="H2042" i="1"/>
  <c r="G2042" i="1"/>
  <c r="F2042" i="1"/>
  <c r="E2042" i="1"/>
  <c r="D2042" i="1"/>
  <c r="B2042" i="1"/>
  <c r="A2042" i="1"/>
  <c r="J2477" i="1"/>
  <c r="I2477" i="1"/>
  <c r="H2477" i="1"/>
  <c r="G2477" i="1"/>
  <c r="F2477" i="1"/>
  <c r="E2477" i="1"/>
  <c r="D2477" i="1"/>
  <c r="B2477" i="1"/>
  <c r="A2477" i="1"/>
  <c r="J2390" i="1"/>
  <c r="I2390" i="1"/>
  <c r="H2390" i="1"/>
  <c r="G2390" i="1"/>
  <c r="F2390" i="1"/>
  <c r="E2390" i="1"/>
  <c r="D2390" i="1"/>
  <c r="B2390" i="1"/>
  <c r="A2390" i="1"/>
  <c r="J508" i="1"/>
  <c r="I508" i="1"/>
  <c r="H508" i="1"/>
  <c r="G508" i="1"/>
  <c r="F508" i="1"/>
  <c r="E508" i="1"/>
  <c r="D508" i="1"/>
  <c r="B508" i="1"/>
  <c r="A508" i="1"/>
  <c r="J2550" i="1"/>
  <c r="I2550" i="1"/>
  <c r="H2550" i="1"/>
  <c r="G2550" i="1"/>
  <c r="F2550" i="1"/>
  <c r="E2550" i="1"/>
  <c r="D2550" i="1"/>
  <c r="B2550" i="1"/>
  <c r="A2550" i="1"/>
  <c r="J1437" i="1"/>
  <c r="I1437" i="1"/>
  <c r="H1437" i="1"/>
  <c r="G1437" i="1"/>
  <c r="F1437" i="1"/>
  <c r="E1437" i="1"/>
  <c r="D1437" i="1"/>
  <c r="B1437" i="1"/>
  <c r="A1437" i="1"/>
  <c r="J924" i="1"/>
  <c r="I924" i="1"/>
  <c r="H924" i="1"/>
  <c r="G924" i="1"/>
  <c r="F924" i="1"/>
  <c r="E924" i="1"/>
  <c r="D924" i="1"/>
  <c r="B924" i="1"/>
  <c r="A924" i="1"/>
  <c r="J2801" i="1"/>
  <c r="I2801" i="1"/>
  <c r="H2801" i="1"/>
  <c r="G2801" i="1"/>
  <c r="F2801" i="1"/>
  <c r="E2801" i="1"/>
  <c r="D2801" i="1"/>
  <c r="B2801" i="1"/>
  <c r="A2801" i="1"/>
  <c r="J641" i="1"/>
  <c r="I641" i="1"/>
  <c r="H641" i="1"/>
  <c r="G641" i="1"/>
  <c r="F641" i="1"/>
  <c r="E641" i="1"/>
  <c r="D641" i="1"/>
  <c r="B641" i="1"/>
  <c r="A641" i="1"/>
  <c r="J121" i="1"/>
  <c r="I121" i="1"/>
  <c r="H121" i="1"/>
  <c r="G121" i="1"/>
  <c r="F121" i="1"/>
  <c r="E121" i="1"/>
  <c r="D121" i="1"/>
  <c r="B121" i="1"/>
  <c r="A121" i="1"/>
  <c r="J2136" i="1"/>
  <c r="I2136" i="1"/>
  <c r="H2136" i="1"/>
  <c r="G2136" i="1"/>
  <c r="F2136" i="1"/>
  <c r="E2136" i="1"/>
  <c r="D2136" i="1"/>
  <c r="B2136" i="1"/>
  <c r="A2136" i="1"/>
  <c r="J507" i="1"/>
  <c r="I507" i="1"/>
  <c r="H507" i="1"/>
  <c r="G507" i="1"/>
  <c r="F507" i="1"/>
  <c r="E507" i="1"/>
  <c r="D507" i="1"/>
  <c r="B507" i="1"/>
  <c r="A507" i="1"/>
  <c r="J2549" i="1"/>
  <c r="I2549" i="1"/>
  <c r="H2549" i="1"/>
  <c r="G2549" i="1"/>
  <c r="F2549" i="1"/>
  <c r="E2549" i="1"/>
  <c r="D2549" i="1"/>
  <c r="B2549" i="1"/>
  <c r="A2549" i="1"/>
  <c r="J1436" i="1"/>
  <c r="I1436" i="1"/>
  <c r="H1436" i="1"/>
  <c r="G1436" i="1"/>
  <c r="F1436" i="1"/>
  <c r="E1436" i="1"/>
  <c r="D1436" i="1"/>
  <c r="B1436" i="1"/>
  <c r="A1436" i="1"/>
  <c r="J923" i="1"/>
  <c r="I923" i="1"/>
  <c r="H923" i="1"/>
  <c r="G923" i="1"/>
  <c r="F923" i="1"/>
  <c r="E923" i="1"/>
  <c r="D923" i="1"/>
  <c r="B923" i="1"/>
  <c r="A923" i="1"/>
  <c r="J37" i="1"/>
  <c r="I37" i="1"/>
  <c r="H37" i="1"/>
  <c r="G37" i="1"/>
  <c r="F37" i="1"/>
  <c r="E37" i="1"/>
  <c r="D37" i="1"/>
  <c r="B37" i="1"/>
  <c r="A37" i="1"/>
  <c r="J1147" i="1"/>
  <c r="I1147" i="1"/>
  <c r="H1147" i="1"/>
  <c r="G1147" i="1"/>
  <c r="F1147" i="1"/>
  <c r="E1147" i="1"/>
  <c r="D1147" i="1"/>
  <c r="B1147" i="1"/>
  <c r="A1147" i="1"/>
  <c r="J506" i="1"/>
  <c r="I506" i="1"/>
  <c r="H506" i="1"/>
  <c r="G506" i="1"/>
  <c r="F506" i="1"/>
  <c r="E506" i="1"/>
  <c r="D506" i="1"/>
  <c r="B506" i="1"/>
  <c r="A506" i="1"/>
  <c r="J2548" i="1"/>
  <c r="I2548" i="1"/>
  <c r="H2548" i="1"/>
  <c r="G2548" i="1"/>
  <c r="F2548" i="1"/>
  <c r="E2548" i="1"/>
  <c r="D2548" i="1"/>
  <c r="B2548" i="1"/>
  <c r="A2548" i="1"/>
  <c r="J1435" i="1"/>
  <c r="I1435" i="1"/>
  <c r="H1435" i="1"/>
  <c r="G1435" i="1"/>
  <c r="F1435" i="1"/>
  <c r="E1435" i="1"/>
  <c r="D1435" i="1"/>
  <c r="B1435" i="1"/>
  <c r="A1435" i="1"/>
  <c r="J922" i="1"/>
  <c r="I922" i="1"/>
  <c r="H922" i="1"/>
  <c r="G922" i="1"/>
  <c r="F922" i="1"/>
  <c r="E922" i="1"/>
  <c r="D922" i="1"/>
  <c r="B922" i="1"/>
  <c r="A922" i="1"/>
  <c r="J36" i="1"/>
  <c r="I36" i="1"/>
  <c r="H36" i="1"/>
  <c r="G36" i="1"/>
  <c r="F36" i="1"/>
  <c r="E36" i="1"/>
  <c r="D36" i="1"/>
  <c r="B36" i="1"/>
  <c r="A36" i="1"/>
  <c r="J1146" i="1"/>
  <c r="I1146" i="1"/>
  <c r="H1146" i="1"/>
  <c r="G1146" i="1"/>
  <c r="F1146" i="1"/>
  <c r="E1146" i="1"/>
  <c r="D1146" i="1"/>
  <c r="B1146" i="1"/>
  <c r="A1146" i="1"/>
  <c r="J1341" i="1"/>
  <c r="I1341" i="1"/>
  <c r="H1341" i="1"/>
  <c r="G1341" i="1"/>
  <c r="F1341" i="1"/>
  <c r="E1341" i="1"/>
  <c r="D1341" i="1"/>
  <c r="B1341" i="1"/>
  <c r="A1341" i="1"/>
  <c r="J534" i="1"/>
  <c r="I534" i="1"/>
  <c r="H534" i="1"/>
  <c r="G534" i="1"/>
  <c r="F534" i="1"/>
  <c r="E534" i="1"/>
  <c r="D534" i="1"/>
  <c r="B534" i="1"/>
  <c r="A534" i="1"/>
  <c r="J1115" i="1"/>
  <c r="I1115" i="1"/>
  <c r="H1115" i="1"/>
  <c r="G1115" i="1"/>
  <c r="F1115" i="1"/>
  <c r="E1115" i="1"/>
  <c r="D1115" i="1"/>
  <c r="B1115" i="1"/>
  <c r="A1115" i="1"/>
  <c r="J816" i="1"/>
  <c r="I816" i="1"/>
  <c r="H816" i="1"/>
  <c r="G816" i="1"/>
  <c r="F816" i="1"/>
  <c r="E816" i="1"/>
  <c r="D816" i="1"/>
  <c r="B816" i="1"/>
  <c r="A816" i="1"/>
  <c r="J1998" i="1"/>
  <c r="I1998" i="1"/>
  <c r="H1998" i="1"/>
  <c r="G1998" i="1"/>
  <c r="F1998" i="1"/>
  <c r="E1998" i="1"/>
  <c r="D1998" i="1"/>
  <c r="B1998" i="1"/>
  <c r="A1998" i="1"/>
  <c r="J15" i="1"/>
  <c r="I15" i="1"/>
  <c r="H15" i="1"/>
  <c r="G15" i="1"/>
  <c r="F15" i="1"/>
  <c r="E15" i="1"/>
  <c r="D15" i="1"/>
  <c r="B15" i="1"/>
  <c r="A15" i="1"/>
  <c r="J505" i="1"/>
  <c r="I505" i="1"/>
  <c r="H505" i="1"/>
  <c r="G505" i="1"/>
  <c r="F505" i="1"/>
  <c r="E505" i="1"/>
  <c r="D505" i="1"/>
  <c r="B505" i="1"/>
  <c r="A505" i="1"/>
  <c r="J2547" i="1"/>
  <c r="I2547" i="1"/>
  <c r="H2547" i="1"/>
  <c r="G2547" i="1"/>
  <c r="F2547" i="1"/>
  <c r="E2547" i="1"/>
  <c r="D2547" i="1"/>
  <c r="B2547" i="1"/>
  <c r="A2547" i="1"/>
  <c r="J1434" i="1"/>
  <c r="I1434" i="1"/>
  <c r="H1434" i="1"/>
  <c r="G1434" i="1"/>
  <c r="F1434" i="1"/>
  <c r="E1434" i="1"/>
  <c r="D1434" i="1"/>
  <c r="B1434" i="1"/>
  <c r="A1434" i="1"/>
  <c r="J921" i="1"/>
  <c r="I921" i="1"/>
  <c r="H921" i="1"/>
  <c r="G921" i="1"/>
  <c r="F921" i="1"/>
  <c r="E921" i="1"/>
  <c r="D921" i="1"/>
  <c r="B921" i="1"/>
  <c r="A921" i="1"/>
  <c r="J2800" i="1"/>
  <c r="I2800" i="1"/>
  <c r="H2800" i="1"/>
  <c r="G2800" i="1"/>
  <c r="F2800" i="1"/>
  <c r="E2800" i="1"/>
  <c r="D2800" i="1"/>
  <c r="B2800" i="1"/>
  <c r="A2800" i="1"/>
  <c r="J640" i="1"/>
  <c r="I640" i="1"/>
  <c r="H640" i="1"/>
  <c r="G640" i="1"/>
  <c r="F640" i="1"/>
  <c r="E640" i="1"/>
  <c r="D640" i="1"/>
  <c r="B640" i="1"/>
  <c r="A640" i="1"/>
  <c r="J120" i="1"/>
  <c r="I120" i="1"/>
  <c r="H120" i="1"/>
  <c r="G120" i="1"/>
  <c r="F120" i="1"/>
  <c r="E120" i="1"/>
  <c r="D120" i="1"/>
  <c r="B120" i="1"/>
  <c r="A120" i="1"/>
  <c r="J2135" i="1"/>
  <c r="I2135" i="1"/>
  <c r="H2135" i="1"/>
  <c r="G2135" i="1"/>
  <c r="F2135" i="1"/>
  <c r="E2135" i="1"/>
  <c r="D2135" i="1"/>
  <c r="B2135" i="1"/>
  <c r="A2135" i="1"/>
  <c r="J2799" i="1"/>
  <c r="I2799" i="1"/>
  <c r="H2799" i="1"/>
  <c r="G2799" i="1"/>
  <c r="F2799" i="1"/>
  <c r="E2799" i="1"/>
  <c r="D2799" i="1"/>
  <c r="B2799" i="1"/>
  <c r="A2799" i="1"/>
  <c r="J639" i="1"/>
  <c r="I639" i="1"/>
  <c r="H639" i="1"/>
  <c r="G639" i="1"/>
  <c r="F639" i="1"/>
  <c r="E639" i="1"/>
  <c r="D639" i="1"/>
  <c r="B639" i="1"/>
  <c r="A639" i="1"/>
  <c r="J119" i="1"/>
  <c r="I119" i="1"/>
  <c r="H119" i="1"/>
  <c r="G119" i="1"/>
  <c r="F119" i="1"/>
  <c r="E119" i="1"/>
  <c r="D119" i="1"/>
  <c r="B119" i="1"/>
  <c r="A119" i="1"/>
  <c r="J2134" i="1"/>
  <c r="I2134" i="1"/>
  <c r="H2134" i="1"/>
  <c r="G2134" i="1"/>
  <c r="F2134" i="1"/>
  <c r="E2134" i="1"/>
  <c r="D2134" i="1"/>
  <c r="B2134" i="1"/>
  <c r="A2134" i="1"/>
  <c r="J504" i="1"/>
  <c r="I504" i="1"/>
  <c r="H504" i="1"/>
  <c r="G504" i="1"/>
  <c r="F504" i="1"/>
  <c r="E504" i="1"/>
  <c r="D504" i="1"/>
  <c r="B504" i="1"/>
  <c r="A504" i="1"/>
  <c r="J2546" i="1"/>
  <c r="I2546" i="1"/>
  <c r="H2546" i="1"/>
  <c r="G2546" i="1"/>
  <c r="F2546" i="1"/>
  <c r="E2546" i="1"/>
  <c r="D2546" i="1"/>
  <c r="B2546" i="1"/>
  <c r="A2546" i="1"/>
  <c r="J1433" i="1"/>
  <c r="I1433" i="1"/>
  <c r="H1433" i="1"/>
  <c r="G1433" i="1"/>
  <c r="F1433" i="1"/>
  <c r="E1433" i="1"/>
  <c r="D1433" i="1"/>
  <c r="B1433" i="1"/>
  <c r="A1433" i="1"/>
  <c r="J920" i="1"/>
  <c r="I920" i="1"/>
  <c r="H920" i="1"/>
  <c r="G920" i="1"/>
  <c r="F920" i="1"/>
  <c r="E920" i="1"/>
  <c r="D920" i="1"/>
  <c r="B920" i="1"/>
  <c r="A920" i="1"/>
  <c r="J2798" i="1"/>
  <c r="I2798" i="1"/>
  <c r="H2798" i="1"/>
  <c r="G2798" i="1"/>
  <c r="F2798" i="1"/>
  <c r="E2798" i="1"/>
  <c r="D2798" i="1"/>
  <c r="B2798" i="1"/>
  <c r="A2798" i="1"/>
  <c r="J638" i="1"/>
  <c r="I638" i="1"/>
  <c r="H638" i="1"/>
  <c r="G638" i="1"/>
  <c r="F638" i="1"/>
  <c r="E638" i="1"/>
  <c r="D638" i="1"/>
  <c r="B638" i="1"/>
  <c r="A638" i="1"/>
  <c r="J118" i="1"/>
  <c r="I118" i="1"/>
  <c r="H118" i="1"/>
  <c r="G118" i="1"/>
  <c r="F118" i="1"/>
  <c r="E118" i="1"/>
  <c r="D118" i="1"/>
  <c r="B118" i="1"/>
  <c r="A118" i="1"/>
  <c r="J2133" i="1"/>
  <c r="I2133" i="1"/>
  <c r="H2133" i="1"/>
  <c r="G2133" i="1"/>
  <c r="F2133" i="1"/>
  <c r="E2133" i="1"/>
  <c r="D2133" i="1"/>
  <c r="B2133" i="1"/>
  <c r="A2133" i="1"/>
  <c r="J1210" i="1"/>
  <c r="I1210" i="1"/>
  <c r="H1210" i="1"/>
  <c r="G1210" i="1"/>
  <c r="F1210" i="1"/>
  <c r="E1210" i="1"/>
  <c r="D1210" i="1"/>
  <c r="B1210" i="1"/>
  <c r="A1210" i="1"/>
  <c r="J1288" i="1"/>
  <c r="I1288" i="1"/>
  <c r="H1288" i="1"/>
  <c r="G1288" i="1"/>
  <c r="F1288" i="1"/>
  <c r="E1288" i="1"/>
  <c r="D1288" i="1"/>
  <c r="B1288" i="1"/>
  <c r="A1288" i="1"/>
  <c r="J2041" i="1"/>
  <c r="I2041" i="1"/>
  <c r="H2041" i="1"/>
  <c r="G2041" i="1"/>
  <c r="F2041" i="1"/>
  <c r="E2041" i="1"/>
  <c r="D2041" i="1"/>
  <c r="B2041" i="1"/>
  <c r="A2041" i="1"/>
  <c r="J503" i="1"/>
  <c r="I503" i="1"/>
  <c r="H503" i="1"/>
  <c r="G503" i="1"/>
  <c r="F503" i="1"/>
  <c r="E503" i="1"/>
  <c r="D503" i="1"/>
  <c r="B503" i="1"/>
  <c r="A503" i="1"/>
  <c r="J2545" i="1"/>
  <c r="I2545" i="1"/>
  <c r="H2545" i="1"/>
  <c r="G2545" i="1"/>
  <c r="F2545" i="1"/>
  <c r="E2545" i="1"/>
  <c r="D2545" i="1"/>
  <c r="B2545" i="1"/>
  <c r="A2545" i="1"/>
  <c r="J1432" i="1"/>
  <c r="I1432" i="1"/>
  <c r="H1432" i="1"/>
  <c r="G1432" i="1"/>
  <c r="F1432" i="1"/>
  <c r="E1432" i="1"/>
  <c r="D1432" i="1"/>
  <c r="B1432" i="1"/>
  <c r="A1432" i="1"/>
  <c r="J919" i="1"/>
  <c r="I919" i="1"/>
  <c r="H919" i="1"/>
  <c r="G919" i="1"/>
  <c r="F919" i="1"/>
  <c r="E919" i="1"/>
  <c r="D919" i="1"/>
  <c r="B919" i="1"/>
  <c r="A919" i="1"/>
  <c r="J2797" i="1"/>
  <c r="I2797" i="1"/>
  <c r="H2797" i="1"/>
  <c r="G2797" i="1"/>
  <c r="F2797" i="1"/>
  <c r="E2797" i="1"/>
  <c r="D2797" i="1"/>
  <c r="B2797" i="1"/>
  <c r="A2797" i="1"/>
  <c r="J637" i="1"/>
  <c r="I637" i="1"/>
  <c r="H637" i="1"/>
  <c r="G637" i="1"/>
  <c r="F637" i="1"/>
  <c r="E637" i="1"/>
  <c r="D637" i="1"/>
  <c r="B637" i="1"/>
  <c r="A637" i="1"/>
  <c r="J117" i="1"/>
  <c r="I117" i="1"/>
  <c r="H117" i="1"/>
  <c r="G117" i="1"/>
  <c r="F117" i="1"/>
  <c r="E117" i="1"/>
  <c r="D117" i="1"/>
  <c r="B117" i="1"/>
  <c r="A117" i="1"/>
  <c r="J2132" i="1"/>
  <c r="I2132" i="1"/>
  <c r="H2132" i="1"/>
  <c r="G2132" i="1"/>
  <c r="F2132" i="1"/>
  <c r="E2132" i="1"/>
  <c r="D2132" i="1"/>
  <c r="B2132" i="1"/>
  <c r="A2132" i="1"/>
  <c r="J35" i="1"/>
  <c r="I35" i="1"/>
  <c r="H35" i="1"/>
  <c r="G35" i="1"/>
  <c r="F35" i="1"/>
  <c r="E35" i="1"/>
  <c r="D35" i="1"/>
  <c r="B35" i="1"/>
  <c r="A35" i="1"/>
  <c r="J1145" i="1"/>
  <c r="I1145" i="1"/>
  <c r="H1145" i="1"/>
  <c r="G1145" i="1"/>
  <c r="F1145" i="1"/>
  <c r="E1145" i="1"/>
  <c r="D1145" i="1"/>
  <c r="B1145" i="1"/>
  <c r="A1145" i="1"/>
  <c r="J502" i="1"/>
  <c r="I502" i="1"/>
  <c r="H502" i="1"/>
  <c r="G502" i="1"/>
  <c r="F502" i="1"/>
  <c r="E502" i="1"/>
  <c r="D502" i="1"/>
  <c r="B502" i="1"/>
  <c r="A502" i="1"/>
  <c r="J2544" i="1"/>
  <c r="I2544" i="1"/>
  <c r="H2544" i="1"/>
  <c r="G2544" i="1"/>
  <c r="F2544" i="1"/>
  <c r="E2544" i="1"/>
  <c r="D2544" i="1"/>
  <c r="B2544" i="1"/>
  <c r="A2544" i="1"/>
  <c r="J1431" i="1"/>
  <c r="I1431" i="1"/>
  <c r="H1431" i="1"/>
  <c r="G1431" i="1"/>
  <c r="F1431" i="1"/>
  <c r="E1431" i="1"/>
  <c r="D1431" i="1"/>
  <c r="B1431" i="1"/>
  <c r="A1431" i="1"/>
  <c r="J918" i="1"/>
  <c r="I918" i="1"/>
  <c r="H918" i="1"/>
  <c r="G918" i="1"/>
  <c r="F918" i="1"/>
  <c r="E918" i="1"/>
  <c r="D918" i="1"/>
  <c r="B918" i="1"/>
  <c r="A918" i="1"/>
  <c r="J3234" i="1"/>
  <c r="I3234" i="1"/>
  <c r="H3234" i="1"/>
  <c r="G3234" i="1"/>
  <c r="F3234" i="1"/>
  <c r="E3234" i="1"/>
  <c r="D3234" i="1"/>
  <c r="B3234" i="1"/>
  <c r="A3234" i="1"/>
  <c r="J2796" i="1"/>
  <c r="I2796" i="1"/>
  <c r="H2796" i="1"/>
  <c r="G2796" i="1"/>
  <c r="F2796" i="1"/>
  <c r="E2796" i="1"/>
  <c r="D2796" i="1"/>
  <c r="B2796" i="1"/>
  <c r="A2796" i="1"/>
  <c r="J636" i="1"/>
  <c r="I636" i="1"/>
  <c r="H636" i="1"/>
  <c r="G636" i="1"/>
  <c r="F636" i="1"/>
  <c r="E636" i="1"/>
  <c r="D636" i="1"/>
  <c r="B636" i="1"/>
  <c r="A636" i="1"/>
  <c r="J116" i="1"/>
  <c r="I116" i="1"/>
  <c r="H116" i="1"/>
  <c r="G116" i="1"/>
  <c r="F116" i="1"/>
  <c r="E116" i="1"/>
  <c r="D116" i="1"/>
  <c r="B116" i="1"/>
  <c r="A116" i="1"/>
  <c r="J2131" i="1"/>
  <c r="I2131" i="1"/>
  <c r="H2131" i="1"/>
  <c r="G2131" i="1"/>
  <c r="F2131" i="1"/>
  <c r="E2131" i="1"/>
  <c r="D2131" i="1"/>
  <c r="B2131" i="1"/>
  <c r="A2131" i="1"/>
  <c r="J2303" i="1"/>
  <c r="I2303" i="1"/>
  <c r="H2303" i="1"/>
  <c r="G2303" i="1"/>
  <c r="F2303" i="1"/>
  <c r="E2303" i="1"/>
  <c r="D2303" i="1"/>
  <c r="B2303" i="1"/>
  <c r="A2303" i="1"/>
  <c r="J2340" i="1"/>
  <c r="I2340" i="1"/>
  <c r="H2340" i="1"/>
  <c r="G2340" i="1"/>
  <c r="F2340" i="1"/>
  <c r="E2340" i="1"/>
  <c r="D2340" i="1"/>
  <c r="B2340" i="1"/>
  <c r="A2340" i="1"/>
  <c r="J3165" i="1"/>
  <c r="I3165" i="1"/>
  <c r="H3165" i="1"/>
  <c r="G3165" i="1"/>
  <c r="F3165" i="1"/>
  <c r="E3165" i="1"/>
  <c r="D3165" i="1"/>
  <c r="B3165" i="1"/>
  <c r="A3165" i="1"/>
  <c r="J445" i="1"/>
  <c r="I445" i="1"/>
  <c r="H445" i="1"/>
  <c r="G445" i="1"/>
  <c r="F445" i="1"/>
  <c r="E445" i="1"/>
  <c r="D445" i="1"/>
  <c r="B445" i="1"/>
  <c r="A445" i="1"/>
  <c r="J2440" i="1"/>
  <c r="I2440" i="1"/>
  <c r="H2440" i="1"/>
  <c r="G2440" i="1"/>
  <c r="F2440" i="1"/>
  <c r="E2440" i="1"/>
  <c r="D2440" i="1"/>
  <c r="B2440" i="1"/>
  <c r="A2440" i="1"/>
  <c r="J845" i="1"/>
  <c r="I845" i="1"/>
  <c r="H845" i="1"/>
  <c r="G845" i="1"/>
  <c r="F845" i="1"/>
  <c r="E845" i="1"/>
  <c r="D845" i="1"/>
  <c r="B845" i="1"/>
  <c r="A845" i="1"/>
  <c r="J796" i="1"/>
  <c r="I796" i="1"/>
  <c r="H796" i="1"/>
  <c r="G796" i="1"/>
  <c r="F796" i="1"/>
  <c r="E796" i="1"/>
  <c r="D796" i="1"/>
  <c r="B796" i="1"/>
  <c r="A796" i="1"/>
  <c r="J3113" i="1"/>
  <c r="I3113" i="1"/>
  <c r="H3113" i="1"/>
  <c r="G3113" i="1"/>
  <c r="F3113" i="1"/>
  <c r="E3113" i="1"/>
  <c r="D3113" i="1"/>
  <c r="B3113" i="1"/>
  <c r="A3113" i="1"/>
  <c r="J392" i="1"/>
  <c r="I392" i="1"/>
  <c r="H392" i="1"/>
  <c r="G392" i="1"/>
  <c r="F392" i="1"/>
  <c r="E392" i="1"/>
  <c r="D392" i="1"/>
  <c r="B392" i="1"/>
  <c r="A392" i="1"/>
  <c r="J563" i="1"/>
  <c r="I563" i="1"/>
  <c r="H563" i="1"/>
  <c r="G563" i="1"/>
  <c r="F563" i="1"/>
  <c r="E563" i="1"/>
  <c r="D563" i="1"/>
  <c r="B563" i="1"/>
  <c r="A563" i="1"/>
  <c r="J1081" i="1"/>
  <c r="I1081" i="1"/>
  <c r="H1081" i="1"/>
  <c r="G1081" i="1"/>
  <c r="F1081" i="1"/>
  <c r="E1081" i="1"/>
  <c r="D1081" i="1"/>
  <c r="B1081" i="1"/>
  <c r="A1081" i="1"/>
  <c r="J3076" i="1"/>
  <c r="I3076" i="1"/>
  <c r="H3076" i="1"/>
  <c r="G3076" i="1"/>
  <c r="F3076" i="1"/>
  <c r="E3076" i="1"/>
  <c r="D3076" i="1"/>
  <c r="B3076" i="1"/>
  <c r="A3076" i="1"/>
  <c r="J2476" i="1"/>
  <c r="I2476" i="1"/>
  <c r="H2476" i="1"/>
  <c r="G2476" i="1"/>
  <c r="F2476" i="1"/>
  <c r="E2476" i="1"/>
  <c r="D2476" i="1"/>
  <c r="B2476" i="1"/>
  <c r="A2476" i="1"/>
  <c r="J2389" i="1"/>
  <c r="I2389" i="1"/>
  <c r="H2389" i="1"/>
  <c r="G2389" i="1"/>
  <c r="F2389" i="1"/>
  <c r="E2389" i="1"/>
  <c r="D2389" i="1"/>
  <c r="B2389" i="1"/>
  <c r="A2389" i="1"/>
  <c r="J501" i="1"/>
  <c r="I501" i="1"/>
  <c r="H501" i="1"/>
  <c r="G501" i="1"/>
  <c r="F501" i="1"/>
  <c r="E501" i="1"/>
  <c r="D501" i="1"/>
  <c r="B501" i="1"/>
  <c r="A501" i="1"/>
  <c r="J2543" i="1"/>
  <c r="I2543" i="1"/>
  <c r="H2543" i="1"/>
  <c r="G2543" i="1"/>
  <c r="F2543" i="1"/>
  <c r="E2543" i="1"/>
  <c r="D2543" i="1"/>
  <c r="B2543" i="1"/>
  <c r="A2543" i="1"/>
  <c r="J1430" i="1"/>
  <c r="I1430" i="1"/>
  <c r="H1430" i="1"/>
  <c r="G1430" i="1"/>
  <c r="F1430" i="1"/>
  <c r="E1430" i="1"/>
  <c r="D1430" i="1"/>
  <c r="B1430" i="1"/>
  <c r="A1430" i="1"/>
  <c r="J917" i="1"/>
  <c r="I917" i="1"/>
  <c r="H917" i="1"/>
  <c r="G917" i="1"/>
  <c r="F917" i="1"/>
  <c r="E917" i="1"/>
  <c r="D917" i="1"/>
  <c r="B917" i="1"/>
  <c r="A917" i="1"/>
  <c r="J3233" i="1"/>
  <c r="I3233" i="1"/>
  <c r="H3233" i="1"/>
  <c r="G3233" i="1"/>
  <c r="F3233" i="1"/>
  <c r="E3233" i="1"/>
  <c r="D3233" i="1"/>
  <c r="B3233" i="1"/>
  <c r="A3233" i="1"/>
  <c r="J1375" i="1"/>
  <c r="I1375" i="1"/>
  <c r="H1375" i="1"/>
  <c r="G1375" i="1"/>
  <c r="F1375" i="1"/>
  <c r="E1375" i="1"/>
  <c r="D1375" i="1"/>
  <c r="B1375" i="1"/>
  <c r="A1375" i="1"/>
  <c r="J2795" i="1"/>
  <c r="I2795" i="1"/>
  <c r="H2795" i="1"/>
  <c r="G2795" i="1"/>
  <c r="F2795" i="1"/>
  <c r="E2795" i="1"/>
  <c r="D2795" i="1"/>
  <c r="B2795" i="1"/>
  <c r="A2795" i="1"/>
  <c r="J635" i="1"/>
  <c r="I635" i="1"/>
  <c r="H635" i="1"/>
  <c r="G635" i="1"/>
  <c r="F635" i="1"/>
  <c r="E635" i="1"/>
  <c r="D635" i="1"/>
  <c r="B635" i="1"/>
  <c r="A635" i="1"/>
  <c r="J115" i="1"/>
  <c r="I115" i="1"/>
  <c r="H115" i="1"/>
  <c r="G115" i="1"/>
  <c r="F115" i="1"/>
  <c r="E115" i="1"/>
  <c r="D115" i="1"/>
  <c r="B115" i="1"/>
  <c r="A115" i="1"/>
  <c r="J2130" i="1"/>
  <c r="I2130" i="1"/>
  <c r="H2130" i="1"/>
  <c r="G2130" i="1"/>
  <c r="F2130" i="1"/>
  <c r="E2130" i="1"/>
  <c r="D2130" i="1"/>
  <c r="B2130" i="1"/>
  <c r="A2130" i="1"/>
  <c r="J3232" i="1"/>
  <c r="I3232" i="1"/>
  <c r="H3232" i="1"/>
  <c r="G3232" i="1"/>
  <c r="F3232" i="1"/>
  <c r="E3232" i="1"/>
  <c r="D3232" i="1"/>
  <c r="B3232" i="1"/>
  <c r="A3232" i="1"/>
  <c r="J500" i="1"/>
  <c r="I500" i="1"/>
  <c r="H500" i="1"/>
  <c r="G500" i="1"/>
  <c r="F500" i="1"/>
  <c r="E500" i="1"/>
  <c r="D500" i="1"/>
  <c r="B500" i="1"/>
  <c r="A500" i="1"/>
  <c r="J2542" i="1"/>
  <c r="I2542" i="1"/>
  <c r="H2542" i="1"/>
  <c r="G2542" i="1"/>
  <c r="F2542" i="1"/>
  <c r="E2542" i="1"/>
  <c r="D2542" i="1"/>
  <c r="B2542" i="1"/>
  <c r="A2542" i="1"/>
  <c r="J1429" i="1"/>
  <c r="I1429" i="1"/>
  <c r="H1429" i="1"/>
  <c r="G1429" i="1"/>
  <c r="F1429" i="1"/>
  <c r="E1429" i="1"/>
  <c r="D1429" i="1"/>
  <c r="B1429" i="1"/>
  <c r="A1429" i="1"/>
  <c r="J916" i="1"/>
  <c r="I916" i="1"/>
  <c r="H916" i="1"/>
  <c r="G916" i="1"/>
  <c r="F916" i="1"/>
  <c r="E916" i="1"/>
  <c r="D916" i="1"/>
  <c r="B916" i="1"/>
  <c r="A916" i="1"/>
  <c r="J2794" i="1"/>
  <c r="I2794" i="1"/>
  <c r="H2794" i="1"/>
  <c r="G2794" i="1"/>
  <c r="F2794" i="1"/>
  <c r="E2794" i="1"/>
  <c r="D2794" i="1"/>
  <c r="B2794" i="1"/>
  <c r="A2794" i="1"/>
  <c r="J634" i="1"/>
  <c r="I634" i="1"/>
  <c r="H634" i="1"/>
  <c r="G634" i="1"/>
  <c r="F634" i="1"/>
  <c r="E634" i="1"/>
  <c r="D634" i="1"/>
  <c r="B634" i="1"/>
  <c r="A634" i="1"/>
  <c r="J114" i="1"/>
  <c r="I114" i="1"/>
  <c r="H114" i="1"/>
  <c r="G114" i="1"/>
  <c r="F114" i="1"/>
  <c r="E114" i="1"/>
  <c r="D114" i="1"/>
  <c r="B114" i="1"/>
  <c r="A114" i="1"/>
  <c r="J2129" i="1"/>
  <c r="I2129" i="1"/>
  <c r="H2129" i="1"/>
  <c r="G2129" i="1"/>
  <c r="F2129" i="1"/>
  <c r="E2129" i="1"/>
  <c r="D2129" i="1"/>
  <c r="B2129" i="1"/>
  <c r="A2129" i="1"/>
  <c r="J499" i="1"/>
  <c r="I499" i="1"/>
  <c r="H499" i="1"/>
  <c r="G499" i="1"/>
  <c r="F499" i="1"/>
  <c r="E499" i="1"/>
  <c r="D499" i="1"/>
  <c r="B499" i="1"/>
  <c r="A499" i="1"/>
  <c r="J2541" i="1"/>
  <c r="I2541" i="1"/>
  <c r="H2541" i="1"/>
  <c r="G2541" i="1"/>
  <c r="F2541" i="1"/>
  <c r="E2541" i="1"/>
  <c r="D2541" i="1"/>
  <c r="B2541" i="1"/>
  <c r="A2541" i="1"/>
  <c r="J1428" i="1"/>
  <c r="I1428" i="1"/>
  <c r="H1428" i="1"/>
  <c r="G1428" i="1"/>
  <c r="F1428" i="1"/>
  <c r="E1428" i="1"/>
  <c r="D1428" i="1"/>
  <c r="B1428" i="1"/>
  <c r="A1428" i="1"/>
  <c r="J915" i="1"/>
  <c r="I915" i="1"/>
  <c r="H915" i="1"/>
  <c r="G915" i="1"/>
  <c r="F915" i="1"/>
  <c r="E915" i="1"/>
  <c r="D915" i="1"/>
  <c r="B915" i="1"/>
  <c r="A915" i="1"/>
  <c r="J2302" i="1"/>
  <c r="I2302" i="1"/>
  <c r="H2302" i="1"/>
  <c r="G2302" i="1"/>
  <c r="F2302" i="1"/>
  <c r="E2302" i="1"/>
  <c r="D2302" i="1"/>
  <c r="B2302" i="1"/>
  <c r="A2302" i="1"/>
  <c r="J2339" i="1"/>
  <c r="I2339" i="1"/>
  <c r="H2339" i="1"/>
  <c r="G2339" i="1"/>
  <c r="F2339" i="1"/>
  <c r="E2339" i="1"/>
  <c r="D2339" i="1"/>
  <c r="B2339" i="1"/>
  <c r="A2339" i="1"/>
  <c r="J3164" i="1"/>
  <c r="I3164" i="1"/>
  <c r="H3164" i="1"/>
  <c r="G3164" i="1"/>
  <c r="F3164" i="1"/>
  <c r="E3164" i="1"/>
  <c r="D3164" i="1"/>
  <c r="B3164" i="1"/>
  <c r="A3164" i="1"/>
  <c r="J444" i="1"/>
  <c r="I444" i="1"/>
  <c r="H444" i="1"/>
  <c r="G444" i="1"/>
  <c r="F444" i="1"/>
  <c r="E444" i="1"/>
  <c r="D444" i="1"/>
  <c r="B444" i="1"/>
  <c r="A444" i="1"/>
  <c r="J34" i="1"/>
  <c r="I34" i="1"/>
  <c r="H34" i="1"/>
  <c r="G34" i="1"/>
  <c r="F34" i="1"/>
  <c r="E34" i="1"/>
  <c r="D34" i="1"/>
  <c r="B34" i="1"/>
  <c r="A34" i="1"/>
  <c r="J3231" i="1"/>
  <c r="I3231" i="1"/>
  <c r="H3231" i="1"/>
  <c r="G3231" i="1"/>
  <c r="F3231" i="1"/>
  <c r="E3231" i="1"/>
  <c r="D3231" i="1"/>
  <c r="B3231" i="1"/>
  <c r="A3231" i="1"/>
  <c r="J1144" i="1"/>
  <c r="I1144" i="1"/>
  <c r="H1144" i="1"/>
  <c r="G1144" i="1"/>
  <c r="F1144" i="1"/>
  <c r="E1144" i="1"/>
  <c r="D1144" i="1"/>
  <c r="B1144" i="1"/>
  <c r="A1144" i="1"/>
  <c r="J2793" i="1"/>
  <c r="I2793" i="1"/>
  <c r="H2793" i="1"/>
  <c r="G2793" i="1"/>
  <c r="F2793" i="1"/>
  <c r="E2793" i="1"/>
  <c r="D2793" i="1"/>
  <c r="B2793" i="1"/>
  <c r="A2793" i="1"/>
  <c r="J633" i="1"/>
  <c r="I633" i="1"/>
  <c r="H633" i="1"/>
  <c r="G633" i="1"/>
  <c r="F633" i="1"/>
  <c r="E633" i="1"/>
  <c r="D633" i="1"/>
  <c r="B633" i="1"/>
  <c r="A633" i="1"/>
  <c r="J113" i="1"/>
  <c r="I113" i="1"/>
  <c r="H113" i="1"/>
  <c r="G113" i="1"/>
  <c r="F113" i="1"/>
  <c r="E113" i="1"/>
  <c r="D113" i="1"/>
  <c r="B113" i="1"/>
  <c r="A113" i="1"/>
  <c r="J2128" i="1"/>
  <c r="I2128" i="1"/>
  <c r="H2128" i="1"/>
  <c r="G2128" i="1"/>
  <c r="F2128" i="1"/>
  <c r="E2128" i="1"/>
  <c r="D2128" i="1"/>
  <c r="B2128" i="1"/>
  <c r="A2128" i="1"/>
  <c r="J498" i="1"/>
  <c r="I498" i="1"/>
  <c r="H498" i="1"/>
  <c r="G498" i="1"/>
  <c r="F498" i="1"/>
  <c r="E498" i="1"/>
  <c r="D498" i="1"/>
  <c r="B498" i="1"/>
  <c r="A498" i="1"/>
  <c r="J2540" i="1"/>
  <c r="I2540" i="1"/>
  <c r="H2540" i="1"/>
  <c r="G2540" i="1"/>
  <c r="F2540" i="1"/>
  <c r="E2540" i="1"/>
  <c r="D2540" i="1"/>
  <c r="B2540" i="1"/>
  <c r="A2540" i="1"/>
  <c r="J1427" i="1"/>
  <c r="I1427" i="1"/>
  <c r="H1427" i="1"/>
  <c r="G1427" i="1"/>
  <c r="F1427" i="1"/>
  <c r="E1427" i="1"/>
  <c r="D1427" i="1"/>
  <c r="B1427" i="1"/>
  <c r="A1427" i="1"/>
  <c r="J914" i="1"/>
  <c r="I914" i="1"/>
  <c r="H914" i="1"/>
  <c r="G914" i="1"/>
  <c r="F914" i="1"/>
  <c r="E914" i="1"/>
  <c r="D914" i="1"/>
  <c r="B914" i="1"/>
  <c r="A914" i="1"/>
  <c r="J2792" i="1"/>
  <c r="I2792" i="1"/>
  <c r="H2792" i="1"/>
  <c r="G2792" i="1"/>
  <c r="F2792" i="1"/>
  <c r="E2792" i="1"/>
  <c r="D2792" i="1"/>
  <c r="B2792" i="1"/>
  <c r="A2792" i="1"/>
  <c r="J632" i="1"/>
  <c r="I632" i="1"/>
  <c r="H632" i="1"/>
  <c r="G632" i="1"/>
  <c r="F632" i="1"/>
  <c r="E632" i="1"/>
  <c r="D632" i="1"/>
  <c r="B632" i="1"/>
  <c r="A632" i="1"/>
  <c r="J112" i="1"/>
  <c r="I112" i="1"/>
  <c r="H112" i="1"/>
  <c r="G112" i="1"/>
  <c r="F112" i="1"/>
  <c r="E112" i="1"/>
  <c r="D112" i="1"/>
  <c r="B112" i="1"/>
  <c r="A112" i="1"/>
  <c r="J2127" i="1"/>
  <c r="I2127" i="1"/>
  <c r="H2127" i="1"/>
  <c r="G2127" i="1"/>
  <c r="F2127" i="1"/>
  <c r="E2127" i="1"/>
  <c r="D2127" i="1"/>
  <c r="B2127" i="1"/>
  <c r="A2127" i="1"/>
  <c r="J3230" i="1"/>
  <c r="I3230" i="1"/>
  <c r="H3230" i="1"/>
  <c r="G3230" i="1"/>
  <c r="F3230" i="1"/>
  <c r="E3230" i="1"/>
  <c r="D3230" i="1"/>
  <c r="B3230" i="1"/>
  <c r="A3230" i="1"/>
  <c r="J497" i="1"/>
  <c r="I497" i="1"/>
  <c r="H497" i="1"/>
  <c r="G497" i="1"/>
  <c r="F497" i="1"/>
  <c r="E497" i="1"/>
  <c r="D497" i="1"/>
  <c r="B497" i="1"/>
  <c r="A497" i="1"/>
  <c r="J2539" i="1"/>
  <c r="I2539" i="1"/>
  <c r="H2539" i="1"/>
  <c r="G2539" i="1"/>
  <c r="F2539" i="1"/>
  <c r="E2539" i="1"/>
  <c r="D2539" i="1"/>
  <c r="B2539" i="1"/>
  <c r="A2539" i="1"/>
  <c r="J1426" i="1"/>
  <c r="I1426" i="1"/>
  <c r="H1426" i="1"/>
  <c r="G1426" i="1"/>
  <c r="F1426" i="1"/>
  <c r="E1426" i="1"/>
  <c r="D1426" i="1"/>
  <c r="B1426" i="1"/>
  <c r="A1426" i="1"/>
  <c r="J913" i="1"/>
  <c r="I913" i="1"/>
  <c r="H913" i="1"/>
  <c r="G913" i="1"/>
  <c r="F913" i="1"/>
  <c r="E913" i="1"/>
  <c r="D913" i="1"/>
  <c r="B913" i="1"/>
  <c r="A913" i="1"/>
  <c r="J2791" i="1"/>
  <c r="I2791" i="1"/>
  <c r="H2791" i="1"/>
  <c r="G2791" i="1"/>
  <c r="F2791" i="1"/>
  <c r="E2791" i="1"/>
  <c r="D2791" i="1"/>
  <c r="B2791" i="1"/>
  <c r="A2791" i="1"/>
  <c r="J631" i="1"/>
  <c r="I631" i="1"/>
  <c r="H631" i="1"/>
  <c r="G631" i="1"/>
  <c r="F631" i="1"/>
  <c r="E631" i="1"/>
  <c r="D631" i="1"/>
  <c r="B631" i="1"/>
  <c r="A631" i="1"/>
  <c r="J111" i="1"/>
  <c r="I111" i="1"/>
  <c r="H111" i="1"/>
  <c r="G111" i="1"/>
  <c r="F111" i="1"/>
  <c r="E111" i="1"/>
  <c r="D111" i="1"/>
  <c r="B111" i="1"/>
  <c r="A111" i="1"/>
  <c r="J2126" i="1"/>
  <c r="I2126" i="1"/>
  <c r="H2126" i="1"/>
  <c r="G2126" i="1"/>
  <c r="F2126" i="1"/>
  <c r="E2126" i="1"/>
  <c r="D2126" i="1"/>
  <c r="B2126" i="1"/>
  <c r="A2126" i="1"/>
  <c r="J3229" i="1"/>
  <c r="I3229" i="1"/>
  <c r="H3229" i="1"/>
  <c r="G3229" i="1"/>
  <c r="F3229" i="1"/>
  <c r="E3229" i="1"/>
  <c r="D3229" i="1"/>
  <c r="B3229" i="1"/>
  <c r="A3229" i="1"/>
  <c r="J33" i="1"/>
  <c r="I33" i="1"/>
  <c r="H33" i="1"/>
  <c r="G33" i="1"/>
  <c r="F33" i="1"/>
  <c r="E33" i="1"/>
  <c r="D33" i="1"/>
  <c r="B33" i="1"/>
  <c r="A33" i="1"/>
  <c r="J1143" i="1"/>
  <c r="I1143" i="1"/>
  <c r="H1143" i="1"/>
  <c r="G1143" i="1"/>
  <c r="F1143" i="1"/>
  <c r="E1143" i="1"/>
  <c r="D1143" i="1"/>
  <c r="B1143" i="1"/>
  <c r="A1143" i="1"/>
  <c r="J562" i="1"/>
  <c r="I562" i="1"/>
  <c r="H562" i="1"/>
  <c r="G562" i="1"/>
  <c r="F562" i="1"/>
  <c r="E562" i="1"/>
  <c r="D562" i="1"/>
  <c r="B562" i="1"/>
  <c r="A562" i="1"/>
  <c r="J3112" i="1"/>
  <c r="I3112" i="1"/>
  <c r="H3112" i="1"/>
  <c r="G3112" i="1"/>
  <c r="F3112" i="1"/>
  <c r="E3112" i="1"/>
  <c r="D3112" i="1"/>
  <c r="B3112" i="1"/>
  <c r="A3112" i="1"/>
  <c r="J1080" i="1"/>
  <c r="I1080" i="1"/>
  <c r="H1080" i="1"/>
  <c r="G1080" i="1"/>
  <c r="F1080" i="1"/>
  <c r="E1080" i="1"/>
  <c r="D1080" i="1"/>
  <c r="B1080" i="1"/>
  <c r="A1080" i="1"/>
  <c r="J391" i="1"/>
  <c r="I391" i="1"/>
  <c r="H391" i="1"/>
  <c r="G391" i="1"/>
  <c r="F391" i="1"/>
  <c r="E391" i="1"/>
  <c r="D391" i="1"/>
  <c r="B391" i="1"/>
  <c r="A391" i="1"/>
  <c r="J496" i="1"/>
  <c r="I496" i="1"/>
  <c r="H496" i="1"/>
  <c r="G496" i="1"/>
  <c r="F496" i="1"/>
  <c r="E496" i="1"/>
  <c r="D496" i="1"/>
  <c r="B496" i="1"/>
  <c r="A496" i="1"/>
  <c r="J2538" i="1"/>
  <c r="I2538" i="1"/>
  <c r="H2538" i="1"/>
  <c r="G2538" i="1"/>
  <c r="F2538" i="1"/>
  <c r="E2538" i="1"/>
  <c r="D2538" i="1"/>
  <c r="B2538" i="1"/>
  <c r="A2538" i="1"/>
  <c r="J1425" i="1"/>
  <c r="I1425" i="1"/>
  <c r="H1425" i="1"/>
  <c r="G1425" i="1"/>
  <c r="F1425" i="1"/>
  <c r="E1425" i="1"/>
  <c r="D1425" i="1"/>
  <c r="B1425" i="1"/>
  <c r="A1425" i="1"/>
  <c r="J912" i="1"/>
  <c r="I912" i="1"/>
  <c r="H912" i="1"/>
  <c r="G912" i="1"/>
  <c r="F912" i="1"/>
  <c r="E912" i="1"/>
  <c r="D912" i="1"/>
  <c r="B912" i="1"/>
  <c r="A912" i="1"/>
  <c r="J3228" i="1"/>
  <c r="I3228" i="1"/>
  <c r="H3228" i="1"/>
  <c r="G3228" i="1"/>
  <c r="F3228" i="1"/>
  <c r="E3228" i="1"/>
  <c r="D3228" i="1"/>
  <c r="B3228" i="1"/>
  <c r="A3228" i="1"/>
  <c r="J2790" i="1"/>
  <c r="I2790" i="1"/>
  <c r="H2790" i="1"/>
  <c r="G2790" i="1"/>
  <c r="F2790" i="1"/>
  <c r="E2790" i="1"/>
  <c r="D2790" i="1"/>
  <c r="B2790" i="1"/>
  <c r="A2790" i="1"/>
  <c r="J630" i="1"/>
  <c r="I630" i="1"/>
  <c r="H630" i="1"/>
  <c r="G630" i="1"/>
  <c r="F630" i="1"/>
  <c r="E630" i="1"/>
  <c r="D630" i="1"/>
  <c r="B630" i="1"/>
  <c r="A630" i="1"/>
  <c r="J110" i="1"/>
  <c r="I110" i="1"/>
  <c r="H110" i="1"/>
  <c r="G110" i="1"/>
  <c r="F110" i="1"/>
  <c r="E110" i="1"/>
  <c r="D110" i="1"/>
  <c r="B110" i="1"/>
  <c r="A110" i="1"/>
  <c r="J2125" i="1"/>
  <c r="I2125" i="1"/>
  <c r="H2125" i="1"/>
  <c r="G2125" i="1"/>
  <c r="F2125" i="1"/>
  <c r="E2125" i="1"/>
  <c r="D2125" i="1"/>
  <c r="B2125" i="1"/>
  <c r="A2125" i="1"/>
  <c r="J561" i="1"/>
  <c r="I561" i="1"/>
  <c r="H561" i="1"/>
  <c r="G561" i="1"/>
  <c r="F561" i="1"/>
  <c r="E561" i="1"/>
  <c r="D561" i="1"/>
  <c r="B561" i="1"/>
  <c r="A561" i="1"/>
  <c r="J3111" i="1"/>
  <c r="I3111" i="1"/>
  <c r="H3111" i="1"/>
  <c r="G3111" i="1"/>
  <c r="F3111" i="1"/>
  <c r="E3111" i="1"/>
  <c r="D3111" i="1"/>
  <c r="B3111" i="1"/>
  <c r="A3111" i="1"/>
  <c r="J390" i="1"/>
  <c r="I390" i="1"/>
  <c r="H390" i="1"/>
  <c r="G390" i="1"/>
  <c r="F390" i="1"/>
  <c r="E390" i="1"/>
  <c r="D390" i="1"/>
  <c r="B390" i="1"/>
  <c r="A390" i="1"/>
  <c r="J1079" i="1"/>
  <c r="I1079" i="1"/>
  <c r="H1079" i="1"/>
  <c r="G1079" i="1"/>
  <c r="F1079" i="1"/>
  <c r="E1079" i="1"/>
  <c r="D1079" i="1"/>
  <c r="B1079" i="1"/>
  <c r="A1079" i="1"/>
  <c r="J1209" i="1"/>
  <c r="I1209" i="1"/>
  <c r="H1209" i="1"/>
  <c r="G1209" i="1"/>
  <c r="F1209" i="1"/>
  <c r="E1209" i="1"/>
  <c r="D1209" i="1"/>
  <c r="B1209" i="1"/>
  <c r="A1209" i="1"/>
  <c r="J1287" i="1"/>
  <c r="I1287" i="1"/>
  <c r="H1287" i="1"/>
  <c r="G1287" i="1"/>
  <c r="F1287" i="1"/>
  <c r="E1287" i="1"/>
  <c r="D1287" i="1"/>
  <c r="B1287" i="1"/>
  <c r="A1287" i="1"/>
  <c r="J2040" i="1"/>
  <c r="I2040" i="1"/>
  <c r="H2040" i="1"/>
  <c r="G2040" i="1"/>
  <c r="F2040" i="1"/>
  <c r="E2040" i="1"/>
  <c r="D2040" i="1"/>
  <c r="B2040" i="1"/>
  <c r="A2040" i="1"/>
  <c r="J3227" i="1"/>
  <c r="I3227" i="1"/>
  <c r="H3227" i="1"/>
  <c r="G3227" i="1"/>
  <c r="F3227" i="1"/>
  <c r="E3227" i="1"/>
  <c r="D3227" i="1"/>
  <c r="B3227" i="1"/>
  <c r="A3227" i="1"/>
  <c r="J2789" i="1"/>
  <c r="I2789" i="1"/>
  <c r="H2789" i="1"/>
  <c r="G2789" i="1"/>
  <c r="F2789" i="1"/>
  <c r="E2789" i="1"/>
  <c r="D2789" i="1"/>
  <c r="B2789" i="1"/>
  <c r="A2789" i="1"/>
  <c r="J629" i="1"/>
  <c r="I629" i="1"/>
  <c r="H629" i="1"/>
  <c r="G629" i="1"/>
  <c r="F629" i="1"/>
  <c r="E629" i="1"/>
  <c r="D629" i="1"/>
  <c r="B629" i="1"/>
  <c r="A629" i="1"/>
  <c r="J2124" i="1"/>
  <c r="I2124" i="1"/>
  <c r="H2124" i="1"/>
  <c r="G2124" i="1"/>
  <c r="F2124" i="1"/>
  <c r="E2124" i="1"/>
  <c r="D2124" i="1"/>
  <c r="B2124" i="1"/>
  <c r="A2124" i="1"/>
  <c r="J109" i="1"/>
  <c r="I109" i="1"/>
  <c r="H109" i="1"/>
  <c r="G109" i="1"/>
  <c r="F109" i="1"/>
  <c r="E109" i="1"/>
  <c r="D109" i="1"/>
  <c r="B109" i="1"/>
  <c r="A109" i="1"/>
  <c r="J2788" i="1"/>
  <c r="I2788" i="1"/>
  <c r="H2788" i="1"/>
  <c r="G2788" i="1"/>
  <c r="F2788" i="1"/>
  <c r="E2788" i="1"/>
  <c r="D2788" i="1"/>
  <c r="B2788" i="1"/>
  <c r="A2788" i="1"/>
  <c r="J628" i="1"/>
  <c r="I628" i="1"/>
  <c r="H628" i="1"/>
  <c r="G628" i="1"/>
  <c r="F628" i="1"/>
  <c r="E628" i="1"/>
  <c r="D628" i="1"/>
  <c r="B628" i="1"/>
  <c r="A628" i="1"/>
  <c r="J108" i="1"/>
  <c r="I108" i="1"/>
  <c r="H108" i="1"/>
  <c r="G108" i="1"/>
  <c r="F108" i="1"/>
  <c r="E108" i="1"/>
  <c r="D108" i="1"/>
  <c r="B108" i="1"/>
  <c r="A108" i="1"/>
  <c r="J2123" i="1"/>
  <c r="I2123" i="1"/>
  <c r="H2123" i="1"/>
  <c r="G2123" i="1"/>
  <c r="F2123" i="1"/>
  <c r="E2123" i="1"/>
  <c r="D2123" i="1"/>
  <c r="B2123" i="1"/>
  <c r="A2123" i="1"/>
  <c r="J1142" i="1"/>
  <c r="I1142" i="1"/>
  <c r="H1142" i="1"/>
  <c r="G1142" i="1"/>
  <c r="F1142" i="1"/>
  <c r="E1142" i="1"/>
  <c r="D1142" i="1"/>
  <c r="B1142" i="1"/>
  <c r="A1142" i="1"/>
  <c r="J3226" i="1"/>
  <c r="I3226" i="1"/>
  <c r="H3226" i="1"/>
  <c r="G3226" i="1"/>
  <c r="F3226" i="1"/>
  <c r="E3226" i="1"/>
  <c r="D3226" i="1"/>
  <c r="B3226" i="1"/>
  <c r="A3226" i="1"/>
  <c r="J2537" i="1"/>
  <c r="I2537" i="1"/>
  <c r="H2537" i="1"/>
  <c r="G2537" i="1"/>
  <c r="F2537" i="1"/>
  <c r="E2537" i="1"/>
  <c r="D2537" i="1"/>
  <c r="B2537" i="1"/>
  <c r="A2537" i="1"/>
  <c r="J495" i="1"/>
  <c r="I495" i="1"/>
  <c r="H495" i="1"/>
  <c r="G495" i="1"/>
  <c r="F495" i="1"/>
  <c r="E495" i="1"/>
  <c r="D495" i="1"/>
  <c r="B495" i="1"/>
  <c r="A495" i="1"/>
  <c r="J1424" i="1"/>
  <c r="I1424" i="1"/>
  <c r="H1424" i="1"/>
  <c r="G1424" i="1"/>
  <c r="F1424" i="1"/>
  <c r="E1424" i="1"/>
  <c r="D1424" i="1"/>
  <c r="B1424" i="1"/>
  <c r="A1424" i="1"/>
  <c r="J911" i="1"/>
  <c r="I911" i="1"/>
  <c r="H911" i="1"/>
  <c r="G911" i="1"/>
  <c r="F911" i="1"/>
  <c r="E911" i="1"/>
  <c r="D911" i="1"/>
  <c r="B911" i="1"/>
  <c r="A911" i="1"/>
  <c r="J1208" i="1"/>
  <c r="I1208" i="1"/>
  <c r="H1208" i="1"/>
  <c r="G1208" i="1"/>
  <c r="F1208" i="1"/>
  <c r="E1208" i="1"/>
  <c r="D1208" i="1"/>
  <c r="B1208" i="1"/>
  <c r="A1208" i="1"/>
  <c r="J1286" i="1"/>
  <c r="I1286" i="1"/>
  <c r="H1286" i="1"/>
  <c r="G1286" i="1"/>
  <c r="F1286" i="1"/>
  <c r="E1286" i="1"/>
  <c r="D1286" i="1"/>
  <c r="B1286" i="1"/>
  <c r="A1286" i="1"/>
  <c r="J2039" i="1"/>
  <c r="I2039" i="1"/>
  <c r="H2039" i="1"/>
  <c r="G2039" i="1"/>
  <c r="F2039" i="1"/>
  <c r="E2039" i="1"/>
  <c r="D2039" i="1"/>
  <c r="B2039" i="1"/>
  <c r="A2039" i="1"/>
  <c r="J560" i="1"/>
  <c r="I560" i="1"/>
  <c r="H560" i="1"/>
  <c r="G560" i="1"/>
  <c r="F560" i="1"/>
  <c r="E560" i="1"/>
  <c r="D560" i="1"/>
  <c r="B560" i="1"/>
  <c r="A560" i="1"/>
  <c r="J389" i="1"/>
  <c r="I389" i="1"/>
  <c r="H389" i="1"/>
  <c r="G389" i="1"/>
  <c r="F389" i="1"/>
  <c r="E389" i="1"/>
  <c r="D389" i="1"/>
  <c r="B389" i="1"/>
  <c r="A389" i="1"/>
  <c r="J3110" i="1"/>
  <c r="I3110" i="1"/>
  <c r="H3110" i="1"/>
  <c r="G3110" i="1"/>
  <c r="F3110" i="1"/>
  <c r="E3110" i="1"/>
  <c r="D3110" i="1"/>
  <c r="B3110" i="1"/>
  <c r="A3110" i="1"/>
  <c r="J1078" i="1"/>
  <c r="I1078" i="1"/>
  <c r="H1078" i="1"/>
  <c r="G1078" i="1"/>
  <c r="F1078" i="1"/>
  <c r="E1078" i="1"/>
  <c r="D1078" i="1"/>
  <c r="B1078" i="1"/>
  <c r="A1078" i="1"/>
  <c r="J1207" i="1"/>
  <c r="I1207" i="1"/>
  <c r="H1207" i="1"/>
  <c r="G1207" i="1"/>
  <c r="F1207" i="1"/>
  <c r="E1207" i="1"/>
  <c r="D1207" i="1"/>
  <c r="B1207" i="1"/>
  <c r="A1207" i="1"/>
  <c r="J1285" i="1"/>
  <c r="I1285" i="1"/>
  <c r="H1285" i="1"/>
  <c r="G1285" i="1"/>
  <c r="F1285" i="1"/>
  <c r="E1285" i="1"/>
  <c r="D1285" i="1"/>
  <c r="B1285" i="1"/>
  <c r="A1285" i="1"/>
  <c r="J2038" i="1"/>
  <c r="I2038" i="1"/>
  <c r="H2038" i="1"/>
  <c r="G2038" i="1"/>
  <c r="F2038" i="1"/>
  <c r="E2038" i="1"/>
  <c r="D2038" i="1"/>
  <c r="B2038" i="1"/>
  <c r="A2038" i="1"/>
  <c r="J3225" i="1"/>
  <c r="I3225" i="1"/>
  <c r="H3225" i="1"/>
  <c r="G3225" i="1"/>
  <c r="F3225" i="1"/>
  <c r="E3225" i="1"/>
  <c r="D3225" i="1"/>
  <c r="B3225" i="1"/>
  <c r="A3225" i="1"/>
  <c r="J1141" i="1"/>
  <c r="I1141" i="1"/>
  <c r="H1141" i="1"/>
  <c r="G1141" i="1"/>
  <c r="F1141" i="1"/>
  <c r="E1141" i="1"/>
  <c r="D1141" i="1"/>
  <c r="B1141" i="1"/>
  <c r="A1141" i="1"/>
  <c r="J2787" i="1"/>
  <c r="I2787" i="1"/>
  <c r="H2787" i="1"/>
  <c r="G2787" i="1"/>
  <c r="F2787" i="1"/>
  <c r="E2787" i="1"/>
  <c r="D2787" i="1"/>
  <c r="B2787" i="1"/>
  <c r="A2787" i="1"/>
  <c r="J627" i="1"/>
  <c r="I627" i="1"/>
  <c r="H627" i="1"/>
  <c r="G627" i="1"/>
  <c r="F627" i="1"/>
  <c r="E627" i="1"/>
  <c r="D627" i="1"/>
  <c r="B627" i="1"/>
  <c r="A627" i="1"/>
  <c r="J107" i="1"/>
  <c r="I107" i="1"/>
  <c r="H107" i="1"/>
  <c r="G107" i="1"/>
  <c r="F107" i="1"/>
  <c r="E107" i="1"/>
  <c r="D107" i="1"/>
  <c r="B107" i="1"/>
  <c r="A107" i="1"/>
  <c r="J2122" i="1"/>
  <c r="I2122" i="1"/>
  <c r="H2122" i="1"/>
  <c r="G2122" i="1"/>
  <c r="F2122" i="1"/>
  <c r="E2122" i="1"/>
  <c r="D2122" i="1"/>
  <c r="B2122" i="1"/>
  <c r="A2122" i="1"/>
  <c r="J494" i="1"/>
  <c r="I494" i="1"/>
  <c r="H494" i="1"/>
  <c r="G494" i="1"/>
  <c r="F494" i="1"/>
  <c r="E494" i="1"/>
  <c r="D494" i="1"/>
  <c r="B494" i="1"/>
  <c r="A494" i="1"/>
  <c r="J2536" i="1"/>
  <c r="I2536" i="1"/>
  <c r="H2536" i="1"/>
  <c r="G2536" i="1"/>
  <c r="F2536" i="1"/>
  <c r="E2536" i="1"/>
  <c r="D2536" i="1"/>
  <c r="B2536" i="1"/>
  <c r="A2536" i="1"/>
  <c r="J1423" i="1"/>
  <c r="I1423" i="1"/>
  <c r="H1423" i="1"/>
  <c r="G1423" i="1"/>
  <c r="F1423" i="1"/>
  <c r="E1423" i="1"/>
  <c r="D1423" i="1"/>
  <c r="B1423" i="1"/>
  <c r="A1423" i="1"/>
  <c r="J910" i="1"/>
  <c r="I910" i="1"/>
  <c r="H910" i="1"/>
  <c r="G910" i="1"/>
  <c r="F910" i="1"/>
  <c r="E910" i="1"/>
  <c r="D910" i="1"/>
  <c r="B910" i="1"/>
  <c r="A910" i="1"/>
  <c r="J2786" i="1"/>
  <c r="I2786" i="1"/>
  <c r="H2786" i="1"/>
  <c r="G2786" i="1"/>
  <c r="F2786" i="1"/>
  <c r="E2786" i="1"/>
  <c r="D2786" i="1"/>
  <c r="B2786" i="1"/>
  <c r="A2786" i="1"/>
  <c r="J626" i="1"/>
  <c r="I626" i="1"/>
  <c r="H626" i="1"/>
  <c r="G626" i="1"/>
  <c r="F626" i="1"/>
  <c r="E626" i="1"/>
  <c r="D626" i="1"/>
  <c r="B626" i="1"/>
  <c r="A626" i="1"/>
  <c r="J106" i="1"/>
  <c r="I106" i="1"/>
  <c r="H106" i="1"/>
  <c r="G106" i="1"/>
  <c r="F106" i="1"/>
  <c r="E106" i="1"/>
  <c r="D106" i="1"/>
  <c r="B106" i="1"/>
  <c r="A106" i="1"/>
  <c r="J2121" i="1"/>
  <c r="I2121" i="1"/>
  <c r="H2121" i="1"/>
  <c r="G2121" i="1"/>
  <c r="F2121" i="1"/>
  <c r="E2121" i="1"/>
  <c r="D2121" i="1"/>
  <c r="B2121" i="1"/>
  <c r="A2121" i="1"/>
  <c r="J32" i="1"/>
  <c r="I32" i="1"/>
  <c r="H32" i="1"/>
  <c r="G32" i="1"/>
  <c r="F32" i="1"/>
  <c r="E32" i="1"/>
  <c r="D32" i="1"/>
  <c r="B32" i="1"/>
  <c r="A32" i="1"/>
  <c r="J559" i="1"/>
  <c r="I559" i="1"/>
  <c r="H559" i="1"/>
  <c r="G559" i="1"/>
  <c r="F559" i="1"/>
  <c r="E559" i="1"/>
  <c r="D559" i="1"/>
  <c r="B559" i="1"/>
  <c r="A559" i="1"/>
  <c r="J388" i="1"/>
  <c r="I388" i="1"/>
  <c r="H388" i="1"/>
  <c r="G388" i="1"/>
  <c r="F388" i="1"/>
  <c r="E388" i="1"/>
  <c r="D388" i="1"/>
  <c r="B388" i="1"/>
  <c r="A388" i="1"/>
  <c r="J3109" i="1"/>
  <c r="I3109" i="1"/>
  <c r="H3109" i="1"/>
  <c r="G3109" i="1"/>
  <c r="F3109" i="1"/>
  <c r="E3109" i="1"/>
  <c r="D3109" i="1"/>
  <c r="B3109" i="1"/>
  <c r="A3109" i="1"/>
  <c r="J1077" i="1"/>
  <c r="I1077" i="1"/>
  <c r="H1077" i="1"/>
  <c r="G1077" i="1"/>
  <c r="F1077" i="1"/>
  <c r="E1077" i="1"/>
  <c r="D1077" i="1"/>
  <c r="B1077" i="1"/>
  <c r="A1077" i="1"/>
  <c r="J493" i="1"/>
  <c r="I493" i="1"/>
  <c r="H493" i="1"/>
  <c r="G493" i="1"/>
  <c r="F493" i="1"/>
  <c r="E493" i="1"/>
  <c r="D493" i="1"/>
  <c r="B493" i="1"/>
  <c r="A493" i="1"/>
  <c r="J3224" i="1"/>
  <c r="I3224" i="1"/>
  <c r="H3224" i="1"/>
  <c r="G3224" i="1"/>
  <c r="F3224" i="1"/>
  <c r="E3224" i="1"/>
  <c r="D3224" i="1"/>
  <c r="B3224" i="1"/>
  <c r="A3224" i="1"/>
  <c r="J2535" i="1"/>
  <c r="I2535" i="1"/>
  <c r="H2535" i="1"/>
  <c r="G2535" i="1"/>
  <c r="F2535" i="1"/>
  <c r="E2535" i="1"/>
  <c r="D2535" i="1"/>
  <c r="B2535" i="1"/>
  <c r="A2535" i="1"/>
  <c r="J1422" i="1"/>
  <c r="I1422" i="1"/>
  <c r="H1422" i="1"/>
  <c r="G1422" i="1"/>
  <c r="F1422" i="1"/>
  <c r="E1422" i="1"/>
  <c r="D1422" i="1"/>
  <c r="B1422" i="1"/>
  <c r="A1422" i="1"/>
  <c r="J909" i="1"/>
  <c r="I909" i="1"/>
  <c r="H909" i="1"/>
  <c r="G909" i="1"/>
  <c r="F909" i="1"/>
  <c r="E909" i="1"/>
  <c r="D909" i="1"/>
  <c r="B909" i="1"/>
  <c r="A909" i="1"/>
  <c r="J1206" i="1"/>
  <c r="I1206" i="1"/>
  <c r="H1206" i="1"/>
  <c r="G1206" i="1"/>
  <c r="F1206" i="1"/>
  <c r="E1206" i="1"/>
  <c r="D1206" i="1"/>
  <c r="B1206" i="1"/>
  <c r="A1206" i="1"/>
  <c r="J1284" i="1"/>
  <c r="I1284" i="1"/>
  <c r="H1284" i="1"/>
  <c r="G1284" i="1"/>
  <c r="F1284" i="1"/>
  <c r="E1284" i="1"/>
  <c r="D1284" i="1"/>
  <c r="B1284" i="1"/>
  <c r="A1284" i="1"/>
  <c r="J2037" i="1"/>
  <c r="I2037" i="1"/>
  <c r="H2037" i="1"/>
  <c r="G2037" i="1"/>
  <c r="F2037" i="1"/>
  <c r="E2037" i="1"/>
  <c r="D2037" i="1"/>
  <c r="B2037" i="1"/>
  <c r="A2037" i="1"/>
  <c r="J2785" i="1"/>
  <c r="I2785" i="1"/>
  <c r="H2785" i="1"/>
  <c r="G2785" i="1"/>
  <c r="F2785" i="1"/>
  <c r="E2785" i="1"/>
  <c r="D2785" i="1"/>
  <c r="B2785" i="1"/>
  <c r="A2785" i="1"/>
  <c r="J625" i="1"/>
  <c r="I625" i="1"/>
  <c r="H625" i="1"/>
  <c r="G625" i="1"/>
  <c r="F625" i="1"/>
  <c r="E625" i="1"/>
  <c r="D625" i="1"/>
  <c r="B625" i="1"/>
  <c r="A625" i="1"/>
  <c r="J105" i="1"/>
  <c r="I105" i="1"/>
  <c r="H105" i="1"/>
  <c r="G105" i="1"/>
  <c r="F105" i="1"/>
  <c r="E105" i="1"/>
  <c r="D105" i="1"/>
  <c r="B105" i="1"/>
  <c r="A105" i="1"/>
  <c r="J2120" i="1"/>
  <c r="I2120" i="1"/>
  <c r="H2120" i="1"/>
  <c r="G2120" i="1"/>
  <c r="F2120" i="1"/>
  <c r="E2120" i="1"/>
  <c r="D2120" i="1"/>
  <c r="B2120" i="1"/>
  <c r="A2120" i="1"/>
  <c r="J492" i="1"/>
  <c r="I492" i="1"/>
  <c r="H492" i="1"/>
  <c r="G492" i="1"/>
  <c r="F492" i="1"/>
  <c r="E492" i="1"/>
  <c r="D492" i="1"/>
  <c r="B492" i="1"/>
  <c r="A492" i="1"/>
  <c r="J2534" i="1"/>
  <c r="I2534" i="1"/>
  <c r="H2534" i="1"/>
  <c r="G2534" i="1"/>
  <c r="F2534" i="1"/>
  <c r="E2534" i="1"/>
  <c r="D2534" i="1"/>
  <c r="B2534" i="1"/>
  <c r="A2534" i="1"/>
  <c r="J1421" i="1"/>
  <c r="I1421" i="1"/>
  <c r="H1421" i="1"/>
  <c r="G1421" i="1"/>
  <c r="F1421" i="1"/>
  <c r="E1421" i="1"/>
  <c r="D1421" i="1"/>
  <c r="B1421" i="1"/>
  <c r="A1421" i="1"/>
  <c r="J908" i="1"/>
  <c r="I908" i="1"/>
  <c r="H908" i="1"/>
  <c r="G908" i="1"/>
  <c r="F908" i="1"/>
  <c r="E908" i="1"/>
  <c r="D908" i="1"/>
  <c r="B908" i="1"/>
  <c r="A908" i="1"/>
  <c r="J3223" i="1"/>
  <c r="I3223" i="1"/>
  <c r="H3223" i="1"/>
  <c r="G3223" i="1"/>
  <c r="F3223" i="1"/>
  <c r="E3223" i="1"/>
  <c r="D3223" i="1"/>
  <c r="B3223" i="1"/>
  <c r="A3223" i="1"/>
  <c r="J491" i="1"/>
  <c r="I491" i="1"/>
  <c r="H491" i="1"/>
  <c r="G491" i="1"/>
  <c r="F491" i="1"/>
  <c r="E491" i="1"/>
  <c r="D491" i="1"/>
  <c r="B491" i="1"/>
  <c r="A491" i="1"/>
  <c r="J2533" i="1"/>
  <c r="I2533" i="1"/>
  <c r="H2533" i="1"/>
  <c r="G2533" i="1"/>
  <c r="F2533" i="1"/>
  <c r="E2533" i="1"/>
  <c r="D2533" i="1"/>
  <c r="B2533" i="1"/>
  <c r="A2533" i="1"/>
  <c r="J1420" i="1"/>
  <c r="I1420" i="1"/>
  <c r="H1420" i="1"/>
  <c r="G1420" i="1"/>
  <c r="F1420" i="1"/>
  <c r="E1420" i="1"/>
  <c r="D1420" i="1"/>
  <c r="B1420" i="1"/>
  <c r="A1420" i="1"/>
  <c r="J907" i="1"/>
  <c r="I907" i="1"/>
  <c r="H907" i="1"/>
  <c r="G907" i="1"/>
  <c r="F907" i="1"/>
  <c r="E907" i="1"/>
  <c r="D907" i="1"/>
  <c r="B907" i="1"/>
  <c r="A907" i="1"/>
  <c r="J387" i="1"/>
  <c r="I387" i="1"/>
  <c r="H387" i="1"/>
  <c r="G387" i="1"/>
  <c r="F387" i="1"/>
  <c r="E387" i="1"/>
  <c r="D387" i="1"/>
  <c r="B387" i="1"/>
  <c r="A387" i="1"/>
  <c r="J3108" i="1"/>
  <c r="I3108" i="1"/>
  <c r="H3108" i="1"/>
  <c r="G3108" i="1"/>
  <c r="F3108" i="1"/>
  <c r="E3108" i="1"/>
  <c r="D3108" i="1"/>
  <c r="B3108" i="1"/>
  <c r="A3108" i="1"/>
  <c r="J558" i="1"/>
  <c r="I558" i="1"/>
  <c r="H558" i="1"/>
  <c r="G558" i="1"/>
  <c r="F558" i="1"/>
  <c r="E558" i="1"/>
  <c r="D558" i="1"/>
  <c r="B558" i="1"/>
  <c r="A558" i="1"/>
  <c r="J1076" i="1"/>
  <c r="I1076" i="1"/>
  <c r="H1076" i="1"/>
  <c r="G1076" i="1"/>
  <c r="F1076" i="1"/>
  <c r="E1076" i="1"/>
  <c r="D1076" i="1"/>
  <c r="B1076" i="1"/>
  <c r="A1076" i="1"/>
  <c r="J3222" i="1"/>
  <c r="I3222" i="1"/>
  <c r="H3222" i="1"/>
  <c r="G3222" i="1"/>
  <c r="F3222" i="1"/>
  <c r="E3222" i="1"/>
  <c r="D3222" i="1"/>
  <c r="B3222" i="1"/>
  <c r="A3222" i="1"/>
  <c r="J557" i="1"/>
  <c r="I557" i="1"/>
  <c r="H557" i="1"/>
  <c r="G557" i="1"/>
  <c r="F557" i="1"/>
  <c r="E557" i="1"/>
  <c r="D557" i="1"/>
  <c r="B557" i="1"/>
  <c r="A557" i="1"/>
  <c r="J3107" i="1"/>
  <c r="I3107" i="1"/>
  <c r="H3107" i="1"/>
  <c r="G3107" i="1"/>
  <c r="F3107" i="1"/>
  <c r="E3107" i="1"/>
  <c r="D3107" i="1"/>
  <c r="B3107" i="1"/>
  <c r="A3107" i="1"/>
  <c r="J386" i="1"/>
  <c r="I386" i="1"/>
  <c r="H386" i="1"/>
  <c r="G386" i="1"/>
  <c r="F386" i="1"/>
  <c r="E386" i="1"/>
  <c r="D386" i="1"/>
  <c r="B386" i="1"/>
  <c r="A386" i="1"/>
  <c r="J1075" i="1"/>
  <c r="I1075" i="1"/>
  <c r="H1075" i="1"/>
  <c r="G1075" i="1"/>
  <c r="F1075" i="1"/>
  <c r="E1075" i="1"/>
  <c r="D1075" i="1"/>
  <c r="B1075" i="1"/>
  <c r="A1075" i="1"/>
  <c r="J490" i="1"/>
  <c r="I490" i="1"/>
  <c r="H490" i="1"/>
  <c r="G490" i="1"/>
  <c r="F490" i="1"/>
  <c r="E490" i="1"/>
  <c r="D490" i="1"/>
  <c r="B490" i="1"/>
  <c r="A490" i="1"/>
  <c r="J2532" i="1"/>
  <c r="I2532" i="1"/>
  <c r="H2532" i="1"/>
  <c r="G2532" i="1"/>
  <c r="F2532" i="1"/>
  <c r="E2532" i="1"/>
  <c r="D2532" i="1"/>
  <c r="B2532" i="1"/>
  <c r="A2532" i="1"/>
  <c r="J1419" i="1"/>
  <c r="I1419" i="1"/>
  <c r="H1419" i="1"/>
  <c r="G1419" i="1"/>
  <c r="F1419" i="1"/>
  <c r="E1419" i="1"/>
  <c r="D1419" i="1"/>
  <c r="B1419" i="1"/>
  <c r="A1419" i="1"/>
  <c r="J906" i="1"/>
  <c r="I906" i="1"/>
  <c r="H906" i="1"/>
  <c r="G906" i="1"/>
  <c r="F906" i="1"/>
  <c r="E906" i="1"/>
  <c r="D906" i="1"/>
  <c r="B906" i="1"/>
  <c r="A906" i="1"/>
  <c r="J3221" i="1"/>
  <c r="I3221" i="1"/>
  <c r="H3221" i="1"/>
  <c r="G3221" i="1"/>
  <c r="F3221" i="1"/>
  <c r="E3221" i="1"/>
  <c r="D3221" i="1"/>
  <c r="B3221" i="1"/>
  <c r="A3221" i="1"/>
  <c r="J1205" i="1"/>
  <c r="I1205" i="1"/>
  <c r="H1205" i="1"/>
  <c r="G1205" i="1"/>
  <c r="F1205" i="1"/>
  <c r="E1205" i="1"/>
  <c r="D1205" i="1"/>
  <c r="B1205" i="1"/>
  <c r="A1205" i="1"/>
  <c r="J1283" i="1"/>
  <c r="I1283" i="1"/>
  <c r="H1283" i="1"/>
  <c r="G1283" i="1"/>
  <c r="F1283" i="1"/>
  <c r="E1283" i="1"/>
  <c r="D1283" i="1"/>
  <c r="B1283" i="1"/>
  <c r="A1283" i="1"/>
  <c r="J2036" i="1"/>
  <c r="I2036" i="1"/>
  <c r="H2036" i="1"/>
  <c r="G2036" i="1"/>
  <c r="F2036" i="1"/>
  <c r="E2036" i="1"/>
  <c r="D2036" i="1"/>
  <c r="B2036" i="1"/>
  <c r="A2036" i="1"/>
  <c r="J2784" i="1"/>
  <c r="I2784" i="1"/>
  <c r="H2784" i="1"/>
  <c r="G2784" i="1"/>
  <c r="F2784" i="1"/>
  <c r="E2784" i="1"/>
  <c r="D2784" i="1"/>
  <c r="B2784" i="1"/>
  <c r="A2784" i="1"/>
  <c r="J624" i="1"/>
  <c r="I624" i="1"/>
  <c r="H624" i="1"/>
  <c r="G624" i="1"/>
  <c r="F624" i="1"/>
  <c r="E624" i="1"/>
  <c r="D624" i="1"/>
  <c r="B624" i="1"/>
  <c r="A624" i="1"/>
  <c r="J104" i="1"/>
  <c r="I104" i="1"/>
  <c r="H104" i="1"/>
  <c r="G104" i="1"/>
  <c r="F104" i="1"/>
  <c r="E104" i="1"/>
  <c r="D104" i="1"/>
  <c r="B104" i="1"/>
  <c r="A104" i="1"/>
  <c r="J2119" i="1"/>
  <c r="I2119" i="1"/>
  <c r="H2119" i="1"/>
  <c r="G2119" i="1"/>
  <c r="F2119" i="1"/>
  <c r="E2119" i="1"/>
  <c r="D2119" i="1"/>
  <c r="B2119" i="1"/>
  <c r="A2119" i="1"/>
  <c r="J2783" i="1"/>
  <c r="I2783" i="1"/>
  <c r="H2783" i="1"/>
  <c r="G2783" i="1"/>
  <c r="F2783" i="1"/>
  <c r="E2783" i="1"/>
  <c r="D2783" i="1"/>
  <c r="B2783" i="1"/>
  <c r="A2783" i="1"/>
  <c r="J623" i="1"/>
  <c r="I623" i="1"/>
  <c r="H623" i="1"/>
  <c r="G623" i="1"/>
  <c r="F623" i="1"/>
  <c r="E623" i="1"/>
  <c r="D623" i="1"/>
  <c r="B623" i="1"/>
  <c r="A623" i="1"/>
  <c r="J103" i="1"/>
  <c r="I103" i="1"/>
  <c r="H103" i="1"/>
  <c r="G103" i="1"/>
  <c r="F103" i="1"/>
  <c r="E103" i="1"/>
  <c r="D103" i="1"/>
  <c r="B103" i="1"/>
  <c r="A103" i="1"/>
  <c r="J2118" i="1"/>
  <c r="I2118" i="1"/>
  <c r="H2118" i="1"/>
  <c r="G2118" i="1"/>
  <c r="F2118" i="1"/>
  <c r="E2118" i="1"/>
  <c r="D2118" i="1"/>
  <c r="B2118" i="1"/>
  <c r="A2118" i="1"/>
  <c r="J385" i="1"/>
  <c r="I385" i="1"/>
  <c r="H385" i="1"/>
  <c r="G385" i="1"/>
  <c r="F385" i="1"/>
  <c r="E385" i="1"/>
  <c r="D385" i="1"/>
  <c r="B385" i="1"/>
  <c r="A385" i="1"/>
  <c r="J3106" i="1"/>
  <c r="I3106" i="1"/>
  <c r="H3106" i="1"/>
  <c r="G3106" i="1"/>
  <c r="F3106" i="1"/>
  <c r="E3106" i="1"/>
  <c r="D3106" i="1"/>
  <c r="B3106" i="1"/>
  <c r="A3106" i="1"/>
  <c r="J556" i="1"/>
  <c r="I556" i="1"/>
  <c r="H556" i="1"/>
  <c r="G556" i="1"/>
  <c r="F556" i="1"/>
  <c r="E556" i="1"/>
  <c r="D556" i="1"/>
  <c r="B556" i="1"/>
  <c r="A556" i="1"/>
  <c r="J1074" i="1"/>
  <c r="I1074" i="1"/>
  <c r="H1074" i="1"/>
  <c r="G1074" i="1"/>
  <c r="F1074" i="1"/>
  <c r="E1074" i="1"/>
  <c r="D1074" i="1"/>
  <c r="B1074" i="1"/>
  <c r="A1074" i="1"/>
  <c r="J2301" i="1"/>
  <c r="I2301" i="1"/>
  <c r="H2301" i="1"/>
  <c r="G2301" i="1"/>
  <c r="F2301" i="1"/>
  <c r="E2301" i="1"/>
  <c r="D2301" i="1"/>
  <c r="B2301" i="1"/>
  <c r="A2301" i="1"/>
  <c r="J1204" i="1"/>
  <c r="I1204" i="1"/>
  <c r="H1204" i="1"/>
  <c r="G1204" i="1"/>
  <c r="F1204" i="1"/>
  <c r="E1204" i="1"/>
  <c r="D1204" i="1"/>
  <c r="B1204" i="1"/>
  <c r="A1204" i="1"/>
  <c r="J1282" i="1"/>
  <c r="I1282" i="1"/>
  <c r="H1282" i="1"/>
  <c r="G1282" i="1"/>
  <c r="F1282" i="1"/>
  <c r="E1282" i="1"/>
  <c r="D1282" i="1"/>
  <c r="B1282" i="1"/>
  <c r="A1282" i="1"/>
  <c r="J2035" i="1"/>
  <c r="I2035" i="1"/>
  <c r="H2035" i="1"/>
  <c r="G2035" i="1"/>
  <c r="F2035" i="1"/>
  <c r="E2035" i="1"/>
  <c r="D2035" i="1"/>
  <c r="B2035" i="1"/>
  <c r="A2035" i="1"/>
  <c r="J489" i="1"/>
  <c r="I489" i="1"/>
  <c r="H489" i="1"/>
  <c r="G489" i="1"/>
  <c r="F489" i="1"/>
  <c r="E489" i="1"/>
  <c r="D489" i="1"/>
  <c r="B489" i="1"/>
  <c r="A489" i="1"/>
  <c r="J1418" i="1"/>
  <c r="I1418" i="1"/>
  <c r="H1418" i="1"/>
  <c r="G1418" i="1"/>
  <c r="F1418" i="1"/>
  <c r="E1418" i="1"/>
  <c r="D1418" i="1"/>
  <c r="B1418" i="1"/>
  <c r="A1418" i="1"/>
  <c r="J2531" i="1"/>
  <c r="I2531" i="1"/>
  <c r="H2531" i="1"/>
  <c r="G2531" i="1"/>
  <c r="F2531" i="1"/>
  <c r="E2531" i="1"/>
  <c r="D2531" i="1"/>
  <c r="B2531" i="1"/>
  <c r="A2531" i="1"/>
  <c r="J2530" i="1"/>
  <c r="I2530" i="1"/>
  <c r="H2530" i="1"/>
  <c r="G2530" i="1"/>
  <c r="F2530" i="1"/>
  <c r="E2530" i="1"/>
  <c r="D2530" i="1"/>
  <c r="B2530" i="1"/>
  <c r="A2530" i="1"/>
  <c r="J905" i="1"/>
  <c r="I905" i="1"/>
  <c r="H905" i="1"/>
  <c r="G905" i="1"/>
  <c r="F905" i="1"/>
  <c r="E905" i="1"/>
  <c r="D905" i="1"/>
  <c r="B905" i="1"/>
  <c r="A905" i="1"/>
  <c r="J3220" i="1"/>
  <c r="I3220" i="1"/>
  <c r="H3220" i="1"/>
  <c r="G3220" i="1"/>
  <c r="F3220" i="1"/>
  <c r="E3220" i="1"/>
  <c r="D3220" i="1"/>
  <c r="B3220" i="1"/>
  <c r="A3220" i="1"/>
  <c r="J1374" i="1"/>
  <c r="I1374" i="1"/>
  <c r="H1374" i="1"/>
  <c r="G1374" i="1"/>
  <c r="F1374" i="1"/>
  <c r="E1374" i="1"/>
  <c r="D1374" i="1"/>
  <c r="B1374" i="1"/>
  <c r="A1374" i="1"/>
  <c r="J31" i="1"/>
  <c r="I31" i="1"/>
  <c r="H31" i="1"/>
  <c r="G31" i="1"/>
  <c r="F31" i="1"/>
  <c r="E31" i="1"/>
  <c r="D31" i="1"/>
  <c r="B31" i="1"/>
  <c r="A31" i="1"/>
  <c r="J1140" i="1"/>
  <c r="I1140" i="1"/>
  <c r="H1140" i="1"/>
  <c r="G1140" i="1"/>
  <c r="F1140" i="1"/>
  <c r="E1140" i="1"/>
  <c r="D1140" i="1"/>
  <c r="B1140" i="1"/>
  <c r="A1140" i="1"/>
  <c r="J1203" i="1"/>
  <c r="I1203" i="1"/>
  <c r="H1203" i="1"/>
  <c r="G1203" i="1"/>
  <c r="F1203" i="1"/>
  <c r="E1203" i="1"/>
  <c r="D1203" i="1"/>
  <c r="B1203" i="1"/>
  <c r="A1203" i="1"/>
  <c r="J1281" i="1"/>
  <c r="I1281" i="1"/>
  <c r="H1281" i="1"/>
  <c r="G1281" i="1"/>
  <c r="F1281" i="1"/>
  <c r="E1281" i="1"/>
  <c r="D1281" i="1"/>
  <c r="B1281" i="1"/>
  <c r="A1281" i="1"/>
  <c r="J2034" i="1"/>
  <c r="I2034" i="1"/>
  <c r="H2034" i="1"/>
  <c r="G2034" i="1"/>
  <c r="F2034" i="1"/>
  <c r="E2034" i="1"/>
  <c r="D2034" i="1"/>
  <c r="B2034" i="1"/>
  <c r="A2034" i="1"/>
  <c r="J2300" i="1"/>
  <c r="I2300" i="1"/>
  <c r="H2300" i="1"/>
  <c r="G2300" i="1"/>
  <c r="F2300" i="1"/>
  <c r="E2300" i="1"/>
  <c r="D2300" i="1"/>
  <c r="B2300" i="1"/>
  <c r="A2300" i="1"/>
  <c r="J488" i="1"/>
  <c r="I488" i="1"/>
  <c r="H488" i="1"/>
  <c r="G488" i="1"/>
  <c r="F488" i="1"/>
  <c r="E488" i="1"/>
  <c r="D488" i="1"/>
  <c r="B488" i="1"/>
  <c r="A488" i="1"/>
  <c r="J2529" i="1"/>
  <c r="I2529" i="1"/>
  <c r="H2529" i="1"/>
  <c r="G2529" i="1"/>
  <c r="F2529" i="1"/>
  <c r="E2529" i="1"/>
  <c r="D2529" i="1"/>
  <c r="B2529" i="1"/>
  <c r="A2529" i="1"/>
  <c r="J1417" i="1"/>
  <c r="I1417" i="1"/>
  <c r="H1417" i="1"/>
  <c r="G1417" i="1"/>
  <c r="F1417" i="1"/>
  <c r="E1417" i="1"/>
  <c r="D1417" i="1"/>
  <c r="B1417" i="1"/>
  <c r="A1417" i="1"/>
  <c r="J904" i="1"/>
  <c r="I904" i="1"/>
  <c r="H904" i="1"/>
  <c r="G904" i="1"/>
  <c r="F904" i="1"/>
  <c r="E904" i="1"/>
  <c r="D904" i="1"/>
  <c r="B904" i="1"/>
  <c r="A904" i="1"/>
  <c r="J3219" i="1"/>
  <c r="I3219" i="1"/>
  <c r="H3219" i="1"/>
  <c r="G3219" i="1"/>
  <c r="F3219" i="1"/>
  <c r="E3219" i="1"/>
  <c r="D3219" i="1"/>
  <c r="B3219" i="1"/>
  <c r="A3219" i="1"/>
  <c r="J2782" i="1"/>
  <c r="I2782" i="1"/>
  <c r="H2782" i="1"/>
  <c r="G2782" i="1"/>
  <c r="F2782" i="1"/>
  <c r="E2782" i="1"/>
  <c r="D2782" i="1"/>
  <c r="B2782" i="1"/>
  <c r="A2782" i="1"/>
  <c r="J622" i="1"/>
  <c r="I622" i="1"/>
  <c r="H622" i="1"/>
  <c r="G622" i="1"/>
  <c r="F622" i="1"/>
  <c r="E622" i="1"/>
  <c r="D622" i="1"/>
  <c r="B622" i="1"/>
  <c r="A622" i="1"/>
  <c r="J102" i="1"/>
  <c r="I102" i="1"/>
  <c r="H102" i="1"/>
  <c r="G102" i="1"/>
  <c r="F102" i="1"/>
  <c r="E102" i="1"/>
  <c r="D102" i="1"/>
  <c r="B102" i="1"/>
  <c r="A102" i="1"/>
  <c r="J2117" i="1"/>
  <c r="I2117" i="1"/>
  <c r="H2117" i="1"/>
  <c r="G2117" i="1"/>
  <c r="F2117" i="1"/>
  <c r="E2117" i="1"/>
  <c r="D2117" i="1"/>
  <c r="B2117" i="1"/>
  <c r="A2117" i="1"/>
  <c r="J1373" i="1"/>
  <c r="I1373" i="1"/>
  <c r="H1373" i="1"/>
  <c r="G1373" i="1"/>
  <c r="F1373" i="1"/>
  <c r="E1373" i="1"/>
  <c r="D1373" i="1"/>
  <c r="B1373" i="1"/>
  <c r="A1373" i="1"/>
  <c r="J384" i="1"/>
  <c r="I384" i="1"/>
  <c r="H384" i="1"/>
  <c r="G384" i="1"/>
  <c r="F384" i="1"/>
  <c r="E384" i="1"/>
  <c r="D384" i="1"/>
  <c r="B384" i="1"/>
  <c r="A384" i="1"/>
  <c r="J555" i="1"/>
  <c r="I555" i="1"/>
  <c r="H555" i="1"/>
  <c r="G555" i="1"/>
  <c r="F555" i="1"/>
  <c r="E555" i="1"/>
  <c r="D555" i="1"/>
  <c r="B555" i="1"/>
  <c r="A555" i="1"/>
  <c r="J3105" i="1"/>
  <c r="I3105" i="1"/>
  <c r="H3105" i="1"/>
  <c r="G3105" i="1"/>
  <c r="F3105" i="1"/>
  <c r="E3105" i="1"/>
  <c r="D3105" i="1"/>
  <c r="B3105" i="1"/>
  <c r="A3105" i="1"/>
  <c r="J1073" i="1"/>
  <c r="I1073" i="1"/>
  <c r="H1073" i="1"/>
  <c r="G1073" i="1"/>
  <c r="F1073" i="1"/>
  <c r="E1073" i="1"/>
  <c r="D1073" i="1"/>
  <c r="B1073" i="1"/>
  <c r="A1073" i="1"/>
  <c r="J1202" i="1"/>
  <c r="I1202" i="1"/>
  <c r="H1202" i="1"/>
  <c r="G1202" i="1"/>
  <c r="F1202" i="1"/>
  <c r="E1202" i="1"/>
  <c r="D1202" i="1"/>
  <c r="B1202" i="1"/>
  <c r="A1202" i="1"/>
  <c r="J1280" i="1"/>
  <c r="I1280" i="1"/>
  <c r="H1280" i="1"/>
  <c r="G1280" i="1"/>
  <c r="F1280" i="1"/>
  <c r="E1280" i="1"/>
  <c r="D1280" i="1"/>
  <c r="B1280" i="1"/>
  <c r="A1280" i="1"/>
  <c r="J2033" i="1"/>
  <c r="I2033" i="1"/>
  <c r="H2033" i="1"/>
  <c r="G2033" i="1"/>
  <c r="F2033" i="1"/>
  <c r="E2033" i="1"/>
  <c r="D2033" i="1"/>
  <c r="B2033" i="1"/>
  <c r="A2033" i="1"/>
  <c r="J3218" i="1"/>
  <c r="I3218" i="1"/>
  <c r="H3218" i="1"/>
  <c r="G3218" i="1"/>
  <c r="F3218" i="1"/>
  <c r="E3218" i="1"/>
  <c r="D3218" i="1"/>
  <c r="B3218" i="1"/>
  <c r="A3218" i="1"/>
  <c r="J487" i="1"/>
  <c r="I487" i="1"/>
  <c r="H487" i="1"/>
  <c r="G487" i="1"/>
  <c r="F487" i="1"/>
  <c r="E487" i="1"/>
  <c r="D487" i="1"/>
  <c r="B487" i="1"/>
  <c r="A487" i="1"/>
  <c r="J2528" i="1"/>
  <c r="I2528" i="1"/>
  <c r="H2528" i="1"/>
  <c r="G2528" i="1"/>
  <c r="F2528" i="1"/>
  <c r="E2528" i="1"/>
  <c r="D2528" i="1"/>
  <c r="B2528" i="1"/>
  <c r="A2528" i="1"/>
  <c r="J1416" i="1"/>
  <c r="I1416" i="1"/>
  <c r="H1416" i="1"/>
  <c r="G1416" i="1"/>
  <c r="F1416" i="1"/>
  <c r="E1416" i="1"/>
  <c r="D1416" i="1"/>
  <c r="B1416" i="1"/>
  <c r="A1416" i="1"/>
  <c r="J903" i="1"/>
  <c r="I903" i="1"/>
  <c r="H903" i="1"/>
  <c r="G903" i="1"/>
  <c r="F903" i="1"/>
  <c r="E903" i="1"/>
  <c r="D903" i="1"/>
  <c r="B903" i="1"/>
  <c r="A903" i="1"/>
  <c r="J2781" i="1"/>
  <c r="I2781" i="1"/>
  <c r="H2781" i="1"/>
  <c r="G2781" i="1"/>
  <c r="F2781" i="1"/>
  <c r="E2781" i="1"/>
  <c r="D2781" i="1"/>
  <c r="B2781" i="1"/>
  <c r="A2781" i="1"/>
  <c r="J621" i="1"/>
  <c r="I621" i="1"/>
  <c r="H621" i="1"/>
  <c r="G621" i="1"/>
  <c r="F621" i="1"/>
  <c r="E621" i="1"/>
  <c r="D621" i="1"/>
  <c r="B621" i="1"/>
  <c r="A621" i="1"/>
  <c r="J101" i="1"/>
  <c r="I101" i="1"/>
  <c r="H101" i="1"/>
  <c r="G101" i="1"/>
  <c r="F101" i="1"/>
  <c r="E101" i="1"/>
  <c r="D101" i="1"/>
  <c r="B101" i="1"/>
  <c r="A101" i="1"/>
  <c r="J2116" i="1"/>
  <c r="I2116" i="1"/>
  <c r="H2116" i="1"/>
  <c r="G2116" i="1"/>
  <c r="F2116" i="1"/>
  <c r="E2116" i="1"/>
  <c r="D2116" i="1"/>
  <c r="B2116" i="1"/>
  <c r="A2116" i="1"/>
  <c r="J1340" i="1"/>
  <c r="I1340" i="1"/>
  <c r="H1340" i="1"/>
  <c r="G1340" i="1"/>
  <c r="F1340" i="1"/>
  <c r="E1340" i="1"/>
  <c r="D1340" i="1"/>
  <c r="B1340" i="1"/>
  <c r="A1340" i="1"/>
  <c r="J533" i="1"/>
  <c r="I533" i="1"/>
  <c r="H533" i="1"/>
  <c r="G533" i="1"/>
  <c r="F533" i="1"/>
  <c r="E533" i="1"/>
  <c r="D533" i="1"/>
  <c r="B533" i="1"/>
  <c r="A533" i="1"/>
  <c r="J1114" i="1"/>
  <c r="I1114" i="1"/>
  <c r="H1114" i="1"/>
  <c r="G1114" i="1"/>
  <c r="F1114" i="1"/>
  <c r="E1114" i="1"/>
  <c r="D1114" i="1"/>
  <c r="B1114" i="1"/>
  <c r="A1114" i="1"/>
  <c r="J815" i="1"/>
  <c r="I815" i="1"/>
  <c r="H815" i="1"/>
  <c r="G815" i="1"/>
  <c r="F815" i="1"/>
  <c r="E815" i="1"/>
  <c r="D815" i="1"/>
  <c r="B815" i="1"/>
  <c r="A815" i="1"/>
  <c r="J1997" i="1"/>
  <c r="I1997" i="1"/>
  <c r="H1997" i="1"/>
  <c r="G1997" i="1"/>
  <c r="F1997" i="1"/>
  <c r="E1997" i="1"/>
  <c r="D1997" i="1"/>
  <c r="B1997" i="1"/>
  <c r="A1997" i="1"/>
  <c r="J14" i="1"/>
  <c r="I14" i="1"/>
  <c r="H14" i="1"/>
  <c r="G14" i="1"/>
  <c r="F14" i="1"/>
  <c r="E14" i="1"/>
  <c r="D14" i="1"/>
  <c r="B14" i="1"/>
  <c r="A14" i="1"/>
  <c r="J30" i="1"/>
  <c r="I30" i="1"/>
  <c r="H30" i="1"/>
  <c r="G30" i="1"/>
  <c r="F30" i="1"/>
  <c r="E30" i="1"/>
  <c r="D30" i="1"/>
  <c r="B30" i="1"/>
  <c r="A30" i="1"/>
  <c r="J1139" i="1"/>
  <c r="I1139" i="1"/>
  <c r="H1139" i="1"/>
  <c r="G1139" i="1"/>
  <c r="F1139" i="1"/>
  <c r="E1139" i="1"/>
  <c r="D1139" i="1"/>
  <c r="B1139" i="1"/>
  <c r="A1139" i="1"/>
  <c r="J2475" i="1"/>
  <c r="I2475" i="1"/>
  <c r="H2475" i="1"/>
  <c r="G2475" i="1"/>
  <c r="F2475" i="1"/>
  <c r="E2475" i="1"/>
  <c r="D2475" i="1"/>
  <c r="B2475" i="1"/>
  <c r="A2475" i="1"/>
  <c r="J2388" i="1"/>
  <c r="I2388" i="1"/>
  <c r="H2388" i="1"/>
  <c r="G2388" i="1"/>
  <c r="F2388" i="1"/>
  <c r="E2388" i="1"/>
  <c r="D2388" i="1"/>
  <c r="B2388" i="1"/>
  <c r="A2388" i="1"/>
  <c r="J1042" i="1"/>
  <c r="I1042" i="1"/>
  <c r="H1042" i="1"/>
  <c r="G1042" i="1"/>
  <c r="F1042" i="1"/>
  <c r="E1042" i="1"/>
  <c r="D1042" i="1"/>
  <c r="B1042" i="1"/>
  <c r="A1042" i="1"/>
  <c r="J1201" i="1"/>
  <c r="I1201" i="1"/>
  <c r="H1201" i="1"/>
  <c r="G1201" i="1"/>
  <c r="F1201" i="1"/>
  <c r="E1201" i="1"/>
  <c r="D1201" i="1"/>
  <c r="B1201" i="1"/>
  <c r="A1201" i="1"/>
  <c r="J1279" i="1"/>
  <c r="I1279" i="1"/>
  <c r="H1279" i="1"/>
  <c r="G1279" i="1"/>
  <c r="F1279" i="1"/>
  <c r="E1279" i="1"/>
  <c r="D1279" i="1"/>
  <c r="B1279" i="1"/>
  <c r="A1279" i="1"/>
  <c r="J2032" i="1"/>
  <c r="I2032" i="1"/>
  <c r="H2032" i="1"/>
  <c r="G2032" i="1"/>
  <c r="F2032" i="1"/>
  <c r="E2032" i="1"/>
  <c r="D2032" i="1"/>
  <c r="B2032" i="1"/>
  <c r="A2032" i="1"/>
  <c r="J1372" i="1"/>
  <c r="I1372" i="1"/>
  <c r="H1372" i="1"/>
  <c r="G1372" i="1"/>
  <c r="F1372" i="1"/>
  <c r="E1372" i="1"/>
  <c r="D1372" i="1"/>
  <c r="B1372" i="1"/>
  <c r="A1372" i="1"/>
  <c r="J554" i="1"/>
  <c r="I554" i="1"/>
  <c r="H554" i="1"/>
  <c r="G554" i="1"/>
  <c r="F554" i="1"/>
  <c r="E554" i="1"/>
  <c r="D554" i="1"/>
  <c r="B554" i="1"/>
  <c r="A554" i="1"/>
  <c r="J383" i="1"/>
  <c r="I383" i="1"/>
  <c r="H383" i="1"/>
  <c r="G383" i="1"/>
  <c r="F383" i="1"/>
  <c r="E383" i="1"/>
  <c r="D383" i="1"/>
  <c r="B383" i="1"/>
  <c r="A383" i="1"/>
  <c r="J1072" i="1"/>
  <c r="I1072" i="1"/>
  <c r="H1072" i="1"/>
  <c r="G1072" i="1"/>
  <c r="F1072" i="1"/>
  <c r="E1072" i="1"/>
  <c r="D1072" i="1"/>
  <c r="B1072" i="1"/>
  <c r="A1072" i="1"/>
  <c r="J3104" i="1"/>
  <c r="I3104" i="1"/>
  <c r="H3104" i="1"/>
  <c r="G3104" i="1"/>
  <c r="F3104" i="1"/>
  <c r="E3104" i="1"/>
  <c r="D3104" i="1"/>
  <c r="B3104" i="1"/>
  <c r="A3104" i="1"/>
  <c r="J486" i="1"/>
  <c r="I486" i="1"/>
  <c r="H486" i="1"/>
  <c r="G486" i="1"/>
  <c r="F486" i="1"/>
  <c r="E486" i="1"/>
  <c r="D486" i="1"/>
  <c r="B486" i="1"/>
  <c r="A486" i="1"/>
  <c r="J2527" i="1"/>
  <c r="I2527" i="1"/>
  <c r="H2527" i="1"/>
  <c r="G2527" i="1"/>
  <c r="F2527" i="1"/>
  <c r="E2527" i="1"/>
  <c r="D2527" i="1"/>
  <c r="B2527" i="1"/>
  <c r="A2527" i="1"/>
  <c r="J1415" i="1"/>
  <c r="I1415" i="1"/>
  <c r="H1415" i="1"/>
  <c r="G1415" i="1"/>
  <c r="F1415" i="1"/>
  <c r="E1415" i="1"/>
  <c r="D1415" i="1"/>
  <c r="B1415" i="1"/>
  <c r="A1415" i="1"/>
  <c r="J902" i="1"/>
  <c r="I902" i="1"/>
  <c r="H902" i="1"/>
  <c r="G902" i="1"/>
  <c r="F902" i="1"/>
  <c r="E902" i="1"/>
  <c r="D902" i="1"/>
  <c r="B902" i="1"/>
  <c r="A902" i="1"/>
  <c r="J867" i="1"/>
  <c r="I867" i="1"/>
  <c r="H867" i="1"/>
  <c r="G867" i="1"/>
  <c r="F867" i="1"/>
  <c r="E867" i="1"/>
  <c r="D867" i="1"/>
  <c r="B867" i="1"/>
  <c r="A867" i="1"/>
  <c r="J2299" i="1"/>
  <c r="I2299" i="1"/>
  <c r="H2299" i="1"/>
  <c r="G2299" i="1"/>
  <c r="F2299" i="1"/>
  <c r="E2299" i="1"/>
  <c r="D2299" i="1"/>
  <c r="B2299" i="1"/>
  <c r="A2299" i="1"/>
  <c r="J3163" i="1"/>
  <c r="I3163" i="1"/>
  <c r="H3163" i="1"/>
  <c r="G3163" i="1"/>
  <c r="F3163" i="1"/>
  <c r="E3163" i="1"/>
  <c r="D3163" i="1"/>
  <c r="B3163" i="1"/>
  <c r="A3163" i="1"/>
  <c r="J2338" i="1"/>
  <c r="I2338" i="1"/>
  <c r="H2338" i="1"/>
  <c r="G2338" i="1"/>
  <c r="F2338" i="1"/>
  <c r="E2338" i="1"/>
  <c r="D2338" i="1"/>
  <c r="B2338" i="1"/>
  <c r="A2338" i="1"/>
  <c r="J443" i="1"/>
  <c r="I443" i="1"/>
  <c r="H443" i="1"/>
  <c r="G443" i="1"/>
  <c r="F443" i="1"/>
  <c r="E443" i="1"/>
  <c r="D443" i="1"/>
  <c r="B443" i="1"/>
  <c r="A443" i="1"/>
  <c r="J3217" i="1"/>
  <c r="I3217" i="1"/>
  <c r="H3217" i="1"/>
  <c r="G3217" i="1"/>
  <c r="F3217" i="1"/>
  <c r="E3217" i="1"/>
  <c r="D3217" i="1"/>
  <c r="B3217" i="1"/>
  <c r="A3217" i="1"/>
  <c r="J2780" i="1"/>
  <c r="I2780" i="1"/>
  <c r="H2780" i="1"/>
  <c r="G2780" i="1"/>
  <c r="F2780" i="1"/>
  <c r="E2780" i="1"/>
  <c r="D2780" i="1"/>
  <c r="B2780" i="1"/>
  <c r="A2780" i="1"/>
  <c r="J620" i="1"/>
  <c r="I620" i="1"/>
  <c r="H620" i="1"/>
  <c r="G620" i="1"/>
  <c r="F620" i="1"/>
  <c r="E620" i="1"/>
  <c r="D620" i="1"/>
  <c r="B620" i="1"/>
  <c r="A620" i="1"/>
  <c r="J100" i="1"/>
  <c r="I100" i="1"/>
  <c r="H100" i="1"/>
  <c r="G100" i="1"/>
  <c r="F100" i="1"/>
  <c r="E100" i="1"/>
  <c r="D100" i="1"/>
  <c r="B100" i="1"/>
  <c r="A100" i="1"/>
  <c r="J2115" i="1"/>
  <c r="I2115" i="1"/>
  <c r="H2115" i="1"/>
  <c r="G2115" i="1"/>
  <c r="F2115" i="1"/>
  <c r="E2115" i="1"/>
  <c r="D2115" i="1"/>
  <c r="B2115" i="1"/>
  <c r="A2115" i="1"/>
  <c r="J3216" i="1"/>
  <c r="I3216" i="1"/>
  <c r="H3216" i="1"/>
  <c r="G3216" i="1"/>
  <c r="F3216" i="1"/>
  <c r="E3216" i="1"/>
  <c r="D3216" i="1"/>
  <c r="B3216" i="1"/>
  <c r="A3216" i="1"/>
  <c r="J2779" i="1"/>
  <c r="I2779" i="1"/>
  <c r="H2779" i="1"/>
  <c r="G2779" i="1"/>
  <c r="F2779" i="1"/>
  <c r="E2779" i="1"/>
  <c r="D2779" i="1"/>
  <c r="B2779" i="1"/>
  <c r="A2779" i="1"/>
  <c r="J619" i="1"/>
  <c r="I619" i="1"/>
  <c r="H619" i="1"/>
  <c r="G619" i="1"/>
  <c r="F619" i="1"/>
  <c r="E619" i="1"/>
  <c r="D619" i="1"/>
  <c r="B619" i="1"/>
  <c r="A619" i="1"/>
  <c r="J99" i="1"/>
  <c r="I99" i="1"/>
  <c r="H99" i="1"/>
  <c r="G99" i="1"/>
  <c r="F99" i="1"/>
  <c r="E99" i="1"/>
  <c r="D99" i="1"/>
  <c r="B99" i="1"/>
  <c r="A99" i="1"/>
  <c r="J2114" i="1"/>
  <c r="I2114" i="1"/>
  <c r="H2114" i="1"/>
  <c r="G2114" i="1"/>
  <c r="F2114" i="1"/>
  <c r="E2114" i="1"/>
  <c r="D2114" i="1"/>
  <c r="B2114" i="1"/>
  <c r="A2114" i="1"/>
  <c r="J442" i="1"/>
  <c r="I442" i="1"/>
  <c r="H442" i="1"/>
  <c r="G442" i="1"/>
  <c r="F442" i="1"/>
  <c r="E442" i="1"/>
  <c r="D442" i="1"/>
  <c r="B442" i="1"/>
  <c r="A442" i="1"/>
  <c r="J3162" i="1"/>
  <c r="I3162" i="1"/>
  <c r="H3162" i="1"/>
  <c r="G3162" i="1"/>
  <c r="F3162" i="1"/>
  <c r="E3162" i="1"/>
  <c r="D3162" i="1"/>
  <c r="B3162" i="1"/>
  <c r="A3162" i="1"/>
  <c r="J2298" i="1"/>
  <c r="I2298" i="1"/>
  <c r="H2298" i="1"/>
  <c r="G2298" i="1"/>
  <c r="F2298" i="1"/>
  <c r="E2298" i="1"/>
  <c r="D2298" i="1"/>
  <c r="B2298" i="1"/>
  <c r="A2298" i="1"/>
  <c r="J2337" i="1"/>
  <c r="I2337" i="1"/>
  <c r="H2337" i="1"/>
  <c r="G2337" i="1"/>
  <c r="F2337" i="1"/>
  <c r="E2337" i="1"/>
  <c r="D2337" i="1"/>
  <c r="B2337" i="1"/>
  <c r="A2337" i="1"/>
  <c r="J382" i="1"/>
  <c r="I382" i="1"/>
  <c r="H382" i="1"/>
  <c r="G382" i="1"/>
  <c r="F382" i="1"/>
  <c r="E382" i="1"/>
  <c r="D382" i="1"/>
  <c r="B382" i="1"/>
  <c r="A382" i="1"/>
  <c r="J3103" i="1"/>
  <c r="I3103" i="1"/>
  <c r="H3103" i="1"/>
  <c r="G3103" i="1"/>
  <c r="F3103" i="1"/>
  <c r="E3103" i="1"/>
  <c r="D3103" i="1"/>
  <c r="B3103" i="1"/>
  <c r="A3103" i="1"/>
  <c r="J553" i="1"/>
  <c r="I553" i="1"/>
  <c r="H553" i="1"/>
  <c r="G553" i="1"/>
  <c r="F553" i="1"/>
  <c r="E553" i="1"/>
  <c r="D553" i="1"/>
  <c r="B553" i="1"/>
  <c r="A553" i="1"/>
  <c r="J1071" i="1"/>
  <c r="I1071" i="1"/>
  <c r="H1071" i="1"/>
  <c r="G1071" i="1"/>
  <c r="F1071" i="1"/>
  <c r="E1071" i="1"/>
  <c r="D1071" i="1"/>
  <c r="B1071" i="1"/>
  <c r="A1071" i="1"/>
  <c r="J1200" i="1"/>
  <c r="I1200" i="1"/>
  <c r="H1200" i="1"/>
  <c r="G1200" i="1"/>
  <c r="F1200" i="1"/>
  <c r="E1200" i="1"/>
  <c r="D1200" i="1"/>
  <c r="B1200" i="1"/>
  <c r="A1200" i="1"/>
  <c r="J1278" i="1"/>
  <c r="I1278" i="1"/>
  <c r="H1278" i="1"/>
  <c r="G1278" i="1"/>
  <c r="F1278" i="1"/>
  <c r="E1278" i="1"/>
  <c r="D1278" i="1"/>
  <c r="B1278" i="1"/>
  <c r="A1278" i="1"/>
  <c r="J2031" i="1"/>
  <c r="I2031" i="1"/>
  <c r="H2031" i="1"/>
  <c r="G2031" i="1"/>
  <c r="F2031" i="1"/>
  <c r="E2031" i="1"/>
  <c r="D2031" i="1"/>
  <c r="B2031" i="1"/>
  <c r="A2031" i="1"/>
  <c r="J3215" i="1"/>
  <c r="I3215" i="1"/>
  <c r="H3215" i="1"/>
  <c r="G3215" i="1"/>
  <c r="F3215" i="1"/>
  <c r="E3215" i="1"/>
  <c r="D3215" i="1"/>
  <c r="B3215" i="1"/>
  <c r="A3215" i="1"/>
  <c r="J1371" i="1"/>
  <c r="I1371" i="1"/>
  <c r="H1371" i="1"/>
  <c r="G1371" i="1"/>
  <c r="F1371" i="1"/>
  <c r="E1371" i="1"/>
  <c r="D1371" i="1"/>
  <c r="B1371" i="1"/>
  <c r="A1371" i="1"/>
  <c r="J3102" i="1"/>
  <c r="I3102" i="1"/>
  <c r="H3102" i="1"/>
  <c r="G3102" i="1"/>
  <c r="F3102" i="1"/>
  <c r="E3102" i="1"/>
  <c r="D3102" i="1"/>
  <c r="B3102" i="1"/>
  <c r="A3102" i="1"/>
  <c r="J552" i="1"/>
  <c r="I552" i="1"/>
  <c r="H552" i="1"/>
  <c r="G552" i="1"/>
  <c r="F552" i="1"/>
  <c r="E552" i="1"/>
  <c r="D552" i="1"/>
  <c r="B552" i="1"/>
  <c r="A552" i="1"/>
  <c r="J381" i="1"/>
  <c r="I381" i="1"/>
  <c r="H381" i="1"/>
  <c r="G381" i="1"/>
  <c r="F381" i="1"/>
  <c r="E381" i="1"/>
  <c r="D381" i="1"/>
  <c r="B381" i="1"/>
  <c r="A381" i="1"/>
  <c r="J1070" i="1"/>
  <c r="I1070" i="1"/>
  <c r="H1070" i="1"/>
  <c r="G1070" i="1"/>
  <c r="F1070" i="1"/>
  <c r="E1070" i="1"/>
  <c r="D1070" i="1"/>
  <c r="B1070" i="1"/>
  <c r="A1070" i="1"/>
  <c r="J1199" i="1"/>
  <c r="I1199" i="1"/>
  <c r="H1199" i="1"/>
  <c r="G1199" i="1"/>
  <c r="F1199" i="1"/>
  <c r="E1199" i="1"/>
  <c r="D1199" i="1"/>
  <c r="B1199" i="1"/>
  <c r="A1199" i="1"/>
  <c r="J1277" i="1"/>
  <c r="I1277" i="1"/>
  <c r="H1277" i="1"/>
  <c r="G1277" i="1"/>
  <c r="F1277" i="1"/>
  <c r="E1277" i="1"/>
  <c r="D1277" i="1"/>
  <c r="B1277" i="1"/>
  <c r="A1277" i="1"/>
  <c r="J2030" i="1"/>
  <c r="I2030" i="1"/>
  <c r="H2030" i="1"/>
  <c r="G2030" i="1"/>
  <c r="F2030" i="1"/>
  <c r="E2030" i="1"/>
  <c r="D2030" i="1"/>
  <c r="B2030" i="1"/>
  <c r="A2030" i="1"/>
  <c r="J485" i="1"/>
  <c r="I485" i="1"/>
  <c r="H485" i="1"/>
  <c r="G485" i="1"/>
  <c r="F485" i="1"/>
  <c r="E485" i="1"/>
  <c r="D485" i="1"/>
  <c r="B485" i="1"/>
  <c r="A485" i="1"/>
  <c r="J2526" i="1"/>
  <c r="I2526" i="1"/>
  <c r="H2526" i="1"/>
  <c r="G2526" i="1"/>
  <c r="F2526" i="1"/>
  <c r="E2526" i="1"/>
  <c r="D2526" i="1"/>
  <c r="B2526" i="1"/>
  <c r="A2526" i="1"/>
  <c r="J1414" i="1"/>
  <c r="I1414" i="1"/>
  <c r="H1414" i="1"/>
  <c r="G1414" i="1"/>
  <c r="F1414" i="1"/>
  <c r="E1414" i="1"/>
  <c r="D1414" i="1"/>
  <c r="B1414" i="1"/>
  <c r="A1414" i="1"/>
  <c r="J901" i="1"/>
  <c r="I901" i="1"/>
  <c r="H901" i="1"/>
  <c r="G901" i="1"/>
  <c r="F901" i="1"/>
  <c r="E901" i="1"/>
  <c r="D901" i="1"/>
  <c r="B901" i="1"/>
  <c r="A901" i="1"/>
  <c r="J3214" i="1"/>
  <c r="I3214" i="1"/>
  <c r="H3214" i="1"/>
  <c r="G3214" i="1"/>
  <c r="F3214" i="1"/>
  <c r="E3214" i="1"/>
  <c r="D3214" i="1"/>
  <c r="B3214" i="1"/>
  <c r="A3214" i="1"/>
  <c r="J2778" i="1"/>
  <c r="I2778" i="1"/>
  <c r="H2778" i="1"/>
  <c r="G2778" i="1"/>
  <c r="F2778" i="1"/>
  <c r="E2778" i="1"/>
  <c r="D2778" i="1"/>
  <c r="B2778" i="1"/>
  <c r="A2778" i="1"/>
  <c r="J618" i="1"/>
  <c r="I618" i="1"/>
  <c r="H618" i="1"/>
  <c r="G618" i="1"/>
  <c r="F618" i="1"/>
  <c r="E618" i="1"/>
  <c r="D618" i="1"/>
  <c r="B618" i="1"/>
  <c r="A618" i="1"/>
  <c r="J98" i="1"/>
  <c r="I98" i="1"/>
  <c r="H98" i="1"/>
  <c r="G98" i="1"/>
  <c r="F98" i="1"/>
  <c r="E98" i="1"/>
  <c r="D98" i="1"/>
  <c r="B98" i="1"/>
  <c r="A98" i="1"/>
  <c r="J2113" i="1"/>
  <c r="I2113" i="1"/>
  <c r="H2113" i="1"/>
  <c r="G2113" i="1"/>
  <c r="F2113" i="1"/>
  <c r="E2113" i="1"/>
  <c r="D2113" i="1"/>
  <c r="B2113" i="1"/>
  <c r="A2113" i="1"/>
  <c r="J2777" i="1"/>
  <c r="I2777" i="1"/>
  <c r="H2777" i="1"/>
  <c r="G2777" i="1"/>
  <c r="F2777" i="1"/>
  <c r="E2777" i="1"/>
  <c r="D2777" i="1"/>
  <c r="B2777" i="1"/>
  <c r="A2777" i="1"/>
  <c r="J617" i="1"/>
  <c r="I617" i="1"/>
  <c r="H617" i="1"/>
  <c r="G617" i="1"/>
  <c r="F617" i="1"/>
  <c r="E617" i="1"/>
  <c r="D617" i="1"/>
  <c r="B617" i="1"/>
  <c r="A617" i="1"/>
  <c r="J97" i="1"/>
  <c r="I97" i="1"/>
  <c r="H97" i="1"/>
  <c r="G97" i="1"/>
  <c r="F97" i="1"/>
  <c r="E97" i="1"/>
  <c r="D97" i="1"/>
  <c r="B97" i="1"/>
  <c r="A97" i="1"/>
  <c r="J2112" i="1"/>
  <c r="I2112" i="1"/>
  <c r="H2112" i="1"/>
  <c r="G2112" i="1"/>
  <c r="F2112" i="1"/>
  <c r="E2112" i="1"/>
  <c r="D2112" i="1"/>
  <c r="B2112" i="1"/>
  <c r="A2112" i="1"/>
  <c r="J1370" i="1"/>
  <c r="I1370" i="1"/>
  <c r="H1370" i="1"/>
  <c r="G1370" i="1"/>
  <c r="F1370" i="1"/>
  <c r="E1370" i="1"/>
  <c r="D1370" i="1"/>
  <c r="B1370" i="1"/>
  <c r="A1370" i="1"/>
  <c r="J29" i="1"/>
  <c r="I29" i="1"/>
  <c r="H29" i="1"/>
  <c r="G29" i="1"/>
  <c r="F29" i="1"/>
  <c r="E29" i="1"/>
  <c r="D29" i="1"/>
  <c r="B29" i="1"/>
  <c r="A29" i="1"/>
  <c r="J1138" i="1"/>
  <c r="I1138" i="1"/>
  <c r="H1138" i="1"/>
  <c r="G1138" i="1"/>
  <c r="F1138" i="1"/>
  <c r="E1138" i="1"/>
  <c r="D1138" i="1"/>
  <c r="B1138" i="1"/>
  <c r="A1138" i="1"/>
  <c r="J1198" i="1"/>
  <c r="I1198" i="1"/>
  <c r="H1198" i="1"/>
  <c r="G1198" i="1"/>
  <c r="F1198" i="1"/>
  <c r="E1198" i="1"/>
  <c r="D1198" i="1"/>
  <c r="B1198" i="1"/>
  <c r="A1198" i="1"/>
  <c r="J1276" i="1"/>
  <c r="I1276" i="1"/>
  <c r="H1276" i="1"/>
  <c r="G1276" i="1"/>
  <c r="F1276" i="1"/>
  <c r="E1276" i="1"/>
  <c r="D1276" i="1"/>
  <c r="B1276" i="1"/>
  <c r="A1276" i="1"/>
  <c r="J2474" i="1"/>
  <c r="I2474" i="1"/>
  <c r="H2474" i="1"/>
  <c r="G2474" i="1"/>
  <c r="F2474" i="1"/>
  <c r="E2474" i="1"/>
  <c r="D2474" i="1"/>
  <c r="B2474" i="1"/>
  <c r="A2474" i="1"/>
  <c r="J2029" i="1"/>
  <c r="I2029" i="1"/>
  <c r="H2029" i="1"/>
  <c r="G2029" i="1"/>
  <c r="F2029" i="1"/>
  <c r="E2029" i="1"/>
  <c r="D2029" i="1"/>
  <c r="B2029" i="1"/>
  <c r="A2029" i="1"/>
  <c r="J2387" i="1"/>
  <c r="I2387" i="1"/>
  <c r="H2387" i="1"/>
  <c r="G2387" i="1"/>
  <c r="F2387" i="1"/>
  <c r="E2387" i="1"/>
  <c r="D2387" i="1"/>
  <c r="B2387" i="1"/>
  <c r="A2387" i="1"/>
  <c r="J380" i="1"/>
  <c r="I380" i="1"/>
  <c r="H380" i="1"/>
  <c r="G380" i="1"/>
  <c r="F380" i="1"/>
  <c r="E380" i="1"/>
  <c r="D380" i="1"/>
  <c r="B380" i="1"/>
  <c r="A380" i="1"/>
  <c r="J3101" i="1"/>
  <c r="I3101" i="1"/>
  <c r="H3101" i="1"/>
  <c r="G3101" i="1"/>
  <c r="F3101" i="1"/>
  <c r="E3101" i="1"/>
  <c r="D3101" i="1"/>
  <c r="B3101" i="1"/>
  <c r="A3101" i="1"/>
  <c r="J551" i="1"/>
  <c r="I551" i="1"/>
  <c r="H551" i="1"/>
  <c r="G551" i="1"/>
  <c r="F551" i="1"/>
  <c r="E551" i="1"/>
  <c r="D551" i="1"/>
  <c r="B551" i="1"/>
  <c r="A551" i="1"/>
  <c r="J1069" i="1"/>
  <c r="I1069" i="1"/>
  <c r="H1069" i="1"/>
  <c r="G1069" i="1"/>
  <c r="F1069" i="1"/>
  <c r="E1069" i="1"/>
  <c r="D1069" i="1"/>
  <c r="B1069" i="1"/>
  <c r="A1069" i="1"/>
  <c r="J3213" i="1"/>
  <c r="I3213" i="1"/>
  <c r="H3213" i="1"/>
  <c r="G3213" i="1"/>
  <c r="F3213" i="1"/>
  <c r="E3213" i="1"/>
  <c r="D3213" i="1"/>
  <c r="B3213" i="1"/>
  <c r="A3213" i="1"/>
  <c r="J2297" i="1"/>
  <c r="I2297" i="1"/>
  <c r="H2297" i="1"/>
  <c r="G2297" i="1"/>
  <c r="F2297" i="1"/>
  <c r="E2297" i="1"/>
  <c r="D2297" i="1"/>
  <c r="B2297" i="1"/>
  <c r="A2297" i="1"/>
  <c r="J2336" i="1"/>
  <c r="I2336" i="1"/>
  <c r="H2336" i="1"/>
  <c r="G2336" i="1"/>
  <c r="F2336" i="1"/>
  <c r="E2336" i="1"/>
  <c r="D2336" i="1"/>
  <c r="B2336" i="1"/>
  <c r="A2336" i="1"/>
  <c r="J3161" i="1"/>
  <c r="I3161" i="1"/>
  <c r="H3161" i="1"/>
  <c r="G3161" i="1"/>
  <c r="F3161" i="1"/>
  <c r="E3161" i="1"/>
  <c r="D3161" i="1"/>
  <c r="B3161" i="1"/>
  <c r="A3161" i="1"/>
  <c r="J441" i="1"/>
  <c r="I441" i="1"/>
  <c r="H441" i="1"/>
  <c r="G441" i="1"/>
  <c r="F441" i="1"/>
  <c r="E441" i="1"/>
  <c r="D441" i="1"/>
  <c r="B441" i="1"/>
  <c r="A441" i="1"/>
  <c r="J484" i="1"/>
  <c r="I484" i="1"/>
  <c r="H484" i="1"/>
  <c r="G484" i="1"/>
  <c r="F484" i="1"/>
  <c r="E484" i="1"/>
  <c r="D484" i="1"/>
  <c r="B484" i="1"/>
  <c r="A484" i="1"/>
  <c r="J2525" i="1"/>
  <c r="I2525" i="1"/>
  <c r="H2525" i="1"/>
  <c r="G2525" i="1"/>
  <c r="F2525" i="1"/>
  <c r="E2525" i="1"/>
  <c r="D2525" i="1"/>
  <c r="B2525" i="1"/>
  <c r="A2525" i="1"/>
  <c r="J1413" i="1"/>
  <c r="I1413" i="1"/>
  <c r="H1413" i="1"/>
  <c r="G1413" i="1"/>
  <c r="F1413" i="1"/>
  <c r="E1413" i="1"/>
  <c r="D1413" i="1"/>
  <c r="B1413" i="1"/>
  <c r="A1413" i="1"/>
  <c r="J900" i="1"/>
  <c r="I900" i="1"/>
  <c r="H900" i="1"/>
  <c r="G900" i="1"/>
  <c r="F900" i="1"/>
  <c r="E900" i="1"/>
  <c r="D900" i="1"/>
  <c r="B900" i="1"/>
  <c r="A900" i="1"/>
  <c r="J1369" i="1"/>
  <c r="I1369" i="1"/>
  <c r="H1369" i="1"/>
  <c r="G1369" i="1"/>
  <c r="F1369" i="1"/>
  <c r="E1369" i="1"/>
  <c r="D1369" i="1"/>
  <c r="B1369" i="1"/>
  <c r="A1369" i="1"/>
  <c r="J440" i="1"/>
  <c r="I440" i="1"/>
  <c r="H440" i="1"/>
  <c r="G440" i="1"/>
  <c r="F440" i="1"/>
  <c r="E440" i="1"/>
  <c r="D440" i="1"/>
  <c r="B440" i="1"/>
  <c r="A440" i="1"/>
  <c r="J3160" i="1"/>
  <c r="I3160" i="1"/>
  <c r="H3160" i="1"/>
  <c r="G3160" i="1"/>
  <c r="F3160" i="1"/>
  <c r="E3160" i="1"/>
  <c r="D3160" i="1"/>
  <c r="B3160" i="1"/>
  <c r="A3160" i="1"/>
  <c r="J2335" i="1"/>
  <c r="I2335" i="1"/>
  <c r="H2335" i="1"/>
  <c r="G2335" i="1"/>
  <c r="F2335" i="1"/>
  <c r="E2335" i="1"/>
  <c r="D2335" i="1"/>
  <c r="B2335" i="1"/>
  <c r="A2335" i="1"/>
  <c r="J2296" i="1"/>
  <c r="I2296" i="1"/>
  <c r="H2296" i="1"/>
  <c r="G2296" i="1"/>
  <c r="F2296" i="1"/>
  <c r="E2296" i="1"/>
  <c r="D2296" i="1"/>
  <c r="B2296" i="1"/>
  <c r="A2296" i="1"/>
  <c r="J439" i="1"/>
  <c r="I439" i="1"/>
  <c r="H439" i="1"/>
  <c r="G439" i="1"/>
  <c r="F439" i="1"/>
  <c r="E439" i="1"/>
  <c r="D439" i="1"/>
  <c r="B439" i="1"/>
  <c r="A439" i="1"/>
  <c r="J3075" i="1"/>
  <c r="I3075" i="1"/>
  <c r="H3075" i="1"/>
  <c r="G3075" i="1"/>
  <c r="F3075" i="1"/>
  <c r="E3075" i="1"/>
  <c r="D3075" i="1"/>
  <c r="B3075" i="1"/>
  <c r="A3075" i="1"/>
  <c r="J2473" i="1"/>
  <c r="I2473" i="1"/>
  <c r="H2473" i="1"/>
  <c r="G2473" i="1"/>
  <c r="F2473" i="1"/>
  <c r="E2473" i="1"/>
  <c r="D2473" i="1"/>
  <c r="B2473" i="1"/>
  <c r="A2473" i="1"/>
  <c r="J2386" i="1"/>
  <c r="I2386" i="1"/>
  <c r="H2386" i="1"/>
  <c r="G2386" i="1"/>
  <c r="F2386" i="1"/>
  <c r="E2386" i="1"/>
  <c r="D2386" i="1"/>
  <c r="B2386" i="1"/>
  <c r="A2386" i="1"/>
  <c r="J2439" i="1"/>
  <c r="I2439" i="1"/>
  <c r="H2439" i="1"/>
  <c r="G2439" i="1"/>
  <c r="F2439" i="1"/>
  <c r="E2439" i="1"/>
  <c r="D2439" i="1"/>
  <c r="B2439" i="1"/>
  <c r="A2439" i="1"/>
  <c r="J844" i="1"/>
  <c r="I844" i="1"/>
  <c r="H844" i="1"/>
  <c r="G844" i="1"/>
  <c r="F844" i="1"/>
  <c r="E844" i="1"/>
  <c r="D844" i="1"/>
  <c r="B844" i="1"/>
  <c r="A844" i="1"/>
  <c r="J795" i="1"/>
  <c r="I795" i="1"/>
  <c r="H795" i="1"/>
  <c r="G795" i="1"/>
  <c r="F795" i="1"/>
  <c r="E795" i="1"/>
  <c r="D795" i="1"/>
  <c r="B795" i="1"/>
  <c r="A795" i="1"/>
  <c r="J379" i="1"/>
  <c r="I379" i="1"/>
  <c r="H379" i="1"/>
  <c r="G379" i="1"/>
  <c r="F379" i="1"/>
  <c r="E379" i="1"/>
  <c r="D379" i="1"/>
  <c r="B379" i="1"/>
  <c r="A379" i="1"/>
  <c r="J550" i="1"/>
  <c r="I550" i="1"/>
  <c r="H550" i="1"/>
  <c r="G550" i="1"/>
  <c r="F550" i="1"/>
  <c r="E550" i="1"/>
  <c r="D550" i="1"/>
  <c r="B550" i="1"/>
  <c r="A550" i="1"/>
  <c r="J3100" i="1"/>
  <c r="I3100" i="1"/>
  <c r="H3100" i="1"/>
  <c r="G3100" i="1"/>
  <c r="F3100" i="1"/>
  <c r="E3100" i="1"/>
  <c r="D3100" i="1"/>
  <c r="B3100" i="1"/>
  <c r="A3100" i="1"/>
  <c r="J1068" i="1"/>
  <c r="I1068" i="1"/>
  <c r="H1068" i="1"/>
  <c r="G1068" i="1"/>
  <c r="F1068" i="1"/>
  <c r="E1068" i="1"/>
  <c r="D1068" i="1"/>
  <c r="B1068" i="1"/>
  <c r="A1068" i="1"/>
  <c r="J1137" i="1"/>
  <c r="I1137" i="1"/>
  <c r="H1137" i="1"/>
  <c r="G1137" i="1"/>
  <c r="F1137" i="1"/>
  <c r="E1137" i="1"/>
  <c r="D1137" i="1"/>
  <c r="B1137" i="1"/>
  <c r="A1137" i="1"/>
  <c r="J1197" i="1"/>
  <c r="I1197" i="1"/>
  <c r="H1197" i="1"/>
  <c r="G1197" i="1"/>
  <c r="F1197" i="1"/>
  <c r="E1197" i="1"/>
  <c r="D1197" i="1"/>
  <c r="B1197" i="1"/>
  <c r="A1197" i="1"/>
  <c r="J1275" i="1"/>
  <c r="I1275" i="1"/>
  <c r="H1275" i="1"/>
  <c r="G1275" i="1"/>
  <c r="F1275" i="1"/>
  <c r="E1275" i="1"/>
  <c r="D1275" i="1"/>
  <c r="B1275" i="1"/>
  <c r="A1275" i="1"/>
  <c r="J2028" i="1"/>
  <c r="I2028" i="1"/>
  <c r="H2028" i="1"/>
  <c r="G2028" i="1"/>
  <c r="F2028" i="1"/>
  <c r="E2028" i="1"/>
  <c r="D2028" i="1"/>
  <c r="B2028" i="1"/>
  <c r="A2028" i="1"/>
  <c r="J2776" i="1"/>
  <c r="I2776" i="1"/>
  <c r="H2776" i="1"/>
  <c r="G2776" i="1"/>
  <c r="F2776" i="1"/>
  <c r="E2776" i="1"/>
  <c r="D2776" i="1"/>
  <c r="B2776" i="1"/>
  <c r="A2776" i="1"/>
  <c r="J616" i="1"/>
  <c r="I616" i="1"/>
  <c r="H616" i="1"/>
  <c r="G616" i="1"/>
  <c r="F616" i="1"/>
  <c r="E616" i="1"/>
  <c r="D616" i="1"/>
  <c r="B616" i="1"/>
  <c r="A616" i="1"/>
  <c r="J96" i="1"/>
  <c r="I96" i="1"/>
  <c r="H96" i="1"/>
  <c r="G96" i="1"/>
  <c r="F96" i="1"/>
  <c r="E96" i="1"/>
  <c r="D96" i="1"/>
  <c r="B96" i="1"/>
  <c r="A96" i="1"/>
  <c r="J2111" i="1"/>
  <c r="I2111" i="1"/>
  <c r="H2111" i="1"/>
  <c r="G2111" i="1"/>
  <c r="F2111" i="1"/>
  <c r="E2111" i="1"/>
  <c r="D2111" i="1"/>
  <c r="B2111" i="1"/>
  <c r="A2111" i="1"/>
  <c r="J3212" i="1"/>
  <c r="I3212" i="1"/>
  <c r="H3212" i="1"/>
  <c r="G3212" i="1"/>
  <c r="F3212" i="1"/>
  <c r="E3212" i="1"/>
  <c r="D3212" i="1"/>
  <c r="B3212" i="1"/>
  <c r="A3212" i="1"/>
  <c r="J483" i="1"/>
  <c r="I483" i="1"/>
  <c r="H483" i="1"/>
  <c r="G483" i="1"/>
  <c r="F483" i="1"/>
  <c r="E483" i="1"/>
  <c r="D483" i="1"/>
  <c r="B483" i="1"/>
  <c r="A483" i="1"/>
  <c r="J2524" i="1"/>
  <c r="I2524" i="1"/>
  <c r="H2524" i="1"/>
  <c r="G2524" i="1"/>
  <c r="F2524" i="1"/>
  <c r="E2524" i="1"/>
  <c r="D2524" i="1"/>
  <c r="B2524" i="1"/>
  <c r="A2524" i="1"/>
  <c r="J1412" i="1"/>
  <c r="I1412" i="1"/>
  <c r="H1412" i="1"/>
  <c r="G1412" i="1"/>
  <c r="F1412" i="1"/>
  <c r="E1412" i="1"/>
  <c r="D1412" i="1"/>
  <c r="B1412" i="1"/>
  <c r="A1412" i="1"/>
  <c r="J899" i="1"/>
  <c r="I899" i="1"/>
  <c r="H899" i="1"/>
  <c r="G899" i="1"/>
  <c r="F899" i="1"/>
  <c r="E899" i="1"/>
  <c r="D899" i="1"/>
  <c r="B899" i="1"/>
  <c r="A899" i="1"/>
  <c r="J1368" i="1"/>
  <c r="I1368" i="1"/>
  <c r="H1368" i="1"/>
  <c r="G1368" i="1"/>
  <c r="F1368" i="1"/>
  <c r="E1368" i="1"/>
  <c r="D1368" i="1"/>
  <c r="B1368" i="1"/>
  <c r="A1368" i="1"/>
  <c r="J2295" i="1"/>
  <c r="I2295" i="1"/>
  <c r="H2295" i="1"/>
  <c r="G2295" i="1"/>
  <c r="F2295" i="1"/>
  <c r="E2295" i="1"/>
  <c r="D2295" i="1"/>
  <c r="B2295" i="1"/>
  <c r="A2295" i="1"/>
  <c r="J2334" i="1"/>
  <c r="I2334" i="1"/>
  <c r="H2334" i="1"/>
  <c r="G2334" i="1"/>
  <c r="F2334" i="1"/>
  <c r="E2334" i="1"/>
  <c r="D2334" i="1"/>
  <c r="B2334" i="1"/>
  <c r="A2334" i="1"/>
  <c r="J3159" i="1"/>
  <c r="I3159" i="1"/>
  <c r="H3159" i="1"/>
  <c r="G3159" i="1"/>
  <c r="F3159" i="1"/>
  <c r="E3159" i="1"/>
  <c r="D3159" i="1"/>
  <c r="B3159" i="1"/>
  <c r="A3159" i="1"/>
  <c r="J438" i="1"/>
  <c r="I438" i="1"/>
  <c r="H438" i="1"/>
  <c r="G438" i="1"/>
  <c r="F438" i="1"/>
  <c r="E438" i="1"/>
  <c r="D438" i="1"/>
  <c r="B438" i="1"/>
  <c r="A438" i="1"/>
  <c r="J437" i="1"/>
  <c r="I437" i="1"/>
  <c r="H437" i="1"/>
  <c r="G437" i="1"/>
  <c r="F437" i="1"/>
  <c r="E437" i="1"/>
  <c r="D437" i="1"/>
  <c r="B437" i="1"/>
  <c r="A437" i="1"/>
  <c r="J2294" i="1"/>
  <c r="I2294" i="1"/>
  <c r="H2294" i="1"/>
  <c r="G2294" i="1"/>
  <c r="F2294" i="1"/>
  <c r="E2294" i="1"/>
  <c r="D2294" i="1"/>
  <c r="B2294" i="1"/>
  <c r="A2294" i="1"/>
  <c r="J3074" i="1"/>
  <c r="I3074" i="1"/>
  <c r="H3074" i="1"/>
  <c r="G3074" i="1"/>
  <c r="F3074" i="1"/>
  <c r="E3074" i="1"/>
  <c r="D3074" i="1"/>
  <c r="B3074" i="1"/>
  <c r="A3074" i="1"/>
  <c r="J2472" i="1"/>
  <c r="I2472" i="1"/>
  <c r="H2472" i="1"/>
  <c r="G2472" i="1"/>
  <c r="F2472" i="1"/>
  <c r="E2472" i="1"/>
  <c r="D2472" i="1"/>
  <c r="B2472" i="1"/>
  <c r="A2472" i="1"/>
  <c r="J2385" i="1"/>
  <c r="I2385" i="1"/>
  <c r="H2385" i="1"/>
  <c r="G2385" i="1"/>
  <c r="F2385" i="1"/>
  <c r="E2385" i="1"/>
  <c r="D2385" i="1"/>
  <c r="B2385" i="1"/>
  <c r="A2385" i="1"/>
  <c r="J2438" i="1"/>
  <c r="I2438" i="1"/>
  <c r="H2438" i="1"/>
  <c r="G2438" i="1"/>
  <c r="F2438" i="1"/>
  <c r="E2438" i="1"/>
  <c r="D2438" i="1"/>
  <c r="B2438" i="1"/>
  <c r="A2438" i="1"/>
  <c r="J843" i="1"/>
  <c r="I843" i="1"/>
  <c r="H843" i="1"/>
  <c r="G843" i="1"/>
  <c r="F843" i="1"/>
  <c r="E843" i="1"/>
  <c r="D843" i="1"/>
  <c r="B843" i="1"/>
  <c r="A843" i="1"/>
  <c r="J794" i="1"/>
  <c r="I794" i="1"/>
  <c r="H794" i="1"/>
  <c r="G794" i="1"/>
  <c r="F794" i="1"/>
  <c r="E794" i="1"/>
  <c r="D794" i="1"/>
  <c r="B794" i="1"/>
  <c r="A794" i="1"/>
  <c r="J532" i="1"/>
  <c r="I532" i="1"/>
  <c r="H532" i="1"/>
  <c r="G532" i="1"/>
  <c r="F532" i="1"/>
  <c r="E532" i="1"/>
  <c r="D532" i="1"/>
  <c r="B532" i="1"/>
  <c r="A532" i="1"/>
  <c r="J1339" i="1"/>
  <c r="I1339" i="1"/>
  <c r="H1339" i="1"/>
  <c r="G1339" i="1"/>
  <c r="F1339" i="1"/>
  <c r="E1339" i="1"/>
  <c r="D1339" i="1"/>
  <c r="B1339" i="1"/>
  <c r="A1339" i="1"/>
  <c r="J1113" i="1"/>
  <c r="I1113" i="1"/>
  <c r="H1113" i="1"/>
  <c r="G1113" i="1"/>
  <c r="F1113" i="1"/>
  <c r="E1113" i="1"/>
  <c r="D1113" i="1"/>
  <c r="B1113" i="1"/>
  <c r="A1113" i="1"/>
  <c r="J1996" i="1"/>
  <c r="I1996" i="1"/>
  <c r="H1996" i="1"/>
  <c r="G1996" i="1"/>
  <c r="F1996" i="1"/>
  <c r="E1996" i="1"/>
  <c r="D1996" i="1"/>
  <c r="B1996" i="1"/>
  <c r="A1996" i="1"/>
  <c r="J814" i="1"/>
  <c r="I814" i="1"/>
  <c r="H814" i="1"/>
  <c r="G814" i="1"/>
  <c r="F814" i="1"/>
  <c r="E814" i="1"/>
  <c r="D814" i="1"/>
  <c r="B814" i="1"/>
  <c r="A814" i="1"/>
  <c r="J13" i="1"/>
  <c r="I13" i="1"/>
  <c r="H13" i="1"/>
  <c r="G13" i="1"/>
  <c r="F13" i="1"/>
  <c r="E13" i="1"/>
  <c r="D13" i="1"/>
  <c r="B13" i="1"/>
  <c r="A13" i="1"/>
  <c r="J866" i="1"/>
  <c r="I866" i="1"/>
  <c r="H866" i="1"/>
  <c r="G866" i="1"/>
  <c r="F866" i="1"/>
  <c r="E866" i="1"/>
  <c r="D866" i="1"/>
  <c r="B866" i="1"/>
  <c r="A866" i="1"/>
  <c r="J482" i="1"/>
  <c r="I482" i="1"/>
  <c r="H482" i="1"/>
  <c r="G482" i="1"/>
  <c r="F482" i="1"/>
  <c r="E482" i="1"/>
  <c r="D482" i="1"/>
  <c r="B482" i="1"/>
  <c r="A482" i="1"/>
  <c r="J2523" i="1"/>
  <c r="I2523" i="1"/>
  <c r="H2523" i="1"/>
  <c r="G2523" i="1"/>
  <c r="F2523" i="1"/>
  <c r="E2523" i="1"/>
  <c r="D2523" i="1"/>
  <c r="B2523" i="1"/>
  <c r="A2523" i="1"/>
  <c r="J1411" i="1"/>
  <c r="I1411" i="1"/>
  <c r="H1411" i="1"/>
  <c r="G1411" i="1"/>
  <c r="F1411" i="1"/>
  <c r="E1411" i="1"/>
  <c r="D1411" i="1"/>
  <c r="B1411" i="1"/>
  <c r="A1411" i="1"/>
  <c r="J898" i="1"/>
  <c r="I898" i="1"/>
  <c r="H898" i="1"/>
  <c r="G898" i="1"/>
  <c r="F898" i="1"/>
  <c r="E898" i="1"/>
  <c r="D898" i="1"/>
  <c r="B898" i="1"/>
  <c r="A898" i="1"/>
  <c r="J378" i="1"/>
  <c r="I378" i="1"/>
  <c r="H378" i="1"/>
  <c r="G378" i="1"/>
  <c r="F378" i="1"/>
  <c r="E378" i="1"/>
  <c r="D378" i="1"/>
  <c r="B378" i="1"/>
  <c r="A378" i="1"/>
  <c r="J549" i="1"/>
  <c r="I549" i="1"/>
  <c r="H549" i="1"/>
  <c r="G549" i="1"/>
  <c r="F549" i="1"/>
  <c r="E549" i="1"/>
  <c r="D549" i="1"/>
  <c r="B549" i="1"/>
  <c r="A549" i="1"/>
  <c r="J3099" i="1"/>
  <c r="I3099" i="1"/>
  <c r="H3099" i="1"/>
  <c r="G3099" i="1"/>
  <c r="F3099" i="1"/>
  <c r="E3099" i="1"/>
  <c r="D3099" i="1"/>
  <c r="B3099" i="1"/>
  <c r="A3099" i="1"/>
  <c r="J1067" i="1"/>
  <c r="I1067" i="1"/>
  <c r="H1067" i="1"/>
  <c r="G1067" i="1"/>
  <c r="F1067" i="1"/>
  <c r="E1067" i="1"/>
  <c r="D1067" i="1"/>
  <c r="B1067" i="1"/>
  <c r="A1067" i="1"/>
  <c r="J3211" i="1"/>
  <c r="I3211" i="1"/>
  <c r="H3211" i="1"/>
  <c r="G3211" i="1"/>
  <c r="F3211" i="1"/>
  <c r="E3211" i="1"/>
  <c r="D3211" i="1"/>
  <c r="B3211" i="1"/>
  <c r="A3211" i="1"/>
  <c r="J1196" i="1"/>
  <c r="I1196" i="1"/>
  <c r="H1196" i="1"/>
  <c r="G1196" i="1"/>
  <c r="F1196" i="1"/>
  <c r="E1196" i="1"/>
  <c r="D1196" i="1"/>
  <c r="B1196" i="1"/>
  <c r="A1196" i="1"/>
  <c r="J1274" i="1"/>
  <c r="I1274" i="1"/>
  <c r="H1274" i="1"/>
  <c r="G1274" i="1"/>
  <c r="F1274" i="1"/>
  <c r="E1274" i="1"/>
  <c r="D1274" i="1"/>
  <c r="B1274" i="1"/>
  <c r="A1274" i="1"/>
  <c r="J2027" i="1"/>
  <c r="I2027" i="1"/>
  <c r="H2027" i="1"/>
  <c r="G2027" i="1"/>
  <c r="F2027" i="1"/>
  <c r="E2027" i="1"/>
  <c r="D2027" i="1"/>
  <c r="B2027" i="1"/>
  <c r="A2027" i="1"/>
  <c r="J2775" i="1"/>
  <c r="I2775" i="1"/>
  <c r="H2775" i="1"/>
  <c r="G2775" i="1"/>
  <c r="F2775" i="1"/>
  <c r="E2775" i="1"/>
  <c r="D2775" i="1"/>
  <c r="B2775" i="1"/>
  <c r="A2775" i="1"/>
  <c r="J615" i="1"/>
  <c r="I615" i="1"/>
  <c r="H615" i="1"/>
  <c r="G615" i="1"/>
  <c r="F615" i="1"/>
  <c r="E615" i="1"/>
  <c r="D615" i="1"/>
  <c r="B615" i="1"/>
  <c r="A615" i="1"/>
  <c r="J95" i="1"/>
  <c r="I95" i="1"/>
  <c r="H95" i="1"/>
  <c r="G95" i="1"/>
  <c r="F95" i="1"/>
  <c r="E95" i="1"/>
  <c r="D95" i="1"/>
  <c r="B95" i="1"/>
  <c r="A95" i="1"/>
  <c r="J2110" i="1"/>
  <c r="I2110" i="1"/>
  <c r="H2110" i="1"/>
  <c r="G2110" i="1"/>
  <c r="F2110" i="1"/>
  <c r="E2110" i="1"/>
  <c r="D2110" i="1"/>
  <c r="B2110" i="1"/>
  <c r="A2110" i="1"/>
  <c r="J865" i="1"/>
  <c r="I865" i="1"/>
  <c r="H865" i="1"/>
  <c r="G865" i="1"/>
  <c r="F865" i="1"/>
  <c r="E865" i="1"/>
  <c r="D865" i="1"/>
  <c r="B865" i="1"/>
  <c r="A865" i="1"/>
  <c r="J2437" i="1"/>
  <c r="I2437" i="1"/>
  <c r="H2437" i="1"/>
  <c r="G2437" i="1"/>
  <c r="F2437" i="1"/>
  <c r="E2437" i="1"/>
  <c r="D2437" i="1"/>
  <c r="B2437" i="1"/>
  <c r="A2437" i="1"/>
  <c r="J842" i="1"/>
  <c r="I842" i="1"/>
  <c r="H842" i="1"/>
  <c r="G842" i="1"/>
  <c r="F842" i="1"/>
  <c r="E842" i="1"/>
  <c r="D842" i="1"/>
  <c r="B842" i="1"/>
  <c r="A842" i="1"/>
  <c r="J793" i="1"/>
  <c r="I793" i="1"/>
  <c r="H793" i="1"/>
  <c r="G793" i="1"/>
  <c r="F793" i="1"/>
  <c r="E793" i="1"/>
  <c r="D793" i="1"/>
  <c r="B793" i="1"/>
  <c r="A793" i="1"/>
  <c r="J28" i="1"/>
  <c r="I28" i="1"/>
  <c r="H28" i="1"/>
  <c r="G28" i="1"/>
  <c r="F28" i="1"/>
  <c r="E28" i="1"/>
  <c r="D28" i="1"/>
  <c r="B28" i="1"/>
  <c r="A28" i="1"/>
  <c r="J1136" i="1"/>
  <c r="I1136" i="1"/>
  <c r="H1136" i="1"/>
  <c r="G1136" i="1"/>
  <c r="F1136" i="1"/>
  <c r="E1136" i="1"/>
  <c r="D1136" i="1"/>
  <c r="B1136" i="1"/>
  <c r="A1136" i="1"/>
  <c r="J1041" i="1"/>
  <c r="I1041" i="1"/>
  <c r="H1041" i="1"/>
  <c r="G1041" i="1"/>
  <c r="F1041" i="1"/>
  <c r="E1041" i="1"/>
  <c r="D1041" i="1"/>
  <c r="B1041" i="1"/>
  <c r="A1041" i="1"/>
  <c r="J548" i="1"/>
  <c r="I548" i="1"/>
  <c r="H548" i="1"/>
  <c r="G548" i="1"/>
  <c r="F548" i="1"/>
  <c r="E548" i="1"/>
  <c r="D548" i="1"/>
  <c r="B548" i="1"/>
  <c r="A548" i="1"/>
  <c r="J377" i="1"/>
  <c r="I377" i="1"/>
  <c r="H377" i="1"/>
  <c r="G377" i="1"/>
  <c r="F377" i="1"/>
  <c r="E377" i="1"/>
  <c r="D377" i="1"/>
  <c r="B377" i="1"/>
  <c r="A377" i="1"/>
  <c r="J3098" i="1"/>
  <c r="I3098" i="1"/>
  <c r="H3098" i="1"/>
  <c r="G3098" i="1"/>
  <c r="F3098" i="1"/>
  <c r="E3098" i="1"/>
  <c r="D3098" i="1"/>
  <c r="B3098" i="1"/>
  <c r="A3098" i="1"/>
  <c r="J1066" i="1"/>
  <c r="I1066" i="1"/>
  <c r="H1066" i="1"/>
  <c r="G1066" i="1"/>
  <c r="F1066" i="1"/>
  <c r="E1066" i="1"/>
  <c r="D1066" i="1"/>
  <c r="B1066" i="1"/>
  <c r="A1066" i="1"/>
  <c r="J1195" i="1"/>
  <c r="I1195" i="1"/>
  <c r="H1195" i="1"/>
  <c r="G1195" i="1"/>
  <c r="F1195" i="1"/>
  <c r="E1195" i="1"/>
  <c r="D1195" i="1"/>
  <c r="B1195" i="1"/>
  <c r="A1195" i="1"/>
  <c r="J1273" i="1"/>
  <c r="I1273" i="1"/>
  <c r="H1273" i="1"/>
  <c r="G1273" i="1"/>
  <c r="F1273" i="1"/>
  <c r="E1273" i="1"/>
  <c r="D1273" i="1"/>
  <c r="B1273" i="1"/>
  <c r="A1273" i="1"/>
  <c r="J2026" i="1"/>
  <c r="I2026" i="1"/>
  <c r="H2026" i="1"/>
  <c r="G2026" i="1"/>
  <c r="F2026" i="1"/>
  <c r="E2026" i="1"/>
  <c r="D2026" i="1"/>
  <c r="B2026" i="1"/>
  <c r="A2026" i="1"/>
  <c r="J1367" i="1"/>
  <c r="I1367" i="1"/>
  <c r="H1367" i="1"/>
  <c r="G1367" i="1"/>
  <c r="F1367" i="1"/>
  <c r="E1367" i="1"/>
  <c r="D1367" i="1"/>
  <c r="B1367" i="1"/>
  <c r="A1367" i="1"/>
  <c r="J1338" i="1"/>
  <c r="I1338" i="1"/>
  <c r="H1338" i="1"/>
  <c r="G1338" i="1"/>
  <c r="F1338" i="1"/>
  <c r="E1338" i="1"/>
  <c r="D1338" i="1"/>
  <c r="B1338" i="1"/>
  <c r="A1338" i="1"/>
  <c r="J531" i="1"/>
  <c r="I531" i="1"/>
  <c r="H531" i="1"/>
  <c r="G531" i="1"/>
  <c r="F531" i="1"/>
  <c r="E531" i="1"/>
  <c r="D531" i="1"/>
  <c r="B531" i="1"/>
  <c r="A531" i="1"/>
  <c r="J1112" i="1"/>
  <c r="I1112" i="1"/>
  <c r="H1112" i="1"/>
  <c r="G1112" i="1"/>
  <c r="F1112" i="1"/>
  <c r="E1112" i="1"/>
  <c r="D1112" i="1"/>
  <c r="B1112" i="1"/>
  <c r="A1112" i="1"/>
  <c r="J813" i="1"/>
  <c r="I813" i="1"/>
  <c r="H813" i="1"/>
  <c r="G813" i="1"/>
  <c r="F813" i="1"/>
  <c r="E813" i="1"/>
  <c r="D813" i="1"/>
  <c r="B813" i="1"/>
  <c r="A813" i="1"/>
  <c r="J1995" i="1"/>
  <c r="I1995" i="1"/>
  <c r="H1995" i="1"/>
  <c r="G1995" i="1"/>
  <c r="F1995" i="1"/>
  <c r="E1995" i="1"/>
  <c r="D1995" i="1"/>
  <c r="B1995" i="1"/>
  <c r="A1995" i="1"/>
  <c r="J12" i="1"/>
  <c r="I12" i="1"/>
  <c r="H12" i="1"/>
  <c r="G12" i="1"/>
  <c r="F12" i="1"/>
  <c r="E12" i="1"/>
  <c r="D12" i="1"/>
  <c r="B12" i="1"/>
  <c r="A12" i="1"/>
  <c r="J481" i="1"/>
  <c r="I481" i="1"/>
  <c r="H481" i="1"/>
  <c r="G481" i="1"/>
  <c r="F481" i="1"/>
  <c r="E481" i="1"/>
  <c r="D481" i="1"/>
  <c r="B481" i="1"/>
  <c r="A481" i="1"/>
  <c r="J2522" i="1"/>
  <c r="I2522" i="1"/>
  <c r="H2522" i="1"/>
  <c r="G2522" i="1"/>
  <c r="F2522" i="1"/>
  <c r="E2522" i="1"/>
  <c r="D2522" i="1"/>
  <c r="B2522" i="1"/>
  <c r="A2522" i="1"/>
  <c r="J1410" i="1"/>
  <c r="I1410" i="1"/>
  <c r="H1410" i="1"/>
  <c r="G1410" i="1"/>
  <c r="F1410" i="1"/>
  <c r="E1410" i="1"/>
  <c r="D1410" i="1"/>
  <c r="B1410" i="1"/>
  <c r="A1410" i="1"/>
  <c r="J897" i="1"/>
  <c r="I897" i="1"/>
  <c r="H897" i="1"/>
  <c r="G897" i="1"/>
  <c r="F897" i="1"/>
  <c r="E897" i="1"/>
  <c r="D897" i="1"/>
  <c r="B897" i="1"/>
  <c r="A897" i="1"/>
  <c r="J3073" i="1"/>
  <c r="I3073" i="1"/>
  <c r="H3073" i="1"/>
  <c r="G3073" i="1"/>
  <c r="F3073" i="1"/>
  <c r="E3073" i="1"/>
  <c r="D3073" i="1"/>
  <c r="B3073" i="1"/>
  <c r="A3073" i="1"/>
  <c r="J2471" i="1"/>
  <c r="I2471" i="1"/>
  <c r="H2471" i="1"/>
  <c r="G2471" i="1"/>
  <c r="F2471" i="1"/>
  <c r="E2471" i="1"/>
  <c r="D2471" i="1"/>
  <c r="B2471" i="1"/>
  <c r="A2471" i="1"/>
  <c r="J2384" i="1"/>
  <c r="I2384" i="1"/>
  <c r="H2384" i="1"/>
  <c r="G2384" i="1"/>
  <c r="F2384" i="1"/>
  <c r="E2384" i="1"/>
  <c r="D2384" i="1"/>
  <c r="B2384" i="1"/>
  <c r="A2384" i="1"/>
  <c r="J2774" i="1"/>
  <c r="I2774" i="1"/>
  <c r="H2774" i="1"/>
  <c r="G2774" i="1"/>
  <c r="F2774" i="1"/>
  <c r="E2774" i="1"/>
  <c r="D2774" i="1"/>
  <c r="B2774" i="1"/>
  <c r="A2774" i="1"/>
  <c r="J614" i="1"/>
  <c r="I614" i="1"/>
  <c r="H614" i="1"/>
  <c r="G614" i="1"/>
  <c r="F614" i="1"/>
  <c r="E614" i="1"/>
  <c r="D614" i="1"/>
  <c r="B614" i="1"/>
  <c r="A614" i="1"/>
  <c r="J2109" i="1"/>
  <c r="I2109" i="1"/>
  <c r="H2109" i="1"/>
  <c r="G2109" i="1"/>
  <c r="F2109" i="1"/>
  <c r="E2109" i="1"/>
  <c r="D2109" i="1"/>
  <c r="B2109" i="1"/>
  <c r="A2109" i="1"/>
  <c r="J94" i="1"/>
  <c r="I94" i="1"/>
  <c r="H94" i="1"/>
  <c r="G94" i="1"/>
  <c r="F94" i="1"/>
  <c r="E94" i="1"/>
  <c r="D94" i="1"/>
  <c r="B94" i="1"/>
  <c r="A94" i="1"/>
  <c r="J2293" i="1"/>
  <c r="I2293" i="1"/>
  <c r="H2293" i="1"/>
  <c r="G2293" i="1"/>
  <c r="F2293" i="1"/>
  <c r="E2293" i="1"/>
  <c r="D2293" i="1"/>
  <c r="B2293" i="1"/>
  <c r="A2293" i="1"/>
  <c r="J2292" i="1"/>
  <c r="I2292" i="1"/>
  <c r="H2292" i="1"/>
  <c r="G2292" i="1"/>
  <c r="F2292" i="1"/>
  <c r="E2292" i="1"/>
  <c r="D2292" i="1"/>
  <c r="B2292" i="1"/>
  <c r="A2292" i="1"/>
  <c r="J2333" i="1"/>
  <c r="I2333" i="1"/>
  <c r="H2333" i="1"/>
  <c r="G2333" i="1"/>
  <c r="F2333" i="1"/>
  <c r="E2333" i="1"/>
  <c r="D2333" i="1"/>
  <c r="B2333" i="1"/>
  <c r="A2333" i="1"/>
  <c r="J3158" i="1"/>
  <c r="I3158" i="1"/>
  <c r="H3158" i="1"/>
  <c r="G3158" i="1"/>
  <c r="F3158" i="1"/>
  <c r="E3158" i="1"/>
  <c r="D3158" i="1"/>
  <c r="B3158" i="1"/>
  <c r="A3158" i="1"/>
  <c r="J436" i="1"/>
  <c r="I436" i="1"/>
  <c r="H436" i="1"/>
  <c r="G436" i="1"/>
  <c r="F436" i="1"/>
  <c r="E436" i="1"/>
  <c r="D436" i="1"/>
  <c r="B436" i="1"/>
  <c r="A436" i="1"/>
  <c r="J3210" i="1"/>
  <c r="I3210" i="1"/>
  <c r="H3210" i="1"/>
  <c r="G3210" i="1"/>
  <c r="F3210" i="1"/>
  <c r="E3210" i="1"/>
  <c r="D3210" i="1"/>
  <c r="B3210" i="1"/>
  <c r="A3210" i="1"/>
  <c r="J2332" i="1"/>
  <c r="I2332" i="1"/>
  <c r="H2332" i="1"/>
  <c r="G2332" i="1"/>
  <c r="F2332" i="1"/>
  <c r="E2332" i="1"/>
  <c r="D2332" i="1"/>
  <c r="B2332" i="1"/>
  <c r="A2332" i="1"/>
  <c r="J2291" i="1"/>
  <c r="I2291" i="1"/>
  <c r="H2291" i="1"/>
  <c r="G2291" i="1"/>
  <c r="F2291" i="1"/>
  <c r="E2291" i="1"/>
  <c r="D2291" i="1"/>
  <c r="B2291" i="1"/>
  <c r="A2291" i="1"/>
  <c r="J3157" i="1"/>
  <c r="I3157" i="1"/>
  <c r="H3157" i="1"/>
  <c r="G3157" i="1"/>
  <c r="F3157" i="1"/>
  <c r="E3157" i="1"/>
  <c r="D3157" i="1"/>
  <c r="B3157" i="1"/>
  <c r="A3157" i="1"/>
  <c r="J435" i="1"/>
  <c r="I435" i="1"/>
  <c r="H435" i="1"/>
  <c r="G435" i="1"/>
  <c r="F435" i="1"/>
  <c r="E435" i="1"/>
  <c r="D435" i="1"/>
  <c r="B435" i="1"/>
  <c r="A435" i="1"/>
  <c r="J3209" i="1"/>
  <c r="I3209" i="1"/>
  <c r="H3209" i="1"/>
  <c r="G3209" i="1"/>
  <c r="F3209" i="1"/>
  <c r="E3209" i="1"/>
  <c r="D3209" i="1"/>
  <c r="B3209" i="1"/>
  <c r="A3209" i="1"/>
  <c r="J2773" i="1"/>
  <c r="I2773" i="1"/>
  <c r="H2773" i="1"/>
  <c r="G2773" i="1"/>
  <c r="F2773" i="1"/>
  <c r="E2773" i="1"/>
  <c r="D2773" i="1"/>
  <c r="B2773" i="1"/>
  <c r="A2773" i="1"/>
  <c r="J613" i="1"/>
  <c r="I613" i="1"/>
  <c r="H613" i="1"/>
  <c r="G613" i="1"/>
  <c r="F613" i="1"/>
  <c r="E613" i="1"/>
  <c r="D613" i="1"/>
  <c r="B613" i="1"/>
  <c r="A613" i="1"/>
  <c r="J93" i="1"/>
  <c r="I93" i="1"/>
  <c r="H93" i="1"/>
  <c r="G93" i="1"/>
  <c r="F93" i="1"/>
  <c r="E93" i="1"/>
  <c r="D93" i="1"/>
  <c r="B93" i="1"/>
  <c r="A93" i="1"/>
  <c r="J2108" i="1"/>
  <c r="I2108" i="1"/>
  <c r="H2108" i="1"/>
  <c r="G2108" i="1"/>
  <c r="F2108" i="1"/>
  <c r="E2108" i="1"/>
  <c r="D2108" i="1"/>
  <c r="B2108" i="1"/>
  <c r="A2108" i="1"/>
  <c r="J1366" i="1"/>
  <c r="I1366" i="1"/>
  <c r="H1366" i="1"/>
  <c r="G1366" i="1"/>
  <c r="F1366" i="1"/>
  <c r="E1366" i="1"/>
  <c r="D1366" i="1"/>
  <c r="B1366" i="1"/>
  <c r="A1366" i="1"/>
  <c r="J3208" i="1"/>
  <c r="I3208" i="1"/>
  <c r="H3208" i="1"/>
  <c r="G3208" i="1"/>
  <c r="F3208" i="1"/>
  <c r="E3208" i="1"/>
  <c r="D3208" i="1"/>
  <c r="B3208" i="1"/>
  <c r="A3208" i="1"/>
  <c r="J2772" i="1"/>
  <c r="I2772" i="1"/>
  <c r="H2772" i="1"/>
  <c r="G2772" i="1"/>
  <c r="F2772" i="1"/>
  <c r="E2772" i="1"/>
  <c r="D2772" i="1"/>
  <c r="B2772" i="1"/>
  <c r="A2772" i="1"/>
  <c r="J612" i="1"/>
  <c r="I612" i="1"/>
  <c r="H612" i="1"/>
  <c r="G612" i="1"/>
  <c r="F612" i="1"/>
  <c r="E612" i="1"/>
  <c r="D612" i="1"/>
  <c r="B612" i="1"/>
  <c r="A612" i="1"/>
  <c r="J92" i="1"/>
  <c r="I92" i="1"/>
  <c r="H92" i="1"/>
  <c r="G92" i="1"/>
  <c r="F92" i="1"/>
  <c r="E92" i="1"/>
  <c r="D92" i="1"/>
  <c r="B92" i="1"/>
  <c r="A92" i="1"/>
  <c r="J2107" i="1"/>
  <c r="I2107" i="1"/>
  <c r="H2107" i="1"/>
  <c r="G2107" i="1"/>
  <c r="F2107" i="1"/>
  <c r="E2107" i="1"/>
  <c r="D2107" i="1"/>
  <c r="B2107" i="1"/>
  <c r="A2107" i="1"/>
  <c r="J3072" i="1"/>
  <c r="I3072" i="1"/>
  <c r="H3072" i="1"/>
  <c r="G3072" i="1"/>
  <c r="F3072" i="1"/>
  <c r="E3072" i="1"/>
  <c r="D3072" i="1"/>
  <c r="B3072" i="1"/>
  <c r="A3072" i="1"/>
  <c r="J2470" i="1"/>
  <c r="I2470" i="1"/>
  <c r="H2470" i="1"/>
  <c r="G2470" i="1"/>
  <c r="F2470" i="1"/>
  <c r="E2470" i="1"/>
  <c r="D2470" i="1"/>
  <c r="B2470" i="1"/>
  <c r="A2470" i="1"/>
  <c r="J2383" i="1"/>
  <c r="I2383" i="1"/>
  <c r="H2383" i="1"/>
  <c r="G2383" i="1"/>
  <c r="F2383" i="1"/>
  <c r="E2383" i="1"/>
  <c r="D2383" i="1"/>
  <c r="B2383" i="1"/>
  <c r="A2383" i="1"/>
  <c r="J2771" i="1"/>
  <c r="I2771" i="1"/>
  <c r="H2771" i="1"/>
  <c r="G2771" i="1"/>
  <c r="F2771" i="1"/>
  <c r="E2771" i="1"/>
  <c r="D2771" i="1"/>
  <c r="B2771" i="1"/>
  <c r="A2771" i="1"/>
  <c r="J611" i="1"/>
  <c r="I611" i="1"/>
  <c r="H611" i="1"/>
  <c r="G611" i="1"/>
  <c r="F611" i="1"/>
  <c r="E611" i="1"/>
  <c r="D611" i="1"/>
  <c r="B611" i="1"/>
  <c r="A611" i="1"/>
  <c r="J91" i="1"/>
  <c r="I91" i="1"/>
  <c r="H91" i="1"/>
  <c r="G91" i="1"/>
  <c r="F91" i="1"/>
  <c r="E91" i="1"/>
  <c r="D91" i="1"/>
  <c r="B91" i="1"/>
  <c r="A91" i="1"/>
  <c r="J2106" i="1"/>
  <c r="I2106" i="1"/>
  <c r="H2106" i="1"/>
  <c r="G2106" i="1"/>
  <c r="F2106" i="1"/>
  <c r="E2106" i="1"/>
  <c r="D2106" i="1"/>
  <c r="B2106" i="1"/>
  <c r="A2106" i="1"/>
  <c r="J1194" i="1"/>
  <c r="I1194" i="1"/>
  <c r="H1194" i="1"/>
  <c r="G1194" i="1"/>
  <c r="F1194" i="1"/>
  <c r="E1194" i="1"/>
  <c r="D1194" i="1"/>
  <c r="B1194" i="1"/>
  <c r="A1194" i="1"/>
  <c r="J1272" i="1"/>
  <c r="I1272" i="1"/>
  <c r="H1272" i="1"/>
  <c r="G1272" i="1"/>
  <c r="F1272" i="1"/>
  <c r="E1272" i="1"/>
  <c r="D1272" i="1"/>
  <c r="B1272" i="1"/>
  <c r="A1272" i="1"/>
  <c r="J2025" i="1"/>
  <c r="I2025" i="1"/>
  <c r="H2025" i="1"/>
  <c r="G2025" i="1"/>
  <c r="F2025" i="1"/>
  <c r="E2025" i="1"/>
  <c r="D2025" i="1"/>
  <c r="B2025" i="1"/>
  <c r="A2025" i="1"/>
  <c r="J434" i="1"/>
  <c r="I434" i="1"/>
  <c r="H434" i="1"/>
  <c r="G434" i="1"/>
  <c r="F434" i="1"/>
  <c r="E434" i="1"/>
  <c r="D434" i="1"/>
  <c r="B434" i="1"/>
  <c r="A434" i="1"/>
  <c r="J2331" i="1"/>
  <c r="I2331" i="1"/>
  <c r="H2331" i="1"/>
  <c r="G2331" i="1"/>
  <c r="F2331" i="1"/>
  <c r="E2331" i="1"/>
  <c r="D2331" i="1"/>
  <c r="B2331" i="1"/>
  <c r="A2331" i="1"/>
  <c r="J2290" i="1"/>
  <c r="I2290" i="1"/>
  <c r="H2290" i="1"/>
  <c r="G2290" i="1"/>
  <c r="F2290" i="1"/>
  <c r="E2290" i="1"/>
  <c r="D2290" i="1"/>
  <c r="B2290" i="1"/>
  <c r="A2290" i="1"/>
  <c r="J3156" i="1"/>
  <c r="I3156" i="1"/>
  <c r="H3156" i="1"/>
  <c r="G3156" i="1"/>
  <c r="F3156" i="1"/>
  <c r="E3156" i="1"/>
  <c r="D3156" i="1"/>
  <c r="B3156" i="1"/>
  <c r="A3156" i="1"/>
  <c r="J433" i="1"/>
  <c r="I433" i="1"/>
  <c r="H433" i="1"/>
  <c r="G433" i="1"/>
  <c r="F433" i="1"/>
  <c r="E433" i="1"/>
  <c r="D433" i="1"/>
  <c r="B433" i="1"/>
  <c r="A433" i="1"/>
  <c r="J3207" i="1"/>
  <c r="I3207" i="1"/>
  <c r="H3207" i="1"/>
  <c r="G3207" i="1"/>
  <c r="F3207" i="1"/>
  <c r="E3207" i="1"/>
  <c r="D3207" i="1"/>
  <c r="B3207" i="1"/>
  <c r="A3207" i="1"/>
  <c r="J480" i="1"/>
  <c r="I480" i="1"/>
  <c r="H480" i="1"/>
  <c r="G480" i="1"/>
  <c r="F480" i="1"/>
  <c r="E480" i="1"/>
  <c r="D480" i="1"/>
  <c r="B480" i="1"/>
  <c r="A480" i="1"/>
  <c r="J2521" i="1"/>
  <c r="I2521" i="1"/>
  <c r="H2521" i="1"/>
  <c r="G2521" i="1"/>
  <c r="F2521" i="1"/>
  <c r="E2521" i="1"/>
  <c r="D2521" i="1"/>
  <c r="B2521" i="1"/>
  <c r="A2521" i="1"/>
  <c r="J1409" i="1"/>
  <c r="I1409" i="1"/>
  <c r="H1409" i="1"/>
  <c r="G1409" i="1"/>
  <c r="F1409" i="1"/>
  <c r="E1409" i="1"/>
  <c r="D1409" i="1"/>
  <c r="B1409" i="1"/>
  <c r="A1409" i="1"/>
  <c r="J2436" i="1"/>
  <c r="I2436" i="1"/>
  <c r="H2436" i="1"/>
  <c r="G2436" i="1"/>
  <c r="F2436" i="1"/>
  <c r="E2436" i="1"/>
  <c r="D2436" i="1"/>
  <c r="B2436" i="1"/>
  <c r="A2436" i="1"/>
  <c r="J896" i="1"/>
  <c r="I896" i="1"/>
  <c r="H896" i="1"/>
  <c r="G896" i="1"/>
  <c r="F896" i="1"/>
  <c r="E896" i="1"/>
  <c r="D896" i="1"/>
  <c r="B896" i="1"/>
  <c r="A896" i="1"/>
  <c r="J792" i="1"/>
  <c r="I792" i="1"/>
  <c r="H792" i="1"/>
  <c r="G792" i="1"/>
  <c r="F792" i="1"/>
  <c r="E792" i="1"/>
  <c r="D792" i="1"/>
  <c r="B792" i="1"/>
  <c r="A792" i="1"/>
  <c r="J841" i="1"/>
  <c r="I841" i="1"/>
  <c r="H841" i="1"/>
  <c r="G841" i="1"/>
  <c r="F841" i="1"/>
  <c r="E841" i="1"/>
  <c r="D841" i="1"/>
  <c r="B841" i="1"/>
  <c r="A841" i="1"/>
  <c r="J547" i="1"/>
  <c r="I547" i="1"/>
  <c r="H547" i="1"/>
  <c r="G547" i="1"/>
  <c r="F547" i="1"/>
  <c r="E547" i="1"/>
  <c r="D547" i="1"/>
  <c r="B547" i="1"/>
  <c r="A547" i="1"/>
  <c r="J376" i="1"/>
  <c r="I376" i="1"/>
  <c r="H376" i="1"/>
  <c r="G376" i="1"/>
  <c r="F376" i="1"/>
  <c r="E376" i="1"/>
  <c r="D376" i="1"/>
  <c r="B376" i="1"/>
  <c r="A376" i="1"/>
  <c r="J3097" i="1"/>
  <c r="I3097" i="1"/>
  <c r="H3097" i="1"/>
  <c r="G3097" i="1"/>
  <c r="F3097" i="1"/>
  <c r="E3097" i="1"/>
  <c r="D3097" i="1"/>
  <c r="B3097" i="1"/>
  <c r="A3097" i="1"/>
  <c r="J1065" i="1"/>
  <c r="I1065" i="1"/>
  <c r="H1065" i="1"/>
  <c r="G1065" i="1"/>
  <c r="F1065" i="1"/>
  <c r="E1065" i="1"/>
  <c r="D1065" i="1"/>
  <c r="B1065" i="1"/>
  <c r="A1065" i="1"/>
  <c r="J1337" i="1"/>
  <c r="I1337" i="1"/>
  <c r="H1337" i="1"/>
  <c r="G1337" i="1"/>
  <c r="F1337" i="1"/>
  <c r="E1337" i="1"/>
  <c r="D1337" i="1"/>
  <c r="B1337" i="1"/>
  <c r="A1337" i="1"/>
  <c r="J530" i="1"/>
  <c r="I530" i="1"/>
  <c r="H530" i="1"/>
  <c r="G530" i="1"/>
  <c r="F530" i="1"/>
  <c r="E530" i="1"/>
  <c r="D530" i="1"/>
  <c r="B530" i="1"/>
  <c r="A530" i="1"/>
  <c r="J1111" i="1"/>
  <c r="I1111" i="1"/>
  <c r="H1111" i="1"/>
  <c r="G1111" i="1"/>
  <c r="F1111" i="1"/>
  <c r="E1111" i="1"/>
  <c r="D1111" i="1"/>
  <c r="B1111" i="1"/>
  <c r="A1111" i="1"/>
  <c r="J812" i="1"/>
  <c r="I812" i="1"/>
  <c r="H812" i="1"/>
  <c r="G812" i="1"/>
  <c r="F812" i="1"/>
  <c r="E812" i="1"/>
  <c r="D812" i="1"/>
  <c r="B812" i="1"/>
  <c r="A812" i="1"/>
  <c r="J1994" i="1"/>
  <c r="I1994" i="1"/>
  <c r="H1994" i="1"/>
  <c r="G1994" i="1"/>
  <c r="F1994" i="1"/>
  <c r="E1994" i="1"/>
  <c r="D1994" i="1"/>
  <c r="B1994" i="1"/>
  <c r="A1994" i="1"/>
  <c r="J11" i="1"/>
  <c r="I11" i="1"/>
  <c r="H11" i="1"/>
  <c r="G11" i="1"/>
  <c r="F11" i="1"/>
  <c r="E11" i="1"/>
  <c r="D11" i="1"/>
  <c r="B11" i="1"/>
  <c r="A11" i="1"/>
  <c r="J791" i="1"/>
  <c r="I791" i="1"/>
  <c r="H791" i="1"/>
  <c r="G791" i="1"/>
  <c r="F791" i="1"/>
  <c r="E791" i="1"/>
  <c r="D791" i="1"/>
  <c r="B791" i="1"/>
  <c r="A791" i="1"/>
  <c r="J2435" i="1"/>
  <c r="I2435" i="1"/>
  <c r="H2435" i="1"/>
  <c r="G2435" i="1"/>
  <c r="F2435" i="1"/>
  <c r="E2435" i="1"/>
  <c r="D2435" i="1"/>
  <c r="B2435" i="1"/>
  <c r="A2435" i="1"/>
  <c r="J840" i="1"/>
  <c r="I840" i="1"/>
  <c r="H840" i="1"/>
  <c r="G840" i="1"/>
  <c r="F840" i="1"/>
  <c r="E840" i="1"/>
  <c r="D840" i="1"/>
  <c r="B840" i="1"/>
  <c r="A840" i="1"/>
  <c r="J2770" i="1"/>
  <c r="I2770" i="1"/>
  <c r="H2770" i="1"/>
  <c r="G2770" i="1"/>
  <c r="F2770" i="1"/>
  <c r="E2770" i="1"/>
  <c r="D2770" i="1"/>
  <c r="B2770" i="1"/>
  <c r="A2770" i="1"/>
  <c r="J610" i="1"/>
  <c r="I610" i="1"/>
  <c r="H610" i="1"/>
  <c r="G610" i="1"/>
  <c r="F610" i="1"/>
  <c r="E610" i="1"/>
  <c r="D610" i="1"/>
  <c r="B610" i="1"/>
  <c r="A610" i="1"/>
  <c r="J90" i="1"/>
  <c r="I90" i="1"/>
  <c r="H90" i="1"/>
  <c r="G90" i="1"/>
  <c r="F90" i="1"/>
  <c r="E90" i="1"/>
  <c r="D90" i="1"/>
  <c r="B90" i="1"/>
  <c r="A90" i="1"/>
  <c r="J2105" i="1"/>
  <c r="I2105" i="1"/>
  <c r="H2105" i="1"/>
  <c r="G2105" i="1"/>
  <c r="F2105" i="1"/>
  <c r="E2105" i="1"/>
  <c r="D2105" i="1"/>
  <c r="B2105" i="1"/>
  <c r="A2105" i="1"/>
  <c r="J2330" i="1"/>
  <c r="I2330" i="1"/>
  <c r="H2330" i="1"/>
  <c r="G2330" i="1"/>
  <c r="F2330" i="1"/>
  <c r="E2330" i="1"/>
  <c r="D2330" i="1"/>
  <c r="B2330" i="1"/>
  <c r="A2330" i="1"/>
  <c r="J2289" i="1"/>
  <c r="I2289" i="1"/>
  <c r="H2289" i="1"/>
  <c r="G2289" i="1"/>
  <c r="F2289" i="1"/>
  <c r="E2289" i="1"/>
  <c r="D2289" i="1"/>
  <c r="B2289" i="1"/>
  <c r="A2289" i="1"/>
  <c r="J3155" i="1"/>
  <c r="I3155" i="1"/>
  <c r="H3155" i="1"/>
  <c r="G3155" i="1"/>
  <c r="F3155" i="1"/>
  <c r="E3155" i="1"/>
  <c r="D3155" i="1"/>
  <c r="B3155" i="1"/>
  <c r="A3155" i="1"/>
  <c r="J2288" i="1"/>
  <c r="I2288" i="1"/>
  <c r="H2288" i="1"/>
  <c r="G2288" i="1"/>
  <c r="F2288" i="1"/>
  <c r="E2288" i="1"/>
  <c r="D2288" i="1"/>
  <c r="B2288" i="1"/>
  <c r="A2288" i="1"/>
  <c r="J3154" i="1"/>
  <c r="I3154" i="1"/>
  <c r="H3154" i="1"/>
  <c r="G3154" i="1"/>
  <c r="F3154" i="1"/>
  <c r="E3154" i="1"/>
  <c r="D3154" i="1"/>
  <c r="B3154" i="1"/>
  <c r="A3154" i="1"/>
  <c r="J432" i="1"/>
  <c r="I432" i="1"/>
  <c r="H432" i="1"/>
  <c r="G432" i="1"/>
  <c r="F432" i="1"/>
  <c r="E432" i="1"/>
  <c r="D432" i="1"/>
  <c r="B432" i="1"/>
  <c r="A432" i="1"/>
  <c r="J431" i="1"/>
  <c r="I431" i="1"/>
  <c r="H431" i="1"/>
  <c r="G431" i="1"/>
  <c r="F431" i="1"/>
  <c r="E431" i="1"/>
  <c r="D431" i="1"/>
  <c r="B431" i="1"/>
  <c r="A431" i="1"/>
  <c r="J430" i="1"/>
  <c r="I430" i="1"/>
  <c r="H430" i="1"/>
  <c r="G430" i="1"/>
  <c r="F430" i="1"/>
  <c r="E430" i="1"/>
  <c r="D430" i="1"/>
  <c r="B430" i="1"/>
  <c r="A430" i="1"/>
  <c r="J3153" i="1"/>
  <c r="I3153" i="1"/>
  <c r="H3153" i="1"/>
  <c r="G3153" i="1"/>
  <c r="F3153" i="1"/>
  <c r="E3153" i="1"/>
  <c r="D3153" i="1"/>
  <c r="B3153" i="1"/>
  <c r="A3153" i="1"/>
  <c r="J3152" i="1"/>
  <c r="I3152" i="1"/>
  <c r="H3152" i="1"/>
  <c r="G3152" i="1"/>
  <c r="F3152" i="1"/>
  <c r="E3152" i="1"/>
  <c r="D3152" i="1"/>
  <c r="B3152" i="1"/>
  <c r="A3152" i="1"/>
  <c r="J2329" i="1"/>
  <c r="I2329" i="1"/>
  <c r="H2329" i="1"/>
  <c r="G2329" i="1"/>
  <c r="F2329" i="1"/>
  <c r="E2329" i="1"/>
  <c r="D2329" i="1"/>
  <c r="B2329" i="1"/>
  <c r="A2329" i="1"/>
  <c r="J2287" i="1"/>
  <c r="I2287" i="1"/>
  <c r="H2287" i="1"/>
  <c r="G2287" i="1"/>
  <c r="F2287" i="1"/>
  <c r="E2287" i="1"/>
  <c r="D2287" i="1"/>
  <c r="B2287" i="1"/>
  <c r="A2287" i="1"/>
  <c r="J3151" i="1"/>
  <c r="I3151" i="1"/>
  <c r="H3151" i="1"/>
  <c r="G3151" i="1"/>
  <c r="F3151" i="1"/>
  <c r="E3151" i="1"/>
  <c r="D3151" i="1"/>
  <c r="B3151" i="1"/>
  <c r="A3151" i="1"/>
  <c r="J429" i="1"/>
  <c r="I429" i="1"/>
  <c r="H429" i="1"/>
  <c r="G429" i="1"/>
  <c r="F429" i="1"/>
  <c r="E429" i="1"/>
  <c r="D429" i="1"/>
  <c r="B429" i="1"/>
  <c r="A429" i="1"/>
  <c r="J1040" i="1"/>
  <c r="I1040" i="1"/>
  <c r="H1040" i="1"/>
  <c r="G1040" i="1"/>
  <c r="F1040" i="1"/>
  <c r="E1040" i="1"/>
  <c r="D1040" i="1"/>
  <c r="B1040" i="1"/>
  <c r="A1040" i="1"/>
  <c r="J1365" i="1"/>
  <c r="I1365" i="1"/>
  <c r="H1365" i="1"/>
  <c r="G1365" i="1"/>
  <c r="F1365" i="1"/>
  <c r="E1365" i="1"/>
  <c r="D1365" i="1"/>
  <c r="B1365" i="1"/>
  <c r="A1365" i="1"/>
  <c r="J864" i="1"/>
  <c r="I864" i="1"/>
  <c r="H864" i="1"/>
  <c r="G864" i="1"/>
  <c r="F864" i="1"/>
  <c r="E864" i="1"/>
  <c r="D864" i="1"/>
  <c r="B864" i="1"/>
  <c r="A864" i="1"/>
  <c r="J3071" i="1"/>
  <c r="I3071" i="1"/>
  <c r="H3071" i="1"/>
  <c r="G3071" i="1"/>
  <c r="F3071" i="1"/>
  <c r="E3071" i="1"/>
  <c r="D3071" i="1"/>
  <c r="B3071" i="1"/>
  <c r="A3071" i="1"/>
  <c r="J2469" i="1"/>
  <c r="I2469" i="1"/>
  <c r="H2469" i="1"/>
  <c r="G2469" i="1"/>
  <c r="F2469" i="1"/>
  <c r="E2469" i="1"/>
  <c r="D2469" i="1"/>
  <c r="B2469" i="1"/>
  <c r="A2469" i="1"/>
  <c r="J2382" i="1"/>
  <c r="I2382" i="1"/>
  <c r="H2382" i="1"/>
  <c r="G2382" i="1"/>
  <c r="F2382" i="1"/>
  <c r="E2382" i="1"/>
  <c r="D2382" i="1"/>
  <c r="B2382" i="1"/>
  <c r="A2382" i="1"/>
  <c r="J479" i="1"/>
  <c r="I479" i="1"/>
  <c r="H479" i="1"/>
  <c r="G479" i="1"/>
  <c r="F479" i="1"/>
  <c r="E479" i="1"/>
  <c r="D479" i="1"/>
  <c r="B479" i="1"/>
  <c r="A479" i="1"/>
  <c r="J2520" i="1"/>
  <c r="I2520" i="1"/>
  <c r="H2520" i="1"/>
  <c r="G2520" i="1"/>
  <c r="F2520" i="1"/>
  <c r="E2520" i="1"/>
  <c r="D2520" i="1"/>
  <c r="B2520" i="1"/>
  <c r="A2520" i="1"/>
  <c r="J1408" i="1"/>
  <c r="I1408" i="1"/>
  <c r="H1408" i="1"/>
  <c r="G1408" i="1"/>
  <c r="F1408" i="1"/>
  <c r="E1408" i="1"/>
  <c r="D1408" i="1"/>
  <c r="B1408" i="1"/>
  <c r="A1408" i="1"/>
  <c r="J895" i="1"/>
  <c r="I895" i="1"/>
  <c r="H895" i="1"/>
  <c r="G895" i="1"/>
  <c r="F895" i="1"/>
  <c r="E895" i="1"/>
  <c r="D895" i="1"/>
  <c r="B895" i="1"/>
  <c r="A895" i="1"/>
  <c r="J1193" i="1"/>
  <c r="I1193" i="1"/>
  <c r="H1193" i="1"/>
  <c r="G1193" i="1"/>
  <c r="F1193" i="1"/>
  <c r="E1193" i="1"/>
  <c r="D1193" i="1"/>
  <c r="B1193" i="1"/>
  <c r="A1193" i="1"/>
  <c r="J1271" i="1"/>
  <c r="I1271" i="1"/>
  <c r="H1271" i="1"/>
  <c r="G1271" i="1"/>
  <c r="F1271" i="1"/>
  <c r="E1271" i="1"/>
  <c r="D1271" i="1"/>
  <c r="B1271" i="1"/>
  <c r="A1271" i="1"/>
  <c r="J2024" i="1"/>
  <c r="I2024" i="1"/>
  <c r="H2024" i="1"/>
  <c r="G2024" i="1"/>
  <c r="F2024" i="1"/>
  <c r="E2024" i="1"/>
  <c r="D2024" i="1"/>
  <c r="B2024" i="1"/>
  <c r="A2024" i="1"/>
  <c r="J3206" i="1"/>
  <c r="I3206" i="1"/>
  <c r="H3206" i="1"/>
  <c r="G3206" i="1"/>
  <c r="F3206" i="1"/>
  <c r="E3206" i="1"/>
  <c r="D3206" i="1"/>
  <c r="B3206" i="1"/>
  <c r="A3206" i="1"/>
  <c r="J3096" i="1"/>
  <c r="I3096" i="1"/>
  <c r="H3096" i="1"/>
  <c r="G3096" i="1"/>
  <c r="F3096" i="1"/>
  <c r="E3096" i="1"/>
  <c r="D3096" i="1"/>
  <c r="B3096" i="1"/>
  <c r="A3096" i="1"/>
  <c r="J375" i="1"/>
  <c r="I375" i="1"/>
  <c r="H375" i="1"/>
  <c r="G375" i="1"/>
  <c r="F375" i="1"/>
  <c r="E375" i="1"/>
  <c r="D375" i="1"/>
  <c r="B375" i="1"/>
  <c r="A375" i="1"/>
  <c r="J1064" i="1"/>
  <c r="I1064" i="1"/>
  <c r="H1064" i="1"/>
  <c r="G1064" i="1"/>
  <c r="F1064" i="1"/>
  <c r="E1064" i="1"/>
  <c r="D1064" i="1"/>
  <c r="B1064" i="1"/>
  <c r="A1064" i="1"/>
  <c r="J546" i="1"/>
  <c r="I546" i="1"/>
  <c r="H546" i="1"/>
  <c r="G546" i="1"/>
  <c r="F546" i="1"/>
  <c r="E546" i="1"/>
  <c r="D546" i="1"/>
  <c r="B546" i="1"/>
  <c r="A546" i="1"/>
  <c r="J1364" i="1"/>
  <c r="I1364" i="1"/>
  <c r="H1364" i="1"/>
  <c r="G1364" i="1"/>
  <c r="F1364" i="1"/>
  <c r="E1364" i="1"/>
  <c r="D1364" i="1"/>
  <c r="B1364" i="1"/>
  <c r="A1364" i="1"/>
  <c r="J3070" i="1"/>
  <c r="I3070" i="1"/>
  <c r="H3070" i="1"/>
  <c r="G3070" i="1"/>
  <c r="F3070" i="1"/>
  <c r="E3070" i="1"/>
  <c r="D3070" i="1"/>
  <c r="B3070" i="1"/>
  <c r="A3070" i="1"/>
  <c r="J2468" i="1"/>
  <c r="I2468" i="1"/>
  <c r="H2468" i="1"/>
  <c r="G2468" i="1"/>
  <c r="F2468" i="1"/>
  <c r="E2468" i="1"/>
  <c r="D2468" i="1"/>
  <c r="B2468" i="1"/>
  <c r="A2468" i="1"/>
  <c r="J2381" i="1"/>
  <c r="I2381" i="1"/>
  <c r="H2381" i="1"/>
  <c r="G2381" i="1"/>
  <c r="F2381" i="1"/>
  <c r="E2381" i="1"/>
  <c r="D2381" i="1"/>
  <c r="B2381" i="1"/>
  <c r="A2381" i="1"/>
  <c r="J1336" i="1"/>
  <c r="I1336" i="1"/>
  <c r="H1336" i="1"/>
  <c r="G1336" i="1"/>
  <c r="F1336" i="1"/>
  <c r="E1336" i="1"/>
  <c r="D1336" i="1"/>
  <c r="B1336" i="1"/>
  <c r="A1336" i="1"/>
  <c r="J529" i="1"/>
  <c r="I529" i="1"/>
  <c r="H529" i="1"/>
  <c r="G529" i="1"/>
  <c r="F529" i="1"/>
  <c r="E529" i="1"/>
  <c r="D529" i="1"/>
  <c r="B529" i="1"/>
  <c r="A529" i="1"/>
  <c r="J1110" i="1"/>
  <c r="I1110" i="1"/>
  <c r="H1110" i="1"/>
  <c r="G1110" i="1"/>
  <c r="F1110" i="1"/>
  <c r="E1110" i="1"/>
  <c r="D1110" i="1"/>
  <c r="B1110" i="1"/>
  <c r="A1110" i="1"/>
  <c r="J2328" i="1"/>
  <c r="I2328" i="1"/>
  <c r="H2328" i="1"/>
  <c r="G2328" i="1"/>
  <c r="F2328" i="1"/>
  <c r="E2328" i="1"/>
  <c r="D2328" i="1"/>
  <c r="B2328" i="1"/>
  <c r="A2328" i="1"/>
  <c r="J811" i="1"/>
  <c r="I811" i="1"/>
  <c r="H811" i="1"/>
  <c r="G811" i="1"/>
  <c r="F811" i="1"/>
  <c r="E811" i="1"/>
  <c r="D811" i="1"/>
  <c r="B811" i="1"/>
  <c r="A811" i="1"/>
  <c r="J1993" i="1"/>
  <c r="I1993" i="1"/>
  <c r="H1993" i="1"/>
  <c r="G1993" i="1"/>
  <c r="F1993" i="1"/>
  <c r="E1993" i="1"/>
  <c r="D1993" i="1"/>
  <c r="B1993" i="1"/>
  <c r="A1993" i="1"/>
  <c r="J2286" i="1"/>
  <c r="I2286" i="1"/>
  <c r="H2286" i="1"/>
  <c r="G2286" i="1"/>
  <c r="F2286" i="1"/>
  <c r="E2286" i="1"/>
  <c r="D2286" i="1"/>
  <c r="B2286" i="1"/>
  <c r="A2286" i="1"/>
  <c r="J10" i="1"/>
  <c r="I10" i="1"/>
  <c r="H10" i="1"/>
  <c r="G10" i="1"/>
  <c r="F10" i="1"/>
  <c r="E10" i="1"/>
  <c r="D10" i="1"/>
  <c r="B10" i="1"/>
  <c r="A10" i="1"/>
  <c r="J3150" i="1"/>
  <c r="I3150" i="1"/>
  <c r="H3150" i="1"/>
  <c r="G3150" i="1"/>
  <c r="F3150" i="1"/>
  <c r="E3150" i="1"/>
  <c r="D3150" i="1"/>
  <c r="B3150" i="1"/>
  <c r="A3150" i="1"/>
  <c r="J428" i="1"/>
  <c r="I428" i="1"/>
  <c r="H428" i="1"/>
  <c r="G428" i="1"/>
  <c r="F428" i="1"/>
  <c r="E428" i="1"/>
  <c r="D428" i="1"/>
  <c r="B428" i="1"/>
  <c r="A428" i="1"/>
  <c r="J27" i="1"/>
  <c r="I27" i="1"/>
  <c r="H27" i="1"/>
  <c r="G27" i="1"/>
  <c r="F27" i="1"/>
  <c r="E27" i="1"/>
  <c r="D27" i="1"/>
  <c r="B27" i="1"/>
  <c r="A27" i="1"/>
  <c r="J1135" i="1"/>
  <c r="I1135" i="1"/>
  <c r="H1135" i="1"/>
  <c r="G1135" i="1"/>
  <c r="F1135" i="1"/>
  <c r="E1135" i="1"/>
  <c r="D1135" i="1"/>
  <c r="B1135" i="1"/>
  <c r="A1135" i="1"/>
  <c r="J790" i="1"/>
  <c r="I790" i="1"/>
  <c r="H790" i="1"/>
  <c r="G790" i="1"/>
  <c r="F790" i="1"/>
  <c r="E790" i="1"/>
  <c r="D790" i="1"/>
  <c r="B790" i="1"/>
  <c r="A790" i="1"/>
  <c r="J2434" i="1"/>
  <c r="I2434" i="1"/>
  <c r="H2434" i="1"/>
  <c r="G2434" i="1"/>
  <c r="F2434" i="1"/>
  <c r="E2434" i="1"/>
  <c r="D2434" i="1"/>
  <c r="B2434" i="1"/>
  <c r="A2434" i="1"/>
  <c r="J839" i="1"/>
  <c r="I839" i="1"/>
  <c r="H839" i="1"/>
  <c r="G839" i="1"/>
  <c r="F839" i="1"/>
  <c r="E839" i="1"/>
  <c r="D839" i="1"/>
  <c r="B839" i="1"/>
  <c r="A839" i="1"/>
  <c r="J1192" i="1"/>
  <c r="I1192" i="1"/>
  <c r="H1192" i="1"/>
  <c r="G1192" i="1"/>
  <c r="F1192" i="1"/>
  <c r="E1192" i="1"/>
  <c r="D1192" i="1"/>
  <c r="B1192" i="1"/>
  <c r="A1192" i="1"/>
  <c r="J1270" i="1"/>
  <c r="I1270" i="1"/>
  <c r="H1270" i="1"/>
  <c r="G1270" i="1"/>
  <c r="F1270" i="1"/>
  <c r="E1270" i="1"/>
  <c r="D1270" i="1"/>
  <c r="B1270" i="1"/>
  <c r="A1270" i="1"/>
  <c r="J2023" i="1"/>
  <c r="I2023" i="1"/>
  <c r="H2023" i="1"/>
  <c r="G2023" i="1"/>
  <c r="F2023" i="1"/>
  <c r="E2023" i="1"/>
  <c r="D2023" i="1"/>
  <c r="B2023" i="1"/>
  <c r="A2023" i="1"/>
  <c r="J3205" i="1"/>
  <c r="I3205" i="1"/>
  <c r="H3205" i="1"/>
  <c r="G3205" i="1"/>
  <c r="F3205" i="1"/>
  <c r="E3205" i="1"/>
  <c r="D3205" i="1"/>
  <c r="B3205" i="1"/>
  <c r="A3205" i="1"/>
  <c r="J478" i="1"/>
  <c r="I478" i="1"/>
  <c r="H478" i="1"/>
  <c r="G478" i="1"/>
  <c r="F478" i="1"/>
  <c r="E478" i="1"/>
  <c r="D478" i="1"/>
  <c r="B478" i="1"/>
  <c r="A478" i="1"/>
  <c r="J2519" i="1"/>
  <c r="I2519" i="1"/>
  <c r="H2519" i="1"/>
  <c r="G2519" i="1"/>
  <c r="F2519" i="1"/>
  <c r="E2519" i="1"/>
  <c r="D2519" i="1"/>
  <c r="B2519" i="1"/>
  <c r="A2519" i="1"/>
  <c r="J1407" i="1"/>
  <c r="I1407" i="1"/>
  <c r="H1407" i="1"/>
  <c r="G1407" i="1"/>
  <c r="F1407" i="1"/>
  <c r="E1407" i="1"/>
  <c r="D1407" i="1"/>
  <c r="B1407" i="1"/>
  <c r="A1407" i="1"/>
  <c r="J894" i="1"/>
  <c r="I894" i="1"/>
  <c r="H894" i="1"/>
  <c r="G894" i="1"/>
  <c r="F894" i="1"/>
  <c r="E894" i="1"/>
  <c r="D894" i="1"/>
  <c r="B894" i="1"/>
  <c r="A894" i="1"/>
  <c r="J2769" i="1"/>
  <c r="I2769" i="1"/>
  <c r="H2769" i="1"/>
  <c r="G2769" i="1"/>
  <c r="F2769" i="1"/>
  <c r="E2769" i="1"/>
  <c r="D2769" i="1"/>
  <c r="B2769" i="1"/>
  <c r="A2769" i="1"/>
  <c r="J609" i="1"/>
  <c r="I609" i="1"/>
  <c r="H609" i="1"/>
  <c r="G609" i="1"/>
  <c r="F609" i="1"/>
  <c r="E609" i="1"/>
  <c r="D609" i="1"/>
  <c r="B609" i="1"/>
  <c r="A609" i="1"/>
  <c r="J89" i="1"/>
  <c r="I89" i="1"/>
  <c r="H89" i="1"/>
  <c r="G89" i="1"/>
  <c r="F89" i="1"/>
  <c r="E89" i="1"/>
  <c r="D89" i="1"/>
  <c r="B89" i="1"/>
  <c r="A89" i="1"/>
  <c r="J2104" i="1"/>
  <c r="I2104" i="1"/>
  <c r="H2104" i="1"/>
  <c r="G2104" i="1"/>
  <c r="F2104" i="1"/>
  <c r="E2104" i="1"/>
  <c r="D2104" i="1"/>
  <c r="B2104" i="1"/>
  <c r="A2104" i="1"/>
  <c r="J2327" i="1"/>
  <c r="I2327" i="1"/>
  <c r="H2327" i="1"/>
  <c r="G2327" i="1"/>
  <c r="F2327" i="1"/>
  <c r="E2327" i="1"/>
  <c r="D2327" i="1"/>
  <c r="B2327" i="1"/>
  <c r="A2327" i="1"/>
  <c r="J2285" i="1"/>
  <c r="I2285" i="1"/>
  <c r="H2285" i="1"/>
  <c r="G2285" i="1"/>
  <c r="F2285" i="1"/>
  <c r="E2285" i="1"/>
  <c r="D2285" i="1"/>
  <c r="B2285" i="1"/>
  <c r="A2285" i="1"/>
  <c r="J2284" i="1"/>
  <c r="I2284" i="1"/>
  <c r="H2284" i="1"/>
  <c r="G2284" i="1"/>
  <c r="F2284" i="1"/>
  <c r="E2284" i="1"/>
  <c r="D2284" i="1"/>
  <c r="B2284" i="1"/>
  <c r="A2284" i="1"/>
  <c r="J3149" i="1"/>
  <c r="I3149" i="1"/>
  <c r="H3149" i="1"/>
  <c r="G3149" i="1"/>
  <c r="F3149" i="1"/>
  <c r="E3149" i="1"/>
  <c r="D3149" i="1"/>
  <c r="B3149" i="1"/>
  <c r="A3149" i="1"/>
  <c r="J427" i="1"/>
  <c r="I427" i="1"/>
  <c r="H427" i="1"/>
  <c r="G427" i="1"/>
  <c r="F427" i="1"/>
  <c r="E427" i="1"/>
  <c r="D427" i="1"/>
  <c r="B427" i="1"/>
  <c r="A427" i="1"/>
  <c r="J1335" i="1"/>
  <c r="I1335" i="1"/>
  <c r="H1335" i="1"/>
  <c r="G1335" i="1"/>
  <c r="F1335" i="1"/>
  <c r="E1335" i="1"/>
  <c r="D1335" i="1"/>
  <c r="B1335" i="1"/>
  <c r="A1335" i="1"/>
  <c r="J528" i="1"/>
  <c r="I528" i="1"/>
  <c r="H528" i="1"/>
  <c r="G528" i="1"/>
  <c r="F528" i="1"/>
  <c r="E528" i="1"/>
  <c r="D528" i="1"/>
  <c r="B528" i="1"/>
  <c r="A528" i="1"/>
  <c r="J1109" i="1"/>
  <c r="I1109" i="1"/>
  <c r="H1109" i="1"/>
  <c r="G1109" i="1"/>
  <c r="F1109" i="1"/>
  <c r="E1109" i="1"/>
  <c r="D1109" i="1"/>
  <c r="B1109" i="1"/>
  <c r="A1109" i="1"/>
  <c r="J810" i="1"/>
  <c r="I810" i="1"/>
  <c r="H810" i="1"/>
  <c r="G810" i="1"/>
  <c r="F810" i="1"/>
  <c r="E810" i="1"/>
  <c r="D810" i="1"/>
  <c r="B810" i="1"/>
  <c r="A810" i="1"/>
  <c r="J1992" i="1"/>
  <c r="I1992" i="1"/>
  <c r="H1992" i="1"/>
  <c r="G1992" i="1"/>
  <c r="F1992" i="1"/>
  <c r="E1992" i="1"/>
  <c r="D1992" i="1"/>
  <c r="B1992" i="1"/>
  <c r="A1992" i="1"/>
  <c r="J9" i="1"/>
  <c r="I9" i="1"/>
  <c r="H9" i="1"/>
  <c r="G9" i="1"/>
  <c r="F9" i="1"/>
  <c r="E9" i="1"/>
  <c r="D9" i="1"/>
  <c r="B9" i="1"/>
  <c r="A9" i="1"/>
  <c r="J1191" i="1"/>
  <c r="I1191" i="1"/>
  <c r="H1191" i="1"/>
  <c r="G1191" i="1"/>
  <c r="F1191" i="1"/>
  <c r="E1191" i="1"/>
  <c r="D1191" i="1"/>
  <c r="B1191" i="1"/>
  <c r="A1191" i="1"/>
  <c r="J1269" i="1"/>
  <c r="I1269" i="1"/>
  <c r="H1269" i="1"/>
  <c r="G1269" i="1"/>
  <c r="F1269" i="1"/>
  <c r="E1269" i="1"/>
  <c r="D1269" i="1"/>
  <c r="B1269" i="1"/>
  <c r="A1269" i="1"/>
  <c r="J2022" i="1"/>
  <c r="I2022" i="1"/>
  <c r="H2022" i="1"/>
  <c r="G2022" i="1"/>
  <c r="F2022" i="1"/>
  <c r="E2022" i="1"/>
  <c r="D2022" i="1"/>
  <c r="B2022" i="1"/>
  <c r="A2022" i="1"/>
  <c r="J2433" i="1"/>
  <c r="I2433" i="1"/>
  <c r="H2433" i="1"/>
  <c r="G2433" i="1"/>
  <c r="F2433" i="1"/>
  <c r="E2433" i="1"/>
  <c r="D2433" i="1"/>
  <c r="B2433" i="1"/>
  <c r="A2433" i="1"/>
  <c r="J477" i="1"/>
  <c r="I477" i="1"/>
  <c r="H477" i="1"/>
  <c r="G477" i="1"/>
  <c r="F477" i="1"/>
  <c r="E477" i="1"/>
  <c r="D477" i="1"/>
  <c r="B477" i="1"/>
  <c r="A477" i="1"/>
  <c r="J2518" i="1"/>
  <c r="I2518" i="1"/>
  <c r="H2518" i="1"/>
  <c r="G2518" i="1"/>
  <c r="F2518" i="1"/>
  <c r="E2518" i="1"/>
  <c r="D2518" i="1"/>
  <c r="B2518" i="1"/>
  <c r="A2518" i="1"/>
  <c r="J1406" i="1"/>
  <c r="I1406" i="1"/>
  <c r="H1406" i="1"/>
  <c r="G1406" i="1"/>
  <c r="F1406" i="1"/>
  <c r="E1406" i="1"/>
  <c r="D1406" i="1"/>
  <c r="B1406" i="1"/>
  <c r="A1406" i="1"/>
  <c r="J893" i="1"/>
  <c r="I893" i="1"/>
  <c r="H893" i="1"/>
  <c r="G893" i="1"/>
  <c r="F893" i="1"/>
  <c r="E893" i="1"/>
  <c r="D893" i="1"/>
  <c r="B893" i="1"/>
  <c r="A893" i="1"/>
  <c r="J1363" i="1"/>
  <c r="I1363" i="1"/>
  <c r="H1363" i="1"/>
  <c r="G1363" i="1"/>
  <c r="F1363" i="1"/>
  <c r="E1363" i="1"/>
  <c r="D1363" i="1"/>
  <c r="B1363" i="1"/>
  <c r="A1363" i="1"/>
  <c r="J3069" i="1"/>
  <c r="I3069" i="1"/>
  <c r="H3069" i="1"/>
  <c r="G3069" i="1"/>
  <c r="F3069" i="1"/>
  <c r="E3069" i="1"/>
  <c r="D3069" i="1"/>
  <c r="B3069" i="1"/>
  <c r="A3069" i="1"/>
  <c r="J2467" i="1"/>
  <c r="I2467" i="1"/>
  <c r="H2467" i="1"/>
  <c r="G2467" i="1"/>
  <c r="F2467" i="1"/>
  <c r="E2467" i="1"/>
  <c r="D2467" i="1"/>
  <c r="B2467" i="1"/>
  <c r="A2467" i="1"/>
  <c r="J2380" i="1"/>
  <c r="I2380" i="1"/>
  <c r="H2380" i="1"/>
  <c r="G2380" i="1"/>
  <c r="F2380" i="1"/>
  <c r="E2380" i="1"/>
  <c r="D2380" i="1"/>
  <c r="B2380" i="1"/>
  <c r="A2380" i="1"/>
  <c r="J789" i="1"/>
  <c r="I789" i="1"/>
  <c r="H789" i="1"/>
  <c r="G789" i="1"/>
  <c r="F789" i="1"/>
  <c r="E789" i="1"/>
  <c r="D789" i="1"/>
  <c r="B789" i="1"/>
  <c r="A789" i="1"/>
  <c r="J838" i="1"/>
  <c r="I838" i="1"/>
  <c r="H838" i="1"/>
  <c r="G838" i="1"/>
  <c r="F838" i="1"/>
  <c r="E838" i="1"/>
  <c r="D838" i="1"/>
  <c r="B838" i="1"/>
  <c r="A838" i="1"/>
  <c r="J2768" i="1"/>
  <c r="I2768" i="1"/>
  <c r="H2768" i="1"/>
  <c r="G2768" i="1"/>
  <c r="F2768" i="1"/>
  <c r="E2768" i="1"/>
  <c r="D2768" i="1"/>
  <c r="B2768" i="1"/>
  <c r="A2768" i="1"/>
  <c r="J608" i="1"/>
  <c r="I608" i="1"/>
  <c r="H608" i="1"/>
  <c r="G608" i="1"/>
  <c r="F608" i="1"/>
  <c r="E608" i="1"/>
  <c r="D608" i="1"/>
  <c r="B608" i="1"/>
  <c r="A608" i="1"/>
  <c r="J88" i="1"/>
  <c r="I88" i="1"/>
  <c r="H88" i="1"/>
  <c r="G88" i="1"/>
  <c r="F88" i="1"/>
  <c r="E88" i="1"/>
  <c r="D88" i="1"/>
  <c r="B88" i="1"/>
  <c r="A88" i="1"/>
  <c r="J2103" i="1"/>
  <c r="I2103" i="1"/>
  <c r="H2103" i="1"/>
  <c r="G2103" i="1"/>
  <c r="F2103" i="1"/>
  <c r="E2103" i="1"/>
  <c r="D2103" i="1"/>
  <c r="B2103" i="1"/>
  <c r="A2103" i="1"/>
  <c r="J1039" i="1"/>
  <c r="I1039" i="1"/>
  <c r="H1039" i="1"/>
  <c r="G1039" i="1"/>
  <c r="F1039" i="1"/>
  <c r="E1039" i="1"/>
  <c r="D1039" i="1"/>
  <c r="B1039" i="1"/>
  <c r="A1039" i="1"/>
  <c r="J863" i="1"/>
  <c r="I863" i="1"/>
  <c r="H863" i="1"/>
  <c r="G863" i="1"/>
  <c r="F863" i="1"/>
  <c r="E863" i="1"/>
  <c r="D863" i="1"/>
  <c r="B863" i="1"/>
  <c r="A863" i="1"/>
  <c r="J3204" i="1"/>
  <c r="I3204" i="1"/>
  <c r="H3204" i="1"/>
  <c r="G3204" i="1"/>
  <c r="F3204" i="1"/>
  <c r="E3204" i="1"/>
  <c r="D3204" i="1"/>
  <c r="B3204" i="1"/>
  <c r="A3204" i="1"/>
  <c r="J2326" i="1"/>
  <c r="I2326" i="1"/>
  <c r="H2326" i="1"/>
  <c r="G2326" i="1"/>
  <c r="F2326" i="1"/>
  <c r="E2326" i="1"/>
  <c r="D2326" i="1"/>
  <c r="B2326" i="1"/>
  <c r="A2326" i="1"/>
  <c r="J2283" i="1"/>
  <c r="I2283" i="1"/>
  <c r="H2283" i="1"/>
  <c r="G2283" i="1"/>
  <c r="F2283" i="1"/>
  <c r="E2283" i="1"/>
  <c r="D2283" i="1"/>
  <c r="B2283" i="1"/>
  <c r="A2283" i="1"/>
  <c r="J3148" i="1"/>
  <c r="I3148" i="1"/>
  <c r="H3148" i="1"/>
  <c r="G3148" i="1"/>
  <c r="F3148" i="1"/>
  <c r="E3148" i="1"/>
  <c r="D3148" i="1"/>
  <c r="B3148" i="1"/>
  <c r="A3148" i="1"/>
  <c r="J426" i="1"/>
  <c r="I426" i="1"/>
  <c r="H426" i="1"/>
  <c r="G426" i="1"/>
  <c r="F426" i="1"/>
  <c r="E426" i="1"/>
  <c r="D426" i="1"/>
  <c r="B426" i="1"/>
  <c r="A426" i="1"/>
  <c r="J545" i="1"/>
  <c r="I545" i="1"/>
  <c r="H545" i="1"/>
  <c r="G545" i="1"/>
  <c r="F545" i="1"/>
  <c r="E545" i="1"/>
  <c r="D545" i="1"/>
  <c r="B545" i="1"/>
  <c r="A545" i="1"/>
  <c r="J374" i="1"/>
  <c r="I374" i="1"/>
  <c r="H374" i="1"/>
  <c r="G374" i="1"/>
  <c r="F374" i="1"/>
  <c r="E374" i="1"/>
  <c r="D374" i="1"/>
  <c r="B374" i="1"/>
  <c r="A374" i="1"/>
  <c r="J3095" i="1"/>
  <c r="I3095" i="1"/>
  <c r="H3095" i="1"/>
  <c r="G3095" i="1"/>
  <c r="F3095" i="1"/>
  <c r="E3095" i="1"/>
  <c r="D3095" i="1"/>
  <c r="B3095" i="1"/>
  <c r="A3095" i="1"/>
  <c r="J1063" i="1"/>
  <c r="I1063" i="1"/>
  <c r="H1063" i="1"/>
  <c r="G1063" i="1"/>
  <c r="F1063" i="1"/>
  <c r="E1063" i="1"/>
  <c r="D1063" i="1"/>
  <c r="B1063" i="1"/>
  <c r="A1063" i="1"/>
  <c r="J1362" i="1"/>
  <c r="I1362" i="1"/>
  <c r="H1362" i="1"/>
  <c r="G1362" i="1"/>
  <c r="F1362" i="1"/>
  <c r="E1362" i="1"/>
  <c r="D1362" i="1"/>
  <c r="B1362" i="1"/>
  <c r="A1362" i="1"/>
  <c r="J1038" i="1"/>
  <c r="I1038" i="1"/>
  <c r="H1038" i="1"/>
  <c r="G1038" i="1"/>
  <c r="F1038" i="1"/>
  <c r="E1038" i="1"/>
  <c r="D1038" i="1"/>
  <c r="B1038" i="1"/>
  <c r="A1038" i="1"/>
  <c r="J862" i="1"/>
  <c r="I862" i="1"/>
  <c r="H862" i="1"/>
  <c r="G862" i="1"/>
  <c r="F862" i="1"/>
  <c r="E862" i="1"/>
  <c r="D862" i="1"/>
  <c r="B862" i="1"/>
  <c r="A862" i="1"/>
  <c r="J527" i="1"/>
  <c r="I527" i="1"/>
  <c r="H527" i="1"/>
  <c r="G527" i="1"/>
  <c r="F527" i="1"/>
  <c r="E527" i="1"/>
  <c r="D527" i="1"/>
  <c r="B527" i="1"/>
  <c r="A527" i="1"/>
  <c r="J1334" i="1"/>
  <c r="I1334" i="1"/>
  <c r="H1334" i="1"/>
  <c r="G1334" i="1"/>
  <c r="F1334" i="1"/>
  <c r="E1334" i="1"/>
  <c r="D1334" i="1"/>
  <c r="B1334" i="1"/>
  <c r="A1334" i="1"/>
  <c r="J1108" i="1"/>
  <c r="I1108" i="1"/>
  <c r="H1108" i="1"/>
  <c r="G1108" i="1"/>
  <c r="F1108" i="1"/>
  <c r="E1108" i="1"/>
  <c r="D1108" i="1"/>
  <c r="B1108" i="1"/>
  <c r="A1108" i="1"/>
  <c r="J1190" i="1"/>
  <c r="I1190" i="1"/>
  <c r="H1190" i="1"/>
  <c r="G1190" i="1"/>
  <c r="F1190" i="1"/>
  <c r="E1190" i="1"/>
  <c r="D1190" i="1"/>
  <c r="B1190" i="1"/>
  <c r="A1190" i="1"/>
  <c r="J1268" i="1"/>
  <c r="I1268" i="1"/>
  <c r="H1268" i="1"/>
  <c r="G1268" i="1"/>
  <c r="F1268" i="1"/>
  <c r="E1268" i="1"/>
  <c r="D1268" i="1"/>
  <c r="B1268" i="1"/>
  <c r="A1268" i="1"/>
  <c r="J2021" i="1"/>
  <c r="I2021" i="1"/>
  <c r="H2021" i="1"/>
  <c r="G2021" i="1"/>
  <c r="F2021" i="1"/>
  <c r="E2021" i="1"/>
  <c r="D2021" i="1"/>
  <c r="B2021" i="1"/>
  <c r="A2021" i="1"/>
  <c r="J809" i="1"/>
  <c r="I809" i="1"/>
  <c r="H809" i="1"/>
  <c r="G809" i="1"/>
  <c r="F809" i="1"/>
  <c r="E809" i="1"/>
  <c r="D809" i="1"/>
  <c r="B809" i="1"/>
  <c r="A809" i="1"/>
  <c r="J1991" i="1"/>
  <c r="I1991" i="1"/>
  <c r="H1991" i="1"/>
  <c r="G1991" i="1"/>
  <c r="F1991" i="1"/>
  <c r="E1991" i="1"/>
  <c r="D1991" i="1"/>
  <c r="B1991" i="1"/>
  <c r="A1991" i="1"/>
  <c r="J8" i="1"/>
  <c r="I8" i="1"/>
  <c r="H8" i="1"/>
  <c r="G8" i="1"/>
  <c r="F8" i="1"/>
  <c r="E8" i="1"/>
  <c r="D8" i="1"/>
  <c r="B8" i="1"/>
  <c r="A8" i="1"/>
  <c r="J3068" i="1"/>
  <c r="I3068" i="1"/>
  <c r="H3068" i="1"/>
  <c r="G3068" i="1"/>
  <c r="F3068" i="1"/>
  <c r="E3068" i="1"/>
  <c r="D3068" i="1"/>
  <c r="B3068" i="1"/>
  <c r="A3068" i="1"/>
  <c r="J2466" i="1"/>
  <c r="I2466" i="1"/>
  <c r="H2466" i="1"/>
  <c r="G2466" i="1"/>
  <c r="F2466" i="1"/>
  <c r="E2466" i="1"/>
  <c r="D2466" i="1"/>
  <c r="B2466" i="1"/>
  <c r="A2466" i="1"/>
  <c r="J26" i="1"/>
  <c r="I26" i="1"/>
  <c r="H26" i="1"/>
  <c r="G26" i="1"/>
  <c r="F26" i="1"/>
  <c r="E26" i="1"/>
  <c r="D26" i="1"/>
  <c r="B26" i="1"/>
  <c r="A26" i="1"/>
  <c r="J2379" i="1"/>
  <c r="I2379" i="1"/>
  <c r="H2379" i="1"/>
  <c r="G2379" i="1"/>
  <c r="F2379" i="1"/>
  <c r="E2379" i="1"/>
  <c r="D2379" i="1"/>
  <c r="B2379" i="1"/>
  <c r="A2379" i="1"/>
  <c r="J1134" i="1"/>
  <c r="I1134" i="1"/>
  <c r="H1134" i="1"/>
  <c r="G1134" i="1"/>
  <c r="F1134" i="1"/>
  <c r="E1134" i="1"/>
  <c r="D1134" i="1"/>
  <c r="B1134" i="1"/>
  <c r="A1134" i="1"/>
  <c r="J2767" i="1"/>
  <c r="I2767" i="1"/>
  <c r="H2767" i="1"/>
  <c r="G2767" i="1"/>
  <c r="F2767" i="1"/>
  <c r="E2767" i="1"/>
  <c r="D2767" i="1"/>
  <c r="B2767" i="1"/>
  <c r="A2767" i="1"/>
  <c r="J87" i="1"/>
  <c r="I87" i="1"/>
  <c r="H87" i="1"/>
  <c r="G87" i="1"/>
  <c r="F87" i="1"/>
  <c r="E87" i="1"/>
  <c r="D87" i="1"/>
  <c r="B87" i="1"/>
  <c r="A87" i="1"/>
  <c r="J607" i="1"/>
  <c r="I607" i="1"/>
  <c r="H607" i="1"/>
  <c r="G607" i="1"/>
  <c r="F607" i="1"/>
  <c r="E607" i="1"/>
  <c r="D607" i="1"/>
  <c r="B607" i="1"/>
  <c r="A607" i="1"/>
  <c r="J2102" i="1"/>
  <c r="I2102" i="1"/>
  <c r="H2102" i="1"/>
  <c r="G2102" i="1"/>
  <c r="F2102" i="1"/>
  <c r="E2102" i="1"/>
  <c r="D2102" i="1"/>
  <c r="B2102" i="1"/>
  <c r="A2102" i="1"/>
  <c r="J2101" i="1"/>
  <c r="I2101" i="1"/>
  <c r="H2101" i="1"/>
  <c r="G2101" i="1"/>
  <c r="F2101" i="1"/>
  <c r="E2101" i="1"/>
  <c r="D2101" i="1"/>
  <c r="B2101" i="1"/>
  <c r="A2101" i="1"/>
  <c r="J3203" i="1"/>
  <c r="I3203" i="1"/>
  <c r="H3203" i="1"/>
  <c r="G3203" i="1"/>
  <c r="F3203" i="1"/>
  <c r="E3203" i="1"/>
  <c r="D3203" i="1"/>
  <c r="B3203" i="1"/>
  <c r="A3203" i="1"/>
  <c r="J476" i="1"/>
  <c r="I476" i="1"/>
  <c r="H476" i="1"/>
  <c r="G476" i="1"/>
  <c r="F476" i="1"/>
  <c r="E476" i="1"/>
  <c r="D476" i="1"/>
  <c r="B476" i="1"/>
  <c r="A476" i="1"/>
  <c r="J2517" i="1"/>
  <c r="I2517" i="1"/>
  <c r="H2517" i="1"/>
  <c r="G2517" i="1"/>
  <c r="F2517" i="1"/>
  <c r="E2517" i="1"/>
  <c r="D2517" i="1"/>
  <c r="B2517" i="1"/>
  <c r="A2517" i="1"/>
  <c r="J1405" i="1"/>
  <c r="I1405" i="1"/>
  <c r="H1405" i="1"/>
  <c r="G1405" i="1"/>
  <c r="F1405" i="1"/>
  <c r="E1405" i="1"/>
  <c r="D1405" i="1"/>
  <c r="B1405" i="1"/>
  <c r="A1405" i="1"/>
  <c r="J892" i="1"/>
  <c r="I892" i="1"/>
  <c r="H892" i="1"/>
  <c r="G892" i="1"/>
  <c r="F892" i="1"/>
  <c r="E892" i="1"/>
  <c r="D892" i="1"/>
  <c r="B892" i="1"/>
  <c r="A892" i="1"/>
  <c r="J373" i="1"/>
  <c r="I373" i="1"/>
  <c r="H373" i="1"/>
  <c r="G373" i="1"/>
  <c r="F373" i="1"/>
  <c r="E373" i="1"/>
  <c r="D373" i="1"/>
  <c r="B373" i="1"/>
  <c r="A373" i="1"/>
  <c r="J3094" i="1"/>
  <c r="I3094" i="1"/>
  <c r="H3094" i="1"/>
  <c r="G3094" i="1"/>
  <c r="F3094" i="1"/>
  <c r="E3094" i="1"/>
  <c r="D3094" i="1"/>
  <c r="B3094" i="1"/>
  <c r="A3094" i="1"/>
  <c r="J544" i="1"/>
  <c r="I544" i="1"/>
  <c r="H544" i="1"/>
  <c r="G544" i="1"/>
  <c r="F544" i="1"/>
  <c r="E544" i="1"/>
  <c r="D544" i="1"/>
  <c r="B544" i="1"/>
  <c r="A544" i="1"/>
  <c r="J1062" i="1"/>
  <c r="I1062" i="1"/>
  <c r="H1062" i="1"/>
  <c r="G1062" i="1"/>
  <c r="F1062" i="1"/>
  <c r="E1062" i="1"/>
  <c r="D1062" i="1"/>
  <c r="B1062" i="1"/>
  <c r="A1062" i="1"/>
  <c r="J861" i="1"/>
  <c r="I861" i="1"/>
  <c r="H861" i="1"/>
  <c r="G861" i="1"/>
  <c r="F861" i="1"/>
  <c r="E861" i="1"/>
  <c r="D861" i="1"/>
  <c r="B861" i="1"/>
  <c r="A861" i="1"/>
  <c r="J606" i="1"/>
  <c r="I606" i="1"/>
  <c r="H606" i="1"/>
  <c r="G606" i="1"/>
  <c r="F606" i="1"/>
  <c r="E606" i="1"/>
  <c r="D606" i="1"/>
  <c r="B606" i="1"/>
  <c r="A606" i="1"/>
  <c r="J2766" i="1"/>
  <c r="I2766" i="1"/>
  <c r="H2766" i="1"/>
  <c r="G2766" i="1"/>
  <c r="F2766" i="1"/>
  <c r="E2766" i="1"/>
  <c r="D2766" i="1"/>
  <c r="B2766" i="1"/>
  <c r="A2766" i="1"/>
  <c r="J86" i="1"/>
  <c r="I86" i="1"/>
  <c r="H86" i="1"/>
  <c r="G86" i="1"/>
  <c r="F86" i="1"/>
  <c r="E86" i="1"/>
  <c r="D86" i="1"/>
  <c r="B86" i="1"/>
  <c r="A86" i="1"/>
  <c r="J2100" i="1"/>
  <c r="I2100" i="1"/>
  <c r="H2100" i="1"/>
  <c r="G2100" i="1"/>
  <c r="F2100" i="1"/>
  <c r="E2100" i="1"/>
  <c r="D2100" i="1"/>
  <c r="B2100" i="1"/>
  <c r="A2100" i="1"/>
  <c r="J2432" i="1"/>
  <c r="I2432" i="1"/>
  <c r="H2432" i="1"/>
  <c r="G2432" i="1"/>
  <c r="F2432" i="1"/>
  <c r="E2432" i="1"/>
  <c r="D2432" i="1"/>
  <c r="B2432" i="1"/>
  <c r="A2432" i="1"/>
  <c r="J837" i="1"/>
  <c r="I837" i="1"/>
  <c r="H837" i="1"/>
  <c r="G837" i="1"/>
  <c r="F837" i="1"/>
  <c r="E837" i="1"/>
  <c r="D837" i="1"/>
  <c r="B837" i="1"/>
  <c r="A837" i="1"/>
  <c r="J788" i="1"/>
  <c r="I788" i="1"/>
  <c r="H788" i="1"/>
  <c r="G788" i="1"/>
  <c r="F788" i="1"/>
  <c r="E788" i="1"/>
  <c r="D788" i="1"/>
  <c r="B788" i="1"/>
  <c r="A788" i="1"/>
  <c r="J3202" i="1"/>
  <c r="I3202" i="1"/>
  <c r="H3202" i="1"/>
  <c r="G3202" i="1"/>
  <c r="F3202" i="1"/>
  <c r="E3202" i="1"/>
  <c r="D3202" i="1"/>
  <c r="B3202" i="1"/>
  <c r="A3202" i="1"/>
  <c r="J475" i="1"/>
  <c r="I475" i="1"/>
  <c r="H475" i="1"/>
  <c r="G475" i="1"/>
  <c r="F475" i="1"/>
  <c r="E475" i="1"/>
  <c r="D475" i="1"/>
  <c r="B475" i="1"/>
  <c r="A475" i="1"/>
  <c r="J2516" i="1"/>
  <c r="I2516" i="1"/>
  <c r="H2516" i="1"/>
  <c r="G2516" i="1"/>
  <c r="F2516" i="1"/>
  <c r="E2516" i="1"/>
  <c r="D2516" i="1"/>
  <c r="B2516" i="1"/>
  <c r="A2516" i="1"/>
  <c r="J1404" i="1"/>
  <c r="I1404" i="1"/>
  <c r="H1404" i="1"/>
  <c r="G1404" i="1"/>
  <c r="F1404" i="1"/>
  <c r="E1404" i="1"/>
  <c r="D1404" i="1"/>
  <c r="B1404" i="1"/>
  <c r="A1404" i="1"/>
  <c r="J891" i="1"/>
  <c r="I891" i="1"/>
  <c r="H891" i="1"/>
  <c r="G891" i="1"/>
  <c r="F891" i="1"/>
  <c r="E891" i="1"/>
  <c r="D891" i="1"/>
  <c r="B891" i="1"/>
  <c r="A891" i="1"/>
  <c r="J2325" i="1"/>
  <c r="I2325" i="1"/>
  <c r="H2325" i="1"/>
  <c r="G2325" i="1"/>
  <c r="F2325" i="1"/>
  <c r="E2325" i="1"/>
  <c r="D2325" i="1"/>
  <c r="B2325" i="1"/>
  <c r="A2325" i="1"/>
  <c r="J2282" i="1"/>
  <c r="I2282" i="1"/>
  <c r="H2282" i="1"/>
  <c r="G2282" i="1"/>
  <c r="F2282" i="1"/>
  <c r="E2282" i="1"/>
  <c r="D2282" i="1"/>
  <c r="B2282" i="1"/>
  <c r="A2282" i="1"/>
  <c r="J3147" i="1"/>
  <c r="I3147" i="1"/>
  <c r="H3147" i="1"/>
  <c r="G3147" i="1"/>
  <c r="F3147" i="1"/>
  <c r="E3147" i="1"/>
  <c r="D3147" i="1"/>
  <c r="B3147" i="1"/>
  <c r="A3147" i="1"/>
  <c r="J425" i="1"/>
  <c r="I425" i="1"/>
  <c r="H425" i="1"/>
  <c r="G425" i="1"/>
  <c r="F425" i="1"/>
  <c r="E425" i="1"/>
  <c r="D425" i="1"/>
  <c r="B425" i="1"/>
  <c r="A425" i="1"/>
  <c r="J1361" i="1"/>
  <c r="I1361" i="1"/>
  <c r="H1361" i="1"/>
  <c r="G1361" i="1"/>
  <c r="F1361" i="1"/>
  <c r="E1361" i="1"/>
  <c r="D1361" i="1"/>
  <c r="B1361" i="1"/>
  <c r="A1361" i="1"/>
  <c r="J3201" i="1"/>
  <c r="I3201" i="1"/>
  <c r="H3201" i="1"/>
  <c r="G3201" i="1"/>
  <c r="F3201" i="1"/>
  <c r="E3201" i="1"/>
  <c r="D3201" i="1"/>
  <c r="B3201" i="1"/>
  <c r="A3201" i="1"/>
  <c r="J474" i="1"/>
  <c r="I474" i="1"/>
  <c r="H474" i="1"/>
  <c r="G474" i="1"/>
  <c r="F474" i="1"/>
  <c r="E474" i="1"/>
  <c r="D474" i="1"/>
  <c r="B474" i="1"/>
  <c r="A474" i="1"/>
  <c r="J2515" i="1"/>
  <c r="I2515" i="1"/>
  <c r="H2515" i="1"/>
  <c r="G2515" i="1"/>
  <c r="F2515" i="1"/>
  <c r="E2515" i="1"/>
  <c r="D2515" i="1"/>
  <c r="B2515" i="1"/>
  <c r="A2515" i="1"/>
  <c r="J1403" i="1"/>
  <c r="I1403" i="1"/>
  <c r="H1403" i="1"/>
  <c r="G1403" i="1"/>
  <c r="F1403" i="1"/>
  <c r="E1403" i="1"/>
  <c r="D1403" i="1"/>
  <c r="B1403" i="1"/>
  <c r="A1403" i="1"/>
  <c r="J890" i="1"/>
  <c r="I890" i="1"/>
  <c r="H890" i="1"/>
  <c r="G890" i="1"/>
  <c r="F890" i="1"/>
  <c r="E890" i="1"/>
  <c r="D890" i="1"/>
  <c r="B890" i="1"/>
  <c r="A890" i="1"/>
  <c r="J1189" i="1"/>
  <c r="I1189" i="1"/>
  <c r="H1189" i="1"/>
  <c r="G1189" i="1"/>
  <c r="F1189" i="1"/>
  <c r="E1189" i="1"/>
  <c r="D1189" i="1"/>
  <c r="B1189" i="1"/>
  <c r="A1189" i="1"/>
  <c r="J1267" i="1"/>
  <c r="I1267" i="1"/>
  <c r="H1267" i="1"/>
  <c r="G1267" i="1"/>
  <c r="F1267" i="1"/>
  <c r="E1267" i="1"/>
  <c r="D1267" i="1"/>
  <c r="B1267" i="1"/>
  <c r="A1267" i="1"/>
  <c r="J2020" i="1"/>
  <c r="I2020" i="1"/>
  <c r="H2020" i="1"/>
  <c r="G2020" i="1"/>
  <c r="F2020" i="1"/>
  <c r="E2020" i="1"/>
  <c r="D2020" i="1"/>
  <c r="B2020" i="1"/>
  <c r="A2020" i="1"/>
  <c r="J1037" i="1"/>
  <c r="I1037" i="1"/>
  <c r="H1037" i="1"/>
  <c r="G1037" i="1"/>
  <c r="F1037" i="1"/>
  <c r="E1037" i="1"/>
  <c r="D1037" i="1"/>
  <c r="B1037" i="1"/>
  <c r="A1037" i="1"/>
  <c r="J860" i="1"/>
  <c r="I860" i="1"/>
  <c r="H860" i="1"/>
  <c r="G860" i="1"/>
  <c r="F860" i="1"/>
  <c r="E860" i="1"/>
  <c r="D860" i="1"/>
  <c r="B860" i="1"/>
  <c r="A860" i="1"/>
  <c r="J2324" i="1"/>
  <c r="I2324" i="1"/>
  <c r="H2324" i="1"/>
  <c r="G2324" i="1"/>
  <c r="F2324" i="1"/>
  <c r="E2324" i="1"/>
  <c r="D2324" i="1"/>
  <c r="B2324" i="1"/>
  <c r="A2324" i="1"/>
  <c r="J2281" i="1"/>
  <c r="I2281" i="1"/>
  <c r="H2281" i="1"/>
  <c r="G2281" i="1"/>
  <c r="F2281" i="1"/>
  <c r="E2281" i="1"/>
  <c r="D2281" i="1"/>
  <c r="B2281" i="1"/>
  <c r="A2281" i="1"/>
  <c r="J3146" i="1"/>
  <c r="I3146" i="1"/>
  <c r="H3146" i="1"/>
  <c r="G3146" i="1"/>
  <c r="F3146" i="1"/>
  <c r="E3146" i="1"/>
  <c r="D3146" i="1"/>
  <c r="B3146" i="1"/>
  <c r="A3146" i="1"/>
  <c r="J424" i="1"/>
  <c r="I424" i="1"/>
  <c r="H424" i="1"/>
  <c r="G424" i="1"/>
  <c r="F424" i="1"/>
  <c r="E424" i="1"/>
  <c r="D424" i="1"/>
  <c r="B424" i="1"/>
  <c r="A424" i="1"/>
  <c r="J1360" i="1"/>
  <c r="I1360" i="1"/>
  <c r="H1360" i="1"/>
  <c r="G1360" i="1"/>
  <c r="F1360" i="1"/>
  <c r="E1360" i="1"/>
  <c r="D1360" i="1"/>
  <c r="B1360" i="1"/>
  <c r="A1360" i="1"/>
  <c r="J25" i="1"/>
  <c r="I25" i="1"/>
  <c r="H25" i="1"/>
  <c r="G25" i="1"/>
  <c r="F25" i="1"/>
  <c r="E25" i="1"/>
  <c r="D25" i="1"/>
  <c r="B25" i="1"/>
  <c r="A25" i="1"/>
  <c r="J1133" i="1"/>
  <c r="I1133" i="1"/>
  <c r="H1133" i="1"/>
  <c r="G1133" i="1"/>
  <c r="F1133" i="1"/>
  <c r="E1133" i="1"/>
  <c r="D1133" i="1"/>
  <c r="B1133" i="1"/>
  <c r="A1133" i="1"/>
  <c r="J3067" i="1"/>
  <c r="I3067" i="1"/>
  <c r="H3067" i="1"/>
  <c r="G3067" i="1"/>
  <c r="F3067" i="1"/>
  <c r="E3067" i="1"/>
  <c r="D3067" i="1"/>
  <c r="B3067" i="1"/>
  <c r="A3067" i="1"/>
  <c r="J2465" i="1"/>
  <c r="I2465" i="1"/>
  <c r="H2465" i="1"/>
  <c r="G2465" i="1"/>
  <c r="F2465" i="1"/>
  <c r="E2465" i="1"/>
  <c r="D2465" i="1"/>
  <c r="B2465" i="1"/>
  <c r="A2465" i="1"/>
  <c r="J2378" i="1"/>
  <c r="I2378" i="1"/>
  <c r="H2378" i="1"/>
  <c r="G2378" i="1"/>
  <c r="F2378" i="1"/>
  <c r="E2378" i="1"/>
  <c r="D2378" i="1"/>
  <c r="B2378" i="1"/>
  <c r="A2378" i="1"/>
  <c r="J2431" i="1"/>
  <c r="I2431" i="1"/>
  <c r="H2431" i="1"/>
  <c r="G2431" i="1"/>
  <c r="F2431" i="1"/>
  <c r="E2431" i="1"/>
  <c r="D2431" i="1"/>
  <c r="B2431" i="1"/>
  <c r="A2431" i="1"/>
  <c r="J836" i="1"/>
  <c r="I836" i="1"/>
  <c r="H836" i="1"/>
  <c r="G836" i="1"/>
  <c r="F836" i="1"/>
  <c r="E836" i="1"/>
  <c r="D836" i="1"/>
  <c r="B836" i="1"/>
  <c r="A836" i="1"/>
  <c r="J787" i="1"/>
  <c r="I787" i="1"/>
  <c r="H787" i="1"/>
  <c r="G787" i="1"/>
  <c r="F787" i="1"/>
  <c r="E787" i="1"/>
  <c r="D787" i="1"/>
  <c r="B787" i="1"/>
  <c r="A787" i="1"/>
  <c r="J3200" i="1"/>
  <c r="I3200" i="1"/>
  <c r="H3200" i="1"/>
  <c r="G3200" i="1"/>
  <c r="F3200" i="1"/>
  <c r="E3200" i="1"/>
  <c r="D3200" i="1"/>
  <c r="B3200" i="1"/>
  <c r="A3200" i="1"/>
  <c r="J473" i="1"/>
  <c r="I473" i="1"/>
  <c r="H473" i="1"/>
  <c r="G473" i="1"/>
  <c r="F473" i="1"/>
  <c r="E473" i="1"/>
  <c r="D473" i="1"/>
  <c r="B473" i="1"/>
  <c r="A473" i="1"/>
  <c r="J2514" i="1"/>
  <c r="I2514" i="1"/>
  <c r="H2514" i="1"/>
  <c r="G2514" i="1"/>
  <c r="F2514" i="1"/>
  <c r="E2514" i="1"/>
  <c r="D2514" i="1"/>
  <c r="B2514" i="1"/>
  <c r="A2514" i="1"/>
  <c r="J1402" i="1"/>
  <c r="I1402" i="1"/>
  <c r="H1402" i="1"/>
  <c r="G1402" i="1"/>
  <c r="F1402" i="1"/>
  <c r="E1402" i="1"/>
  <c r="D1402" i="1"/>
  <c r="B1402" i="1"/>
  <c r="A1402" i="1"/>
  <c r="J889" i="1"/>
  <c r="I889" i="1"/>
  <c r="H889" i="1"/>
  <c r="G889" i="1"/>
  <c r="F889" i="1"/>
  <c r="E889" i="1"/>
  <c r="D889" i="1"/>
  <c r="B889" i="1"/>
  <c r="A889" i="1"/>
  <c r="J1333" i="1"/>
  <c r="I1333" i="1"/>
  <c r="H1333" i="1"/>
  <c r="G1333" i="1"/>
  <c r="F1333" i="1"/>
  <c r="E1333" i="1"/>
  <c r="D1333" i="1"/>
  <c r="B1333" i="1"/>
  <c r="A1333" i="1"/>
  <c r="J526" i="1"/>
  <c r="I526" i="1"/>
  <c r="H526" i="1"/>
  <c r="G526" i="1"/>
  <c r="F526" i="1"/>
  <c r="E526" i="1"/>
  <c r="D526" i="1"/>
  <c r="B526" i="1"/>
  <c r="A526" i="1"/>
  <c r="J1107" i="1"/>
  <c r="I1107" i="1"/>
  <c r="H1107" i="1"/>
  <c r="G1107" i="1"/>
  <c r="F1107" i="1"/>
  <c r="E1107" i="1"/>
  <c r="D1107" i="1"/>
  <c r="B1107" i="1"/>
  <c r="A1107" i="1"/>
  <c r="J808" i="1"/>
  <c r="I808" i="1"/>
  <c r="H808" i="1"/>
  <c r="G808" i="1"/>
  <c r="F808" i="1"/>
  <c r="E808" i="1"/>
  <c r="D808" i="1"/>
  <c r="B808" i="1"/>
  <c r="A808" i="1"/>
  <c r="J1990" i="1"/>
  <c r="I1990" i="1"/>
  <c r="H1990" i="1"/>
  <c r="G1990" i="1"/>
  <c r="F1990" i="1"/>
  <c r="E1990" i="1"/>
  <c r="D1990" i="1"/>
  <c r="B1990" i="1"/>
  <c r="A1990" i="1"/>
  <c r="J7" i="1"/>
  <c r="I7" i="1"/>
  <c r="H7" i="1"/>
  <c r="G7" i="1"/>
  <c r="F7" i="1"/>
  <c r="E7" i="1"/>
  <c r="D7" i="1"/>
  <c r="B7" i="1"/>
  <c r="A7" i="1"/>
  <c r="J2765" i="1"/>
  <c r="I2765" i="1"/>
  <c r="H2765" i="1"/>
  <c r="G2765" i="1"/>
  <c r="F2765" i="1"/>
  <c r="E2765" i="1"/>
  <c r="D2765" i="1"/>
  <c r="B2765" i="1"/>
  <c r="A2765" i="1"/>
  <c r="J605" i="1"/>
  <c r="I605" i="1"/>
  <c r="H605" i="1"/>
  <c r="G605" i="1"/>
  <c r="F605" i="1"/>
  <c r="E605" i="1"/>
  <c r="D605" i="1"/>
  <c r="B605" i="1"/>
  <c r="A605" i="1"/>
  <c r="J85" i="1"/>
  <c r="I85" i="1"/>
  <c r="H85" i="1"/>
  <c r="G85" i="1"/>
  <c r="F85" i="1"/>
  <c r="E85" i="1"/>
  <c r="D85" i="1"/>
  <c r="B85" i="1"/>
  <c r="A85" i="1"/>
  <c r="J2099" i="1"/>
  <c r="I2099" i="1"/>
  <c r="H2099" i="1"/>
  <c r="G2099" i="1"/>
  <c r="F2099" i="1"/>
  <c r="E2099" i="1"/>
  <c r="D2099" i="1"/>
  <c r="B2099" i="1"/>
  <c r="A2099" i="1"/>
  <c r="J372" i="1"/>
  <c r="I372" i="1"/>
  <c r="H372" i="1"/>
  <c r="G372" i="1"/>
  <c r="F372" i="1"/>
  <c r="E372" i="1"/>
  <c r="D372" i="1"/>
  <c r="B372" i="1"/>
  <c r="A372" i="1"/>
  <c r="J543" i="1"/>
  <c r="I543" i="1"/>
  <c r="H543" i="1"/>
  <c r="G543" i="1"/>
  <c r="F543" i="1"/>
  <c r="E543" i="1"/>
  <c r="D543" i="1"/>
  <c r="B543" i="1"/>
  <c r="A543" i="1"/>
  <c r="J3093" i="1"/>
  <c r="I3093" i="1"/>
  <c r="H3093" i="1"/>
  <c r="G3093" i="1"/>
  <c r="F3093" i="1"/>
  <c r="E3093" i="1"/>
  <c r="D3093" i="1"/>
  <c r="B3093" i="1"/>
  <c r="A3093" i="1"/>
  <c r="J1061" i="1"/>
  <c r="I1061" i="1"/>
  <c r="H1061" i="1"/>
  <c r="G1061" i="1"/>
  <c r="F1061" i="1"/>
  <c r="E1061" i="1"/>
  <c r="D1061" i="1"/>
  <c r="B1061" i="1"/>
  <c r="A1061" i="1"/>
  <c r="J2430" i="1"/>
  <c r="I2430" i="1"/>
  <c r="H2430" i="1"/>
  <c r="G2430" i="1"/>
  <c r="F2430" i="1"/>
  <c r="E2430" i="1"/>
  <c r="D2430" i="1"/>
  <c r="B2430" i="1"/>
  <c r="A2430" i="1"/>
  <c r="J835" i="1"/>
  <c r="I835" i="1"/>
  <c r="H835" i="1"/>
  <c r="G835" i="1"/>
  <c r="F835" i="1"/>
  <c r="E835" i="1"/>
  <c r="D835" i="1"/>
  <c r="B835" i="1"/>
  <c r="A835" i="1"/>
  <c r="J786" i="1"/>
  <c r="I786" i="1"/>
  <c r="H786" i="1"/>
  <c r="G786" i="1"/>
  <c r="F786" i="1"/>
  <c r="E786" i="1"/>
  <c r="D786" i="1"/>
  <c r="B786" i="1"/>
  <c r="A786" i="1"/>
  <c r="J859" i="1"/>
  <c r="I859" i="1"/>
  <c r="H859" i="1"/>
  <c r="G859" i="1"/>
  <c r="F859" i="1"/>
  <c r="E859" i="1"/>
  <c r="D859" i="1"/>
  <c r="B859" i="1"/>
  <c r="A859" i="1"/>
  <c r="J1036" i="1"/>
  <c r="I1036" i="1"/>
  <c r="H1036" i="1"/>
  <c r="G1036" i="1"/>
  <c r="F1036" i="1"/>
  <c r="E1036" i="1"/>
  <c r="D1036" i="1"/>
  <c r="B1036" i="1"/>
  <c r="A1036" i="1"/>
  <c r="J2323" i="1"/>
  <c r="I2323" i="1"/>
  <c r="H2323" i="1"/>
  <c r="G2323" i="1"/>
  <c r="F2323" i="1"/>
  <c r="E2323" i="1"/>
  <c r="D2323" i="1"/>
  <c r="B2323" i="1"/>
  <c r="A2323" i="1"/>
  <c r="J2280" i="1"/>
  <c r="I2280" i="1"/>
  <c r="H2280" i="1"/>
  <c r="G2280" i="1"/>
  <c r="F2280" i="1"/>
  <c r="E2280" i="1"/>
  <c r="D2280" i="1"/>
  <c r="B2280" i="1"/>
  <c r="A2280" i="1"/>
  <c r="J3145" i="1"/>
  <c r="I3145" i="1"/>
  <c r="H3145" i="1"/>
  <c r="G3145" i="1"/>
  <c r="F3145" i="1"/>
  <c r="E3145" i="1"/>
  <c r="D3145" i="1"/>
  <c r="B3145" i="1"/>
  <c r="A3145" i="1"/>
  <c r="J423" i="1"/>
  <c r="I423" i="1"/>
  <c r="H423" i="1"/>
  <c r="G423" i="1"/>
  <c r="F423" i="1"/>
  <c r="E423" i="1"/>
  <c r="D423" i="1"/>
  <c r="B423" i="1"/>
  <c r="A423" i="1"/>
  <c r="J3144" i="1"/>
  <c r="I3144" i="1"/>
  <c r="H3144" i="1"/>
  <c r="G3144" i="1"/>
  <c r="F3144" i="1"/>
  <c r="E3144" i="1"/>
  <c r="D3144" i="1"/>
  <c r="B3144" i="1"/>
  <c r="A3144" i="1"/>
  <c r="J1188" i="1"/>
  <c r="I1188" i="1"/>
  <c r="H1188" i="1"/>
  <c r="G1188" i="1"/>
  <c r="F1188" i="1"/>
  <c r="E1188" i="1"/>
  <c r="D1188" i="1"/>
  <c r="B1188" i="1"/>
  <c r="A1188" i="1"/>
  <c r="J1266" i="1"/>
  <c r="I1266" i="1"/>
  <c r="H1266" i="1"/>
  <c r="G1266" i="1"/>
  <c r="F1266" i="1"/>
  <c r="E1266" i="1"/>
  <c r="D1266" i="1"/>
  <c r="B1266" i="1"/>
  <c r="A1266" i="1"/>
  <c r="J2019" i="1"/>
  <c r="I2019" i="1"/>
  <c r="H2019" i="1"/>
  <c r="G2019" i="1"/>
  <c r="F2019" i="1"/>
  <c r="E2019" i="1"/>
  <c r="D2019" i="1"/>
  <c r="B2019" i="1"/>
  <c r="A2019" i="1"/>
  <c r="J1359" i="1"/>
  <c r="I1359" i="1"/>
  <c r="H1359" i="1"/>
  <c r="G1359" i="1"/>
  <c r="F1359" i="1"/>
  <c r="E1359" i="1"/>
  <c r="D1359" i="1"/>
  <c r="B1359" i="1"/>
  <c r="A1359" i="1"/>
  <c r="J3066" i="1"/>
  <c r="I3066" i="1"/>
  <c r="H3066" i="1"/>
  <c r="G3066" i="1"/>
  <c r="F3066" i="1"/>
  <c r="E3066" i="1"/>
  <c r="D3066" i="1"/>
  <c r="B3066" i="1"/>
  <c r="A3066" i="1"/>
  <c r="J2464" i="1"/>
  <c r="I2464" i="1"/>
  <c r="H2464" i="1"/>
  <c r="G2464" i="1"/>
  <c r="F2464" i="1"/>
  <c r="E2464" i="1"/>
  <c r="D2464" i="1"/>
  <c r="B2464" i="1"/>
  <c r="A2464" i="1"/>
  <c r="J2377" i="1"/>
  <c r="I2377" i="1"/>
  <c r="H2377" i="1"/>
  <c r="G2377" i="1"/>
  <c r="F2377" i="1"/>
  <c r="E2377" i="1"/>
  <c r="D2377" i="1"/>
  <c r="B2377" i="1"/>
  <c r="A2377" i="1"/>
  <c r="J3199" i="1"/>
  <c r="I3199" i="1"/>
  <c r="H3199" i="1"/>
  <c r="G3199" i="1"/>
  <c r="F3199" i="1"/>
  <c r="E3199" i="1"/>
  <c r="D3199" i="1"/>
  <c r="B3199" i="1"/>
  <c r="A3199" i="1"/>
  <c r="J472" i="1"/>
  <c r="I472" i="1"/>
  <c r="H472" i="1"/>
  <c r="G472" i="1"/>
  <c r="F472" i="1"/>
  <c r="E472" i="1"/>
  <c r="D472" i="1"/>
  <c r="B472" i="1"/>
  <c r="A472" i="1"/>
  <c r="J2513" i="1"/>
  <c r="I2513" i="1"/>
  <c r="H2513" i="1"/>
  <c r="G2513" i="1"/>
  <c r="F2513" i="1"/>
  <c r="E2513" i="1"/>
  <c r="D2513" i="1"/>
  <c r="B2513" i="1"/>
  <c r="A2513" i="1"/>
  <c r="J1401" i="1"/>
  <c r="I1401" i="1"/>
  <c r="H1401" i="1"/>
  <c r="G1401" i="1"/>
  <c r="F1401" i="1"/>
  <c r="E1401" i="1"/>
  <c r="D1401" i="1"/>
  <c r="B1401" i="1"/>
  <c r="A1401" i="1"/>
  <c r="J888" i="1"/>
  <c r="I888" i="1"/>
  <c r="H888" i="1"/>
  <c r="G888" i="1"/>
  <c r="F888" i="1"/>
  <c r="E888" i="1"/>
  <c r="D888" i="1"/>
  <c r="B888" i="1"/>
  <c r="A888" i="1"/>
  <c r="J3143" i="1"/>
  <c r="I3143" i="1"/>
  <c r="H3143" i="1"/>
  <c r="G3143" i="1"/>
  <c r="F3143" i="1"/>
  <c r="E3143" i="1"/>
  <c r="D3143" i="1"/>
  <c r="B3143" i="1"/>
  <c r="A3143" i="1"/>
  <c r="J2429" i="1"/>
  <c r="I2429" i="1"/>
  <c r="H2429" i="1"/>
  <c r="G2429" i="1"/>
  <c r="F2429" i="1"/>
  <c r="E2429" i="1"/>
  <c r="D2429" i="1"/>
  <c r="B2429" i="1"/>
  <c r="A2429" i="1"/>
  <c r="J834" i="1"/>
  <c r="I834" i="1"/>
  <c r="H834" i="1"/>
  <c r="G834" i="1"/>
  <c r="F834" i="1"/>
  <c r="E834" i="1"/>
  <c r="D834" i="1"/>
  <c r="B834" i="1"/>
  <c r="A834" i="1"/>
  <c r="J785" i="1"/>
  <c r="I785" i="1"/>
  <c r="H785" i="1"/>
  <c r="G785" i="1"/>
  <c r="F785" i="1"/>
  <c r="E785" i="1"/>
  <c r="D785" i="1"/>
  <c r="B785" i="1"/>
  <c r="A785" i="1"/>
  <c r="J2463" i="1"/>
  <c r="I2463" i="1"/>
  <c r="H2463" i="1"/>
  <c r="G2463" i="1"/>
  <c r="F2463" i="1"/>
  <c r="E2463" i="1"/>
  <c r="D2463" i="1"/>
  <c r="B2463" i="1"/>
  <c r="A2463" i="1"/>
  <c r="J2462" i="1"/>
  <c r="I2462" i="1"/>
  <c r="H2462" i="1"/>
  <c r="G2462" i="1"/>
  <c r="F2462" i="1"/>
  <c r="E2462" i="1"/>
  <c r="D2462" i="1"/>
  <c r="B2462" i="1"/>
  <c r="A2462" i="1"/>
  <c r="J858" i="1"/>
  <c r="I858" i="1"/>
  <c r="H858" i="1"/>
  <c r="G858" i="1"/>
  <c r="F858" i="1"/>
  <c r="E858" i="1"/>
  <c r="D858" i="1"/>
  <c r="B858" i="1"/>
  <c r="A858" i="1"/>
  <c r="J857" i="1"/>
  <c r="I857" i="1"/>
  <c r="H857" i="1"/>
  <c r="G857" i="1"/>
  <c r="F857" i="1"/>
  <c r="E857" i="1"/>
  <c r="D857" i="1"/>
  <c r="B857" i="1"/>
  <c r="A857" i="1"/>
  <c r="J2461" i="1"/>
  <c r="I2461" i="1"/>
  <c r="H2461" i="1"/>
  <c r="G2461" i="1"/>
  <c r="F2461" i="1"/>
  <c r="E2461" i="1"/>
  <c r="D2461" i="1"/>
  <c r="B2461" i="1"/>
  <c r="A2461" i="1"/>
  <c r="J3065" i="1"/>
  <c r="I3065" i="1"/>
  <c r="H3065" i="1"/>
  <c r="G3065" i="1"/>
  <c r="F3065" i="1"/>
  <c r="E3065" i="1"/>
  <c r="D3065" i="1"/>
  <c r="B3065" i="1"/>
  <c r="A3065" i="1"/>
  <c r="J2376" i="1"/>
  <c r="I2376" i="1"/>
  <c r="H2376" i="1"/>
  <c r="G2376" i="1"/>
  <c r="F2376" i="1"/>
  <c r="E2376" i="1"/>
  <c r="D2376" i="1"/>
  <c r="B2376" i="1"/>
  <c r="A2376" i="1"/>
  <c r="J422" i="1"/>
  <c r="I422" i="1"/>
  <c r="H422" i="1"/>
  <c r="G422" i="1"/>
  <c r="F422" i="1"/>
  <c r="E422" i="1"/>
  <c r="D422" i="1"/>
  <c r="B422" i="1"/>
  <c r="A422" i="1"/>
  <c r="J1035" i="1"/>
  <c r="I1035" i="1"/>
  <c r="H1035" i="1"/>
  <c r="G1035" i="1"/>
  <c r="F1035" i="1"/>
  <c r="E1035" i="1"/>
  <c r="D1035" i="1"/>
  <c r="B1035" i="1"/>
  <c r="A1035" i="1"/>
  <c r="J2322" i="1"/>
  <c r="I2322" i="1"/>
  <c r="H2322" i="1"/>
  <c r="G2322" i="1"/>
  <c r="F2322" i="1"/>
  <c r="E2322" i="1"/>
  <c r="D2322" i="1"/>
  <c r="B2322" i="1"/>
  <c r="A2322" i="1"/>
  <c r="J2279" i="1"/>
  <c r="I2279" i="1"/>
  <c r="H2279" i="1"/>
  <c r="G2279" i="1"/>
  <c r="F2279" i="1"/>
  <c r="E2279" i="1"/>
  <c r="D2279" i="1"/>
  <c r="B2279" i="1"/>
  <c r="A2279" i="1"/>
  <c r="J542" i="1"/>
  <c r="I542" i="1"/>
  <c r="H542" i="1"/>
  <c r="G542" i="1"/>
  <c r="F542" i="1"/>
  <c r="E542" i="1"/>
  <c r="D542" i="1"/>
  <c r="B542" i="1"/>
  <c r="A542" i="1"/>
  <c r="J3092" i="1"/>
  <c r="I3092" i="1"/>
  <c r="H3092" i="1"/>
  <c r="G3092" i="1"/>
  <c r="F3092" i="1"/>
  <c r="E3092" i="1"/>
  <c r="D3092" i="1"/>
  <c r="B3092" i="1"/>
  <c r="A3092" i="1"/>
  <c r="J371" i="1"/>
  <c r="I371" i="1"/>
  <c r="H371" i="1"/>
  <c r="G371" i="1"/>
  <c r="F371" i="1"/>
  <c r="E371" i="1"/>
  <c r="D371" i="1"/>
  <c r="B371" i="1"/>
  <c r="A371" i="1"/>
  <c r="J1060" i="1"/>
  <c r="I1060" i="1"/>
  <c r="H1060" i="1"/>
  <c r="G1060" i="1"/>
  <c r="F1060" i="1"/>
  <c r="E1060" i="1"/>
  <c r="D1060" i="1"/>
  <c r="B1060" i="1"/>
  <c r="A1060" i="1"/>
  <c r="J1132" i="1"/>
  <c r="I1132" i="1"/>
  <c r="H1132" i="1"/>
  <c r="G1132" i="1"/>
  <c r="F1132" i="1"/>
  <c r="E1132" i="1"/>
  <c r="D1132" i="1"/>
  <c r="B1132" i="1"/>
  <c r="A1132" i="1"/>
  <c r="J24" i="1"/>
  <c r="I24" i="1"/>
  <c r="H24" i="1"/>
  <c r="G24" i="1"/>
  <c r="F24" i="1"/>
  <c r="E24" i="1"/>
  <c r="D24" i="1"/>
  <c r="B24" i="1"/>
  <c r="A24" i="1"/>
  <c r="J1187" i="1"/>
  <c r="I1187" i="1"/>
  <c r="H1187" i="1"/>
  <c r="G1187" i="1"/>
  <c r="F1187" i="1"/>
  <c r="E1187" i="1"/>
  <c r="D1187" i="1"/>
  <c r="B1187" i="1"/>
  <c r="A1187" i="1"/>
  <c r="J1265" i="1"/>
  <c r="I1265" i="1"/>
  <c r="H1265" i="1"/>
  <c r="G1265" i="1"/>
  <c r="F1265" i="1"/>
  <c r="E1265" i="1"/>
  <c r="D1265" i="1"/>
  <c r="B1265" i="1"/>
  <c r="A1265" i="1"/>
  <c r="J2018" i="1"/>
  <c r="I2018" i="1"/>
  <c r="H2018" i="1"/>
  <c r="G2018" i="1"/>
  <c r="F2018" i="1"/>
  <c r="E2018" i="1"/>
  <c r="D2018" i="1"/>
  <c r="B2018" i="1"/>
  <c r="A2018" i="1"/>
  <c r="J3198" i="1"/>
  <c r="I3198" i="1"/>
  <c r="H3198" i="1"/>
  <c r="G3198" i="1"/>
  <c r="F3198" i="1"/>
  <c r="E3198" i="1"/>
  <c r="D3198" i="1"/>
  <c r="B3198" i="1"/>
  <c r="A3198" i="1"/>
  <c r="J1358" i="1"/>
  <c r="I1358" i="1"/>
  <c r="H1358" i="1"/>
  <c r="G1358" i="1"/>
  <c r="F1358" i="1"/>
  <c r="E1358" i="1"/>
  <c r="D1358" i="1"/>
  <c r="B1358" i="1"/>
  <c r="A1358" i="1"/>
  <c r="J2764" i="1"/>
  <c r="I2764" i="1"/>
  <c r="H2764" i="1"/>
  <c r="G2764" i="1"/>
  <c r="F2764" i="1"/>
  <c r="E2764" i="1"/>
  <c r="D2764" i="1"/>
  <c r="B2764" i="1"/>
  <c r="A2764" i="1"/>
  <c r="J604" i="1"/>
  <c r="I604" i="1"/>
  <c r="H604" i="1"/>
  <c r="G604" i="1"/>
  <c r="F604" i="1"/>
  <c r="E604" i="1"/>
  <c r="D604" i="1"/>
  <c r="B604" i="1"/>
  <c r="A604" i="1"/>
  <c r="J84" i="1"/>
  <c r="I84" i="1"/>
  <c r="H84" i="1"/>
  <c r="G84" i="1"/>
  <c r="F84" i="1"/>
  <c r="E84" i="1"/>
  <c r="D84" i="1"/>
  <c r="B84" i="1"/>
  <c r="A84" i="1"/>
  <c r="J2098" i="1"/>
  <c r="I2098" i="1"/>
  <c r="H2098" i="1"/>
  <c r="G2098" i="1"/>
  <c r="F2098" i="1"/>
  <c r="E2098" i="1"/>
  <c r="D2098" i="1"/>
  <c r="B2098" i="1"/>
  <c r="A2098" i="1"/>
  <c r="J471" i="1"/>
  <c r="I471" i="1"/>
  <c r="H471" i="1"/>
  <c r="G471" i="1"/>
  <c r="F471" i="1"/>
  <c r="E471" i="1"/>
  <c r="D471" i="1"/>
  <c r="B471" i="1"/>
  <c r="A471" i="1"/>
  <c r="J2512" i="1"/>
  <c r="I2512" i="1"/>
  <c r="H2512" i="1"/>
  <c r="G2512" i="1"/>
  <c r="F2512" i="1"/>
  <c r="E2512" i="1"/>
  <c r="D2512" i="1"/>
  <c r="B2512" i="1"/>
  <c r="A2512" i="1"/>
  <c r="J1400" i="1"/>
  <c r="I1400" i="1"/>
  <c r="H1400" i="1"/>
  <c r="G1400" i="1"/>
  <c r="F1400" i="1"/>
  <c r="E1400" i="1"/>
  <c r="D1400" i="1"/>
  <c r="B1400" i="1"/>
  <c r="A1400" i="1"/>
  <c r="J887" i="1"/>
  <c r="I887" i="1"/>
  <c r="H887" i="1"/>
  <c r="G887" i="1"/>
  <c r="F887" i="1"/>
  <c r="E887" i="1"/>
  <c r="D887" i="1"/>
  <c r="B887" i="1"/>
  <c r="A887" i="1"/>
  <c r="J2428" i="1"/>
  <c r="I2428" i="1"/>
  <c r="H2428" i="1"/>
  <c r="G2428" i="1"/>
  <c r="F2428" i="1"/>
  <c r="E2428" i="1"/>
  <c r="D2428" i="1"/>
  <c r="B2428" i="1"/>
  <c r="A2428" i="1"/>
  <c r="J833" i="1"/>
  <c r="I833" i="1"/>
  <c r="H833" i="1"/>
  <c r="G833" i="1"/>
  <c r="F833" i="1"/>
  <c r="E833" i="1"/>
  <c r="D833" i="1"/>
  <c r="B833" i="1"/>
  <c r="A833" i="1"/>
  <c r="J784" i="1"/>
  <c r="I784" i="1"/>
  <c r="H784" i="1"/>
  <c r="G784" i="1"/>
  <c r="F784" i="1"/>
  <c r="E784" i="1"/>
  <c r="D784" i="1"/>
  <c r="B784" i="1"/>
  <c r="A784" i="1"/>
  <c r="J2321" i="1"/>
  <c r="I2321" i="1"/>
  <c r="H2321" i="1"/>
  <c r="G2321" i="1"/>
  <c r="F2321" i="1"/>
  <c r="E2321" i="1"/>
  <c r="D2321" i="1"/>
  <c r="B2321" i="1"/>
  <c r="A2321" i="1"/>
  <c r="J2278" i="1"/>
  <c r="I2278" i="1"/>
  <c r="H2278" i="1"/>
  <c r="G2278" i="1"/>
  <c r="F2278" i="1"/>
  <c r="E2278" i="1"/>
  <c r="D2278" i="1"/>
  <c r="B2278" i="1"/>
  <c r="A2278" i="1"/>
  <c r="J3142" i="1"/>
  <c r="I3142" i="1"/>
  <c r="H3142" i="1"/>
  <c r="G3142" i="1"/>
  <c r="F3142" i="1"/>
  <c r="E3142" i="1"/>
  <c r="D3142" i="1"/>
  <c r="B3142" i="1"/>
  <c r="A3142" i="1"/>
  <c r="J421" i="1"/>
  <c r="I421" i="1"/>
  <c r="H421" i="1"/>
  <c r="G421" i="1"/>
  <c r="F421" i="1"/>
  <c r="E421" i="1"/>
  <c r="D421" i="1"/>
  <c r="B421" i="1"/>
  <c r="A421" i="1"/>
  <c r="J1186" i="1"/>
  <c r="I1186" i="1"/>
  <c r="H1186" i="1"/>
  <c r="G1186" i="1"/>
  <c r="F1186" i="1"/>
  <c r="E1186" i="1"/>
  <c r="D1186" i="1"/>
  <c r="B1186" i="1"/>
  <c r="A1186" i="1"/>
  <c r="J1264" i="1"/>
  <c r="I1264" i="1"/>
  <c r="H1264" i="1"/>
  <c r="G1264" i="1"/>
  <c r="F1264" i="1"/>
  <c r="E1264" i="1"/>
  <c r="D1264" i="1"/>
  <c r="B1264" i="1"/>
  <c r="A1264" i="1"/>
  <c r="J2017" i="1"/>
  <c r="I2017" i="1"/>
  <c r="H2017" i="1"/>
  <c r="G2017" i="1"/>
  <c r="F2017" i="1"/>
  <c r="E2017" i="1"/>
  <c r="D2017" i="1"/>
  <c r="B2017" i="1"/>
  <c r="A2017" i="1"/>
  <c r="J2460" i="1"/>
  <c r="I2460" i="1"/>
  <c r="H2460" i="1"/>
  <c r="G2460" i="1"/>
  <c r="F2460" i="1"/>
  <c r="E2460" i="1"/>
  <c r="D2460" i="1"/>
  <c r="B2460" i="1"/>
  <c r="A2460" i="1"/>
  <c r="J3064" i="1"/>
  <c r="I3064" i="1"/>
  <c r="H3064" i="1"/>
  <c r="G3064" i="1"/>
  <c r="F3064" i="1"/>
  <c r="E3064" i="1"/>
  <c r="D3064" i="1"/>
  <c r="B3064" i="1"/>
  <c r="A3064" i="1"/>
  <c r="J2375" i="1"/>
  <c r="I2375" i="1"/>
  <c r="H2375" i="1"/>
  <c r="G2375" i="1"/>
  <c r="F2375" i="1"/>
  <c r="E2375" i="1"/>
  <c r="D2375" i="1"/>
  <c r="B2375" i="1"/>
  <c r="A2375" i="1"/>
  <c r="J1357" i="1"/>
  <c r="I1357" i="1"/>
  <c r="H1357" i="1"/>
  <c r="G1357" i="1"/>
  <c r="F1357" i="1"/>
  <c r="E1357" i="1"/>
  <c r="D1357" i="1"/>
  <c r="B1357" i="1"/>
  <c r="A1357" i="1"/>
  <c r="J3197" i="1"/>
  <c r="I3197" i="1"/>
  <c r="H3197" i="1"/>
  <c r="G3197" i="1"/>
  <c r="F3197" i="1"/>
  <c r="E3197" i="1"/>
  <c r="D3197" i="1"/>
  <c r="B3197" i="1"/>
  <c r="A3197" i="1"/>
  <c r="J470" i="1"/>
  <c r="I470" i="1"/>
  <c r="H470" i="1"/>
  <c r="G470" i="1"/>
  <c r="F470" i="1"/>
  <c r="E470" i="1"/>
  <c r="D470" i="1"/>
  <c r="B470" i="1"/>
  <c r="A470" i="1"/>
  <c r="J2511" i="1"/>
  <c r="I2511" i="1"/>
  <c r="H2511" i="1"/>
  <c r="G2511" i="1"/>
  <c r="F2511" i="1"/>
  <c r="E2511" i="1"/>
  <c r="D2511" i="1"/>
  <c r="B2511" i="1"/>
  <c r="A2511" i="1"/>
  <c r="J1399" i="1"/>
  <c r="I1399" i="1"/>
  <c r="H1399" i="1"/>
  <c r="G1399" i="1"/>
  <c r="F1399" i="1"/>
  <c r="E1399" i="1"/>
  <c r="D1399" i="1"/>
  <c r="B1399" i="1"/>
  <c r="A1399" i="1"/>
  <c r="J886" i="1"/>
  <c r="I886" i="1"/>
  <c r="H886" i="1"/>
  <c r="G886" i="1"/>
  <c r="F886" i="1"/>
  <c r="E886" i="1"/>
  <c r="D886" i="1"/>
  <c r="B886" i="1"/>
  <c r="A886" i="1"/>
  <c r="J2320" i="1"/>
  <c r="I2320" i="1"/>
  <c r="H2320" i="1"/>
  <c r="G2320" i="1"/>
  <c r="F2320" i="1"/>
  <c r="E2320" i="1"/>
  <c r="D2320" i="1"/>
  <c r="B2320" i="1"/>
  <c r="A2320" i="1"/>
  <c r="J2319" i="1"/>
  <c r="I2319" i="1"/>
  <c r="H2319" i="1"/>
  <c r="G2319" i="1"/>
  <c r="F2319" i="1"/>
  <c r="E2319" i="1"/>
  <c r="D2319" i="1"/>
  <c r="B2319" i="1"/>
  <c r="A2319" i="1"/>
  <c r="J2277" i="1"/>
  <c r="I2277" i="1"/>
  <c r="H2277" i="1"/>
  <c r="G2277" i="1"/>
  <c r="F2277" i="1"/>
  <c r="E2277" i="1"/>
  <c r="D2277" i="1"/>
  <c r="B2277" i="1"/>
  <c r="A2277" i="1"/>
  <c r="J3141" i="1"/>
  <c r="I3141" i="1"/>
  <c r="H3141" i="1"/>
  <c r="G3141" i="1"/>
  <c r="F3141" i="1"/>
  <c r="E3141" i="1"/>
  <c r="D3141" i="1"/>
  <c r="B3141" i="1"/>
  <c r="A3141" i="1"/>
  <c r="J420" i="1"/>
  <c r="I420" i="1"/>
  <c r="H420" i="1"/>
  <c r="G420" i="1"/>
  <c r="F420" i="1"/>
  <c r="E420" i="1"/>
  <c r="D420" i="1"/>
  <c r="B420" i="1"/>
  <c r="A420" i="1"/>
  <c r="J1356" i="1"/>
  <c r="I1356" i="1"/>
  <c r="H1356" i="1"/>
  <c r="G1356" i="1"/>
  <c r="F1356" i="1"/>
  <c r="E1356" i="1"/>
  <c r="D1356" i="1"/>
  <c r="B1356" i="1"/>
  <c r="A1356" i="1"/>
  <c r="J856" i="1"/>
  <c r="I856" i="1"/>
  <c r="H856" i="1"/>
  <c r="G856" i="1"/>
  <c r="F856" i="1"/>
  <c r="E856" i="1"/>
  <c r="D856" i="1"/>
  <c r="B856" i="1"/>
  <c r="A856" i="1"/>
  <c r="J1059" i="1"/>
  <c r="I1059" i="1"/>
  <c r="H1059" i="1"/>
  <c r="G1059" i="1"/>
  <c r="F1059" i="1"/>
  <c r="E1059" i="1"/>
  <c r="D1059" i="1"/>
  <c r="B1059" i="1"/>
  <c r="A1059" i="1"/>
  <c r="J3091" i="1"/>
  <c r="I3091" i="1"/>
  <c r="H3091" i="1"/>
  <c r="G3091" i="1"/>
  <c r="F3091" i="1"/>
  <c r="E3091" i="1"/>
  <c r="D3091" i="1"/>
  <c r="B3091" i="1"/>
  <c r="A3091" i="1"/>
  <c r="J370" i="1"/>
  <c r="I370" i="1"/>
  <c r="H370" i="1"/>
  <c r="G370" i="1"/>
  <c r="F370" i="1"/>
  <c r="E370" i="1"/>
  <c r="D370" i="1"/>
  <c r="B370" i="1"/>
  <c r="A370" i="1"/>
  <c r="J541" i="1"/>
  <c r="I541" i="1"/>
  <c r="H541" i="1"/>
  <c r="G541" i="1"/>
  <c r="F541" i="1"/>
  <c r="E541" i="1"/>
  <c r="D541" i="1"/>
  <c r="B541" i="1"/>
  <c r="A541" i="1"/>
  <c r="J1185" i="1"/>
  <c r="I1185" i="1"/>
  <c r="H1185" i="1"/>
  <c r="G1185" i="1"/>
  <c r="F1185" i="1"/>
  <c r="E1185" i="1"/>
  <c r="D1185" i="1"/>
  <c r="B1185" i="1"/>
  <c r="A1185" i="1"/>
  <c r="J1263" i="1"/>
  <c r="I1263" i="1"/>
  <c r="H1263" i="1"/>
  <c r="G1263" i="1"/>
  <c r="F1263" i="1"/>
  <c r="E1263" i="1"/>
  <c r="D1263" i="1"/>
  <c r="B1263" i="1"/>
  <c r="A1263" i="1"/>
  <c r="J2016" i="1"/>
  <c r="I2016" i="1"/>
  <c r="H2016" i="1"/>
  <c r="G2016" i="1"/>
  <c r="F2016" i="1"/>
  <c r="E2016" i="1"/>
  <c r="D2016" i="1"/>
  <c r="B2016" i="1"/>
  <c r="A2016" i="1"/>
  <c r="J2374" i="1"/>
  <c r="I2374" i="1"/>
  <c r="H2374" i="1"/>
  <c r="G2374" i="1"/>
  <c r="F2374" i="1"/>
  <c r="E2374" i="1"/>
  <c r="D2374" i="1"/>
  <c r="B2374" i="1"/>
  <c r="A2374" i="1"/>
  <c r="J469" i="1"/>
  <c r="I469" i="1"/>
  <c r="H469" i="1"/>
  <c r="G469" i="1"/>
  <c r="F469" i="1"/>
  <c r="E469" i="1"/>
  <c r="D469" i="1"/>
  <c r="B469" i="1"/>
  <c r="A469" i="1"/>
  <c r="J2510" i="1"/>
  <c r="I2510" i="1"/>
  <c r="H2510" i="1"/>
  <c r="G2510" i="1"/>
  <c r="F2510" i="1"/>
  <c r="E2510" i="1"/>
  <c r="D2510" i="1"/>
  <c r="B2510" i="1"/>
  <c r="A2510" i="1"/>
  <c r="J1398" i="1"/>
  <c r="I1398" i="1"/>
  <c r="H1398" i="1"/>
  <c r="G1398" i="1"/>
  <c r="F1398" i="1"/>
  <c r="E1398" i="1"/>
  <c r="D1398" i="1"/>
  <c r="B1398" i="1"/>
  <c r="A1398" i="1"/>
  <c r="J885" i="1"/>
  <c r="I885" i="1"/>
  <c r="H885" i="1"/>
  <c r="G885" i="1"/>
  <c r="F885" i="1"/>
  <c r="E885" i="1"/>
  <c r="D885" i="1"/>
  <c r="B885" i="1"/>
  <c r="A885" i="1"/>
  <c r="J3196" i="1"/>
  <c r="I3196" i="1"/>
  <c r="H3196" i="1"/>
  <c r="G3196" i="1"/>
  <c r="F3196" i="1"/>
  <c r="E3196" i="1"/>
  <c r="D3196" i="1"/>
  <c r="B3196" i="1"/>
  <c r="A3196" i="1"/>
  <c r="J3063" i="1"/>
  <c r="I3063" i="1"/>
  <c r="H3063" i="1"/>
  <c r="G3063" i="1"/>
  <c r="F3063" i="1"/>
  <c r="E3063" i="1"/>
  <c r="D3063" i="1"/>
  <c r="B3063" i="1"/>
  <c r="A3063" i="1"/>
  <c r="J2459" i="1"/>
  <c r="I2459" i="1"/>
  <c r="H2459" i="1"/>
  <c r="G2459" i="1"/>
  <c r="F2459" i="1"/>
  <c r="E2459" i="1"/>
  <c r="D2459" i="1"/>
  <c r="B2459" i="1"/>
  <c r="A2459" i="1"/>
  <c r="J1034" i="1"/>
  <c r="I1034" i="1"/>
  <c r="H1034" i="1"/>
  <c r="G1034" i="1"/>
  <c r="F1034" i="1"/>
  <c r="E1034" i="1"/>
  <c r="D1034" i="1"/>
  <c r="B1034" i="1"/>
  <c r="A1034" i="1"/>
  <c r="J2763" i="1"/>
  <c r="I2763" i="1"/>
  <c r="H2763" i="1"/>
  <c r="G2763" i="1"/>
  <c r="F2763" i="1"/>
  <c r="E2763" i="1"/>
  <c r="D2763" i="1"/>
  <c r="B2763" i="1"/>
  <c r="A2763" i="1"/>
  <c r="J603" i="1"/>
  <c r="I603" i="1"/>
  <c r="H603" i="1"/>
  <c r="G603" i="1"/>
  <c r="F603" i="1"/>
  <c r="E603" i="1"/>
  <c r="D603" i="1"/>
  <c r="B603" i="1"/>
  <c r="A603" i="1"/>
  <c r="J2097" i="1"/>
  <c r="I2097" i="1"/>
  <c r="H2097" i="1"/>
  <c r="G2097" i="1"/>
  <c r="F2097" i="1"/>
  <c r="E2097" i="1"/>
  <c r="D2097" i="1"/>
  <c r="B2097" i="1"/>
  <c r="A2097" i="1"/>
  <c r="J83" i="1"/>
  <c r="I83" i="1"/>
  <c r="H83" i="1"/>
  <c r="G83" i="1"/>
  <c r="F83" i="1"/>
  <c r="E83" i="1"/>
  <c r="D83" i="1"/>
  <c r="B83" i="1"/>
  <c r="A83" i="1"/>
  <c r="J2427" i="1"/>
  <c r="I2427" i="1"/>
  <c r="H2427" i="1"/>
  <c r="G2427" i="1"/>
  <c r="F2427" i="1"/>
  <c r="E2427" i="1"/>
  <c r="D2427" i="1"/>
  <c r="B2427" i="1"/>
  <c r="A2427" i="1"/>
  <c r="J832" i="1"/>
  <c r="I832" i="1"/>
  <c r="H832" i="1"/>
  <c r="G832" i="1"/>
  <c r="F832" i="1"/>
  <c r="E832" i="1"/>
  <c r="D832" i="1"/>
  <c r="B832" i="1"/>
  <c r="A832" i="1"/>
  <c r="J783" i="1"/>
  <c r="I783" i="1"/>
  <c r="H783" i="1"/>
  <c r="G783" i="1"/>
  <c r="F783" i="1"/>
  <c r="E783" i="1"/>
  <c r="D783" i="1"/>
  <c r="B783" i="1"/>
  <c r="A783" i="1"/>
  <c r="J2426" i="1"/>
  <c r="I2426" i="1"/>
  <c r="H2426" i="1"/>
  <c r="G2426" i="1"/>
  <c r="F2426" i="1"/>
  <c r="E2426" i="1"/>
  <c r="D2426" i="1"/>
  <c r="B2426" i="1"/>
  <c r="A2426" i="1"/>
  <c r="J831" i="1"/>
  <c r="I831" i="1"/>
  <c r="H831" i="1"/>
  <c r="G831" i="1"/>
  <c r="F831" i="1"/>
  <c r="E831" i="1"/>
  <c r="D831" i="1"/>
  <c r="B831" i="1"/>
  <c r="A831" i="1"/>
  <c r="J782" i="1"/>
  <c r="I782" i="1"/>
  <c r="H782" i="1"/>
  <c r="G782" i="1"/>
  <c r="F782" i="1"/>
  <c r="E782" i="1"/>
  <c r="D782" i="1"/>
  <c r="B782" i="1"/>
  <c r="A782" i="1"/>
  <c r="J1131" i="1"/>
  <c r="I1131" i="1"/>
  <c r="H1131" i="1"/>
  <c r="G1131" i="1"/>
  <c r="F1131" i="1"/>
  <c r="E1131" i="1"/>
  <c r="D1131" i="1"/>
  <c r="B1131" i="1"/>
  <c r="A1131" i="1"/>
  <c r="J1130" i="1"/>
  <c r="I1130" i="1"/>
  <c r="H1130" i="1"/>
  <c r="G1130" i="1"/>
  <c r="F1130" i="1"/>
  <c r="E1130" i="1"/>
  <c r="D1130" i="1"/>
  <c r="B1130" i="1"/>
  <c r="A1130" i="1"/>
  <c r="J23" i="1"/>
  <c r="I23" i="1"/>
  <c r="H23" i="1"/>
  <c r="G23" i="1"/>
  <c r="F23" i="1"/>
  <c r="E23" i="1"/>
  <c r="D23" i="1"/>
  <c r="B23" i="1"/>
  <c r="A23" i="1"/>
  <c r="J2318" i="1"/>
  <c r="I2318" i="1"/>
  <c r="H2318" i="1"/>
  <c r="G2318" i="1"/>
  <c r="F2318" i="1"/>
  <c r="E2318" i="1"/>
  <c r="D2318" i="1"/>
  <c r="B2318" i="1"/>
  <c r="A2318" i="1"/>
  <c r="J2276" i="1"/>
  <c r="I2276" i="1"/>
  <c r="H2276" i="1"/>
  <c r="G2276" i="1"/>
  <c r="F2276" i="1"/>
  <c r="E2276" i="1"/>
  <c r="D2276" i="1"/>
  <c r="B2276" i="1"/>
  <c r="A2276" i="1"/>
  <c r="J3140" i="1"/>
  <c r="I3140" i="1"/>
  <c r="H3140" i="1"/>
  <c r="G3140" i="1"/>
  <c r="F3140" i="1"/>
  <c r="E3140" i="1"/>
  <c r="D3140" i="1"/>
  <c r="B3140" i="1"/>
  <c r="A3140" i="1"/>
  <c r="J419" i="1"/>
  <c r="I419" i="1"/>
  <c r="H419" i="1"/>
  <c r="G419" i="1"/>
  <c r="F419" i="1"/>
  <c r="E419" i="1"/>
  <c r="D419" i="1"/>
  <c r="B419" i="1"/>
  <c r="A419" i="1"/>
  <c r="J1332" i="1"/>
  <c r="I1332" i="1"/>
  <c r="H1332" i="1"/>
  <c r="G1332" i="1"/>
  <c r="F1332" i="1"/>
  <c r="E1332" i="1"/>
  <c r="D1332" i="1"/>
  <c r="B1332" i="1"/>
  <c r="A1332" i="1"/>
  <c r="J525" i="1"/>
  <c r="I525" i="1"/>
  <c r="H525" i="1"/>
  <c r="G525" i="1"/>
  <c r="F525" i="1"/>
  <c r="E525" i="1"/>
  <c r="D525" i="1"/>
  <c r="B525" i="1"/>
  <c r="A525" i="1"/>
  <c r="J1106" i="1"/>
  <c r="I1106" i="1"/>
  <c r="H1106" i="1"/>
  <c r="G1106" i="1"/>
  <c r="F1106" i="1"/>
  <c r="E1106" i="1"/>
  <c r="D1106" i="1"/>
  <c r="B1106" i="1"/>
  <c r="A1106" i="1"/>
  <c r="J807" i="1"/>
  <c r="I807" i="1"/>
  <c r="H807" i="1"/>
  <c r="G807" i="1"/>
  <c r="F807" i="1"/>
  <c r="E807" i="1"/>
  <c r="D807" i="1"/>
  <c r="B807" i="1"/>
  <c r="A807" i="1"/>
  <c r="J1989" i="1"/>
  <c r="I1989" i="1"/>
  <c r="H1989" i="1"/>
  <c r="G1989" i="1"/>
  <c r="F1989" i="1"/>
  <c r="E1989" i="1"/>
  <c r="D1989" i="1"/>
  <c r="B1989" i="1"/>
  <c r="A1989" i="1"/>
  <c r="J6" i="1"/>
  <c r="I6" i="1"/>
  <c r="H6" i="1"/>
  <c r="G6" i="1"/>
  <c r="F6" i="1"/>
  <c r="E6" i="1"/>
  <c r="D6" i="1"/>
  <c r="B6" i="1"/>
  <c r="A6" i="1"/>
  <c r="J3195" i="1"/>
  <c r="I3195" i="1"/>
  <c r="H3195" i="1"/>
  <c r="G3195" i="1"/>
  <c r="F3195" i="1"/>
  <c r="E3195" i="1"/>
  <c r="D3195" i="1"/>
  <c r="B3195" i="1"/>
  <c r="A3195" i="1"/>
  <c r="J1355" i="1"/>
  <c r="I1355" i="1"/>
  <c r="H1355" i="1"/>
  <c r="G1355" i="1"/>
  <c r="F1355" i="1"/>
  <c r="E1355" i="1"/>
  <c r="D1355" i="1"/>
  <c r="B1355" i="1"/>
  <c r="A1355" i="1"/>
  <c r="J1058" i="1"/>
  <c r="I1058" i="1"/>
  <c r="H1058" i="1"/>
  <c r="G1058" i="1"/>
  <c r="F1058" i="1"/>
  <c r="E1058" i="1"/>
  <c r="D1058" i="1"/>
  <c r="B1058" i="1"/>
  <c r="A1058" i="1"/>
  <c r="J369" i="1"/>
  <c r="I369" i="1"/>
  <c r="H369" i="1"/>
  <c r="G369" i="1"/>
  <c r="F369" i="1"/>
  <c r="E369" i="1"/>
  <c r="D369" i="1"/>
  <c r="B369" i="1"/>
  <c r="A369" i="1"/>
  <c r="J3090" i="1"/>
  <c r="I3090" i="1"/>
  <c r="H3090" i="1"/>
  <c r="G3090" i="1"/>
  <c r="F3090" i="1"/>
  <c r="E3090" i="1"/>
  <c r="D3090" i="1"/>
  <c r="B3090" i="1"/>
  <c r="A3090" i="1"/>
  <c r="J540" i="1"/>
  <c r="I540" i="1"/>
  <c r="H540" i="1"/>
  <c r="G540" i="1"/>
  <c r="F540" i="1"/>
  <c r="E540" i="1"/>
  <c r="D540" i="1"/>
  <c r="B540" i="1"/>
  <c r="A540" i="1"/>
  <c r="J82" i="1"/>
  <c r="I82" i="1"/>
  <c r="H82" i="1"/>
  <c r="G82" i="1"/>
  <c r="F82" i="1"/>
  <c r="E82" i="1"/>
  <c r="D82" i="1"/>
  <c r="B82" i="1"/>
  <c r="A82" i="1"/>
  <c r="J2096" i="1"/>
  <c r="I2096" i="1"/>
  <c r="H2096" i="1"/>
  <c r="G2096" i="1"/>
  <c r="F2096" i="1"/>
  <c r="E2096" i="1"/>
  <c r="D2096" i="1"/>
  <c r="B2096" i="1"/>
  <c r="A2096" i="1"/>
  <c r="J2762" i="1"/>
  <c r="I2762" i="1"/>
  <c r="H2762" i="1"/>
  <c r="G2762" i="1"/>
  <c r="F2762" i="1"/>
  <c r="E2762" i="1"/>
  <c r="D2762" i="1"/>
  <c r="B2762" i="1"/>
  <c r="A2762" i="1"/>
  <c r="J602" i="1"/>
  <c r="I602" i="1"/>
  <c r="H602" i="1"/>
  <c r="G602" i="1"/>
  <c r="F602" i="1"/>
  <c r="E602" i="1"/>
  <c r="D602" i="1"/>
  <c r="B602" i="1"/>
  <c r="A602" i="1"/>
  <c r="J3194" i="1"/>
  <c r="I3194" i="1"/>
  <c r="H3194" i="1"/>
  <c r="G3194" i="1"/>
  <c r="F3194" i="1"/>
  <c r="E3194" i="1"/>
  <c r="D3194" i="1"/>
  <c r="B3194" i="1"/>
  <c r="A3194" i="1"/>
  <c r="J1184" i="1"/>
  <c r="I1184" i="1"/>
  <c r="H1184" i="1"/>
  <c r="G1184" i="1"/>
  <c r="F1184" i="1"/>
  <c r="E1184" i="1"/>
  <c r="D1184" i="1"/>
  <c r="B1184" i="1"/>
  <c r="A1184" i="1"/>
  <c r="J1262" i="1"/>
  <c r="I1262" i="1"/>
  <c r="H1262" i="1"/>
  <c r="G1262" i="1"/>
  <c r="F1262" i="1"/>
  <c r="E1262" i="1"/>
  <c r="D1262" i="1"/>
  <c r="B1262" i="1"/>
  <c r="A1262" i="1"/>
  <c r="J2015" i="1"/>
  <c r="I2015" i="1"/>
  <c r="H2015" i="1"/>
  <c r="G2015" i="1"/>
  <c r="F2015" i="1"/>
  <c r="E2015" i="1"/>
  <c r="D2015" i="1"/>
  <c r="B2015" i="1"/>
  <c r="A2015" i="1"/>
  <c r="J1331" i="1"/>
  <c r="I1331" i="1"/>
  <c r="H1331" i="1"/>
  <c r="G1331" i="1"/>
  <c r="F1331" i="1"/>
  <c r="E1331" i="1"/>
  <c r="D1331" i="1"/>
  <c r="B1331" i="1"/>
  <c r="A1331" i="1"/>
  <c r="J1105" i="1"/>
  <c r="I1105" i="1"/>
  <c r="H1105" i="1"/>
  <c r="G1105" i="1"/>
  <c r="F1105" i="1"/>
  <c r="E1105" i="1"/>
  <c r="D1105" i="1"/>
  <c r="B1105" i="1"/>
  <c r="A1105" i="1"/>
  <c r="J806" i="1"/>
  <c r="I806" i="1"/>
  <c r="H806" i="1"/>
  <c r="G806" i="1"/>
  <c r="F806" i="1"/>
  <c r="E806" i="1"/>
  <c r="D806" i="1"/>
  <c r="B806" i="1"/>
  <c r="A806" i="1"/>
  <c r="J1988" i="1"/>
  <c r="I1988" i="1"/>
  <c r="H1988" i="1"/>
  <c r="G1988" i="1"/>
  <c r="F1988" i="1"/>
  <c r="E1988" i="1"/>
  <c r="D1988" i="1"/>
  <c r="B1988" i="1"/>
  <c r="A1988" i="1"/>
  <c r="J5" i="1"/>
  <c r="I5" i="1"/>
  <c r="H5" i="1"/>
  <c r="G5" i="1"/>
  <c r="F5" i="1"/>
  <c r="E5" i="1"/>
  <c r="D5" i="1"/>
  <c r="B5" i="1"/>
  <c r="A5" i="1"/>
  <c r="J1129" i="1"/>
  <c r="I1129" i="1"/>
  <c r="H1129" i="1"/>
  <c r="G1129" i="1"/>
  <c r="F1129" i="1"/>
  <c r="E1129" i="1"/>
  <c r="D1129" i="1"/>
  <c r="B1129" i="1"/>
  <c r="A1129" i="1"/>
  <c r="J22" i="1"/>
  <c r="I22" i="1"/>
  <c r="H22" i="1"/>
  <c r="G22" i="1"/>
  <c r="F22" i="1"/>
  <c r="E22" i="1"/>
  <c r="D22" i="1"/>
  <c r="B22" i="1"/>
  <c r="A22" i="1"/>
  <c r="J3062" i="1"/>
  <c r="I3062" i="1"/>
  <c r="H3062" i="1"/>
  <c r="G3062" i="1"/>
  <c r="F3062" i="1"/>
  <c r="E3062" i="1"/>
  <c r="D3062" i="1"/>
  <c r="B3062" i="1"/>
  <c r="A3062" i="1"/>
  <c r="J2458" i="1"/>
  <c r="I2458" i="1"/>
  <c r="H2458" i="1"/>
  <c r="G2458" i="1"/>
  <c r="F2458" i="1"/>
  <c r="E2458" i="1"/>
  <c r="D2458" i="1"/>
  <c r="B2458" i="1"/>
  <c r="A2458" i="1"/>
  <c r="J1354" i="1"/>
  <c r="I1354" i="1"/>
  <c r="H1354" i="1"/>
  <c r="G1354" i="1"/>
  <c r="F1354" i="1"/>
  <c r="E1354" i="1"/>
  <c r="D1354" i="1"/>
  <c r="B1354" i="1"/>
  <c r="A1354" i="1"/>
  <c r="J2317" i="1"/>
  <c r="I2317" i="1"/>
  <c r="H2317" i="1"/>
  <c r="G2317" i="1"/>
  <c r="F2317" i="1"/>
  <c r="E2317" i="1"/>
  <c r="D2317" i="1"/>
  <c r="B2317" i="1"/>
  <c r="A2317" i="1"/>
  <c r="J2275" i="1"/>
  <c r="I2275" i="1"/>
  <c r="H2275" i="1"/>
  <c r="G2275" i="1"/>
  <c r="F2275" i="1"/>
  <c r="E2275" i="1"/>
  <c r="D2275" i="1"/>
  <c r="B2275" i="1"/>
  <c r="A2275" i="1"/>
  <c r="J3139" i="1"/>
  <c r="I3139" i="1"/>
  <c r="H3139" i="1"/>
  <c r="G3139" i="1"/>
  <c r="F3139" i="1"/>
  <c r="E3139" i="1"/>
  <c r="D3139" i="1"/>
  <c r="B3139" i="1"/>
  <c r="A3139" i="1"/>
  <c r="J418" i="1"/>
  <c r="I418" i="1"/>
  <c r="H418" i="1"/>
  <c r="G418" i="1"/>
  <c r="F418" i="1"/>
  <c r="E418" i="1"/>
  <c r="D418" i="1"/>
  <c r="B418" i="1"/>
  <c r="A418" i="1"/>
  <c r="J601" i="1"/>
  <c r="I601" i="1"/>
  <c r="H601" i="1"/>
  <c r="G601" i="1"/>
  <c r="F601" i="1"/>
  <c r="E601" i="1"/>
  <c r="D601" i="1"/>
  <c r="B601" i="1"/>
  <c r="A601" i="1"/>
  <c r="J2095" i="1"/>
  <c r="I2095" i="1"/>
  <c r="H2095" i="1"/>
  <c r="G2095" i="1"/>
  <c r="F2095" i="1"/>
  <c r="E2095" i="1"/>
  <c r="D2095" i="1"/>
  <c r="B2095" i="1"/>
  <c r="A2095" i="1"/>
  <c r="J81" i="1"/>
  <c r="I81" i="1"/>
  <c r="H81" i="1"/>
  <c r="G81" i="1"/>
  <c r="F81" i="1"/>
  <c r="E81" i="1"/>
  <c r="D81" i="1"/>
  <c r="B81" i="1"/>
  <c r="A81" i="1"/>
  <c r="J2761" i="1"/>
  <c r="I2761" i="1"/>
  <c r="H2761" i="1"/>
  <c r="G2761" i="1"/>
  <c r="F2761" i="1"/>
  <c r="E2761" i="1"/>
  <c r="D2761" i="1"/>
  <c r="B2761" i="1"/>
  <c r="A2761" i="1"/>
  <c r="J2094" i="1"/>
  <c r="I2094" i="1"/>
  <c r="H2094" i="1"/>
  <c r="G2094" i="1"/>
  <c r="F2094" i="1"/>
  <c r="E2094" i="1"/>
  <c r="D2094" i="1"/>
  <c r="B2094" i="1"/>
  <c r="A2094" i="1"/>
  <c r="J2425" i="1"/>
  <c r="I2425" i="1"/>
  <c r="H2425" i="1"/>
  <c r="G2425" i="1"/>
  <c r="F2425" i="1"/>
  <c r="E2425" i="1"/>
  <c r="D2425" i="1"/>
  <c r="B2425" i="1"/>
  <c r="A2425" i="1"/>
  <c r="J781" i="1"/>
  <c r="I781" i="1"/>
  <c r="H781" i="1"/>
  <c r="G781" i="1"/>
  <c r="F781" i="1"/>
  <c r="E781" i="1"/>
  <c r="D781" i="1"/>
  <c r="B781" i="1"/>
  <c r="A781" i="1"/>
  <c r="J830" i="1"/>
  <c r="I830" i="1"/>
  <c r="H830" i="1"/>
  <c r="G830" i="1"/>
  <c r="F830" i="1"/>
  <c r="E830" i="1"/>
  <c r="D830" i="1"/>
  <c r="B830" i="1"/>
  <c r="A830" i="1"/>
  <c r="J2373" i="1"/>
  <c r="I2373" i="1"/>
  <c r="H2373" i="1"/>
  <c r="G2373" i="1"/>
  <c r="F2373" i="1"/>
  <c r="E2373" i="1"/>
  <c r="D2373" i="1"/>
  <c r="B2373" i="1"/>
  <c r="A2373" i="1"/>
  <c r="J3193" i="1"/>
  <c r="I3193" i="1"/>
  <c r="H3193" i="1"/>
  <c r="G3193" i="1"/>
  <c r="F3193" i="1"/>
  <c r="E3193" i="1"/>
  <c r="D3193" i="1"/>
  <c r="B3193" i="1"/>
  <c r="A3193" i="1"/>
  <c r="J468" i="1"/>
  <c r="I468" i="1"/>
  <c r="H468" i="1"/>
  <c r="G468" i="1"/>
  <c r="F468" i="1"/>
  <c r="E468" i="1"/>
  <c r="D468" i="1"/>
  <c r="B468" i="1"/>
  <c r="A468" i="1"/>
  <c r="J2509" i="1"/>
  <c r="I2509" i="1"/>
  <c r="H2509" i="1"/>
  <c r="G2509" i="1"/>
  <c r="F2509" i="1"/>
  <c r="E2509" i="1"/>
  <c r="D2509" i="1"/>
  <c r="B2509" i="1"/>
  <c r="A2509" i="1"/>
  <c r="J1397" i="1"/>
  <c r="I1397" i="1"/>
  <c r="H1397" i="1"/>
  <c r="G1397" i="1"/>
  <c r="F1397" i="1"/>
  <c r="E1397" i="1"/>
  <c r="D1397" i="1"/>
  <c r="B1397" i="1"/>
  <c r="A1397" i="1"/>
  <c r="J884" i="1"/>
  <c r="I884" i="1"/>
  <c r="H884" i="1"/>
  <c r="G884" i="1"/>
  <c r="F884" i="1"/>
  <c r="E884" i="1"/>
  <c r="D884" i="1"/>
  <c r="B884" i="1"/>
  <c r="A884" i="1"/>
  <c r="J3192" i="1"/>
  <c r="I3192" i="1"/>
  <c r="H3192" i="1"/>
  <c r="G3192" i="1"/>
  <c r="F3192" i="1"/>
  <c r="E3192" i="1"/>
  <c r="D3192" i="1"/>
  <c r="B3192" i="1"/>
  <c r="A3192" i="1"/>
  <c r="J2760" i="1"/>
  <c r="I2760" i="1"/>
  <c r="H2760" i="1"/>
  <c r="G2760" i="1"/>
  <c r="F2760" i="1"/>
  <c r="E2760" i="1"/>
  <c r="D2760" i="1"/>
  <c r="B2760" i="1"/>
  <c r="A2760" i="1"/>
  <c r="J600" i="1"/>
  <c r="I600" i="1"/>
  <c r="H600" i="1"/>
  <c r="G600" i="1"/>
  <c r="F600" i="1"/>
  <c r="E600" i="1"/>
  <c r="D600" i="1"/>
  <c r="B600" i="1"/>
  <c r="A600" i="1"/>
  <c r="J80" i="1"/>
  <c r="I80" i="1"/>
  <c r="H80" i="1"/>
  <c r="G80" i="1"/>
  <c r="F80" i="1"/>
  <c r="E80" i="1"/>
  <c r="D80" i="1"/>
  <c r="B80" i="1"/>
  <c r="A80" i="1"/>
  <c r="J79" i="1"/>
  <c r="I79" i="1"/>
  <c r="H79" i="1"/>
  <c r="G79" i="1"/>
  <c r="F79" i="1"/>
  <c r="E79" i="1"/>
  <c r="D79" i="1"/>
  <c r="B79" i="1"/>
  <c r="A79" i="1"/>
  <c r="J2093" i="1"/>
  <c r="I2093" i="1"/>
  <c r="H2093" i="1"/>
  <c r="G2093" i="1"/>
  <c r="F2093" i="1"/>
  <c r="E2093" i="1"/>
  <c r="D2093" i="1"/>
  <c r="B2093" i="1"/>
  <c r="A2093" i="1"/>
  <c r="J467" i="1"/>
  <c r="I467" i="1"/>
  <c r="H467" i="1"/>
  <c r="G467" i="1"/>
  <c r="F467" i="1"/>
  <c r="E467" i="1"/>
  <c r="D467" i="1"/>
  <c r="B467" i="1"/>
  <c r="A467" i="1"/>
  <c r="J2508" i="1"/>
  <c r="I2508" i="1"/>
  <c r="H2508" i="1"/>
  <c r="G2508" i="1"/>
  <c r="F2508" i="1"/>
  <c r="E2508" i="1"/>
  <c r="D2508" i="1"/>
  <c r="B2508" i="1"/>
  <c r="A2508" i="1"/>
  <c r="J1396" i="1"/>
  <c r="I1396" i="1"/>
  <c r="H1396" i="1"/>
  <c r="G1396" i="1"/>
  <c r="F1396" i="1"/>
  <c r="E1396" i="1"/>
  <c r="D1396" i="1"/>
  <c r="B1396" i="1"/>
  <c r="A1396" i="1"/>
  <c r="J883" i="1"/>
  <c r="I883" i="1"/>
  <c r="H883" i="1"/>
  <c r="G883" i="1"/>
  <c r="F883" i="1"/>
  <c r="E883" i="1"/>
  <c r="D883" i="1"/>
  <c r="B883" i="1"/>
  <c r="A883" i="1"/>
  <c r="J2274" i="1"/>
  <c r="I2274" i="1"/>
  <c r="H2274" i="1"/>
  <c r="G2274" i="1"/>
  <c r="F2274" i="1"/>
  <c r="E2274" i="1"/>
  <c r="D2274" i="1"/>
  <c r="B2274" i="1"/>
  <c r="A2274" i="1"/>
  <c r="J2316" i="1"/>
  <c r="I2316" i="1"/>
  <c r="H2316" i="1"/>
  <c r="G2316" i="1"/>
  <c r="F2316" i="1"/>
  <c r="E2316" i="1"/>
  <c r="D2316" i="1"/>
  <c r="B2316" i="1"/>
  <c r="A2316" i="1"/>
  <c r="J3138" i="1"/>
  <c r="I3138" i="1"/>
  <c r="H3138" i="1"/>
  <c r="G3138" i="1"/>
  <c r="F3138" i="1"/>
  <c r="E3138" i="1"/>
  <c r="D3138" i="1"/>
  <c r="B3138" i="1"/>
  <c r="A3138" i="1"/>
  <c r="J417" i="1"/>
  <c r="I417" i="1"/>
  <c r="H417" i="1"/>
  <c r="G417" i="1"/>
  <c r="F417" i="1"/>
  <c r="E417" i="1"/>
  <c r="D417" i="1"/>
  <c r="B417" i="1"/>
  <c r="A417" i="1"/>
  <c r="J2759" i="1"/>
  <c r="I2759" i="1"/>
  <c r="H2759" i="1"/>
  <c r="G2759" i="1"/>
  <c r="F2759" i="1"/>
  <c r="E2759" i="1"/>
  <c r="D2759" i="1"/>
  <c r="B2759" i="1"/>
  <c r="A2759" i="1"/>
  <c r="J2092" i="1"/>
  <c r="I2092" i="1"/>
  <c r="H2092" i="1"/>
  <c r="G2092" i="1"/>
  <c r="F2092" i="1"/>
  <c r="E2092" i="1"/>
  <c r="D2092" i="1"/>
  <c r="B2092" i="1"/>
  <c r="A2092" i="1"/>
  <c r="J599" i="1"/>
  <c r="I599" i="1"/>
  <c r="H599" i="1"/>
  <c r="G599" i="1"/>
  <c r="F599" i="1"/>
  <c r="E599" i="1"/>
  <c r="D599" i="1"/>
  <c r="B599" i="1"/>
  <c r="A599" i="1"/>
  <c r="J78" i="1"/>
  <c r="I78" i="1"/>
  <c r="H78" i="1"/>
  <c r="G78" i="1"/>
  <c r="F78" i="1"/>
  <c r="E78" i="1"/>
  <c r="D78" i="1"/>
  <c r="B78" i="1"/>
  <c r="A78" i="1"/>
  <c r="J3061" i="1"/>
  <c r="I3061" i="1"/>
  <c r="H3061" i="1"/>
  <c r="G3061" i="1"/>
  <c r="F3061" i="1"/>
  <c r="E3061" i="1"/>
  <c r="D3061" i="1"/>
  <c r="B3061" i="1"/>
  <c r="A3061" i="1"/>
  <c r="J2457" i="1"/>
  <c r="I2457" i="1"/>
  <c r="H2457" i="1"/>
  <c r="G2457" i="1"/>
  <c r="F2457" i="1"/>
  <c r="E2457" i="1"/>
  <c r="D2457" i="1"/>
  <c r="B2457" i="1"/>
  <c r="A2457" i="1"/>
  <c r="J2372" i="1"/>
  <c r="I2372" i="1"/>
  <c r="H2372" i="1"/>
  <c r="G2372" i="1"/>
  <c r="F2372" i="1"/>
  <c r="E2372" i="1"/>
  <c r="D2372" i="1"/>
  <c r="B2372" i="1"/>
  <c r="A2372" i="1"/>
  <c r="J466" i="1"/>
  <c r="I466" i="1"/>
  <c r="H466" i="1"/>
  <c r="G466" i="1"/>
  <c r="F466" i="1"/>
  <c r="E466" i="1"/>
  <c r="D466" i="1"/>
  <c r="B466" i="1"/>
  <c r="A466" i="1"/>
  <c r="J2507" i="1"/>
  <c r="I2507" i="1"/>
  <c r="H2507" i="1"/>
  <c r="G2507" i="1"/>
  <c r="F2507" i="1"/>
  <c r="E2507" i="1"/>
  <c r="D2507" i="1"/>
  <c r="B2507" i="1"/>
  <c r="A2507" i="1"/>
  <c r="J1395" i="1"/>
  <c r="I1395" i="1"/>
  <c r="H1395" i="1"/>
  <c r="G1395" i="1"/>
  <c r="F1395" i="1"/>
  <c r="E1395" i="1"/>
  <c r="D1395" i="1"/>
  <c r="B1395" i="1"/>
  <c r="A1395" i="1"/>
  <c r="J882" i="1"/>
  <c r="I882" i="1"/>
  <c r="H882" i="1"/>
  <c r="G882" i="1"/>
  <c r="F882" i="1"/>
  <c r="E882" i="1"/>
  <c r="D882" i="1"/>
  <c r="B882" i="1"/>
  <c r="A882" i="1"/>
  <c r="J3191" i="1"/>
  <c r="I3191" i="1"/>
  <c r="H3191" i="1"/>
  <c r="G3191" i="1"/>
  <c r="F3191" i="1"/>
  <c r="E3191" i="1"/>
  <c r="D3191" i="1"/>
  <c r="B3191" i="1"/>
  <c r="A3191" i="1"/>
  <c r="J2758" i="1"/>
  <c r="I2758" i="1"/>
  <c r="H2758" i="1"/>
  <c r="G2758" i="1"/>
  <c r="F2758" i="1"/>
  <c r="E2758" i="1"/>
  <c r="D2758" i="1"/>
  <c r="B2758" i="1"/>
  <c r="A2758" i="1"/>
  <c r="J598" i="1"/>
  <c r="I598" i="1"/>
  <c r="H598" i="1"/>
  <c r="G598" i="1"/>
  <c r="F598" i="1"/>
  <c r="E598" i="1"/>
  <c r="D598" i="1"/>
  <c r="B598" i="1"/>
  <c r="A598" i="1"/>
  <c r="J2091" i="1"/>
  <c r="I2091" i="1"/>
  <c r="H2091" i="1"/>
  <c r="G2091" i="1"/>
  <c r="F2091" i="1"/>
  <c r="E2091" i="1"/>
  <c r="D2091" i="1"/>
  <c r="B2091" i="1"/>
  <c r="A2091" i="1"/>
  <c r="J77" i="1"/>
  <c r="I77" i="1"/>
  <c r="H77" i="1"/>
  <c r="G77" i="1"/>
  <c r="F77" i="1"/>
  <c r="E77" i="1"/>
  <c r="D77" i="1"/>
  <c r="B77" i="1"/>
  <c r="A77" i="1"/>
  <c r="J3190" i="1"/>
  <c r="I3190" i="1"/>
  <c r="H3190" i="1"/>
  <c r="G3190" i="1"/>
  <c r="F3190" i="1"/>
  <c r="E3190" i="1"/>
  <c r="D3190" i="1"/>
  <c r="B3190" i="1"/>
  <c r="A3190" i="1"/>
  <c r="J465" i="1"/>
  <c r="I465" i="1"/>
  <c r="H465" i="1"/>
  <c r="G465" i="1"/>
  <c r="F465" i="1"/>
  <c r="E465" i="1"/>
  <c r="D465" i="1"/>
  <c r="B465" i="1"/>
  <c r="A465" i="1"/>
  <c r="J2506" i="1"/>
  <c r="I2506" i="1"/>
  <c r="H2506" i="1"/>
  <c r="G2506" i="1"/>
  <c r="F2506" i="1"/>
  <c r="E2506" i="1"/>
  <c r="D2506" i="1"/>
  <c r="B2506" i="1"/>
  <c r="A2506" i="1"/>
  <c r="J1394" i="1"/>
  <c r="I1394" i="1"/>
  <c r="H1394" i="1"/>
  <c r="G1394" i="1"/>
  <c r="F1394" i="1"/>
  <c r="E1394" i="1"/>
  <c r="D1394" i="1"/>
  <c r="B1394" i="1"/>
  <c r="A1394" i="1"/>
  <c r="J881" i="1"/>
  <c r="I881" i="1"/>
  <c r="H881" i="1"/>
  <c r="G881" i="1"/>
  <c r="F881" i="1"/>
  <c r="E881" i="1"/>
  <c r="D881" i="1"/>
  <c r="B881" i="1"/>
  <c r="A881" i="1"/>
  <c r="J2757" i="1"/>
  <c r="I2757" i="1"/>
  <c r="H2757" i="1"/>
  <c r="G2757" i="1"/>
  <c r="F2757" i="1"/>
  <c r="E2757" i="1"/>
  <c r="D2757" i="1"/>
  <c r="B2757" i="1"/>
  <c r="A2757" i="1"/>
  <c r="J597" i="1"/>
  <c r="I597" i="1"/>
  <c r="H597" i="1"/>
  <c r="G597" i="1"/>
  <c r="F597" i="1"/>
  <c r="E597" i="1"/>
  <c r="D597" i="1"/>
  <c r="B597" i="1"/>
  <c r="A597" i="1"/>
  <c r="J76" i="1"/>
  <c r="I76" i="1"/>
  <c r="H76" i="1"/>
  <c r="G76" i="1"/>
  <c r="F76" i="1"/>
  <c r="E76" i="1"/>
  <c r="D76" i="1"/>
  <c r="B76" i="1"/>
  <c r="A76" i="1"/>
  <c r="J2090" i="1"/>
  <c r="I2090" i="1"/>
  <c r="H2090" i="1"/>
  <c r="G2090" i="1"/>
  <c r="F2090" i="1"/>
  <c r="E2090" i="1"/>
  <c r="D2090" i="1"/>
  <c r="B2090" i="1"/>
  <c r="A2090" i="1"/>
  <c r="J464" i="1"/>
  <c r="I464" i="1"/>
  <c r="H464" i="1"/>
  <c r="G464" i="1"/>
  <c r="F464" i="1"/>
  <c r="E464" i="1"/>
  <c r="D464" i="1"/>
  <c r="B464" i="1"/>
  <c r="A464" i="1"/>
  <c r="J2505" i="1"/>
  <c r="I2505" i="1"/>
  <c r="H2505" i="1"/>
  <c r="G2505" i="1"/>
  <c r="F2505" i="1"/>
  <c r="E2505" i="1"/>
  <c r="D2505" i="1"/>
  <c r="B2505" i="1"/>
  <c r="A2505" i="1"/>
  <c r="J1393" i="1"/>
  <c r="I1393" i="1"/>
  <c r="H1393" i="1"/>
  <c r="G1393" i="1"/>
  <c r="F1393" i="1"/>
  <c r="E1393" i="1"/>
  <c r="D1393" i="1"/>
  <c r="B1393" i="1"/>
  <c r="A1393" i="1"/>
  <c r="J880" i="1"/>
  <c r="I880" i="1"/>
  <c r="H880" i="1"/>
  <c r="G880" i="1"/>
  <c r="F880" i="1"/>
  <c r="E880" i="1"/>
  <c r="D880" i="1"/>
  <c r="B880" i="1"/>
  <c r="A880" i="1"/>
  <c r="J2756" i="1"/>
  <c r="I2756" i="1"/>
  <c r="H2756" i="1"/>
  <c r="G2756" i="1"/>
  <c r="F2756" i="1"/>
  <c r="E2756" i="1"/>
  <c r="D2756" i="1"/>
  <c r="B2756" i="1"/>
  <c r="A2756" i="1"/>
  <c r="J596" i="1"/>
  <c r="I596" i="1"/>
  <c r="H596" i="1"/>
  <c r="G596" i="1"/>
  <c r="F596" i="1"/>
  <c r="E596" i="1"/>
  <c r="D596" i="1"/>
  <c r="B596" i="1"/>
  <c r="A596" i="1"/>
  <c r="J75" i="1"/>
  <c r="I75" i="1"/>
  <c r="H75" i="1"/>
  <c r="G75" i="1"/>
  <c r="F75" i="1"/>
  <c r="E75" i="1"/>
  <c r="D75" i="1"/>
  <c r="B75" i="1"/>
  <c r="A75" i="1"/>
  <c r="J2089" i="1"/>
  <c r="I2089" i="1"/>
  <c r="H2089" i="1"/>
  <c r="G2089" i="1"/>
  <c r="F2089" i="1"/>
  <c r="E2089" i="1"/>
  <c r="D2089" i="1"/>
  <c r="B2089" i="1"/>
  <c r="A2089" i="1"/>
  <c r="J595" i="1"/>
  <c r="I595" i="1"/>
  <c r="H595" i="1"/>
  <c r="G595" i="1"/>
  <c r="F595" i="1"/>
  <c r="E595" i="1"/>
  <c r="D595" i="1"/>
  <c r="B595" i="1"/>
  <c r="A595" i="1"/>
  <c r="J2755" i="1"/>
  <c r="I2755" i="1"/>
  <c r="H2755" i="1"/>
  <c r="G2755" i="1"/>
  <c r="F2755" i="1"/>
  <c r="E2755" i="1"/>
  <c r="D2755" i="1"/>
  <c r="B2755" i="1"/>
  <c r="A2755" i="1"/>
  <c r="J74" i="1"/>
  <c r="I74" i="1"/>
  <c r="H74" i="1"/>
  <c r="G74" i="1"/>
  <c r="F74" i="1"/>
  <c r="E74" i="1"/>
  <c r="D74" i="1"/>
  <c r="B74" i="1"/>
  <c r="A74" i="1"/>
  <c r="J2088" i="1"/>
  <c r="I2088" i="1"/>
  <c r="H2088" i="1"/>
  <c r="G2088" i="1"/>
  <c r="F2088" i="1"/>
  <c r="E2088" i="1"/>
  <c r="D2088" i="1"/>
  <c r="B2088" i="1"/>
  <c r="A2088" i="1"/>
  <c r="J3189" i="1"/>
  <c r="I3189" i="1"/>
  <c r="H3189" i="1"/>
  <c r="G3189" i="1"/>
  <c r="F3189" i="1"/>
  <c r="E3189" i="1"/>
  <c r="D3189" i="1"/>
  <c r="B3189" i="1"/>
  <c r="A3189" i="1"/>
  <c r="J3188" i="1"/>
  <c r="I3188" i="1"/>
  <c r="H3188" i="1"/>
  <c r="G3188" i="1"/>
  <c r="F3188" i="1"/>
  <c r="E3188" i="1"/>
  <c r="D3188" i="1"/>
  <c r="B3188" i="1"/>
  <c r="A3188" i="1"/>
  <c r="J2087" i="1"/>
  <c r="I2087" i="1"/>
  <c r="H2087" i="1"/>
  <c r="G2087" i="1"/>
  <c r="F2087" i="1"/>
  <c r="E2087" i="1"/>
  <c r="D2087" i="1"/>
  <c r="B2087" i="1"/>
  <c r="A2087" i="1"/>
  <c r="J2754" i="1"/>
  <c r="I2754" i="1"/>
  <c r="H2754" i="1"/>
  <c r="G2754" i="1"/>
  <c r="F2754" i="1"/>
  <c r="E2754" i="1"/>
  <c r="D2754" i="1"/>
  <c r="B2754" i="1"/>
  <c r="A2754" i="1"/>
  <c r="J594" i="1"/>
  <c r="I594" i="1"/>
  <c r="H594" i="1"/>
  <c r="G594" i="1"/>
  <c r="F594" i="1"/>
  <c r="E594" i="1"/>
  <c r="D594" i="1"/>
  <c r="B594" i="1"/>
  <c r="A594" i="1"/>
  <c r="J73" i="1"/>
  <c r="I73" i="1"/>
  <c r="H73" i="1"/>
  <c r="G73" i="1"/>
  <c r="F73" i="1"/>
  <c r="E73" i="1"/>
  <c r="D73" i="1"/>
  <c r="B73" i="1"/>
  <c r="A73" i="1"/>
  <c r="J463" i="1"/>
  <c r="I463" i="1"/>
  <c r="H463" i="1"/>
  <c r="G463" i="1"/>
  <c r="F463" i="1"/>
  <c r="E463" i="1"/>
  <c r="D463" i="1"/>
  <c r="B463" i="1"/>
  <c r="A463" i="1"/>
  <c r="J2504" i="1"/>
  <c r="I2504" i="1"/>
  <c r="H2504" i="1"/>
  <c r="G2504" i="1"/>
  <c r="F2504" i="1"/>
  <c r="E2504" i="1"/>
  <c r="D2504" i="1"/>
  <c r="B2504" i="1"/>
  <c r="A2504" i="1"/>
  <c r="J1392" i="1"/>
  <c r="I1392" i="1"/>
  <c r="H1392" i="1"/>
  <c r="G1392" i="1"/>
  <c r="F1392" i="1"/>
  <c r="E1392" i="1"/>
  <c r="D1392" i="1"/>
  <c r="B1392" i="1"/>
  <c r="A1392" i="1"/>
  <c r="J879" i="1"/>
  <c r="I879" i="1"/>
  <c r="H879" i="1"/>
  <c r="G879" i="1"/>
  <c r="F879" i="1"/>
  <c r="E879" i="1"/>
  <c r="D879" i="1"/>
  <c r="B879" i="1"/>
  <c r="A879" i="1"/>
  <c r="J2753" i="1"/>
  <c r="I2753" i="1"/>
  <c r="H2753" i="1"/>
  <c r="G2753" i="1"/>
  <c r="F2753" i="1"/>
  <c r="E2753" i="1"/>
  <c r="D2753" i="1"/>
  <c r="B2753" i="1"/>
  <c r="A2753" i="1"/>
  <c r="J593" i="1"/>
  <c r="I593" i="1"/>
  <c r="H593" i="1"/>
  <c r="G593" i="1"/>
  <c r="F593" i="1"/>
  <c r="E593" i="1"/>
  <c r="D593" i="1"/>
  <c r="B593" i="1"/>
  <c r="A593" i="1"/>
  <c r="J72" i="1"/>
  <c r="I72" i="1"/>
  <c r="H72" i="1"/>
  <c r="G72" i="1"/>
  <c r="F72" i="1"/>
  <c r="E72" i="1"/>
  <c r="D72" i="1"/>
  <c r="B72" i="1"/>
  <c r="A72" i="1"/>
  <c r="J2086" i="1"/>
  <c r="I2086" i="1"/>
  <c r="H2086" i="1"/>
  <c r="G2086" i="1"/>
  <c r="F2086" i="1"/>
  <c r="E2086" i="1"/>
  <c r="D2086" i="1"/>
  <c r="B2086" i="1"/>
  <c r="A2086" i="1"/>
  <c r="J3187" i="1"/>
  <c r="I3187" i="1"/>
  <c r="H3187" i="1"/>
  <c r="G3187" i="1"/>
  <c r="F3187" i="1"/>
  <c r="E3187" i="1"/>
  <c r="D3187" i="1"/>
  <c r="B3187" i="1"/>
  <c r="A3187" i="1"/>
  <c r="J3060" i="1"/>
  <c r="I3060" i="1"/>
  <c r="H3060" i="1"/>
  <c r="G3060" i="1"/>
  <c r="F3060" i="1"/>
  <c r="E3060" i="1"/>
  <c r="D3060" i="1"/>
  <c r="B3060" i="1"/>
  <c r="A3060" i="1"/>
  <c r="J2456" i="1"/>
  <c r="I2456" i="1"/>
  <c r="H2456" i="1"/>
  <c r="G2456" i="1"/>
  <c r="F2456" i="1"/>
  <c r="E2456" i="1"/>
  <c r="D2456" i="1"/>
  <c r="B2456" i="1"/>
  <c r="A2456" i="1"/>
  <c r="J2371" i="1"/>
  <c r="I2371" i="1"/>
  <c r="H2371" i="1"/>
  <c r="G2371" i="1"/>
  <c r="F2371" i="1"/>
  <c r="E2371" i="1"/>
  <c r="D2371" i="1"/>
  <c r="B2371" i="1"/>
  <c r="A2371" i="1"/>
  <c r="J462" i="1"/>
  <c r="I462" i="1"/>
  <c r="H462" i="1"/>
  <c r="G462" i="1"/>
  <c r="F462" i="1"/>
  <c r="E462" i="1"/>
  <c r="D462" i="1"/>
  <c r="B462" i="1"/>
  <c r="A462" i="1"/>
  <c r="J2503" i="1"/>
  <c r="I2503" i="1"/>
  <c r="H2503" i="1"/>
  <c r="G2503" i="1"/>
  <c r="F2503" i="1"/>
  <c r="E2503" i="1"/>
  <c r="D2503" i="1"/>
  <c r="B2503" i="1"/>
  <c r="A2503" i="1"/>
  <c r="J1391" i="1"/>
  <c r="I1391" i="1"/>
  <c r="H1391" i="1"/>
  <c r="G1391" i="1"/>
  <c r="F1391" i="1"/>
  <c r="E1391" i="1"/>
  <c r="D1391" i="1"/>
  <c r="B1391" i="1"/>
  <c r="A1391" i="1"/>
  <c r="J1390" i="1"/>
  <c r="I1390" i="1"/>
  <c r="H1390" i="1"/>
  <c r="G1390" i="1"/>
  <c r="F1390" i="1"/>
  <c r="E1390" i="1"/>
  <c r="D1390" i="1"/>
  <c r="B1390" i="1"/>
  <c r="A1390" i="1"/>
  <c r="J878" i="1"/>
  <c r="I878" i="1"/>
  <c r="H878" i="1"/>
  <c r="G878" i="1"/>
  <c r="F878" i="1"/>
  <c r="E878" i="1"/>
  <c r="D878" i="1"/>
  <c r="B878" i="1"/>
  <c r="A878" i="1"/>
  <c r="J416" i="1"/>
  <c r="I416" i="1"/>
  <c r="H416" i="1"/>
  <c r="G416" i="1"/>
  <c r="F416" i="1"/>
  <c r="E416" i="1"/>
  <c r="D416" i="1"/>
  <c r="B416" i="1"/>
  <c r="A416" i="1"/>
  <c r="J2273" i="1"/>
  <c r="I2273" i="1"/>
  <c r="H2273" i="1"/>
  <c r="G2273" i="1"/>
  <c r="F2273" i="1"/>
  <c r="E2273" i="1"/>
  <c r="D2273" i="1"/>
  <c r="B2273" i="1"/>
  <c r="A2273" i="1"/>
  <c r="J2315" i="1"/>
  <c r="I2315" i="1"/>
  <c r="H2315" i="1"/>
  <c r="G2315" i="1"/>
  <c r="F2315" i="1"/>
  <c r="E2315" i="1"/>
  <c r="D2315" i="1"/>
  <c r="B2315" i="1"/>
  <c r="A2315" i="1"/>
  <c r="J3137" i="1"/>
  <c r="I3137" i="1"/>
  <c r="H3137" i="1"/>
  <c r="G3137" i="1"/>
  <c r="F3137" i="1"/>
  <c r="E3137" i="1"/>
  <c r="D3137" i="1"/>
  <c r="B3137" i="1"/>
  <c r="A3137" i="1"/>
  <c r="J415" i="1"/>
  <c r="I415" i="1"/>
  <c r="H415" i="1"/>
  <c r="G415" i="1"/>
  <c r="F415" i="1"/>
  <c r="E415" i="1"/>
  <c r="D415" i="1"/>
  <c r="B415" i="1"/>
  <c r="A415" i="1"/>
  <c r="J1353" i="1"/>
  <c r="I1353" i="1"/>
  <c r="H1353" i="1"/>
  <c r="G1353" i="1"/>
  <c r="F1353" i="1"/>
  <c r="E1353" i="1"/>
  <c r="D1353" i="1"/>
  <c r="B1353" i="1"/>
  <c r="A1353" i="1"/>
  <c r="J3186" i="1"/>
  <c r="I3186" i="1"/>
  <c r="H3186" i="1"/>
  <c r="G3186" i="1"/>
  <c r="F3186" i="1"/>
  <c r="E3186" i="1"/>
  <c r="D3186" i="1"/>
  <c r="B3186" i="1"/>
  <c r="A3186" i="1"/>
  <c r="J2752" i="1"/>
  <c r="I2752" i="1"/>
  <c r="H2752" i="1"/>
  <c r="G2752" i="1"/>
  <c r="F2752" i="1"/>
  <c r="E2752" i="1"/>
  <c r="D2752" i="1"/>
  <c r="B2752" i="1"/>
  <c r="A2752" i="1"/>
  <c r="J592" i="1"/>
  <c r="I592" i="1"/>
  <c r="H592" i="1"/>
  <c r="G592" i="1"/>
  <c r="F592" i="1"/>
  <c r="E592" i="1"/>
  <c r="D592" i="1"/>
  <c r="B592" i="1"/>
  <c r="A592" i="1"/>
  <c r="J2085" i="1"/>
  <c r="I2085" i="1"/>
  <c r="H2085" i="1"/>
  <c r="G2085" i="1"/>
  <c r="F2085" i="1"/>
  <c r="E2085" i="1"/>
  <c r="D2085" i="1"/>
  <c r="B2085" i="1"/>
  <c r="A2085" i="1"/>
  <c r="J71" i="1"/>
  <c r="I71" i="1"/>
  <c r="H71" i="1"/>
  <c r="G71" i="1"/>
  <c r="F71" i="1"/>
  <c r="E71" i="1"/>
  <c r="D71" i="1"/>
  <c r="B71" i="1"/>
  <c r="A71" i="1"/>
  <c r="J1352" i="1"/>
  <c r="I1352" i="1"/>
  <c r="H1352" i="1"/>
  <c r="G1352" i="1"/>
  <c r="F1352" i="1"/>
  <c r="E1352" i="1"/>
  <c r="D1352" i="1"/>
  <c r="B1352" i="1"/>
  <c r="A1352" i="1"/>
  <c r="J2314" i="1"/>
  <c r="I2314" i="1"/>
  <c r="H2314" i="1"/>
  <c r="G2314" i="1"/>
  <c r="F2314" i="1"/>
  <c r="E2314" i="1"/>
  <c r="D2314" i="1"/>
  <c r="B2314" i="1"/>
  <c r="A2314" i="1"/>
  <c r="J2272" i="1"/>
  <c r="I2272" i="1"/>
  <c r="H2272" i="1"/>
  <c r="G2272" i="1"/>
  <c r="F2272" i="1"/>
  <c r="E2272" i="1"/>
  <c r="D2272" i="1"/>
  <c r="B2272" i="1"/>
  <c r="A2272" i="1"/>
  <c r="J3136" i="1"/>
  <c r="I3136" i="1"/>
  <c r="H3136" i="1"/>
  <c r="G3136" i="1"/>
  <c r="F3136" i="1"/>
  <c r="E3136" i="1"/>
  <c r="D3136" i="1"/>
  <c r="B3136" i="1"/>
  <c r="A3136" i="1"/>
  <c r="J414" i="1"/>
  <c r="I414" i="1"/>
  <c r="H414" i="1"/>
  <c r="G414" i="1"/>
  <c r="F414" i="1"/>
  <c r="E414" i="1"/>
  <c r="D414" i="1"/>
  <c r="B414" i="1"/>
  <c r="A414" i="1"/>
  <c r="J591" i="1"/>
  <c r="I591" i="1"/>
  <c r="H591" i="1"/>
  <c r="G591" i="1"/>
  <c r="F591" i="1"/>
  <c r="E591" i="1"/>
  <c r="D591" i="1"/>
  <c r="B591" i="1"/>
  <c r="A591" i="1"/>
  <c r="J70" i="1"/>
  <c r="I70" i="1"/>
  <c r="H70" i="1"/>
  <c r="G70" i="1"/>
  <c r="F70" i="1"/>
  <c r="E70" i="1"/>
  <c r="D70" i="1"/>
  <c r="B70" i="1"/>
  <c r="A70" i="1"/>
  <c r="J2751" i="1"/>
  <c r="I2751" i="1"/>
  <c r="H2751" i="1"/>
  <c r="G2751" i="1"/>
  <c r="F2751" i="1"/>
  <c r="E2751" i="1"/>
  <c r="D2751" i="1"/>
  <c r="B2751" i="1"/>
  <c r="A2751" i="1"/>
  <c r="J2084" i="1"/>
  <c r="I2084" i="1"/>
  <c r="H2084" i="1"/>
  <c r="G2084" i="1"/>
  <c r="F2084" i="1"/>
  <c r="E2084" i="1"/>
  <c r="D2084" i="1"/>
  <c r="B2084" i="1"/>
  <c r="A2084" i="1"/>
  <c r="J21" i="1"/>
  <c r="I21" i="1"/>
  <c r="H21" i="1"/>
  <c r="G21" i="1"/>
  <c r="F21" i="1"/>
  <c r="E21" i="1"/>
  <c r="D21" i="1"/>
  <c r="B21" i="1"/>
  <c r="A21" i="1"/>
  <c r="J1128" i="1"/>
  <c r="I1128" i="1"/>
  <c r="H1128" i="1"/>
  <c r="G1128" i="1"/>
  <c r="F1128" i="1"/>
  <c r="E1128" i="1"/>
  <c r="D1128" i="1"/>
  <c r="B1128" i="1"/>
  <c r="A1128" i="1"/>
  <c r="J3185" i="1"/>
  <c r="I3185" i="1"/>
  <c r="H3185" i="1"/>
  <c r="G3185" i="1"/>
  <c r="F3185" i="1"/>
  <c r="E3185" i="1"/>
  <c r="D3185" i="1"/>
  <c r="B3185" i="1"/>
  <c r="A3185" i="1"/>
  <c r="J3059" i="1"/>
  <c r="I3059" i="1"/>
  <c r="H3059" i="1"/>
  <c r="G3059" i="1"/>
  <c r="F3059" i="1"/>
  <c r="E3059" i="1"/>
  <c r="D3059" i="1"/>
  <c r="B3059" i="1"/>
  <c r="A3059" i="1"/>
  <c r="J2455" i="1"/>
  <c r="I2455" i="1"/>
  <c r="H2455" i="1"/>
  <c r="G2455" i="1"/>
  <c r="F2455" i="1"/>
  <c r="E2455" i="1"/>
  <c r="D2455" i="1"/>
  <c r="B2455" i="1"/>
  <c r="A2455" i="1"/>
  <c r="J2370" i="1"/>
  <c r="I2370" i="1"/>
  <c r="H2370" i="1"/>
  <c r="G2370" i="1"/>
  <c r="F2370" i="1"/>
  <c r="E2370" i="1"/>
  <c r="D2370" i="1"/>
  <c r="B2370" i="1"/>
  <c r="A2370" i="1"/>
  <c r="J461" i="1"/>
  <c r="I461" i="1"/>
  <c r="H461" i="1"/>
  <c r="G461" i="1"/>
  <c r="F461" i="1"/>
  <c r="E461" i="1"/>
  <c r="D461" i="1"/>
  <c r="B461" i="1"/>
  <c r="A461" i="1"/>
  <c r="J2502" i="1"/>
  <c r="I2502" i="1"/>
  <c r="H2502" i="1"/>
  <c r="G2502" i="1"/>
  <c r="F2502" i="1"/>
  <c r="E2502" i="1"/>
  <c r="D2502" i="1"/>
  <c r="B2502" i="1"/>
  <c r="A2502" i="1"/>
  <c r="J1389" i="1"/>
  <c r="I1389" i="1"/>
  <c r="H1389" i="1"/>
  <c r="G1389" i="1"/>
  <c r="F1389" i="1"/>
  <c r="E1389" i="1"/>
  <c r="D1389" i="1"/>
  <c r="B1389" i="1"/>
  <c r="A1389" i="1"/>
  <c r="J877" i="1"/>
  <c r="I877" i="1"/>
  <c r="H877" i="1"/>
  <c r="G877" i="1"/>
  <c r="F877" i="1"/>
  <c r="E877" i="1"/>
  <c r="D877" i="1"/>
  <c r="B877" i="1"/>
  <c r="A877" i="1"/>
  <c r="J1183" i="1"/>
  <c r="I1183" i="1"/>
  <c r="H1183" i="1"/>
  <c r="G1183" i="1"/>
  <c r="F1183" i="1"/>
  <c r="E1183" i="1"/>
  <c r="D1183" i="1"/>
  <c r="B1183" i="1"/>
  <c r="A1183" i="1"/>
  <c r="J1261" i="1"/>
  <c r="I1261" i="1"/>
  <c r="H1261" i="1"/>
  <c r="G1261" i="1"/>
  <c r="F1261" i="1"/>
  <c r="E1261" i="1"/>
  <c r="D1261" i="1"/>
  <c r="B1261" i="1"/>
  <c r="A1261" i="1"/>
  <c r="J2014" i="1"/>
  <c r="I2014" i="1"/>
  <c r="H2014" i="1"/>
  <c r="G2014" i="1"/>
  <c r="F2014" i="1"/>
  <c r="E2014" i="1"/>
  <c r="D2014" i="1"/>
  <c r="B2014" i="1"/>
  <c r="A2014" i="1"/>
  <c r="J2750" i="1"/>
  <c r="I2750" i="1"/>
  <c r="H2750" i="1"/>
  <c r="G2750" i="1"/>
  <c r="F2750" i="1"/>
  <c r="E2750" i="1"/>
  <c r="D2750" i="1"/>
  <c r="B2750" i="1"/>
  <c r="A2750" i="1"/>
  <c r="J2083" i="1"/>
  <c r="I2083" i="1"/>
  <c r="H2083" i="1"/>
  <c r="G2083" i="1"/>
  <c r="F2083" i="1"/>
  <c r="E2083" i="1"/>
  <c r="D2083" i="1"/>
  <c r="B2083" i="1"/>
  <c r="A2083" i="1"/>
  <c r="J590" i="1"/>
  <c r="I590" i="1"/>
  <c r="H590" i="1"/>
  <c r="G590" i="1"/>
  <c r="F590" i="1"/>
  <c r="E590" i="1"/>
  <c r="D590" i="1"/>
  <c r="B590" i="1"/>
  <c r="A590" i="1"/>
  <c r="J69" i="1"/>
  <c r="I69" i="1"/>
  <c r="H69" i="1"/>
  <c r="G69" i="1"/>
  <c r="F69" i="1"/>
  <c r="E69" i="1"/>
  <c r="D69" i="1"/>
  <c r="B69" i="1"/>
  <c r="A69" i="1"/>
  <c r="J2454" i="1"/>
  <c r="I2454" i="1"/>
  <c r="H2454" i="1"/>
  <c r="G2454" i="1"/>
  <c r="F2454" i="1"/>
  <c r="E2454" i="1"/>
  <c r="D2454" i="1"/>
  <c r="B2454" i="1"/>
  <c r="A2454" i="1"/>
  <c r="J2369" i="1"/>
  <c r="I2369" i="1"/>
  <c r="H2369" i="1"/>
  <c r="G2369" i="1"/>
  <c r="F2369" i="1"/>
  <c r="E2369" i="1"/>
  <c r="D2369" i="1"/>
  <c r="B2369" i="1"/>
  <c r="A2369" i="1"/>
  <c r="J3058" i="1"/>
  <c r="I3058" i="1"/>
  <c r="H3058" i="1"/>
  <c r="G3058" i="1"/>
  <c r="F3058" i="1"/>
  <c r="E3058" i="1"/>
  <c r="D3058" i="1"/>
  <c r="B3058" i="1"/>
  <c r="A3058" i="1"/>
  <c r="J3184" i="1"/>
  <c r="I3184" i="1"/>
  <c r="H3184" i="1"/>
  <c r="G3184" i="1"/>
  <c r="F3184" i="1"/>
  <c r="E3184" i="1"/>
  <c r="D3184" i="1"/>
  <c r="B3184" i="1"/>
  <c r="A3184" i="1"/>
  <c r="J780" i="1"/>
  <c r="I780" i="1"/>
  <c r="H780" i="1"/>
  <c r="G780" i="1"/>
  <c r="F780" i="1"/>
  <c r="E780" i="1"/>
  <c r="D780" i="1"/>
  <c r="B780" i="1"/>
  <c r="A780" i="1"/>
  <c r="J2424" i="1"/>
  <c r="I2424" i="1"/>
  <c r="H2424" i="1"/>
  <c r="G2424" i="1"/>
  <c r="F2424" i="1"/>
  <c r="E2424" i="1"/>
  <c r="D2424" i="1"/>
  <c r="B2424" i="1"/>
  <c r="A2424" i="1"/>
  <c r="J829" i="1"/>
  <c r="I829" i="1"/>
  <c r="H829" i="1"/>
  <c r="G829" i="1"/>
  <c r="F829" i="1"/>
  <c r="E829" i="1"/>
  <c r="D829" i="1"/>
  <c r="B829" i="1"/>
  <c r="A829" i="1"/>
  <c r="J1182" i="1"/>
  <c r="I1182" i="1"/>
  <c r="H1182" i="1"/>
  <c r="G1182" i="1"/>
  <c r="F1182" i="1"/>
  <c r="E1182" i="1"/>
  <c r="D1182" i="1"/>
  <c r="B1182" i="1"/>
  <c r="A1182" i="1"/>
  <c r="J1260" i="1"/>
  <c r="I1260" i="1"/>
  <c r="H1260" i="1"/>
  <c r="G1260" i="1"/>
  <c r="F1260" i="1"/>
  <c r="E1260" i="1"/>
  <c r="D1260" i="1"/>
  <c r="B1260" i="1"/>
  <c r="A1260" i="1"/>
  <c r="J2013" i="1"/>
  <c r="I2013" i="1"/>
  <c r="H2013" i="1"/>
  <c r="G2013" i="1"/>
  <c r="F2013" i="1"/>
  <c r="E2013" i="1"/>
  <c r="D2013" i="1"/>
  <c r="B2013" i="1"/>
  <c r="A2013" i="1"/>
  <c r="J460" i="1"/>
  <c r="I460" i="1"/>
  <c r="H460" i="1"/>
  <c r="G460" i="1"/>
  <c r="F460" i="1"/>
  <c r="E460" i="1"/>
  <c r="D460" i="1"/>
  <c r="B460" i="1"/>
  <c r="A460" i="1"/>
  <c r="J2501" i="1"/>
  <c r="I2501" i="1"/>
  <c r="H2501" i="1"/>
  <c r="G2501" i="1"/>
  <c r="F2501" i="1"/>
  <c r="E2501" i="1"/>
  <c r="D2501" i="1"/>
  <c r="B2501" i="1"/>
  <c r="A2501" i="1"/>
  <c r="J1388" i="1"/>
  <c r="I1388" i="1"/>
  <c r="H1388" i="1"/>
  <c r="G1388" i="1"/>
  <c r="F1388" i="1"/>
  <c r="E1388" i="1"/>
  <c r="D1388" i="1"/>
  <c r="B1388" i="1"/>
  <c r="A1388" i="1"/>
  <c r="J876" i="1"/>
  <c r="I876" i="1"/>
  <c r="H876" i="1"/>
  <c r="G876" i="1"/>
  <c r="F876" i="1"/>
  <c r="E876" i="1"/>
  <c r="D876" i="1"/>
  <c r="B876" i="1"/>
  <c r="A876" i="1"/>
  <c r="J2749" i="1"/>
  <c r="I2749" i="1"/>
  <c r="H2749" i="1"/>
  <c r="G2749" i="1"/>
  <c r="F2749" i="1"/>
  <c r="E2749" i="1"/>
  <c r="D2749" i="1"/>
  <c r="B2749" i="1"/>
  <c r="A2749" i="1"/>
  <c r="J589" i="1"/>
  <c r="I589" i="1"/>
  <c r="H589" i="1"/>
  <c r="G589" i="1"/>
  <c r="F589" i="1"/>
  <c r="E589" i="1"/>
  <c r="D589" i="1"/>
  <c r="B589" i="1"/>
  <c r="A589" i="1"/>
  <c r="J68" i="1"/>
  <c r="I68" i="1"/>
  <c r="H68" i="1"/>
  <c r="G68" i="1"/>
  <c r="F68" i="1"/>
  <c r="E68" i="1"/>
  <c r="D68" i="1"/>
  <c r="B68" i="1"/>
  <c r="A68" i="1"/>
  <c r="J2082" i="1"/>
  <c r="I2082" i="1"/>
  <c r="H2082" i="1"/>
  <c r="G2082" i="1"/>
  <c r="F2082" i="1"/>
  <c r="E2082" i="1"/>
  <c r="D2082" i="1"/>
  <c r="B2082" i="1"/>
  <c r="A2082" i="1"/>
  <c r="J3057" i="1"/>
  <c r="I3057" i="1"/>
  <c r="H3057" i="1"/>
  <c r="G3057" i="1"/>
  <c r="F3057" i="1"/>
  <c r="E3057" i="1"/>
  <c r="D3057" i="1"/>
  <c r="B3057" i="1"/>
  <c r="A3057" i="1"/>
  <c r="J2453" i="1"/>
  <c r="I2453" i="1"/>
  <c r="H2453" i="1"/>
  <c r="G2453" i="1"/>
  <c r="F2453" i="1"/>
  <c r="E2453" i="1"/>
  <c r="D2453" i="1"/>
  <c r="B2453" i="1"/>
  <c r="A2453" i="1"/>
  <c r="J2368" i="1"/>
  <c r="I2368" i="1"/>
  <c r="H2368" i="1"/>
  <c r="G2368" i="1"/>
  <c r="F2368" i="1"/>
  <c r="E2368" i="1"/>
  <c r="D2368" i="1"/>
  <c r="B2368" i="1"/>
  <c r="A2368" i="1"/>
  <c r="J3183" i="1"/>
  <c r="I3183" i="1"/>
  <c r="H3183" i="1"/>
  <c r="G3183" i="1"/>
  <c r="F3183" i="1"/>
  <c r="E3183" i="1"/>
  <c r="D3183" i="1"/>
  <c r="B3183" i="1"/>
  <c r="A3183" i="1"/>
  <c r="J2423" i="1"/>
  <c r="I2423" i="1"/>
  <c r="H2423" i="1"/>
  <c r="G2423" i="1"/>
  <c r="F2423" i="1"/>
  <c r="E2423" i="1"/>
  <c r="D2423" i="1"/>
  <c r="B2423" i="1"/>
  <c r="A2423" i="1"/>
  <c r="J779" i="1"/>
  <c r="I779" i="1"/>
  <c r="H779" i="1"/>
  <c r="G779" i="1"/>
  <c r="F779" i="1"/>
  <c r="E779" i="1"/>
  <c r="D779" i="1"/>
  <c r="B779" i="1"/>
  <c r="A779" i="1"/>
  <c r="J828" i="1"/>
  <c r="I828" i="1"/>
  <c r="H828" i="1"/>
  <c r="G828" i="1"/>
  <c r="F828" i="1"/>
  <c r="E828" i="1"/>
  <c r="D828" i="1"/>
  <c r="B828" i="1"/>
  <c r="A828" i="1"/>
  <c r="J3056" i="1"/>
  <c r="I3056" i="1"/>
  <c r="H3056" i="1"/>
  <c r="G3056" i="1"/>
  <c r="F3056" i="1"/>
  <c r="E3056" i="1"/>
  <c r="D3056" i="1"/>
  <c r="B3056" i="1"/>
  <c r="A3056" i="1"/>
  <c r="J2452" i="1"/>
  <c r="I2452" i="1"/>
  <c r="H2452" i="1"/>
  <c r="G2452" i="1"/>
  <c r="F2452" i="1"/>
  <c r="E2452" i="1"/>
  <c r="D2452" i="1"/>
  <c r="B2452" i="1"/>
  <c r="A2452" i="1"/>
  <c r="J2367" i="1"/>
  <c r="I2367" i="1"/>
  <c r="H2367" i="1"/>
  <c r="G2367" i="1"/>
  <c r="F2367" i="1"/>
  <c r="E2367" i="1"/>
  <c r="D2367" i="1"/>
  <c r="B2367" i="1"/>
  <c r="A2367" i="1"/>
  <c r="J1351" i="1"/>
  <c r="I1351" i="1"/>
  <c r="H1351" i="1"/>
  <c r="G1351" i="1"/>
  <c r="F1351" i="1"/>
  <c r="E1351" i="1"/>
  <c r="D1351" i="1"/>
  <c r="B1351" i="1"/>
  <c r="A1351" i="1"/>
  <c r="J1181" i="1"/>
  <c r="I1181" i="1"/>
  <c r="H1181" i="1"/>
  <c r="G1181" i="1"/>
  <c r="F1181" i="1"/>
  <c r="E1181" i="1"/>
  <c r="D1181" i="1"/>
  <c r="B1181" i="1"/>
  <c r="A1181" i="1"/>
  <c r="J1259" i="1"/>
  <c r="I1259" i="1"/>
  <c r="H1259" i="1"/>
  <c r="G1259" i="1"/>
  <c r="F1259" i="1"/>
  <c r="E1259" i="1"/>
  <c r="D1259" i="1"/>
  <c r="B1259" i="1"/>
  <c r="A1259" i="1"/>
  <c r="J2012" i="1"/>
  <c r="I2012" i="1"/>
  <c r="H2012" i="1"/>
  <c r="G2012" i="1"/>
  <c r="F2012" i="1"/>
  <c r="E2012" i="1"/>
  <c r="D2012" i="1"/>
  <c r="B2012" i="1"/>
  <c r="A2012" i="1"/>
  <c r="J459" i="1"/>
  <c r="I459" i="1"/>
  <c r="H459" i="1"/>
  <c r="G459" i="1"/>
  <c r="F459" i="1"/>
  <c r="E459" i="1"/>
  <c r="D459" i="1"/>
  <c r="B459" i="1"/>
  <c r="A459" i="1"/>
  <c r="J2500" i="1"/>
  <c r="I2500" i="1"/>
  <c r="H2500" i="1"/>
  <c r="G2500" i="1"/>
  <c r="F2500" i="1"/>
  <c r="E2500" i="1"/>
  <c r="D2500" i="1"/>
  <c r="B2500" i="1"/>
  <c r="A2500" i="1"/>
  <c r="J1387" i="1"/>
  <c r="I1387" i="1"/>
  <c r="H1387" i="1"/>
  <c r="G1387" i="1"/>
  <c r="F1387" i="1"/>
  <c r="E1387" i="1"/>
  <c r="D1387" i="1"/>
  <c r="B1387" i="1"/>
  <c r="A1387" i="1"/>
  <c r="J875" i="1"/>
  <c r="I875" i="1"/>
  <c r="H875" i="1"/>
  <c r="G875" i="1"/>
  <c r="F875" i="1"/>
  <c r="E875" i="1"/>
  <c r="D875" i="1"/>
  <c r="B875" i="1"/>
  <c r="A875" i="1"/>
  <c r="J3182" i="1"/>
  <c r="I3182" i="1"/>
  <c r="H3182" i="1"/>
  <c r="G3182" i="1"/>
  <c r="F3182" i="1"/>
  <c r="E3182" i="1"/>
  <c r="D3182" i="1"/>
  <c r="B3182" i="1"/>
  <c r="A3182" i="1"/>
  <c r="J2081" i="1"/>
  <c r="I2081" i="1"/>
  <c r="H2081" i="1"/>
  <c r="G2081" i="1"/>
  <c r="F2081" i="1"/>
  <c r="E2081" i="1"/>
  <c r="D2081" i="1"/>
  <c r="B2081" i="1"/>
  <c r="A2081" i="1"/>
  <c r="J2748" i="1"/>
  <c r="I2748" i="1"/>
  <c r="H2748" i="1"/>
  <c r="G2748" i="1"/>
  <c r="F2748" i="1"/>
  <c r="E2748" i="1"/>
  <c r="D2748" i="1"/>
  <c r="B2748" i="1"/>
  <c r="A2748" i="1"/>
  <c r="J588" i="1"/>
  <c r="I588" i="1"/>
  <c r="H588" i="1"/>
  <c r="G588" i="1"/>
  <c r="F588" i="1"/>
  <c r="E588" i="1"/>
  <c r="D588" i="1"/>
  <c r="B588" i="1"/>
  <c r="A588" i="1"/>
  <c r="J67" i="1"/>
  <c r="I67" i="1"/>
  <c r="H67" i="1"/>
  <c r="G67" i="1"/>
  <c r="F67" i="1"/>
  <c r="E67" i="1"/>
  <c r="D67" i="1"/>
  <c r="B67" i="1"/>
  <c r="A67" i="1"/>
  <c r="J827" i="1"/>
  <c r="I827" i="1"/>
  <c r="H827" i="1"/>
  <c r="G827" i="1"/>
  <c r="F827" i="1"/>
  <c r="E827" i="1"/>
  <c r="D827" i="1"/>
  <c r="B827" i="1"/>
  <c r="A827" i="1"/>
  <c r="J1330" i="1"/>
  <c r="I1330" i="1"/>
  <c r="H1330" i="1"/>
  <c r="G1330" i="1"/>
  <c r="F1330" i="1"/>
  <c r="E1330" i="1"/>
  <c r="D1330" i="1"/>
  <c r="B1330" i="1"/>
  <c r="A1330" i="1"/>
  <c r="J524" i="1"/>
  <c r="I524" i="1"/>
  <c r="H524" i="1"/>
  <c r="G524" i="1"/>
  <c r="F524" i="1"/>
  <c r="E524" i="1"/>
  <c r="D524" i="1"/>
  <c r="B524" i="1"/>
  <c r="A524" i="1"/>
  <c r="J1104" i="1"/>
  <c r="I1104" i="1"/>
  <c r="H1104" i="1"/>
  <c r="G1104" i="1"/>
  <c r="F1104" i="1"/>
  <c r="E1104" i="1"/>
  <c r="D1104" i="1"/>
  <c r="B1104" i="1"/>
  <c r="A1104" i="1"/>
  <c r="J805" i="1"/>
  <c r="I805" i="1"/>
  <c r="H805" i="1"/>
  <c r="G805" i="1"/>
  <c r="F805" i="1"/>
  <c r="E805" i="1"/>
  <c r="D805" i="1"/>
  <c r="B805" i="1"/>
  <c r="A805" i="1"/>
  <c r="J1987" i="1"/>
  <c r="I1987" i="1"/>
  <c r="H1987" i="1"/>
  <c r="G1987" i="1"/>
  <c r="F1987" i="1"/>
  <c r="E1987" i="1"/>
  <c r="D1987" i="1"/>
  <c r="B1987" i="1"/>
  <c r="A1987" i="1"/>
  <c r="J4" i="1"/>
  <c r="I4" i="1"/>
  <c r="H4" i="1"/>
  <c r="G4" i="1"/>
  <c r="F4" i="1"/>
  <c r="E4" i="1"/>
  <c r="D4" i="1"/>
  <c r="B4" i="1"/>
  <c r="A4" i="1"/>
  <c r="J1033" i="1"/>
  <c r="I1033" i="1"/>
  <c r="H1033" i="1"/>
  <c r="G1033" i="1"/>
  <c r="F1033" i="1"/>
  <c r="E1033" i="1"/>
  <c r="D1033" i="1"/>
  <c r="B1033" i="1"/>
  <c r="A1033" i="1"/>
  <c r="J1350" i="1"/>
  <c r="I1350" i="1"/>
  <c r="H1350" i="1"/>
  <c r="G1350" i="1"/>
  <c r="F1350" i="1"/>
  <c r="E1350" i="1"/>
  <c r="D1350" i="1"/>
  <c r="B1350" i="1"/>
  <c r="A1350" i="1"/>
  <c r="J458" i="1"/>
  <c r="I458" i="1"/>
  <c r="H458" i="1"/>
  <c r="G458" i="1"/>
  <c r="F458" i="1"/>
  <c r="E458" i="1"/>
  <c r="D458" i="1"/>
  <c r="B458" i="1"/>
  <c r="A458" i="1"/>
  <c r="J2499" i="1"/>
  <c r="I2499" i="1"/>
  <c r="H2499" i="1"/>
  <c r="G2499" i="1"/>
  <c r="F2499" i="1"/>
  <c r="E2499" i="1"/>
  <c r="D2499" i="1"/>
  <c r="B2499" i="1"/>
  <c r="A2499" i="1"/>
  <c r="J1386" i="1"/>
  <c r="I1386" i="1"/>
  <c r="H1386" i="1"/>
  <c r="G1386" i="1"/>
  <c r="F1386" i="1"/>
  <c r="E1386" i="1"/>
  <c r="D1386" i="1"/>
  <c r="B1386" i="1"/>
  <c r="A1386" i="1"/>
  <c r="J874" i="1"/>
  <c r="I874" i="1"/>
  <c r="H874" i="1"/>
  <c r="G874" i="1"/>
  <c r="F874" i="1"/>
  <c r="E874" i="1"/>
  <c r="D874" i="1"/>
  <c r="B874" i="1"/>
  <c r="A874" i="1"/>
  <c r="J1180" i="1"/>
  <c r="I1180" i="1"/>
  <c r="H1180" i="1"/>
  <c r="G1180" i="1"/>
  <c r="F1180" i="1"/>
  <c r="E1180" i="1"/>
  <c r="D1180" i="1"/>
  <c r="B1180" i="1"/>
  <c r="A1180" i="1"/>
  <c r="J1258" i="1"/>
  <c r="I1258" i="1"/>
  <c r="H1258" i="1"/>
  <c r="G1258" i="1"/>
  <c r="F1258" i="1"/>
  <c r="E1258" i="1"/>
  <c r="D1258" i="1"/>
  <c r="B1258" i="1"/>
  <c r="A1258" i="1"/>
  <c r="J2011" i="1"/>
  <c r="I2011" i="1"/>
  <c r="H2011" i="1"/>
  <c r="G2011" i="1"/>
  <c r="F2011" i="1"/>
  <c r="E2011" i="1"/>
  <c r="D2011" i="1"/>
  <c r="B2011" i="1"/>
  <c r="A2011" i="1"/>
  <c r="J2422" i="1"/>
  <c r="I2422" i="1"/>
  <c r="H2422" i="1"/>
  <c r="G2422" i="1"/>
  <c r="F2422" i="1"/>
  <c r="E2422" i="1"/>
  <c r="D2422" i="1"/>
  <c r="B2422" i="1"/>
  <c r="A2422" i="1"/>
  <c r="J778" i="1"/>
  <c r="I778" i="1"/>
  <c r="H778" i="1"/>
  <c r="G778" i="1"/>
  <c r="F778" i="1"/>
  <c r="E778" i="1"/>
  <c r="D778" i="1"/>
  <c r="B778" i="1"/>
  <c r="A778" i="1"/>
  <c r="J826" i="1"/>
  <c r="I826" i="1"/>
  <c r="H826" i="1"/>
  <c r="G826" i="1"/>
  <c r="F826" i="1"/>
  <c r="E826" i="1"/>
  <c r="D826" i="1"/>
  <c r="B826" i="1"/>
  <c r="A826" i="1"/>
  <c r="J3181" i="1"/>
  <c r="I3181" i="1"/>
  <c r="H3181" i="1"/>
  <c r="G3181" i="1"/>
  <c r="F3181" i="1"/>
  <c r="E3181" i="1"/>
  <c r="D3181" i="1"/>
  <c r="B3181" i="1"/>
  <c r="A3181" i="1"/>
  <c r="J855" i="1"/>
  <c r="I855" i="1"/>
  <c r="H855" i="1"/>
  <c r="G855" i="1"/>
  <c r="F855" i="1"/>
  <c r="E855" i="1"/>
  <c r="D855" i="1"/>
  <c r="B855" i="1"/>
  <c r="A855" i="1"/>
  <c r="J587" i="1"/>
  <c r="I587" i="1"/>
  <c r="H587" i="1"/>
  <c r="G587" i="1"/>
  <c r="F587" i="1"/>
  <c r="E587" i="1"/>
  <c r="D587" i="1"/>
  <c r="B587" i="1"/>
  <c r="A587" i="1"/>
  <c r="J2747" i="1"/>
  <c r="I2747" i="1"/>
  <c r="H2747" i="1"/>
  <c r="G2747" i="1"/>
  <c r="F2747" i="1"/>
  <c r="E2747" i="1"/>
  <c r="D2747" i="1"/>
  <c r="B2747" i="1"/>
  <c r="A2747" i="1"/>
  <c r="J2080" i="1"/>
  <c r="I2080" i="1"/>
  <c r="H2080" i="1"/>
  <c r="G2080" i="1"/>
  <c r="F2080" i="1"/>
  <c r="E2080" i="1"/>
  <c r="D2080" i="1"/>
  <c r="B2080" i="1"/>
  <c r="A2080" i="1"/>
  <c r="J66" i="1"/>
  <c r="I66" i="1"/>
  <c r="H66" i="1"/>
  <c r="G66" i="1"/>
  <c r="F66" i="1"/>
  <c r="E66" i="1"/>
  <c r="D66" i="1"/>
  <c r="B66" i="1"/>
  <c r="A66" i="1"/>
  <c r="J3055" i="1"/>
  <c r="I3055" i="1"/>
  <c r="H3055" i="1"/>
  <c r="G3055" i="1"/>
  <c r="F3055" i="1"/>
  <c r="E3055" i="1"/>
  <c r="D3055" i="1"/>
  <c r="B3055" i="1"/>
  <c r="A3055" i="1"/>
  <c r="J2451" i="1"/>
  <c r="I2451" i="1"/>
  <c r="H2451" i="1"/>
  <c r="G2451" i="1"/>
  <c r="F2451" i="1"/>
  <c r="E2451" i="1"/>
  <c r="D2451" i="1"/>
  <c r="B2451" i="1"/>
  <c r="A2451" i="1"/>
  <c r="J2366" i="1"/>
  <c r="I2366" i="1"/>
  <c r="H2366" i="1"/>
  <c r="G2366" i="1"/>
  <c r="F2366" i="1"/>
  <c r="E2366" i="1"/>
  <c r="D2366" i="1"/>
  <c r="B2366" i="1"/>
  <c r="A2366" i="1"/>
  <c r="J825" i="1"/>
  <c r="I825" i="1"/>
  <c r="H825" i="1"/>
  <c r="G825" i="1"/>
  <c r="F825" i="1"/>
  <c r="E825" i="1"/>
  <c r="D825" i="1"/>
  <c r="B825" i="1"/>
  <c r="A825" i="1"/>
  <c r="J777" i="1"/>
  <c r="I777" i="1"/>
  <c r="H777" i="1"/>
  <c r="G777" i="1"/>
  <c r="F777" i="1"/>
  <c r="E777" i="1"/>
  <c r="D777" i="1"/>
  <c r="B777" i="1"/>
  <c r="A777" i="1"/>
  <c r="J824" i="1"/>
  <c r="I824" i="1"/>
  <c r="H824" i="1"/>
  <c r="G824" i="1"/>
  <c r="F824" i="1"/>
  <c r="E824" i="1"/>
  <c r="D824" i="1"/>
  <c r="B824" i="1"/>
  <c r="A824" i="1"/>
  <c r="J2421" i="1"/>
  <c r="I2421" i="1"/>
  <c r="H2421" i="1"/>
  <c r="G2421" i="1"/>
  <c r="F2421" i="1"/>
  <c r="E2421" i="1"/>
  <c r="D2421" i="1"/>
  <c r="B2421" i="1"/>
  <c r="A2421" i="1"/>
  <c r="J2365" i="1"/>
  <c r="I2365" i="1"/>
  <c r="H2365" i="1"/>
  <c r="G2365" i="1"/>
  <c r="F2365" i="1"/>
  <c r="E2365" i="1"/>
  <c r="D2365" i="1"/>
  <c r="B2365" i="1"/>
  <c r="A2365" i="1"/>
  <c r="J3180" i="1"/>
  <c r="I3180" i="1"/>
  <c r="H3180" i="1"/>
  <c r="G3180" i="1"/>
  <c r="F3180" i="1"/>
  <c r="E3180" i="1"/>
  <c r="D3180" i="1"/>
  <c r="B3180" i="1"/>
  <c r="A3180" i="1"/>
  <c r="J586" i="1"/>
  <c r="I586" i="1"/>
  <c r="H586" i="1"/>
  <c r="G586" i="1"/>
  <c r="F586" i="1"/>
  <c r="E586" i="1"/>
  <c r="D586" i="1"/>
  <c r="B586" i="1"/>
  <c r="A586" i="1"/>
  <c r="J2746" i="1"/>
  <c r="I2746" i="1"/>
  <c r="H2746" i="1"/>
  <c r="G2746" i="1"/>
  <c r="F2746" i="1"/>
  <c r="E2746" i="1"/>
  <c r="D2746" i="1"/>
  <c r="B2746" i="1"/>
  <c r="A2746" i="1"/>
  <c r="J2079" i="1"/>
  <c r="I2079" i="1"/>
  <c r="H2079" i="1"/>
  <c r="G2079" i="1"/>
  <c r="F2079" i="1"/>
  <c r="E2079" i="1"/>
  <c r="D2079" i="1"/>
  <c r="B2079" i="1"/>
  <c r="A2079" i="1"/>
  <c r="J65" i="1"/>
  <c r="I65" i="1"/>
  <c r="H65" i="1"/>
  <c r="G65" i="1"/>
  <c r="F65" i="1"/>
  <c r="E65" i="1"/>
  <c r="D65" i="1"/>
  <c r="B65" i="1"/>
  <c r="A65" i="1"/>
  <c r="J823" i="1"/>
  <c r="I823" i="1"/>
  <c r="H823" i="1"/>
  <c r="G823" i="1"/>
  <c r="F823" i="1"/>
  <c r="E823" i="1"/>
  <c r="D823" i="1"/>
  <c r="B823" i="1"/>
  <c r="A823" i="1"/>
  <c r="J822" i="1"/>
  <c r="I822" i="1"/>
  <c r="H822" i="1"/>
  <c r="G822" i="1"/>
  <c r="F822" i="1"/>
  <c r="E822" i="1"/>
  <c r="D822" i="1"/>
  <c r="B822" i="1"/>
  <c r="A822" i="1"/>
  <c r="J523" i="1"/>
  <c r="I523" i="1"/>
  <c r="H523" i="1"/>
  <c r="G523" i="1"/>
  <c r="F523" i="1"/>
  <c r="E523" i="1"/>
  <c r="D523" i="1"/>
  <c r="B523" i="1"/>
  <c r="A523" i="1"/>
  <c r="J1103" i="1"/>
  <c r="I1103" i="1"/>
  <c r="H1103" i="1"/>
  <c r="G1103" i="1"/>
  <c r="F1103" i="1"/>
  <c r="E1103" i="1"/>
  <c r="D1103" i="1"/>
  <c r="B1103" i="1"/>
  <c r="A1103" i="1"/>
  <c r="J1986" i="1"/>
  <c r="I1986" i="1"/>
  <c r="H1986" i="1"/>
  <c r="G1986" i="1"/>
  <c r="F1986" i="1"/>
  <c r="E1986" i="1"/>
  <c r="D1986" i="1"/>
  <c r="B1986" i="1"/>
  <c r="A1986" i="1"/>
  <c r="J804" i="1"/>
  <c r="I804" i="1"/>
  <c r="H804" i="1"/>
  <c r="G804" i="1"/>
  <c r="F804" i="1"/>
  <c r="E804" i="1"/>
  <c r="D804" i="1"/>
  <c r="B804" i="1"/>
  <c r="A804" i="1"/>
  <c r="J3" i="1"/>
  <c r="I3" i="1"/>
  <c r="H3" i="1"/>
  <c r="G3" i="1"/>
  <c r="F3" i="1"/>
  <c r="E3" i="1"/>
  <c r="D3" i="1"/>
  <c r="B3" i="1"/>
  <c r="A3" i="1"/>
  <c r="J1329" i="1"/>
  <c r="I1329" i="1"/>
  <c r="H1329" i="1"/>
  <c r="G1329" i="1"/>
  <c r="F1329" i="1"/>
  <c r="E1329" i="1"/>
  <c r="D1329" i="1"/>
  <c r="B1329" i="1"/>
  <c r="A1329" i="1"/>
  <c r="J776" i="1"/>
  <c r="I776" i="1"/>
  <c r="H776" i="1"/>
  <c r="G776" i="1"/>
  <c r="F776" i="1"/>
  <c r="E776" i="1"/>
  <c r="D776" i="1"/>
  <c r="B776" i="1"/>
  <c r="A776" i="1"/>
  <c r="J2420" i="1"/>
  <c r="I2420" i="1"/>
  <c r="H2420" i="1"/>
  <c r="G2420" i="1"/>
  <c r="F2420" i="1"/>
  <c r="E2420" i="1"/>
  <c r="D2420" i="1"/>
  <c r="B2420" i="1"/>
  <c r="A2420" i="1"/>
  <c r="J1179" i="1"/>
  <c r="I1179" i="1"/>
  <c r="H1179" i="1"/>
  <c r="G1179" i="1"/>
  <c r="F1179" i="1"/>
  <c r="E1179" i="1"/>
  <c r="D1179" i="1"/>
  <c r="B1179" i="1"/>
  <c r="A1179" i="1"/>
  <c r="J1257" i="1"/>
  <c r="I1257" i="1"/>
  <c r="H1257" i="1"/>
  <c r="G1257" i="1"/>
  <c r="F1257" i="1"/>
  <c r="E1257" i="1"/>
  <c r="D1257" i="1"/>
  <c r="B1257" i="1"/>
  <c r="A1257" i="1"/>
  <c r="J2010" i="1"/>
  <c r="I2010" i="1"/>
  <c r="H2010" i="1"/>
  <c r="G2010" i="1"/>
  <c r="F2010" i="1"/>
  <c r="E2010" i="1"/>
  <c r="D2010" i="1"/>
  <c r="B2010" i="1"/>
  <c r="A2010" i="1"/>
  <c r="J1349" i="1"/>
  <c r="I1349" i="1"/>
  <c r="H1349" i="1"/>
  <c r="G1349" i="1"/>
  <c r="F1349" i="1"/>
  <c r="E1349" i="1"/>
  <c r="D1349" i="1"/>
  <c r="B1349" i="1"/>
  <c r="A1349" i="1"/>
  <c r="J457" i="1"/>
  <c r="I457" i="1"/>
  <c r="H457" i="1"/>
  <c r="G457" i="1"/>
  <c r="F457" i="1"/>
  <c r="E457" i="1"/>
  <c r="D457" i="1"/>
  <c r="B457" i="1"/>
  <c r="A457" i="1"/>
  <c r="J2498" i="1"/>
  <c r="I2498" i="1"/>
  <c r="H2498" i="1"/>
  <c r="G2498" i="1"/>
  <c r="F2498" i="1"/>
  <c r="E2498" i="1"/>
  <c r="D2498" i="1"/>
  <c r="B2498" i="1"/>
  <c r="A2498" i="1"/>
  <c r="J1385" i="1"/>
  <c r="I1385" i="1"/>
  <c r="H1385" i="1"/>
  <c r="G1385" i="1"/>
  <c r="F1385" i="1"/>
  <c r="E1385" i="1"/>
  <c r="D1385" i="1"/>
  <c r="B1385" i="1"/>
  <c r="A1385" i="1"/>
  <c r="J873" i="1"/>
  <c r="I873" i="1"/>
  <c r="H873" i="1"/>
  <c r="G873" i="1"/>
  <c r="F873" i="1"/>
  <c r="E873" i="1"/>
  <c r="D873" i="1"/>
  <c r="B873" i="1"/>
  <c r="A873" i="1"/>
  <c r="J854" i="1"/>
  <c r="I854" i="1"/>
  <c r="H854" i="1"/>
  <c r="G854" i="1"/>
  <c r="F854" i="1"/>
  <c r="E854" i="1"/>
  <c r="D854" i="1"/>
  <c r="B854" i="1"/>
  <c r="A854" i="1"/>
  <c r="J20" i="1"/>
  <c r="I20" i="1"/>
  <c r="H20" i="1"/>
  <c r="G20" i="1"/>
  <c r="F20" i="1"/>
  <c r="E20" i="1"/>
  <c r="D20" i="1"/>
  <c r="B20" i="1"/>
  <c r="A20" i="1"/>
  <c r="J1127" i="1"/>
  <c r="I1127" i="1"/>
  <c r="H1127" i="1"/>
  <c r="G1127" i="1"/>
  <c r="F1127" i="1"/>
  <c r="E1127" i="1"/>
  <c r="D1127" i="1"/>
  <c r="B1127" i="1"/>
  <c r="A1127" i="1"/>
  <c r="J3054" i="1"/>
  <c r="I3054" i="1"/>
  <c r="H3054" i="1"/>
  <c r="G3054" i="1"/>
  <c r="F3054" i="1"/>
  <c r="E3054" i="1"/>
  <c r="D3054" i="1"/>
  <c r="B3054" i="1"/>
  <c r="A3054" i="1"/>
  <c r="J2450" i="1"/>
  <c r="I2450" i="1"/>
  <c r="H2450" i="1"/>
  <c r="G2450" i="1"/>
  <c r="F2450" i="1"/>
  <c r="E2450" i="1"/>
  <c r="D2450" i="1"/>
  <c r="B2450" i="1"/>
  <c r="A2450" i="1"/>
  <c r="J2364" i="1"/>
  <c r="I2364" i="1"/>
  <c r="H2364" i="1"/>
  <c r="G2364" i="1"/>
  <c r="F2364" i="1"/>
  <c r="E2364" i="1"/>
  <c r="D2364" i="1"/>
  <c r="B2364" i="1"/>
  <c r="A2364" i="1"/>
  <c r="J3053" i="1"/>
  <c r="I3053" i="1"/>
  <c r="H3053" i="1"/>
  <c r="G3053" i="1"/>
  <c r="F3053" i="1"/>
  <c r="E3053" i="1"/>
  <c r="D3053" i="1"/>
  <c r="B3053" i="1"/>
  <c r="A3053" i="1"/>
  <c r="J2449" i="1"/>
  <c r="I2449" i="1"/>
  <c r="H2449" i="1"/>
  <c r="G2449" i="1"/>
  <c r="F2449" i="1"/>
  <c r="E2449" i="1"/>
  <c r="D2449" i="1"/>
  <c r="B2449" i="1"/>
  <c r="A2449" i="1"/>
  <c r="J2363" i="1"/>
  <c r="I2363" i="1"/>
  <c r="H2363" i="1"/>
  <c r="G2363" i="1"/>
  <c r="F2363" i="1"/>
  <c r="E2363" i="1"/>
  <c r="D2363" i="1"/>
  <c r="B2363" i="1"/>
  <c r="A2363" i="1"/>
  <c r="J3052" i="1"/>
  <c r="I3052" i="1"/>
  <c r="H3052" i="1"/>
  <c r="G3052" i="1"/>
  <c r="F3052" i="1"/>
  <c r="E3052" i="1"/>
  <c r="D3052" i="1"/>
  <c r="B3052" i="1"/>
  <c r="A3052" i="1"/>
  <c r="J2448" i="1"/>
  <c r="I2448" i="1"/>
  <c r="H2448" i="1"/>
  <c r="G2448" i="1"/>
  <c r="F2448" i="1"/>
  <c r="E2448" i="1"/>
  <c r="D2448" i="1"/>
  <c r="B2448" i="1"/>
  <c r="A2448" i="1"/>
  <c r="J2362" i="1"/>
  <c r="I2362" i="1"/>
  <c r="H2362" i="1"/>
  <c r="G2362" i="1"/>
  <c r="F2362" i="1"/>
  <c r="E2362" i="1"/>
  <c r="D2362" i="1"/>
  <c r="B2362" i="1"/>
  <c r="A2362" i="1"/>
  <c r="J775" i="1"/>
  <c r="I775" i="1"/>
  <c r="H775" i="1"/>
  <c r="G775" i="1"/>
  <c r="F775" i="1"/>
  <c r="E775" i="1"/>
  <c r="D775" i="1"/>
  <c r="B775" i="1"/>
  <c r="A775" i="1"/>
  <c r="J2271" i="1"/>
  <c r="I2271" i="1"/>
  <c r="H2271" i="1"/>
  <c r="G2271" i="1"/>
  <c r="F2271" i="1"/>
  <c r="E2271" i="1"/>
  <c r="D2271" i="1"/>
  <c r="B2271" i="1"/>
  <c r="A2271" i="1"/>
  <c r="J2313" i="1"/>
  <c r="I2313" i="1"/>
  <c r="H2313" i="1"/>
  <c r="G2313" i="1"/>
  <c r="F2313" i="1"/>
  <c r="E2313" i="1"/>
  <c r="D2313" i="1"/>
  <c r="B2313" i="1"/>
  <c r="A2313" i="1"/>
  <c r="J3135" i="1"/>
  <c r="I3135" i="1"/>
  <c r="H3135" i="1"/>
  <c r="G3135" i="1"/>
  <c r="F3135" i="1"/>
  <c r="E3135" i="1"/>
  <c r="D3135" i="1"/>
  <c r="B3135" i="1"/>
  <c r="A3135" i="1"/>
  <c r="J413" i="1"/>
  <c r="I413" i="1"/>
  <c r="H413" i="1"/>
  <c r="G413" i="1"/>
  <c r="F413" i="1"/>
  <c r="E413" i="1"/>
  <c r="D413" i="1"/>
  <c r="B413" i="1"/>
  <c r="A413" i="1"/>
  <c r="J821" i="1"/>
  <c r="I821" i="1"/>
  <c r="H821" i="1"/>
  <c r="G821" i="1"/>
  <c r="F821" i="1"/>
  <c r="E821" i="1"/>
  <c r="D821" i="1"/>
  <c r="B821" i="1"/>
  <c r="A821" i="1"/>
  <c r="J2419" i="1"/>
  <c r="I2419" i="1"/>
  <c r="H2419" i="1"/>
  <c r="G2419" i="1"/>
  <c r="F2419" i="1"/>
  <c r="E2419" i="1"/>
  <c r="D2419" i="1"/>
  <c r="B2419" i="1"/>
  <c r="A2419" i="1"/>
  <c r="J3051" i="1"/>
  <c r="I3051" i="1"/>
  <c r="H3051" i="1"/>
  <c r="G3051" i="1"/>
  <c r="F3051" i="1"/>
  <c r="E3051" i="1"/>
  <c r="D3051" i="1"/>
  <c r="B3051" i="1"/>
  <c r="A3051" i="1"/>
  <c r="J2447" i="1"/>
  <c r="I2447" i="1"/>
  <c r="H2447" i="1"/>
  <c r="G2447" i="1"/>
  <c r="F2447" i="1"/>
  <c r="E2447" i="1"/>
  <c r="D2447" i="1"/>
  <c r="B2447" i="1"/>
  <c r="A2447" i="1"/>
  <c r="J2361" i="1"/>
  <c r="I2361" i="1"/>
  <c r="H2361" i="1"/>
  <c r="G2361" i="1"/>
  <c r="F2361" i="1"/>
  <c r="E2361" i="1"/>
  <c r="D2361" i="1"/>
  <c r="B2361" i="1"/>
  <c r="A2361" i="1"/>
  <c r="J2360" i="1"/>
  <c r="I2360" i="1"/>
  <c r="H2360" i="1"/>
  <c r="G2360" i="1"/>
  <c r="F2360" i="1"/>
  <c r="E2360" i="1"/>
  <c r="D2360" i="1"/>
  <c r="B2360" i="1"/>
  <c r="A2360" i="1"/>
  <c r="J2359" i="1"/>
  <c r="I2359" i="1"/>
  <c r="H2359" i="1"/>
  <c r="G2359" i="1"/>
  <c r="F2359" i="1"/>
  <c r="E2359" i="1"/>
  <c r="D2359" i="1"/>
  <c r="B2359" i="1"/>
  <c r="A2359" i="1"/>
  <c r="J2358" i="1"/>
  <c r="I2358" i="1"/>
  <c r="H2358" i="1"/>
  <c r="G2358" i="1"/>
  <c r="F2358" i="1"/>
  <c r="E2358" i="1"/>
  <c r="D2358" i="1"/>
  <c r="B2358" i="1"/>
  <c r="A2358" i="1"/>
  <c r="J3050" i="1"/>
  <c r="I3050" i="1"/>
  <c r="H3050" i="1"/>
  <c r="G3050" i="1"/>
  <c r="F3050" i="1"/>
  <c r="E3050" i="1"/>
  <c r="D3050" i="1"/>
  <c r="B3050" i="1"/>
  <c r="A3050" i="1"/>
  <c r="J2446" i="1"/>
  <c r="I2446" i="1"/>
  <c r="H2446" i="1"/>
  <c r="G2446" i="1"/>
  <c r="F2446" i="1"/>
  <c r="E2446" i="1"/>
  <c r="D2446" i="1"/>
  <c r="B2446" i="1"/>
  <c r="A2446" i="1"/>
  <c r="J2357" i="1"/>
  <c r="I2357" i="1"/>
  <c r="H2357" i="1"/>
  <c r="G2357" i="1"/>
  <c r="F2357" i="1"/>
  <c r="E2357" i="1"/>
  <c r="D2357" i="1"/>
  <c r="B2357" i="1"/>
  <c r="A2357" i="1"/>
  <c r="J1328" i="1"/>
  <c r="I1328" i="1"/>
  <c r="H1328" i="1"/>
  <c r="G1328" i="1"/>
  <c r="F1328" i="1"/>
  <c r="E1328" i="1"/>
  <c r="D1328" i="1"/>
  <c r="B1328" i="1"/>
  <c r="A1328" i="1"/>
  <c r="J2745" i="1"/>
  <c r="I2745" i="1"/>
  <c r="H2745" i="1"/>
  <c r="G2745" i="1"/>
  <c r="F2745" i="1"/>
  <c r="E2745" i="1"/>
  <c r="D2745" i="1"/>
  <c r="B2745" i="1"/>
  <c r="A2745" i="1"/>
  <c r="J3134" i="1"/>
  <c r="I3134" i="1"/>
  <c r="H3134" i="1"/>
  <c r="G3134" i="1"/>
  <c r="F3134" i="1"/>
  <c r="E3134" i="1"/>
  <c r="D3134" i="1"/>
  <c r="B3134" i="1"/>
  <c r="A3134" i="1"/>
  <c r="J1178" i="1"/>
  <c r="I1178" i="1"/>
  <c r="H1178" i="1"/>
  <c r="G1178" i="1"/>
  <c r="F1178" i="1"/>
  <c r="E1178" i="1"/>
  <c r="D1178" i="1"/>
  <c r="B1178" i="1"/>
  <c r="A1178" i="1"/>
  <c r="J1256" i="1"/>
  <c r="I1256" i="1"/>
  <c r="H1256" i="1"/>
  <c r="G1256" i="1"/>
  <c r="F1256" i="1"/>
  <c r="E1256" i="1"/>
  <c r="D1256" i="1"/>
  <c r="B1256" i="1"/>
  <c r="A1256" i="1"/>
  <c r="J2009" i="1"/>
  <c r="I2009" i="1"/>
  <c r="H2009" i="1"/>
  <c r="G2009" i="1"/>
  <c r="F2009" i="1"/>
  <c r="E2009" i="1"/>
  <c r="D2009" i="1"/>
  <c r="B2009" i="1"/>
  <c r="A2009" i="1"/>
  <c r="J2312" i="1"/>
  <c r="I2312" i="1"/>
  <c r="H2312" i="1"/>
  <c r="G2312" i="1"/>
  <c r="F2312" i="1"/>
  <c r="E2312" i="1"/>
  <c r="D2312" i="1"/>
  <c r="B2312" i="1"/>
  <c r="A2312" i="1"/>
  <c r="J412" i="1"/>
  <c r="I412" i="1"/>
  <c r="H412" i="1"/>
  <c r="G412" i="1"/>
  <c r="F412" i="1"/>
  <c r="E412" i="1"/>
  <c r="D412" i="1"/>
  <c r="B412" i="1"/>
  <c r="A412" i="1"/>
  <c r="J3179" i="1"/>
  <c r="I3179" i="1"/>
  <c r="H3179" i="1"/>
  <c r="G3179" i="1"/>
  <c r="F3179" i="1"/>
  <c r="E3179" i="1"/>
  <c r="D3179" i="1"/>
  <c r="B3179" i="1"/>
  <c r="A3179" i="1"/>
  <c r="J522" i="1"/>
  <c r="I522" i="1"/>
  <c r="H522" i="1"/>
  <c r="G522" i="1"/>
  <c r="F522" i="1"/>
  <c r="E522" i="1"/>
  <c r="D522" i="1"/>
  <c r="B522" i="1"/>
  <c r="A522" i="1"/>
  <c r="J3049" i="1"/>
  <c r="I3049" i="1"/>
  <c r="H3049" i="1"/>
  <c r="G3049" i="1"/>
  <c r="F3049" i="1"/>
  <c r="E3049" i="1"/>
  <c r="D3049" i="1"/>
  <c r="B3049" i="1"/>
  <c r="A3049" i="1"/>
  <c r="J872" i="1"/>
  <c r="I872" i="1"/>
  <c r="H872" i="1"/>
  <c r="G872" i="1"/>
  <c r="F872" i="1"/>
  <c r="E872" i="1"/>
  <c r="D872" i="1"/>
  <c r="B872" i="1"/>
  <c r="A872" i="1"/>
  <c r="J1102" i="1"/>
  <c r="I1102" i="1"/>
  <c r="H1102" i="1"/>
  <c r="G1102" i="1"/>
  <c r="F1102" i="1"/>
  <c r="E1102" i="1"/>
  <c r="D1102" i="1"/>
  <c r="B1102" i="1"/>
  <c r="A1102" i="1"/>
  <c r="J1985" i="1"/>
  <c r="I1985" i="1"/>
  <c r="H1985" i="1"/>
  <c r="G1985" i="1"/>
  <c r="F1985" i="1"/>
  <c r="E1985" i="1"/>
  <c r="D1985" i="1"/>
  <c r="B1985" i="1"/>
  <c r="A1985" i="1"/>
  <c r="J3089" i="1"/>
  <c r="I3089" i="1"/>
  <c r="H3089" i="1"/>
  <c r="G3089" i="1"/>
  <c r="F3089" i="1"/>
  <c r="E3089" i="1"/>
  <c r="D3089" i="1"/>
  <c r="B3089" i="1"/>
  <c r="A3089" i="1"/>
  <c r="J539" i="1"/>
  <c r="I539" i="1"/>
  <c r="H539" i="1"/>
  <c r="G539" i="1"/>
  <c r="F539" i="1"/>
  <c r="E539" i="1"/>
  <c r="D539" i="1"/>
  <c r="B539" i="1"/>
  <c r="A539" i="1"/>
  <c r="J368" i="1"/>
  <c r="I368" i="1"/>
  <c r="H368" i="1"/>
  <c r="G368" i="1"/>
  <c r="F368" i="1"/>
  <c r="E368" i="1"/>
  <c r="D368" i="1"/>
  <c r="B368" i="1"/>
  <c r="A368" i="1"/>
  <c r="J1057" i="1"/>
  <c r="I1057" i="1"/>
  <c r="H1057" i="1"/>
  <c r="G1057" i="1"/>
  <c r="F1057" i="1"/>
  <c r="E1057" i="1"/>
  <c r="D1057" i="1"/>
  <c r="B1057" i="1"/>
  <c r="A1057" i="1"/>
  <c r="J1348" i="1"/>
  <c r="I1348" i="1"/>
  <c r="H1348" i="1"/>
  <c r="G1348" i="1"/>
  <c r="F1348" i="1"/>
  <c r="E1348" i="1"/>
  <c r="D1348" i="1"/>
  <c r="B1348" i="1"/>
  <c r="A1348" i="1"/>
  <c r="J2445" i="1"/>
  <c r="I2445" i="1"/>
  <c r="H2445" i="1"/>
  <c r="G2445" i="1"/>
  <c r="F2445" i="1"/>
  <c r="E2445" i="1"/>
  <c r="D2445" i="1"/>
  <c r="B2445" i="1"/>
  <c r="A2445" i="1"/>
  <c r="J19" i="1"/>
  <c r="I19" i="1"/>
  <c r="H19" i="1"/>
  <c r="G19" i="1"/>
  <c r="F19" i="1"/>
  <c r="E19" i="1"/>
  <c r="D19" i="1"/>
  <c r="B19" i="1"/>
  <c r="A19" i="1"/>
  <c r="J2356" i="1"/>
  <c r="I2356" i="1"/>
  <c r="H2356" i="1"/>
  <c r="G2356" i="1"/>
  <c r="F2356" i="1"/>
  <c r="E2356" i="1"/>
  <c r="D2356" i="1"/>
  <c r="B2356" i="1"/>
  <c r="A2356" i="1"/>
  <c r="J853" i="1"/>
  <c r="I853" i="1"/>
  <c r="H853" i="1"/>
  <c r="G853" i="1"/>
  <c r="F853" i="1"/>
  <c r="E853" i="1"/>
  <c r="D853" i="1"/>
  <c r="B853" i="1"/>
  <c r="A853" i="1"/>
  <c r="J803" i="1"/>
  <c r="I803" i="1"/>
  <c r="H803" i="1"/>
  <c r="G803" i="1"/>
  <c r="F803" i="1"/>
  <c r="E803" i="1"/>
  <c r="D803" i="1"/>
  <c r="B803" i="1"/>
  <c r="A803" i="1"/>
  <c r="J2" i="1"/>
  <c r="I2" i="1"/>
  <c r="H2" i="1"/>
  <c r="G2" i="1"/>
  <c r="F2" i="1"/>
  <c r="E2" i="1"/>
  <c r="D2" i="1"/>
  <c r="B2" i="1"/>
  <c r="A2" i="1"/>
  <c r="J1327" i="1"/>
  <c r="I1327" i="1"/>
  <c r="H1327" i="1"/>
  <c r="G1327" i="1"/>
  <c r="F1327" i="1"/>
  <c r="E1327" i="1"/>
  <c r="D1327" i="1"/>
  <c r="B1327" i="1"/>
  <c r="A1327" i="1"/>
  <c r="J456" i="1"/>
  <c r="I456" i="1"/>
  <c r="H456" i="1"/>
  <c r="G456" i="1"/>
  <c r="F456" i="1"/>
  <c r="E456" i="1"/>
  <c r="D456" i="1"/>
  <c r="B456" i="1"/>
  <c r="A456" i="1"/>
  <c r="J2497" i="1"/>
  <c r="I2497" i="1"/>
  <c r="H2497" i="1"/>
  <c r="G2497" i="1"/>
  <c r="F2497" i="1"/>
  <c r="E2497" i="1"/>
  <c r="D2497" i="1"/>
  <c r="B2497" i="1"/>
  <c r="A2497" i="1"/>
  <c r="J1384" i="1"/>
  <c r="I1384" i="1"/>
  <c r="H1384" i="1"/>
  <c r="G1384" i="1"/>
  <c r="F1384" i="1"/>
  <c r="E1384" i="1"/>
  <c r="D1384" i="1"/>
  <c r="B1384" i="1"/>
  <c r="A1384" i="1"/>
  <c r="J2418" i="1"/>
  <c r="I2418" i="1"/>
  <c r="H2418" i="1"/>
  <c r="G2418" i="1"/>
  <c r="F2418" i="1"/>
  <c r="E2418" i="1"/>
  <c r="D2418" i="1"/>
  <c r="B2418" i="1"/>
  <c r="A2418" i="1"/>
  <c r="J820" i="1"/>
  <c r="I820" i="1"/>
  <c r="H820" i="1"/>
  <c r="G820" i="1"/>
  <c r="F820" i="1"/>
  <c r="E820" i="1"/>
  <c r="D820" i="1"/>
  <c r="B820" i="1"/>
  <c r="A820" i="1"/>
  <c r="J774" i="1"/>
  <c r="I774" i="1"/>
  <c r="H774" i="1"/>
  <c r="G774" i="1"/>
  <c r="F774" i="1"/>
  <c r="E774" i="1"/>
  <c r="D774" i="1"/>
  <c r="B774" i="1"/>
  <c r="A774" i="1"/>
  <c r="J585" i="1"/>
  <c r="I585" i="1"/>
  <c r="H585" i="1"/>
  <c r="G585" i="1"/>
  <c r="F585" i="1"/>
  <c r="E585" i="1"/>
  <c r="D585" i="1"/>
  <c r="B585" i="1"/>
  <c r="A585" i="1"/>
  <c r="J2078" i="1"/>
  <c r="I2078" i="1"/>
  <c r="H2078" i="1"/>
  <c r="G2078" i="1"/>
  <c r="F2078" i="1"/>
  <c r="E2078" i="1"/>
  <c r="D2078" i="1"/>
  <c r="B2078" i="1"/>
  <c r="A2078" i="1"/>
  <c r="J64" i="1"/>
  <c r="I64" i="1"/>
  <c r="H64" i="1"/>
  <c r="G64" i="1"/>
  <c r="F64" i="1"/>
  <c r="E64" i="1"/>
  <c r="D64" i="1"/>
  <c r="B64" i="1"/>
  <c r="A64" i="1"/>
  <c r="J1126" i="1"/>
  <c r="I1126" i="1"/>
  <c r="H1126" i="1"/>
  <c r="G1126" i="1"/>
  <c r="F1126" i="1"/>
  <c r="E1126" i="1"/>
  <c r="D1126" i="1"/>
  <c r="B1126" i="1"/>
  <c r="A1126" i="1"/>
  <c r="J3178" i="1"/>
  <c r="I3178" i="1"/>
  <c r="H3178" i="1"/>
  <c r="G3178" i="1"/>
  <c r="F3178" i="1"/>
  <c r="E3178" i="1"/>
  <c r="D3178" i="1"/>
  <c r="B3178" i="1"/>
  <c r="A3178" i="1"/>
  <c r="J455" i="1"/>
  <c r="I455" i="1"/>
  <c r="H455" i="1"/>
  <c r="G455" i="1"/>
  <c r="F455" i="1"/>
  <c r="E455" i="1"/>
  <c r="D455" i="1"/>
  <c r="B455" i="1"/>
  <c r="A455" i="1"/>
  <c r="J18" i="1"/>
  <c r="I18" i="1"/>
  <c r="H18" i="1"/>
  <c r="G18" i="1"/>
  <c r="F18" i="1"/>
  <c r="E18" i="1"/>
  <c r="D18" i="1"/>
  <c r="B18" i="1"/>
  <c r="A18" i="1"/>
  <c r="J3177" i="1"/>
  <c r="I3177" i="1"/>
  <c r="H3177" i="1"/>
  <c r="G3177" i="1"/>
  <c r="F3177" i="1"/>
  <c r="E3177" i="1"/>
  <c r="D3177" i="1"/>
  <c r="B3177" i="1"/>
  <c r="A3177" i="1"/>
  <c r="J538" i="1"/>
  <c r="I538" i="1"/>
  <c r="H538" i="1"/>
  <c r="G538" i="1"/>
  <c r="F538" i="1"/>
  <c r="E538" i="1"/>
  <c r="D538" i="1"/>
  <c r="B538" i="1"/>
  <c r="A538" i="1"/>
  <c r="J2417" i="1"/>
  <c r="I2417" i="1"/>
  <c r="H2417" i="1"/>
  <c r="G2417" i="1"/>
  <c r="F2417" i="1"/>
  <c r="E2417" i="1"/>
  <c r="D2417" i="1"/>
  <c r="B2417" i="1"/>
  <c r="A2417" i="1"/>
  <c r="J2355" i="1"/>
  <c r="I2355" i="1"/>
  <c r="H2355" i="1"/>
  <c r="G2355" i="1"/>
  <c r="F2355" i="1"/>
  <c r="E2355" i="1"/>
  <c r="D2355" i="1"/>
  <c r="B2355" i="1"/>
  <c r="A2355" i="1"/>
  <c r="J2008" i="1"/>
  <c r="I2008" i="1"/>
  <c r="H2008" i="1"/>
  <c r="G2008" i="1"/>
  <c r="F2008" i="1"/>
  <c r="E2008" i="1"/>
  <c r="D2008" i="1"/>
  <c r="B2008" i="1"/>
  <c r="A2008" i="1"/>
  <c r="J2496" i="1"/>
  <c r="I2496" i="1"/>
  <c r="H2496" i="1"/>
  <c r="G2496" i="1"/>
  <c r="F2496" i="1"/>
  <c r="E2496" i="1"/>
  <c r="D2496" i="1"/>
  <c r="B2496" i="1"/>
  <c r="A2496" i="1"/>
  <c r="J1383" i="1"/>
  <c r="I1383" i="1"/>
  <c r="H1383" i="1"/>
  <c r="G1383" i="1"/>
  <c r="F1383" i="1"/>
  <c r="E1383" i="1"/>
  <c r="D1383" i="1"/>
  <c r="B1383" i="1"/>
  <c r="A1383" i="1"/>
  <c r="J1125" i="1"/>
  <c r="I1125" i="1"/>
  <c r="H1125" i="1"/>
  <c r="G1125" i="1"/>
  <c r="F1125" i="1"/>
  <c r="E1125" i="1"/>
  <c r="D1125" i="1"/>
  <c r="B1125" i="1"/>
  <c r="A1125" i="1"/>
  <c r="J1056" i="1"/>
  <c r="I1056" i="1"/>
  <c r="H1056" i="1"/>
  <c r="G1056" i="1"/>
  <c r="F1056" i="1"/>
  <c r="E1056" i="1"/>
  <c r="D1056" i="1"/>
  <c r="B1056" i="1"/>
  <c r="A1056" i="1"/>
  <c r="J871" i="1"/>
  <c r="I871" i="1"/>
  <c r="H871" i="1"/>
  <c r="G871" i="1"/>
  <c r="F871" i="1"/>
  <c r="E871" i="1"/>
  <c r="D871" i="1"/>
  <c r="B871" i="1"/>
  <c r="A871" i="1"/>
  <c r="J852" i="1"/>
  <c r="I852" i="1"/>
  <c r="H852" i="1"/>
  <c r="G852" i="1"/>
  <c r="F852" i="1"/>
  <c r="E852" i="1"/>
  <c r="D852" i="1"/>
  <c r="B852" i="1"/>
  <c r="A852" i="1"/>
  <c r="J819" i="1"/>
  <c r="I819" i="1"/>
  <c r="H819" i="1"/>
  <c r="G819" i="1"/>
  <c r="F819" i="1"/>
  <c r="E819" i="1"/>
  <c r="D819" i="1"/>
  <c r="B819" i="1"/>
  <c r="A819" i="1"/>
  <c r="J773" i="1"/>
  <c r="I773" i="1"/>
  <c r="H773" i="1"/>
  <c r="G773" i="1"/>
  <c r="F773" i="1"/>
  <c r="E773" i="1"/>
  <c r="D773" i="1"/>
  <c r="B773" i="1"/>
  <c r="A773" i="1"/>
  <c r="J2354" i="1"/>
  <c r="I2354" i="1"/>
  <c r="H2354" i="1"/>
  <c r="G2354" i="1"/>
  <c r="F2354" i="1"/>
  <c r="E2354" i="1"/>
  <c r="D2354" i="1"/>
  <c r="B2354" i="1"/>
  <c r="A2354" i="1"/>
  <c r="B4" i="2" l="1"/>
  <c r="B3" i="2"/>
  <c r="B2" i="2"/>
</calcChain>
</file>

<file path=xl/sharedStrings.xml><?xml version="1.0" encoding="utf-8"?>
<sst xmlns="http://schemas.openxmlformats.org/spreadsheetml/2006/main" count="26" uniqueCount="26">
  <si>
    <t>0</t>
  </si>
  <si>
    <t>Data do Registro</t>
  </si>
  <si>
    <t>Nome do Porto</t>
  </si>
  <si>
    <t>Status da Operação</t>
  </si>
  <si>
    <t>Status da Via de Acesso</t>
  </si>
  <si>
    <t>Criticidade</t>
  </si>
  <si>
    <t>Descrição da Situação</t>
  </si>
  <si>
    <t>Início da Situação</t>
  </si>
  <si>
    <t>Duração da Situação</t>
  </si>
  <si>
    <t>Término da Situação</t>
  </si>
  <si>
    <t>Fonte da Informação</t>
  </si>
  <si>
    <t>02</t>
  </si>
  <si>
    <t xml:space="preserve">SITUAÇÃO </t>
  </si>
  <si>
    <t>QUANTIDADE</t>
  </si>
  <si>
    <t xml:space="preserve">PORTOS </t>
  </si>
  <si>
    <t>LIBERAÇÕES</t>
  </si>
  <si>
    <t>PORTOS</t>
  </si>
  <si>
    <t>TOTAL DE LIBERAÇÕES</t>
  </si>
  <si>
    <t xml:space="preserve">MEDIA DE HORAS </t>
  </si>
  <si>
    <t xml:space="preserve">TOTAL DE HORAS </t>
  </si>
  <si>
    <t>2- QUANTAS CARGAS FORAM TOTALMENTE LIBERADAS ?</t>
  </si>
  <si>
    <t>3103 liberações</t>
  </si>
  <si>
    <t xml:space="preserve">1- QUAL O PORTO COM MAIS MOVIMENTAÇÕES EM 2022 ? </t>
  </si>
  <si>
    <t>Porto de Recife com 602 liberações</t>
  </si>
  <si>
    <t xml:space="preserve">3- QUAL O PORTO QUE APRESENTOU A PIOR MÉDIA DE TEMPO PARA LIBERAÇÃO </t>
  </si>
  <si>
    <t xml:space="preserve">Porto de Porte Alegre com uma média de 41hs para liberação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</si>
</sst>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d/mm/yyyy\ hh:mm:ss"/>
    <numFmt numFmtId="165" formatCode="_(* #,##0_);_(* \(#,##0\);_(* &quot;-&quot;??_);_(@_)"/>
  </numFmts>
  <fonts count="9">
    <font>
      <sz val="10"/>
      <color rgb="FF000000"/>
      <name val="Arial"/>
      <scheme val="minor"/>
    </font>
    <font>
      <b/>
      <sz val="10"/>
      <color rgb="FFFFFFFF"/>
      <name val="Arial"/>
      <family val="2"/>
      <scheme val="minor"/>
    </font>
    <font>
      <sz val="10"/>
      <color theme="1"/>
      <name val="Arial"/>
      <family val="2"/>
      <scheme val="minor"/>
    </font>
    <font>
      <u/>
      <sz val="10"/>
      <color rgb="FF0000FF"/>
      <name val="Arial"/>
      <family val="2"/>
    </font>
    <font>
      <b/>
      <sz val="10"/>
      <color rgb="FF000000"/>
      <name val="Arial"/>
      <scheme val="minor"/>
    </font>
    <font>
      <sz val="10"/>
      <color rgb="FF000000"/>
      <name val="Arial"/>
    </font>
    <font>
      <sz val="10"/>
      <color theme="4"/>
      <name val="Arial"/>
      <scheme val="minor"/>
    </font>
    <font>
      <sz val="10"/>
      <color theme="1"/>
      <name val="Arial"/>
      <scheme val="minor"/>
    </font>
    <font>
      <sz val="9"/>
      <color rgb="FF000000"/>
      <name val="Arial"/>
      <scheme val="minor"/>
    </font>
  </fonts>
  <fills count="4">
    <fill>
      <patternFill patternType="none"/>
    </fill>
    <fill>
      <patternFill patternType="gray125"/>
    </fill>
    <fill>
      <patternFill patternType="solid">
        <fgColor rgb="FFFFFFFF"/>
        <bgColor rgb="FFFFFFFF"/>
      </patternFill>
    </fill>
    <fill>
      <patternFill patternType="solid">
        <fgColor rgb="FFE8F0FE"/>
        <bgColor rgb="FFE8F0FE"/>
      </patternFill>
    </fill>
  </fills>
  <borders count="2">
    <border>
      <left/>
      <right/>
      <top/>
      <bottom/>
      <diagonal/>
    </border>
    <border>
      <left/>
      <right/>
      <top/>
      <bottom style="thin">
        <color theme="7"/>
      </bottom>
      <diagonal/>
    </border>
  </borders>
  <cellStyleXfs count="1">
    <xf numFmtId="0" fontId="0" fillId="0" borderId="0"/>
  </cellStyleXfs>
  <cellXfs count="25">
    <xf numFmtId="0" fontId="0" fillId="0" borderId="0" xfId="0"/>
    <xf numFmtId="0" fontId="1" fillId="0" borderId="0" xfId="0" applyFont="1" applyAlignment="1">
      <alignment horizontal="center" vertical="center"/>
    </xf>
    <xf numFmtId="164" fontId="1" fillId="0" borderId="0" xfId="0" applyNumberFormat="1" applyFont="1" applyAlignment="1">
      <alignment horizontal="center" vertical="center"/>
    </xf>
    <xf numFmtId="0" fontId="2" fillId="0" borderId="0" xfId="0" applyFont="1"/>
    <xf numFmtId="164" fontId="2" fillId="0" borderId="0" xfId="0" applyNumberFormat="1" applyFont="1"/>
    <xf numFmtId="10" fontId="2" fillId="0" borderId="0" xfId="0" applyNumberFormat="1" applyFont="1"/>
    <xf numFmtId="0" fontId="3" fillId="0" borderId="0" xfId="0" applyFont="1"/>
    <xf numFmtId="0" fontId="2" fillId="2" borderId="0" xfId="0" applyFont="1" applyFill="1"/>
    <xf numFmtId="0" fontId="2" fillId="3" borderId="0" xfId="0" applyFont="1" applyFill="1"/>
    <xf numFmtId="0" fontId="0" fillId="0" borderId="0" xfId="0" applyAlignment="1">
      <alignment horizontal="center"/>
    </xf>
    <xf numFmtId="0" fontId="4" fillId="0" borderId="0" xfId="0" applyFont="1" applyAlignment="1">
      <alignment horizontal="center"/>
    </xf>
    <xf numFmtId="0" fontId="0" fillId="0" borderId="0" xfId="0" applyAlignment="1">
      <alignment wrapText="1"/>
    </xf>
    <xf numFmtId="0" fontId="5" fillId="0" borderId="0" xfId="0" applyFont="1" applyAlignment="1">
      <alignment horizontal="center"/>
    </xf>
    <xf numFmtId="165" fontId="0" fillId="0" borderId="0" xfId="0" applyNumberFormat="1" applyAlignment="1"/>
    <xf numFmtId="0" fontId="6" fillId="2" borderId="0" xfId="0" applyFont="1" applyFill="1" applyAlignment="1">
      <alignment horizontal="left"/>
    </xf>
    <xf numFmtId="0" fontId="2" fillId="0" borderId="0" xfId="0" applyFont="1" applyFill="1"/>
    <xf numFmtId="0" fontId="7" fillId="0" borderId="0" xfId="0" applyFont="1" applyFill="1" applyAlignment="1">
      <alignment horizontal="center"/>
    </xf>
    <xf numFmtId="0" fontId="7" fillId="0" borderId="0" xfId="0" applyFont="1" applyFill="1" applyBorder="1" applyAlignment="1">
      <alignment horizontal="center"/>
    </xf>
    <xf numFmtId="0" fontId="7" fillId="0" borderId="1" xfId="0" applyFont="1" applyFill="1" applyBorder="1" applyAlignment="1">
      <alignment horizontal="center"/>
    </xf>
    <xf numFmtId="0" fontId="4" fillId="0" borderId="0" xfId="0" applyFont="1" applyFill="1" applyAlignment="1">
      <alignment horizontal="center"/>
    </xf>
    <xf numFmtId="0" fontId="7" fillId="0" borderId="0" xfId="0" applyFont="1" applyFill="1" applyAlignment="1">
      <alignment horizontal="center" wrapText="1"/>
    </xf>
    <xf numFmtId="0" fontId="2" fillId="0" borderId="0" xfId="0" applyFont="1" applyFill="1" applyAlignment="1">
      <alignment horizontal="left"/>
    </xf>
    <xf numFmtId="0" fontId="8" fillId="0" borderId="0" xfId="0" applyFont="1" applyAlignment="1">
      <alignment wrapText="1"/>
    </xf>
    <xf numFmtId="0" fontId="6" fillId="0" borderId="0" xfId="0" applyFont="1" applyAlignment="1"/>
    <xf numFmtId="0" fontId="0" fillId="0" borderId="0" xfId="0" applyAlignment="1">
      <alignment horizontal="center" wrapText="1"/>
    </xf>
  </cellXfs>
  <cellStyles count="1">
    <cellStyle name="Normal" xfId="0" builtinId="0"/>
  </cellStyles>
  <dxfs count="15">
    <dxf>
      <numFmt numFmtId="0" formatCode="General"/>
      <alignment horizontal="center"/>
    </dxf>
    <dxf>
      <numFmt numFmtId="165" formatCode="_(* #,##0_);_(* \(#,##0\);_(* &quot;-&quot;??_);_(@_)"/>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fill>
        <patternFill patternType="none">
          <fgColor indexed="64"/>
          <bgColor indexed="65"/>
        </patternFill>
      </fill>
    </dxf>
    <dxf>
      <alignment wrapText="1"/>
    </dxf>
    <dxf>
      <font>
        <b val="0"/>
        <i val="0"/>
        <strike val="0"/>
        <condense val="0"/>
        <extend val="0"/>
        <outline val="0"/>
        <shadow val="0"/>
        <u val="none"/>
        <vertAlign val="baseline"/>
        <sz val="10"/>
        <color theme="1"/>
        <name val="Arial"/>
        <scheme val="minor"/>
      </font>
      <numFmt numFmtId="0" formatCode="General"/>
      <fill>
        <patternFill patternType="none">
          <fgColor theme="7" tint="0.79998168889431442"/>
          <bgColor theme="7"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minor"/>
      </font>
      <fill>
        <patternFill patternType="none">
          <fgColor rgb="FFFFFFFF"/>
          <bgColor rgb="FFFFFFFF"/>
        </patternFill>
      </fill>
    </dxf>
    <dxf>
      <font>
        <color theme="1"/>
      </font>
      <fill>
        <patternFill patternType="none"/>
      </fill>
    </dxf>
    <dxf>
      <fill>
        <patternFill patternType="none"/>
      </fill>
    </dxf>
    <dxf>
      <alignment horizontal="center"/>
    </dxf>
    <dxf>
      <font>
        <b val="0"/>
        <i val="0"/>
        <strike val="0"/>
        <condense val="0"/>
        <extend val="0"/>
        <outline val="0"/>
        <shadow val="0"/>
        <u val="none"/>
        <vertAlign val="baseline"/>
        <sz val="10"/>
        <color theme="1"/>
        <name val="Arial"/>
        <family val="2"/>
        <scheme val="minor"/>
      </font>
      <fill>
        <patternFill patternType="none">
          <fgColor rgb="FFFFFFFF"/>
          <bgColor rgb="FFFFFFFF"/>
        </patternFill>
      </fill>
    </dxf>
    <dxf>
      <font>
        <b/>
        <i val="0"/>
        <strike val="0"/>
        <condense val="0"/>
        <extend val="0"/>
        <outline val="0"/>
        <shadow val="0"/>
        <u val="none"/>
        <vertAlign val="baseline"/>
        <sz val="10"/>
        <color rgb="FF000000"/>
        <name val="Arial"/>
        <scheme val="minor"/>
      </font>
      <alignment horizontal="center"/>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1">
    <tableStyle name="Publico-style" pivot="0" count="3" xr9:uid="{00000000-0011-0000-FFFF-FFFF00000000}">
      <tableStyleElement type="header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L3443">
  <autoFilter ref="A1:L3443" xr:uid="{00000000-000C-0000-FFFF-FFFF00000000}"/>
  <sortState xmlns:xlrd2="http://schemas.microsoft.com/office/spreadsheetml/2017/richdata2" ref="A2:L3443">
    <sortCondition ref="C1"/>
  </sortState>
  <tableColumns count="12">
    <tableColumn id="1" xr3:uid="{00000000-0010-0000-0000-000001000000}" name="0"/>
    <tableColumn id="2" xr3:uid="{00000000-0010-0000-0000-000002000000}" name="Data do Registro"/>
    <tableColumn id="3" xr3:uid="{00000000-0010-0000-0000-000003000000}" name="Nome do Porto"/>
    <tableColumn id="4" xr3:uid="{00000000-0010-0000-0000-000004000000}" name="Status da Operação"/>
    <tableColumn id="5" xr3:uid="{00000000-0010-0000-0000-000005000000}" name="Status da Via de Acesso"/>
    <tableColumn id="6" xr3:uid="{00000000-0010-0000-0000-000006000000}" name="Criticidade"/>
    <tableColumn id="7" xr3:uid="{00000000-0010-0000-0000-000007000000}" name="Descrição da Situação"/>
    <tableColumn id="8" xr3:uid="{00000000-0010-0000-0000-000008000000}" name="Início da Situação"/>
    <tableColumn id="9" xr3:uid="{00000000-0010-0000-0000-000009000000}" name="Duração da Situação"/>
    <tableColumn id="10" xr3:uid="{00000000-0010-0000-0000-00000A000000}" name="Término da Situação"/>
    <tableColumn id="11" xr3:uid="{00000000-0010-0000-0000-00000B000000}" name="Fonte da Informação"/>
    <tableColumn id="12" xr3:uid="{00000000-0010-0000-0000-00000C000000}" name="02"/>
  </tableColumns>
  <tableStyleInfo name="Publico-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E4E7F7-35CE-4496-9414-C37CCA74B294}" name="Tabela2" displayName="Tabela2" ref="A1:B4" totalsRowShown="0" headerRowDxfId="11">
  <autoFilter ref="A1:B4" xr:uid="{C2E4E7F7-35CE-4496-9414-C37CCA74B294}"/>
  <tableColumns count="2">
    <tableColumn id="1" xr3:uid="{615D4315-C22E-4A8E-96E5-6B8713FDE45D}" name="SITUAÇÃO " dataDxfId="10"/>
    <tableColumn id="2" xr3:uid="{1FF6CD8A-0770-4A78-B4B7-EA1DE185CD09}" name="QUANTIDADE" dataDxfId="9"/>
  </tableColumns>
  <tableStyleInfo name="Publico-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FAD2299-D254-40CC-ABC7-56D6504C313E}" name="Tabela57" displayName="Tabela57" ref="A1:B38" totalsRowShown="0" headerRowDxfId="8" dataDxfId="7">
  <autoFilter ref="A1:B38" xr:uid="{DFAD2299-D254-40CC-ABC7-56D6504C313E}"/>
  <sortState xmlns:xlrd2="http://schemas.microsoft.com/office/spreadsheetml/2017/richdata2" ref="A2:B38">
    <sortCondition ref="B1:B38"/>
  </sortState>
  <tableColumns count="2">
    <tableColumn id="1" xr3:uid="{CBA09067-B20D-4951-AC18-3C04EEA1EBFE}" name="PORTOS " dataDxfId="6"/>
    <tableColumn id="2" xr3:uid="{B6A06F8B-66BF-49FF-B492-080F3C03A2B7}" name="LIBERAÇÕES" dataDxfId="5">
      <calculatedColumnFormula>COUNTIF('DADOS BASE'!C:C,Tabela57[[#This Row],[PORTOS ]])</calculatedColumnFormula>
    </tableColumn>
  </tableColumns>
  <tableStyleInfo name="Publico-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AD2FCF-663D-4433-9FF8-011B91C60B65}" name="Tabela4" displayName="Tabela4" ref="A1:D38" totalsRowShown="0" headerRowDxfId="4">
  <autoFilter ref="A1:D38" xr:uid="{D4AD2FCF-663D-4433-9FF8-011B91C60B65}"/>
  <sortState xmlns:xlrd2="http://schemas.microsoft.com/office/spreadsheetml/2017/richdata2" ref="A2:D38">
    <sortCondition ref="C1:C38"/>
  </sortState>
  <tableColumns count="4">
    <tableColumn id="1" xr3:uid="{F741B18C-9B69-4D2A-83BE-916DFADEE3DD}" name="PORTOS" dataDxfId="3"/>
    <tableColumn id="2" xr3:uid="{622DE81F-2C4E-4D90-ABD5-3221A2C5D5BC}" name="TOTAL DE LIBERAÇÕES" dataDxfId="2"/>
    <tableColumn id="3" xr3:uid="{C9CFCFD7-5297-44FA-A763-73E052DFF361}" name="MEDIA DE HORAS " dataDxfId="1">
      <calculatedColumnFormula>(D2/Tabela4[[#This Row],[TOTAL DE LIBERAÇÕES]])</calculatedColumnFormula>
    </tableColumn>
    <tableColumn id="4" xr3:uid="{E6B91573-4065-4D8A-84CB-0D47DBA4C1BC}" name="TOTAL DE HORAS " dataDxfId="0">
      <calculatedColumnFormula>SUMIF('DADOS BASE'!C:C,Tabela4[[#This Row],[PORTOS]],'DADOS BASE'!I:I)</calculatedColumnFormula>
    </tableColumn>
  </tableColumns>
  <tableStyleInfo name="Publico-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der.pr.gov.br/" TargetMode="External"/><Relationship Id="rId7" Type="http://schemas.openxmlformats.org/officeDocument/2006/relationships/table" Target="../tables/table1.xml"/><Relationship Id="rId2" Type="http://schemas.openxmlformats.org/officeDocument/2006/relationships/hyperlink" Target="http://www.der.pr.gov.br/" TargetMode="External"/><Relationship Id="rId1" Type="http://schemas.openxmlformats.org/officeDocument/2006/relationships/hyperlink" Target="http://www.der.pr.gov.br/" TargetMode="External"/><Relationship Id="rId6" Type="http://schemas.openxmlformats.org/officeDocument/2006/relationships/hyperlink" Target="https://www.appsheet.com/start" TargetMode="External"/><Relationship Id="rId5" Type="http://schemas.openxmlformats.org/officeDocument/2006/relationships/hyperlink" Target="https://www.appsheet.com/" TargetMode="External"/><Relationship Id="rId4" Type="http://schemas.openxmlformats.org/officeDocument/2006/relationships/hyperlink" Target="http://www.der.pr.gov.br/"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443"/>
  <sheetViews>
    <sheetView tabSelected="1" topLeftCell="B2000" workbookViewId="0">
      <selection activeCell="G1161" sqref="G1161"/>
    </sheetView>
  </sheetViews>
  <sheetFormatPr defaultColWidth="12.5703125" defaultRowHeight="15.75" customHeight="1"/>
  <cols>
    <col min="1" max="1" width="17" style="3" hidden="1" customWidth="1"/>
    <col min="2" max="2" width="18.140625" style="4" bestFit="1" customWidth="1"/>
    <col min="3" max="3" width="44.140625" style="3" customWidth="1"/>
    <col min="4" max="4" width="15.85546875" style="3" customWidth="1"/>
    <col min="5" max="5" width="27.42578125" style="3" customWidth="1"/>
    <col min="6" max="6" width="10.85546875" style="3" bestFit="1" customWidth="1"/>
    <col min="7" max="7" width="150" style="3" customWidth="1"/>
    <col min="8" max="8" width="18.140625" style="3" bestFit="1" customWidth="1"/>
    <col min="9" max="9" width="24.5703125" style="3" customWidth="1"/>
    <col min="10" max="10" width="20.28515625" style="3" bestFit="1" customWidth="1"/>
    <col min="11" max="11" width="60.42578125" style="3" customWidth="1"/>
    <col min="12" max="12" width="11.7109375" style="3" customWidth="1"/>
  </cols>
  <sheetData>
    <row r="1" spans="1:26" ht="24.75" customHeight="1">
      <c r="A1" s="1" t="s">
        <v>0</v>
      </c>
      <c r="B1" s="2" t="s">
        <v>1</v>
      </c>
      <c r="C1" s="1" t="s">
        <v>2</v>
      </c>
      <c r="D1" s="1" t="s">
        <v>3</v>
      </c>
      <c r="E1" s="1"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12.75">
      <c r="A2" s="3" t="str">
        <f ca="1">IFERROR(__xludf.UNSUPPORTED("""COMPUTED_VALUE"""),"f1eac03a")</f>
        <v>f1eac03a</v>
      </c>
      <c r="B2" s="4">
        <f ca="1">IFERROR(__xludf.UNSUPPORTED("""COMPUTED_VALUE"""),44866.3909143518)</f>
        <v>44866.390914351803</v>
      </c>
      <c r="C2" s="7" t="str">
        <f ca="1">IFERROR(__xludf.UNSUPPORTED("""COMPUTED_VALUE"""),"Angra dos Reis")</f>
        <v>Angra dos Reis</v>
      </c>
      <c r="D2" s="3" t="str">
        <f ca="1">IFERROR(__xludf.UNSUPPORTED("""COMPUTED_VALUE"""),"🚢 REGULAR")</f>
        <v>🚢 REGULAR</v>
      </c>
      <c r="E2" s="3" t="str">
        <f ca="1">IFERROR(__xludf.UNSUPPORTED("""COMPUTED_VALUE"""),"🚛 LIBERADO")</f>
        <v>🚛 LIBERADO</v>
      </c>
      <c r="F2" s="5">
        <f ca="1">IFERROR(__xludf.UNSUPPORTED("""COMPUTED_VALUE"""),0)</f>
        <v>0</v>
      </c>
      <c r="G2" s="3" t="str">
        <f ca="1">IFERROR(__xludf.UNSUPPORTED("""COMPUTED_VALUE"""),"Situação normal")</f>
        <v>Situação normal</v>
      </c>
      <c r="H2" s="4">
        <f ca="1">IFERROR(__xludf.UNSUPPORTED("""COMPUTED_VALUE"""),44866.3909143518)</f>
        <v>44866.390914351803</v>
      </c>
      <c r="I2" s="3">
        <f ca="1">IFERROR(__xludf.UNSUPPORTED("""COMPUTED_VALUE"""),12)</f>
        <v>12</v>
      </c>
      <c r="J2" s="4">
        <f ca="1">IFERROR(__xludf.UNSUPPORTED("""COMPUTED_VALUE"""),44866.8909143518)</f>
        <v>44866.890914351803</v>
      </c>
    </row>
    <row r="3" spans="1:26" ht="12.75">
      <c r="A3" s="3" t="str">
        <f ca="1">IFERROR(__xludf.UNSUPPORTED("""COMPUTED_VALUE"""),"c5cc4fa1")</f>
        <v>c5cc4fa1</v>
      </c>
      <c r="B3" s="4">
        <f ca="1">IFERROR(__xludf.UNSUPPORTED("""COMPUTED_VALUE"""),44868.4212847222)</f>
        <v>44868.421284722201</v>
      </c>
      <c r="C3" s="7" t="str">
        <f ca="1">IFERROR(__xludf.UNSUPPORTED("""COMPUTED_VALUE"""),"Angra dos Reis")</f>
        <v>Angra dos Reis</v>
      </c>
      <c r="D3" s="3" t="str">
        <f ca="1">IFERROR(__xludf.UNSUPPORTED("""COMPUTED_VALUE"""),"🚢 REGULAR")</f>
        <v>🚢 REGULAR</v>
      </c>
      <c r="E3" s="3" t="str">
        <f ca="1">IFERROR(__xludf.UNSUPPORTED("""COMPUTED_VALUE"""),"🚛 LIBERADO")</f>
        <v>🚛 LIBERADO</v>
      </c>
      <c r="F3" s="5">
        <f ca="1">IFERROR(__xludf.UNSUPPORTED("""COMPUTED_VALUE"""),0)</f>
        <v>0</v>
      </c>
      <c r="G3" s="3" t="str">
        <f ca="1">IFERROR(__xludf.UNSUPPORTED("""COMPUTED_VALUE"""),"Situação Normal")</f>
        <v>Situação Normal</v>
      </c>
      <c r="H3" s="4">
        <f ca="1">IFERROR(__xludf.UNSUPPORTED("""COMPUTED_VALUE"""),44868.4212847222)</f>
        <v>44868.421284722201</v>
      </c>
      <c r="I3" s="3">
        <f ca="1">IFERROR(__xludf.UNSUPPORTED("""COMPUTED_VALUE"""),8)</f>
        <v>8</v>
      </c>
      <c r="J3" s="4">
        <f ca="1">IFERROR(__xludf.UNSUPPORTED("""COMPUTED_VALUE"""),44868.7546180555)</f>
        <v>44868.7546180555</v>
      </c>
    </row>
    <row r="4" spans="1:26" ht="12.75">
      <c r="A4" s="3" t="str">
        <f ca="1">IFERROR(__xludf.UNSUPPORTED("""COMPUTED_VALUE"""),"f3ee4e4d")</f>
        <v>f3ee4e4d</v>
      </c>
      <c r="B4" s="4">
        <f ca="1">IFERROR(__xludf.UNSUPPORTED("""COMPUTED_VALUE"""),44869.4460300925)</f>
        <v>44869.446030092498</v>
      </c>
      <c r="C4" s="7" t="str">
        <f ca="1">IFERROR(__xludf.UNSUPPORTED("""COMPUTED_VALUE"""),"Angra dos Reis")</f>
        <v>Angra dos Reis</v>
      </c>
      <c r="D4" s="3" t="str">
        <f ca="1">IFERROR(__xludf.UNSUPPORTED("""COMPUTED_VALUE"""),"🚢 REGULAR")</f>
        <v>🚢 REGULAR</v>
      </c>
      <c r="E4" s="3" t="str">
        <f ca="1">IFERROR(__xludf.UNSUPPORTED("""COMPUTED_VALUE"""),"🚛 LIBERADO")</f>
        <v>🚛 LIBERADO</v>
      </c>
      <c r="F4" s="5">
        <f ca="1">IFERROR(__xludf.UNSUPPORTED("""COMPUTED_VALUE"""),0)</f>
        <v>0</v>
      </c>
      <c r="G4" s="3" t="str">
        <f ca="1">IFERROR(__xludf.UNSUPPORTED("""COMPUTED_VALUE"""),"Situação normal.")</f>
        <v>Situação normal.</v>
      </c>
      <c r="H4" s="4">
        <f ca="1">IFERROR(__xludf.UNSUPPORTED("""COMPUTED_VALUE"""),44869.4460300925)</f>
        <v>44869.446030092498</v>
      </c>
      <c r="I4" s="3">
        <f ca="1">IFERROR(__xludf.UNSUPPORTED("""COMPUTED_VALUE"""),24)</f>
        <v>24</v>
      </c>
      <c r="J4" s="4">
        <f ca="1">IFERROR(__xludf.UNSUPPORTED("""COMPUTED_VALUE"""),44870.4460300925)</f>
        <v>44870.446030092498</v>
      </c>
    </row>
    <row r="5" spans="1:26" ht="12.75">
      <c r="A5" s="3" t="str">
        <f ca="1">IFERROR(__xludf.UNSUPPORTED("""COMPUTED_VALUE"""),"baa2ef45")</f>
        <v>baa2ef45</v>
      </c>
      <c r="B5" s="4">
        <f ca="1">IFERROR(__xludf.UNSUPPORTED("""COMPUTED_VALUE"""),44883.6226736111)</f>
        <v>44883.622673611098</v>
      </c>
      <c r="C5" t="str">
        <f ca="1">IFERROR(__xludf.UNSUPPORTED("""COMPUTED_VALUE"""),"Angra dos Reis")</f>
        <v>Angra dos Reis</v>
      </c>
      <c r="D5" s="3" t="str">
        <f ca="1">IFERROR(__xludf.UNSUPPORTED("""COMPUTED_VALUE"""),"🚢 REGULAR")</f>
        <v>🚢 REGULAR</v>
      </c>
      <c r="E5" s="3" t="str">
        <f ca="1">IFERROR(__xludf.UNSUPPORTED("""COMPUTED_VALUE"""),"🚛 LIBERADO")</f>
        <v>🚛 LIBERADO</v>
      </c>
      <c r="F5" s="5">
        <f ca="1">IFERROR(__xludf.UNSUPPORTED("""COMPUTED_VALUE"""),0)</f>
        <v>0</v>
      </c>
      <c r="G5" s="3" t="str">
        <f ca="1">IFERROR(__xludf.UNSUPPORTED("""COMPUTED_VALUE"""),"Situação normal")</f>
        <v>Situação normal</v>
      </c>
      <c r="H5" s="4">
        <f ca="1">IFERROR(__xludf.UNSUPPORTED("""COMPUTED_VALUE"""),44883.6226736111)</f>
        <v>44883.622673611098</v>
      </c>
      <c r="I5" s="3">
        <f ca="1">IFERROR(__xludf.UNSUPPORTED("""COMPUTED_VALUE"""),24)</f>
        <v>24</v>
      </c>
      <c r="J5" s="4">
        <f ca="1">IFERROR(__xludf.UNSUPPORTED("""COMPUTED_VALUE"""),44884.6226736111)</f>
        <v>44884.622673611098</v>
      </c>
    </row>
    <row r="6" spans="1:26" ht="12.75">
      <c r="A6" s="3" t="str">
        <f ca="1">IFERROR(__xludf.UNSUPPORTED("""COMPUTED_VALUE"""),"9f93372d")</f>
        <v>9f93372d</v>
      </c>
      <c r="B6" s="4">
        <f ca="1">IFERROR(__xludf.UNSUPPORTED("""COMPUTED_VALUE"""),44885.4035069444)</f>
        <v>44885.4035069444</v>
      </c>
      <c r="C6" s="8" t="str">
        <f ca="1">IFERROR(__xludf.UNSUPPORTED("""COMPUTED_VALUE"""),"Angra dos Reis")</f>
        <v>Angra dos Reis</v>
      </c>
      <c r="D6" s="3" t="str">
        <f ca="1">IFERROR(__xludf.UNSUPPORTED("""COMPUTED_VALUE"""),"🚢 REGULAR")</f>
        <v>🚢 REGULAR</v>
      </c>
      <c r="E6" s="3" t="str">
        <f ca="1">IFERROR(__xludf.UNSUPPORTED("""COMPUTED_VALUE"""),"🚛 LIBERADO")</f>
        <v>🚛 LIBERADO</v>
      </c>
      <c r="F6" s="5">
        <f ca="1">IFERROR(__xludf.UNSUPPORTED("""COMPUTED_VALUE"""),0)</f>
        <v>0</v>
      </c>
      <c r="G6" s="3" t="str">
        <f ca="1">IFERROR(__xludf.UNSUPPORTED("""COMPUTED_VALUE"""),"Situação Normal")</f>
        <v>Situação Normal</v>
      </c>
      <c r="H6" s="4">
        <f ca="1">IFERROR(__xludf.UNSUPPORTED("""COMPUTED_VALUE"""),44887.9715624999)</f>
        <v>44887.971562499901</v>
      </c>
      <c r="I6" s="3">
        <f ca="1">IFERROR(__xludf.UNSUPPORTED("""COMPUTED_VALUE"""),24)</f>
        <v>24</v>
      </c>
      <c r="J6" s="4">
        <f ca="1">IFERROR(__xludf.UNSUPPORTED("""COMPUTED_VALUE"""),44888.9715624999)</f>
        <v>44888.971562499901</v>
      </c>
    </row>
    <row r="7" spans="1:26" ht="12.75">
      <c r="A7" s="3" t="str">
        <f ca="1">IFERROR(__xludf.UNSUPPORTED("""COMPUTED_VALUE"""),"baac6cb9")</f>
        <v>baac6cb9</v>
      </c>
      <c r="B7" s="4">
        <f ca="1">IFERROR(__xludf.UNSUPPORTED("""COMPUTED_VALUE"""),44890.2485648148)</f>
        <v>44890.248564814799</v>
      </c>
      <c r="C7" s="7" t="str">
        <f ca="1">IFERROR(__xludf.UNSUPPORTED("""COMPUTED_VALUE"""),"Angra dos Reis")</f>
        <v>Angra dos Reis</v>
      </c>
      <c r="D7" s="3" t="str">
        <f ca="1">IFERROR(__xludf.UNSUPPORTED("""COMPUTED_VALUE"""),"🚢 REGULAR")</f>
        <v>🚢 REGULAR</v>
      </c>
      <c r="E7" s="3" t="str">
        <f ca="1">IFERROR(__xludf.UNSUPPORTED("""COMPUTED_VALUE"""),"🚛 LIBERADO")</f>
        <v>🚛 LIBERADO</v>
      </c>
      <c r="F7" s="5">
        <f ca="1">IFERROR(__xludf.UNSUPPORTED("""COMPUTED_VALUE"""),0)</f>
        <v>0</v>
      </c>
      <c r="G7" s="3" t="str">
        <f ca="1">IFERROR(__xludf.UNSUPPORTED("""COMPUTED_VALUE"""),"Situação Normal")</f>
        <v>Situação Normal</v>
      </c>
      <c r="H7" s="4">
        <f ca="1">IFERROR(__xludf.UNSUPPORTED("""COMPUTED_VALUE"""),44890.2485648148)</f>
        <v>44890.248564814799</v>
      </c>
      <c r="I7" s="3">
        <f ca="1">IFERROR(__xludf.UNSUPPORTED("""COMPUTED_VALUE"""),24)</f>
        <v>24</v>
      </c>
      <c r="J7" s="4">
        <f ca="1">IFERROR(__xludf.UNSUPPORTED("""COMPUTED_VALUE"""),44891.2485648148)</f>
        <v>44891.248564814799</v>
      </c>
    </row>
    <row r="8" spans="1:26" ht="12.75">
      <c r="A8" s="3" t="str">
        <f ca="1">IFERROR(__xludf.UNSUPPORTED("""COMPUTED_VALUE"""),"faf759da")</f>
        <v>faf759da</v>
      </c>
      <c r="B8" s="4">
        <f ca="1">IFERROR(__xludf.UNSUPPORTED("""COMPUTED_VALUE"""),44893.4007291666)</f>
        <v>44893.400729166598</v>
      </c>
      <c r="C8" s="8" t="str">
        <f ca="1">IFERROR(__xludf.UNSUPPORTED("""COMPUTED_VALUE"""),"Angra dos Reis")</f>
        <v>Angra dos Reis</v>
      </c>
      <c r="D8" s="3" t="str">
        <f ca="1">IFERROR(__xludf.UNSUPPORTED("""COMPUTED_VALUE"""),"🚢 REGULAR")</f>
        <v>🚢 REGULAR</v>
      </c>
      <c r="E8" s="3" t="str">
        <f ca="1">IFERROR(__xludf.UNSUPPORTED("""COMPUTED_VALUE"""),"🚛 LIBERADO")</f>
        <v>🚛 LIBERADO</v>
      </c>
      <c r="F8" s="5">
        <f ca="1">IFERROR(__xludf.UNSUPPORTED("""COMPUTED_VALUE"""),0)</f>
        <v>0</v>
      </c>
      <c r="G8" s="3" t="str">
        <f ca="1">IFERROR(__xludf.UNSUPPORTED("""COMPUTED_VALUE"""),"Situação normal")</f>
        <v>Situação normal</v>
      </c>
      <c r="H8" s="4">
        <f ca="1">IFERROR(__xludf.UNSUPPORTED("""COMPUTED_VALUE"""),44893.4007291666)</f>
        <v>44893.400729166598</v>
      </c>
      <c r="I8" s="3">
        <f ca="1">IFERROR(__xludf.UNSUPPORTED("""COMPUTED_VALUE"""),24)</f>
        <v>24</v>
      </c>
      <c r="J8" s="4">
        <f ca="1">IFERROR(__xludf.UNSUPPORTED("""COMPUTED_VALUE"""),44894.4007291666)</f>
        <v>44894.400729166598</v>
      </c>
    </row>
    <row r="9" spans="1:26" ht="12.75">
      <c r="A9" s="3" t="str">
        <f ca="1">IFERROR(__xludf.UNSUPPORTED("""COMPUTED_VALUE"""),"84d1462d")</f>
        <v>84d1462d</v>
      </c>
      <c r="B9" s="4">
        <f ca="1">IFERROR(__xludf.UNSUPPORTED("""COMPUTED_VALUE"""),44894.4247337962)</f>
        <v>44894.424733796201</v>
      </c>
      <c r="C9" s="7" t="str">
        <f ca="1">IFERROR(__xludf.UNSUPPORTED("""COMPUTED_VALUE"""),"Angra dos Reis")</f>
        <v>Angra dos Reis</v>
      </c>
      <c r="D9" s="3" t="str">
        <f ca="1">IFERROR(__xludf.UNSUPPORTED("""COMPUTED_VALUE"""),"🚢 REGULAR")</f>
        <v>🚢 REGULAR</v>
      </c>
      <c r="E9" s="3" t="str">
        <f ca="1">IFERROR(__xludf.UNSUPPORTED("""COMPUTED_VALUE"""),"🚛 LIBERADO")</f>
        <v>🚛 LIBERADO</v>
      </c>
      <c r="F9" s="5">
        <f ca="1">IFERROR(__xludf.UNSUPPORTED("""COMPUTED_VALUE"""),0)</f>
        <v>0</v>
      </c>
      <c r="G9" s="3" t="str">
        <f ca="1">IFERROR(__xludf.UNSUPPORTED("""COMPUTED_VALUE"""),"Situação normal")</f>
        <v>Situação normal</v>
      </c>
      <c r="H9" s="4">
        <f ca="1">IFERROR(__xludf.UNSUPPORTED("""COMPUTED_VALUE"""),44894.4247337962)</f>
        <v>44894.424733796201</v>
      </c>
      <c r="I9" s="3">
        <f ca="1">IFERROR(__xludf.UNSUPPORTED("""COMPUTED_VALUE"""),24)</f>
        <v>24</v>
      </c>
      <c r="J9" s="4">
        <f ca="1">IFERROR(__xludf.UNSUPPORTED("""COMPUTED_VALUE"""),44895.4247337962)</f>
        <v>44895.424733796201</v>
      </c>
    </row>
    <row r="10" spans="1:26" ht="12.75">
      <c r="A10" s="3" t="str">
        <f ca="1">IFERROR(__xludf.UNSUPPORTED("""COMPUTED_VALUE"""),"2c219336")</f>
        <v>2c219336</v>
      </c>
      <c r="B10" s="4">
        <f ca="1">IFERROR(__xludf.UNSUPPORTED("""COMPUTED_VALUE"""),44895.3870717592)</f>
        <v>44895.3870717592</v>
      </c>
      <c r="C10" s="7" t="str">
        <f ca="1">IFERROR(__xludf.UNSUPPORTED("""COMPUTED_VALUE"""),"Angra dos Reis")</f>
        <v>Angra dos Reis</v>
      </c>
      <c r="D10" s="3" t="str">
        <f ca="1">IFERROR(__xludf.UNSUPPORTED("""COMPUTED_VALUE"""),"🚢 REGULAR")</f>
        <v>🚢 REGULAR</v>
      </c>
      <c r="E10" s="3" t="str">
        <f ca="1">IFERROR(__xludf.UNSUPPORTED("""COMPUTED_VALUE"""),"🚛 LIBERADO")</f>
        <v>🚛 LIBERADO</v>
      </c>
      <c r="F10" s="5">
        <f ca="1">IFERROR(__xludf.UNSUPPORTED("""COMPUTED_VALUE"""),0)</f>
        <v>0</v>
      </c>
      <c r="G10" s="3" t="str">
        <f ca="1">IFERROR(__xludf.UNSUPPORTED("""COMPUTED_VALUE"""),"Situação normal")</f>
        <v>Situação normal</v>
      </c>
      <c r="H10" s="4">
        <f ca="1">IFERROR(__xludf.UNSUPPORTED("""COMPUTED_VALUE"""),44896.3405439814)</f>
        <v>44896.340543981401</v>
      </c>
      <c r="I10" s="3">
        <f ca="1">IFERROR(__xludf.UNSUPPORTED("""COMPUTED_VALUE"""),24)</f>
        <v>24</v>
      </c>
      <c r="J10" s="4">
        <f ca="1">IFERROR(__xludf.UNSUPPORTED("""COMPUTED_VALUE"""),44897.3405439814)</f>
        <v>44897.340543981401</v>
      </c>
    </row>
    <row r="11" spans="1:26" ht="12.75">
      <c r="A11" s="3" t="str">
        <f ca="1">IFERROR(__xludf.UNSUPPORTED("""COMPUTED_VALUE"""),"f30e0a1c")</f>
        <v>f30e0a1c</v>
      </c>
      <c r="B11" s="4">
        <f ca="1">IFERROR(__xludf.UNSUPPORTED("""COMPUTED_VALUE"""),44897.3172337963)</f>
        <v>44897.317233796297</v>
      </c>
      <c r="C11" s="8" t="str">
        <f ca="1">IFERROR(__xludf.UNSUPPORTED("""COMPUTED_VALUE"""),"Angra dos Reis")</f>
        <v>Angra dos Reis</v>
      </c>
      <c r="D11" s="3" t="str">
        <f ca="1">IFERROR(__xludf.UNSUPPORTED("""COMPUTED_VALUE"""),"🚢 REGULAR")</f>
        <v>🚢 REGULAR</v>
      </c>
      <c r="E11" s="3" t="str">
        <f ca="1">IFERROR(__xludf.UNSUPPORTED("""COMPUTED_VALUE"""),"🚛 LIBERADO")</f>
        <v>🚛 LIBERADO</v>
      </c>
      <c r="F11" s="5">
        <f ca="1">IFERROR(__xludf.UNSUPPORTED("""COMPUTED_VALUE"""),0)</f>
        <v>0</v>
      </c>
      <c r="G11" s="3" t="str">
        <f ca="1">IFERROR(__xludf.UNSUPPORTED("""COMPUTED_VALUE"""),"Situação normal")</f>
        <v>Situação normal</v>
      </c>
      <c r="H11" s="4">
        <f ca="1">IFERROR(__xludf.UNSUPPORTED("""COMPUTED_VALUE"""),44897.3172337963)</f>
        <v>44897.317233796297</v>
      </c>
      <c r="I11" s="3">
        <f ca="1">IFERROR(__xludf.UNSUPPORTED("""COMPUTED_VALUE"""),24)</f>
        <v>24</v>
      </c>
      <c r="J11" s="4">
        <f ca="1">IFERROR(__xludf.UNSUPPORTED("""COMPUTED_VALUE"""),44898.3172337963)</f>
        <v>44898.317233796297</v>
      </c>
    </row>
    <row r="12" spans="1:26" ht="12.75">
      <c r="A12" s="3" t="str">
        <f ca="1">IFERROR(__xludf.UNSUPPORTED("""COMPUTED_VALUE"""),"c990cf93")</f>
        <v>c990cf93</v>
      </c>
      <c r="B12" s="4">
        <f ca="1">IFERROR(__xludf.UNSUPPORTED("""COMPUTED_VALUE"""),44900.4072800925)</f>
        <v>44900.407280092499</v>
      </c>
      <c r="C12" s="7" t="str">
        <f ca="1">IFERROR(__xludf.UNSUPPORTED("""COMPUTED_VALUE"""),"Angra dos Reis")</f>
        <v>Angra dos Reis</v>
      </c>
      <c r="D12" s="3" t="str">
        <f ca="1">IFERROR(__xludf.UNSUPPORTED("""COMPUTED_VALUE"""),"🚢 REGULAR")</f>
        <v>🚢 REGULAR</v>
      </c>
      <c r="E12" s="3" t="str">
        <f ca="1">IFERROR(__xludf.UNSUPPORTED("""COMPUTED_VALUE"""),"🚛 LIBERADO")</f>
        <v>🚛 LIBERADO</v>
      </c>
      <c r="F12" s="5">
        <f ca="1">IFERROR(__xludf.UNSUPPORTED("""COMPUTED_VALUE"""),0)</f>
        <v>0</v>
      </c>
      <c r="G12" s="3" t="str">
        <f ca="1">IFERROR(__xludf.UNSUPPORTED("""COMPUTED_VALUE"""),"Situação normal")</f>
        <v>Situação normal</v>
      </c>
      <c r="H12" s="4">
        <f ca="1">IFERROR(__xludf.UNSUPPORTED("""COMPUTED_VALUE"""),44900.4072800925)</f>
        <v>44900.407280092499</v>
      </c>
      <c r="I12" s="3">
        <f ca="1">IFERROR(__xludf.UNSUPPORTED("""COMPUTED_VALUE"""),24)</f>
        <v>24</v>
      </c>
      <c r="J12" s="4">
        <f ca="1">IFERROR(__xludf.UNSUPPORTED("""COMPUTED_VALUE"""),44901.4072800925)</f>
        <v>44901.407280092499</v>
      </c>
    </row>
    <row r="13" spans="1:26" ht="12.75">
      <c r="A13" s="3" t="str">
        <f ca="1">IFERROR(__xludf.UNSUPPORTED("""COMPUTED_VALUE"""),"89b61b6a")</f>
        <v>89b61b6a</v>
      </c>
      <c r="B13" s="4">
        <f ca="1">IFERROR(__xludf.UNSUPPORTED("""COMPUTED_VALUE"""),44901.4171527777)</f>
        <v>44901.4171527777</v>
      </c>
      <c r="C13" s="7" t="str">
        <f ca="1">IFERROR(__xludf.UNSUPPORTED("""COMPUTED_VALUE"""),"Angra dos Reis")</f>
        <v>Angra dos Reis</v>
      </c>
      <c r="D13" s="3" t="str">
        <f ca="1">IFERROR(__xludf.UNSUPPORTED("""COMPUTED_VALUE"""),"🚢 REGULAR")</f>
        <v>🚢 REGULAR</v>
      </c>
      <c r="E13" s="3" t="str">
        <f ca="1">IFERROR(__xludf.UNSUPPORTED("""COMPUTED_VALUE"""),"🚛 LIBERADO")</f>
        <v>🚛 LIBERADO</v>
      </c>
      <c r="F13" s="5">
        <f ca="1">IFERROR(__xludf.UNSUPPORTED("""COMPUTED_VALUE"""),0)</f>
        <v>0</v>
      </c>
      <c r="G13" s="3" t="str">
        <f ca="1">IFERROR(__xludf.UNSUPPORTED("""COMPUTED_VALUE"""),"Situação Normal")</f>
        <v>Situação Normal</v>
      </c>
      <c r="H13" s="4">
        <f ca="1">IFERROR(__xludf.UNSUPPORTED("""COMPUTED_VALUE"""),44903.2921527777)</f>
        <v>44903.2921527777</v>
      </c>
      <c r="I13" s="3">
        <f ca="1">IFERROR(__xludf.UNSUPPORTED("""COMPUTED_VALUE"""),24)</f>
        <v>24</v>
      </c>
      <c r="J13" s="4">
        <f ca="1">IFERROR(__xludf.UNSUPPORTED("""COMPUTED_VALUE"""),44904.2921527777)</f>
        <v>44904.2921527777</v>
      </c>
    </row>
    <row r="14" spans="1:26" ht="12.75">
      <c r="A14" s="3" t="str">
        <f ca="1">IFERROR(__xludf.UNSUPPORTED("""COMPUTED_VALUE"""),"493371f1")</f>
        <v>493371f1</v>
      </c>
      <c r="B14" s="4">
        <f ca="1">IFERROR(__xludf.UNSUPPORTED("""COMPUTED_VALUE"""),44907.5064583333)</f>
        <v>44907.506458333301</v>
      </c>
      <c r="C14" s="7" t="str">
        <f ca="1">IFERROR(__xludf.UNSUPPORTED("""COMPUTED_VALUE"""),"Angra dos Reis")</f>
        <v>Angra dos Reis</v>
      </c>
      <c r="D14" s="3" t="str">
        <f ca="1">IFERROR(__xludf.UNSUPPORTED("""COMPUTED_VALUE"""),"🚢 REGULAR")</f>
        <v>🚢 REGULAR</v>
      </c>
      <c r="E14" s="3" t="str">
        <f ca="1">IFERROR(__xludf.UNSUPPORTED("""COMPUTED_VALUE"""),"🚛 LIBERADO")</f>
        <v>🚛 LIBERADO</v>
      </c>
      <c r="F14" s="5">
        <f ca="1">IFERROR(__xludf.UNSUPPORTED("""COMPUTED_VALUE"""),0)</f>
        <v>0</v>
      </c>
      <c r="G14" s="3" t="str">
        <f ca="1">IFERROR(__xludf.UNSUPPORTED("""COMPUTED_VALUE"""),"Situação normal")</f>
        <v>Situação normal</v>
      </c>
      <c r="H14" s="4">
        <f ca="1">IFERROR(__xludf.UNSUPPORTED("""COMPUTED_VALUE"""),44907.4166666666)</f>
        <v>44907.416666666599</v>
      </c>
      <c r="I14" s="3">
        <f ca="1">IFERROR(__xludf.UNSUPPORTED("""COMPUTED_VALUE"""),24)</f>
        <v>24</v>
      </c>
      <c r="J14" s="4">
        <f ca="1">IFERROR(__xludf.UNSUPPORTED("""COMPUTED_VALUE"""),44908.4166666666)</f>
        <v>44908.416666666599</v>
      </c>
    </row>
    <row r="15" spans="1:26" ht="12.75">
      <c r="A15" s="3" t="str">
        <f ca="1">IFERROR(__xludf.UNSUPPORTED("""COMPUTED_VALUE"""),"ee73ace9")</f>
        <v>ee73ace9</v>
      </c>
      <c r="B15" s="4">
        <f ca="1">IFERROR(__xludf.UNSUPPORTED("""COMPUTED_VALUE"""),44928.3856828703)</f>
        <v>44928.385682870299</v>
      </c>
      <c r="C15" s="8" t="str">
        <f ca="1">IFERROR(__xludf.UNSUPPORTED("""COMPUTED_VALUE"""),"Angra dos Reis")</f>
        <v>Angra dos Reis</v>
      </c>
      <c r="D15" s="3" t="str">
        <f ca="1">IFERROR(__xludf.UNSUPPORTED("""COMPUTED_VALUE"""),"🚢 REGULAR")</f>
        <v>🚢 REGULAR</v>
      </c>
      <c r="E15" s="3" t="str">
        <f ca="1">IFERROR(__xludf.UNSUPPORTED("""COMPUTED_VALUE"""),"🚛 LIBERADO")</f>
        <v>🚛 LIBERADO</v>
      </c>
      <c r="F15" s="5">
        <f ca="1">IFERROR(__xludf.UNSUPPORTED("""COMPUTED_VALUE"""),0)</f>
        <v>0</v>
      </c>
      <c r="G15" s="3" t="str">
        <f ca="1">IFERROR(__xludf.UNSUPPORTED("""COMPUTED_VALUE"""),"Situação Normal")</f>
        <v>Situação Normal</v>
      </c>
      <c r="H15" s="4">
        <f ca="1">IFERROR(__xludf.UNSUPPORTED("""COMPUTED_VALUE"""),44928.3856828703)</f>
        <v>44928.385682870299</v>
      </c>
      <c r="I15" s="3">
        <f ca="1">IFERROR(__xludf.UNSUPPORTED("""COMPUTED_VALUE"""),24)</f>
        <v>24</v>
      </c>
      <c r="J15" s="4">
        <f ca="1">IFERROR(__xludf.UNSUPPORTED("""COMPUTED_VALUE"""),44929.3856828703)</f>
        <v>44929.385682870299</v>
      </c>
    </row>
    <row r="16" spans="1:26" ht="12.75">
      <c r="A16" s="3" t="str">
        <f ca="1">IFERROR(__xludf.UNSUPPORTED("""COMPUTED_VALUE"""),"5362ac38")</f>
        <v>5362ac38</v>
      </c>
      <c r="B16" s="4">
        <f ca="1">IFERROR(__xludf.UNSUPPORTED("""COMPUTED_VALUE"""),44935.5000231481)</f>
        <v>44935.500023148103</v>
      </c>
      <c r="C16" s="8" t="str">
        <f ca="1">IFERROR(__xludf.UNSUPPORTED("""COMPUTED_VALUE"""),"Angra dos Reis")</f>
        <v>Angra dos Reis</v>
      </c>
      <c r="D16" s="3" t="str">
        <f ca="1">IFERROR(__xludf.UNSUPPORTED("""COMPUTED_VALUE"""),"🚢 REGULAR")</f>
        <v>🚢 REGULAR</v>
      </c>
      <c r="E16" s="3" t="str">
        <f ca="1">IFERROR(__xludf.UNSUPPORTED("""COMPUTED_VALUE"""),"🚛 LIBERADO")</f>
        <v>🚛 LIBERADO</v>
      </c>
      <c r="F16" s="5">
        <f ca="1">IFERROR(__xludf.UNSUPPORTED("""COMPUTED_VALUE"""),0)</f>
        <v>0</v>
      </c>
      <c r="G16" s="3" t="str">
        <f ca="1">IFERROR(__xludf.UNSUPPORTED("""COMPUTED_VALUE"""),"Normalidade")</f>
        <v>Normalidade</v>
      </c>
      <c r="H16" s="4">
        <f ca="1">IFERROR(__xludf.UNSUPPORTED("""COMPUTED_VALUE"""),44935.5000231481)</f>
        <v>44935.500023148103</v>
      </c>
      <c r="I16" s="3">
        <f ca="1">IFERROR(__xludf.UNSUPPORTED("""COMPUTED_VALUE"""),24)</f>
        <v>24</v>
      </c>
      <c r="J16" s="4">
        <f ca="1">IFERROR(__xludf.UNSUPPORTED("""COMPUTED_VALUE"""),44936.5000231481)</f>
        <v>44936.500023148103</v>
      </c>
      <c r="L16" s="3" t="str">
        <f ca="1">IFERROR(__xludf.UNSUPPORTED("""COMPUTED_VALUE"""),"Normalidade")</f>
        <v>Normalidade</v>
      </c>
    </row>
    <row r="17" spans="1:12" ht="12.75">
      <c r="A17" s="3" t="str">
        <f ca="1">IFERROR(__xludf.UNSUPPORTED("""COMPUTED_VALUE"""),"8227364e")</f>
        <v>8227364e</v>
      </c>
      <c r="B17" s="4">
        <f ca="1">IFERROR(__xludf.UNSUPPORTED("""COMPUTED_VALUE"""),45120.6362268518)</f>
        <v>45120.636226851799</v>
      </c>
      <c r="C17" s="8" t="str">
        <f ca="1">IFERROR(__xludf.UNSUPPORTED("""COMPUTED_VALUE"""),"Angra dos Reis")</f>
        <v>Angra dos Reis</v>
      </c>
      <c r="D17" s="3" t="str">
        <f ca="1">IFERROR(__xludf.UNSUPPORTED("""COMPUTED_VALUE"""),"🚢 REGULAR")</f>
        <v>🚢 REGULAR</v>
      </c>
      <c r="E17" s="3" t="str">
        <f ca="1">IFERROR(__xludf.UNSUPPORTED("""COMPUTED_VALUE"""),"🚛 LIBERADO")</f>
        <v>🚛 LIBERADO</v>
      </c>
      <c r="F17" s="5">
        <f ca="1">IFERROR(__xludf.UNSUPPORTED("""COMPUTED_VALUE"""),0)</f>
        <v>0</v>
      </c>
      <c r="G17" s="3" t="str">
        <f ca="1">IFERROR(__xludf.UNSUPPORTED("""COMPUTED_VALUE"""),"Normalidade")</f>
        <v>Normalidade</v>
      </c>
      <c r="H17" s="4">
        <f ca="1">IFERROR(__xludf.UNSUPPORTED("""COMPUTED_VALUE"""),45120.6362268518)</f>
        <v>45120.636226851799</v>
      </c>
      <c r="I17" s="3">
        <f ca="1">IFERROR(__xludf.UNSUPPORTED("""COMPUTED_VALUE"""),24)</f>
        <v>24</v>
      </c>
      <c r="J17" s="4">
        <f ca="1">IFERROR(__xludf.UNSUPPORTED("""COMPUTED_VALUE"""),45121.6362268518)</f>
        <v>45121.636226851799</v>
      </c>
      <c r="L17" s="3" t="str">
        <f ca="1">IFERROR(__xludf.UNSUPPORTED("""COMPUTED_VALUE"""),"Normalidade")</f>
        <v>Normalidade</v>
      </c>
    </row>
    <row r="18" spans="1:12" ht="12.75">
      <c r="A18" s="3" t="str">
        <f ca="1">IFERROR(__xludf.UNSUPPORTED("""COMPUTED_VALUE"""),"ksACNyBu")</f>
        <v>ksACNyBu</v>
      </c>
      <c r="B18" s="4">
        <f ca="1">IFERROR(__xludf.UNSUPPORTED("""COMPUTED_VALUE"""),44589.5)</f>
        <v>44589.5</v>
      </c>
      <c r="C18" s="7" t="str">
        <f ca="1">IFERROR(__xludf.UNSUPPORTED("""COMPUTED_VALUE"""),"Antonina")</f>
        <v>Antonina</v>
      </c>
      <c r="D18" s="3" t="str">
        <f ca="1">IFERROR(__xludf.UNSUPPORTED("""COMPUTED_VALUE"""),"🚢 REGULAR")</f>
        <v>🚢 REGULAR</v>
      </c>
      <c r="E18" s="3" t="str">
        <f ca="1">IFERROR(__xludf.UNSUPPORTED("""COMPUTED_VALUE"""),"🚛 LIBERADO")</f>
        <v>🚛 LIBERADO</v>
      </c>
      <c r="F18" s="5">
        <f ca="1">IFERROR(__xludf.UNSUPPORTED("""COMPUTED_VALUE"""),0)</f>
        <v>0</v>
      </c>
      <c r="G18" s="3" t="str">
        <f ca="1">IFERROR(__xludf.UNSUPPORTED("""COMPUTED_VALUE"""),"Normal. Nem faixas foram fixadas ou estão sendo estendidas nos portões de acesso, por enquanto.")</f>
        <v>Normal. Nem faixas foram fixadas ou estão sendo estendidas nos portões de acesso, por enquanto.</v>
      </c>
      <c r="H18" s="4">
        <f ca="1">IFERROR(__xludf.UNSUPPORTED("""COMPUTED_VALUE"""),44589.3381944444)</f>
        <v>44589.338194444397</v>
      </c>
      <c r="I18" s="3">
        <f ca="1">IFERROR(__xludf.UNSUPPORTED("""COMPUTED_VALUE"""),3)</f>
        <v>3</v>
      </c>
      <c r="J18" s="4">
        <f ca="1">IFERROR(__xludf.UNSUPPORTED("""COMPUTED_VALUE"""),44589.4631944444)</f>
        <v>44589.463194444397</v>
      </c>
    </row>
    <row r="19" spans="1:12" ht="12.75">
      <c r="A19" s="3" t="str">
        <f ca="1">IFERROR(__xludf.UNSUPPORTED("""COMPUTED_VALUE"""),"ebb14d45")</f>
        <v>ebb14d45</v>
      </c>
      <c r="B19" s="4">
        <f ca="1">IFERROR(__xludf.UNSUPPORTED("""COMPUTED_VALUE"""),44866.4037152777)</f>
        <v>44866.403715277702</v>
      </c>
      <c r="C19" s="7" t="str">
        <f ca="1">IFERROR(__xludf.UNSUPPORTED("""COMPUTED_VALUE"""),"Antonina")</f>
        <v>Antonina</v>
      </c>
      <c r="D19" s="3" t="str">
        <f ca="1">IFERROR(__xludf.UNSUPPORTED("""COMPUTED_VALUE"""),"⚠️ COM ATRASOS")</f>
        <v>⚠️ COM ATRASOS</v>
      </c>
      <c r="E19" s="3" t="str">
        <f ca="1">IFERROR(__xludf.UNSUPPORTED("""COMPUTED_VALUE"""),"⚠️ PARCIALMENTE BLOQUEADO")</f>
        <v>⚠️ PARCIALMENTE BLOQUEADO</v>
      </c>
      <c r="F19" s="5">
        <f ca="1">IFERROR(__xludf.UNSUPPORTED("""COMPUTED_VALUE"""),0.5)</f>
        <v>0.5</v>
      </c>
      <c r="G19" s="3" t="str">
        <f ca="1">IFERROR(__xludf.UNSUPPORTED("""COMPUTED_VALUE"""),"Não há bloqueios de acesso direto ao porto, mas impedimento de recebimento de cargas em trânsito.
TErminal operando com cargas que já estavam no porto.")</f>
        <v>Não há bloqueios de acesso direto ao porto, mas impedimento de recebimento de cargas em trânsito.
TErminal operando com cargas que já estavam no porto.</v>
      </c>
      <c r="H19" s="4">
        <f ca="1">IFERROR(__xludf.UNSUPPORTED("""COMPUTED_VALUE"""),44867.4037152777)</f>
        <v>44867.403715277702</v>
      </c>
      <c r="I19" s="3">
        <f ca="1">IFERROR(__xludf.UNSUPPORTED("""COMPUTED_VALUE"""),24)</f>
        <v>24</v>
      </c>
      <c r="J19" s="4">
        <f ca="1">IFERROR(__xludf.UNSUPPORTED("""COMPUTED_VALUE"""),44868.4037152777)</f>
        <v>44868.403715277702</v>
      </c>
    </row>
    <row r="20" spans="1:12" ht="12.75">
      <c r="A20" s="3" t="str">
        <f ca="1">IFERROR(__xludf.UNSUPPORTED("""COMPUTED_VALUE"""),"55ca7817")</f>
        <v>55ca7817</v>
      </c>
      <c r="B20" s="4">
        <f ca="1">IFERROR(__xludf.UNSUPPORTED("""COMPUTED_VALUE"""),44868.3396643518)</f>
        <v>44868.339664351799</v>
      </c>
      <c r="C20" s="8" t="str">
        <f ca="1">IFERROR(__xludf.UNSUPPORTED("""COMPUTED_VALUE"""),"Antonina")</f>
        <v>Antonina</v>
      </c>
      <c r="D20" s="3" t="str">
        <f ca="1">IFERROR(__xludf.UNSUPPORTED("""COMPUTED_VALUE"""),"🚢 REGULAR")</f>
        <v>🚢 REGULAR</v>
      </c>
      <c r="E20" s="3" t="str">
        <f ca="1">IFERROR(__xludf.UNSUPPORTED("""COMPUTED_VALUE"""),"🚛 LIBERADO")</f>
        <v>🚛 LIBERADO</v>
      </c>
      <c r="F20" s="5">
        <f ca="1">IFERROR(__xludf.UNSUPPORTED("""COMPUTED_VALUE"""),0)</f>
        <v>0</v>
      </c>
      <c r="G20" s="3" t="str">
        <f ca="1">IFERROR(__xludf.UNSUPPORTED("""COMPUTED_VALUE"""),"PR-408 liberada.")</f>
        <v>PR-408 liberada.</v>
      </c>
      <c r="H20" s="4">
        <f ca="1">IFERROR(__xludf.UNSUPPORTED("""COMPUTED_VALUE"""),44871.6716087963)</f>
        <v>44871.6716087963</v>
      </c>
      <c r="I20" s="3">
        <f ca="1">IFERROR(__xludf.UNSUPPORTED("""COMPUTED_VALUE"""),24)</f>
        <v>24</v>
      </c>
      <c r="J20" s="4">
        <f ca="1">IFERROR(__xludf.UNSUPPORTED("""COMPUTED_VALUE"""),44872.6716087963)</f>
        <v>44872.6716087963</v>
      </c>
    </row>
    <row r="21" spans="1:12" ht="12.75">
      <c r="A21" s="3" t="str">
        <f ca="1">IFERROR(__xludf.UNSUPPORTED("""COMPUTED_VALUE"""),"b5098520")</f>
        <v>b5098520</v>
      </c>
      <c r="B21" s="4">
        <f ca="1">IFERROR(__xludf.UNSUPPORTED("""COMPUTED_VALUE"""),44873.3759027777)</f>
        <v>44873.375902777698</v>
      </c>
      <c r="C21" s="7" t="str">
        <f ca="1">IFERROR(__xludf.UNSUPPORTED("""COMPUTED_VALUE"""),"Antonina")</f>
        <v>Antonina</v>
      </c>
      <c r="D21" s="3" t="str">
        <f ca="1">IFERROR(__xludf.UNSUPPORTED("""COMPUTED_VALUE"""),"🚢 REGULAR")</f>
        <v>🚢 REGULAR</v>
      </c>
      <c r="E21" s="3" t="str">
        <f ca="1">IFERROR(__xludf.UNSUPPORTED("""COMPUTED_VALUE"""),"🚛 LIBERADO")</f>
        <v>🚛 LIBERADO</v>
      </c>
      <c r="F21" s="5">
        <f ca="1">IFERROR(__xludf.UNSUPPORTED("""COMPUTED_VALUE"""),0)</f>
        <v>0</v>
      </c>
      <c r="G21" s="3" t="str">
        <f ca="1">IFERROR(__xludf.UNSUPPORTED("""COMPUTED_VALUE"""),"Apenas trecho de atenção na BR-277 em decorrência de queda de barreiras, mas sem interrupção de fluxo.")</f>
        <v>Apenas trecho de atenção na BR-277 em decorrência de queda de barreiras, mas sem interrupção de fluxo.</v>
      </c>
      <c r="H21" s="4">
        <f ca="1">IFERROR(__xludf.UNSUPPORTED("""COMPUTED_VALUE"""),44873.3759027777)</f>
        <v>44873.375902777698</v>
      </c>
      <c r="I21" s="3">
        <f ca="1">IFERROR(__xludf.UNSUPPORTED("""COMPUTED_VALUE"""),24)</f>
        <v>24</v>
      </c>
      <c r="J21" s="4">
        <f ca="1">IFERROR(__xludf.UNSUPPORTED("""COMPUTED_VALUE"""),44874.3759027777)</f>
        <v>44874.375902777698</v>
      </c>
    </row>
    <row r="22" spans="1:12" ht="12.75">
      <c r="A22" s="3" t="str">
        <f ca="1">IFERROR(__xludf.UNSUPPORTED("""COMPUTED_VALUE"""),"f5f72c51")</f>
        <v>f5f72c51</v>
      </c>
      <c r="B22" s="4">
        <f ca="1">IFERROR(__xludf.UNSUPPORTED("""COMPUTED_VALUE"""),44883.5878472222)</f>
        <v>44883.587847222203</v>
      </c>
      <c r="C22" s="7" t="str">
        <f ca="1">IFERROR(__xludf.UNSUPPORTED("""COMPUTED_VALUE"""),"Antonina")</f>
        <v>Antonina</v>
      </c>
      <c r="D22" s="3" t="str">
        <f ca="1">IFERROR(__xludf.UNSUPPORTED("""COMPUTED_VALUE"""),"🚢 REGULAR")</f>
        <v>🚢 REGULAR</v>
      </c>
      <c r="E22" s="3" t="str">
        <f ca="1">IFERROR(__xludf.UNSUPPORTED("""COMPUTED_VALUE"""),"🚛 LIBERADO")</f>
        <v>🚛 LIBERADO</v>
      </c>
      <c r="F22" s="5">
        <f ca="1">IFERROR(__xludf.UNSUPPORTED("""COMPUTED_VALUE"""),0)</f>
        <v>0</v>
      </c>
      <c r="G22" s="3" t="str">
        <f ca="1">IFERROR(__xludf.UNSUPPORTED("""COMPUTED_VALUE"""),"Sem paralizações por conta de manifestações. Trânsito em trecho da BR-277 está em meia pista nos dois sentidos por conta de deslizamento ocorrido em 14/10.")</f>
        <v>Sem paralizações por conta de manifestações. Trânsito em trecho da BR-277 está em meia pista nos dois sentidos por conta de deslizamento ocorrido em 14/10.</v>
      </c>
      <c r="H22" s="4">
        <f ca="1">IFERROR(__xludf.UNSUPPORTED("""COMPUTED_VALUE"""),44883.5878472222)</f>
        <v>44883.587847222203</v>
      </c>
      <c r="I22" s="3">
        <f ca="1">IFERROR(__xludf.UNSUPPORTED("""COMPUTED_VALUE"""),24)</f>
        <v>24</v>
      </c>
      <c r="J22" s="4">
        <f ca="1">IFERROR(__xludf.UNSUPPORTED("""COMPUTED_VALUE"""),44884.5878472222)</f>
        <v>44884.587847222203</v>
      </c>
    </row>
    <row r="23" spans="1:12" ht="12.75">
      <c r="A23" s="3" t="str">
        <f ca="1">IFERROR(__xludf.UNSUPPORTED("""COMPUTED_VALUE"""),"ab77d48a")</f>
        <v>ab77d48a</v>
      </c>
      <c r="B23" s="4">
        <f ca="1">IFERROR(__xludf.UNSUPPORTED("""COMPUTED_VALUE"""),44885.6436689814)</f>
        <v>44885.6436689814</v>
      </c>
      <c r="C23" s="8" t="str">
        <f ca="1">IFERROR(__xludf.UNSUPPORTED("""COMPUTED_VALUE"""),"Antonina")</f>
        <v>Antonina</v>
      </c>
      <c r="D23" s="3" t="str">
        <f ca="1">IFERROR(__xludf.UNSUPPORTED("""COMPUTED_VALUE"""),"🚢 REGULAR")</f>
        <v>🚢 REGULAR</v>
      </c>
      <c r="E23" s="3" t="str">
        <f ca="1">IFERROR(__xludf.UNSUPPORTED("""COMPUTED_VALUE"""),"🚛 LIBERADO")</f>
        <v>🚛 LIBERADO</v>
      </c>
      <c r="F23" s="5">
        <f ca="1">IFERROR(__xludf.UNSUPPORTED("""COMPUTED_VALUE"""),0)</f>
        <v>0</v>
      </c>
      <c r="G23" s="3" t="str">
        <f ca="1">IFERROR(__xludf.UNSUPPORTED("""COMPUTED_VALUE"""),"Sem restrições por conta de paralizações nas vias de acesso ao porto. Trânsito em trecho da BR-277 está em meia pista nos dois sentidos por conta de deslizamento ocorrido em 14/10.")</f>
        <v>Sem restrições por conta de paralizações nas vias de acesso ao porto. Trânsito em trecho da BR-277 está em meia pista nos dois sentidos por conta de deslizamento ocorrido em 14/10.</v>
      </c>
      <c r="H23" s="4">
        <f ca="1">IFERROR(__xludf.UNSUPPORTED("""COMPUTED_VALUE"""),44887.3450578703)</f>
        <v>44887.345057870298</v>
      </c>
      <c r="I23" s="3">
        <f ca="1">IFERROR(__xludf.UNSUPPORTED("""COMPUTED_VALUE"""),24)</f>
        <v>24</v>
      </c>
      <c r="J23" s="4">
        <f ca="1">IFERROR(__xludf.UNSUPPORTED("""COMPUTED_VALUE"""),44888.3450578703)</f>
        <v>44888.345057870298</v>
      </c>
    </row>
    <row r="24" spans="1:12" ht="12.75">
      <c r="A24" s="3" t="str">
        <f ca="1">IFERROR(__xludf.UNSUPPORTED("""COMPUTED_VALUE"""),"e8a079be")</f>
        <v>e8a079be</v>
      </c>
      <c r="B24" s="4">
        <f ca="1">IFERROR(__xludf.UNSUPPORTED("""COMPUTED_VALUE"""),44888.3580439814)</f>
        <v>44888.358043981403</v>
      </c>
      <c r="C24" s="8" t="str">
        <f ca="1">IFERROR(__xludf.UNSUPPORTED("""COMPUTED_VALUE"""),"Antonina")</f>
        <v>Antonina</v>
      </c>
      <c r="D24" s="3" t="str">
        <f ca="1">IFERROR(__xludf.UNSUPPORTED("""COMPUTED_VALUE"""),"🚢 REGULAR")</f>
        <v>🚢 REGULAR</v>
      </c>
      <c r="E24" s="3" t="str">
        <f ca="1">IFERROR(__xludf.UNSUPPORTED("""COMPUTED_VALUE"""),"🚛 LIBERADO")</f>
        <v>🚛 LIBERADO</v>
      </c>
      <c r="F24" s="5">
        <f ca="1">IFERROR(__xludf.UNSUPPORTED("""COMPUTED_VALUE"""),0)</f>
        <v>0</v>
      </c>
      <c r="G24" s="3" t="str">
        <f ca="1">IFERROR(__xludf.UNSUPPORTED("""COMPUTED_VALUE"""),"Sem restrições no acesso ao porto por conta de manifestações.")</f>
        <v>Sem restrições no acesso ao porto por conta de manifestações.</v>
      </c>
      <c r="H24" s="4">
        <f ca="1">IFERROR(__xludf.UNSUPPORTED("""COMPUTED_VALUE"""),44889.3580439814)</f>
        <v>44889.358043981403</v>
      </c>
      <c r="I24" s="3">
        <f ca="1">IFERROR(__xludf.UNSUPPORTED("""COMPUTED_VALUE"""),24)</f>
        <v>24</v>
      </c>
      <c r="J24" s="4">
        <f ca="1">IFERROR(__xludf.UNSUPPORTED("""COMPUTED_VALUE"""),44890.3580439814)</f>
        <v>44890.358043981403</v>
      </c>
    </row>
    <row r="25" spans="1:12" ht="12.75">
      <c r="A25" s="3" t="str">
        <f ca="1">IFERROR(__xludf.UNSUPPORTED("""COMPUTED_VALUE"""),"3832a039")</f>
        <v>3832a039</v>
      </c>
      <c r="B25" s="4">
        <f ca="1">IFERROR(__xludf.UNSUPPORTED("""COMPUTED_VALUE"""),44890.4495949074)</f>
        <v>44890.449594907397</v>
      </c>
      <c r="C25" s="7" t="str">
        <f ca="1">IFERROR(__xludf.UNSUPPORTED("""COMPUTED_VALUE"""),"Antonina")</f>
        <v>Antonina</v>
      </c>
      <c r="D25" s="3" t="str">
        <f ca="1">IFERROR(__xludf.UNSUPPORTED("""COMPUTED_VALUE"""),"🚢 REGULAR")</f>
        <v>🚢 REGULAR</v>
      </c>
      <c r="E25" s="3" t="str">
        <f ca="1">IFERROR(__xludf.UNSUPPORTED("""COMPUTED_VALUE"""),"🚛 LIBERADO")</f>
        <v>🚛 LIBERADO</v>
      </c>
      <c r="F25" s="5">
        <f ca="1">IFERROR(__xludf.UNSUPPORTED("""COMPUTED_VALUE"""),0)</f>
        <v>0</v>
      </c>
      <c r="G25" s="3" t="str">
        <f ca="1">IFERROR(__xludf.UNSUPPORTED("""COMPUTED_VALUE"""),"Sem restrições nas vias de acesso por conta de manifestações.")</f>
        <v>Sem restrições nas vias de acesso por conta de manifestações.</v>
      </c>
      <c r="H25" s="4">
        <f ca="1">IFERROR(__xludf.UNSUPPORTED("""COMPUTED_VALUE"""),44890.4495949074)</f>
        <v>44890.449594907397</v>
      </c>
      <c r="I25" s="3">
        <f ca="1">IFERROR(__xludf.UNSUPPORTED("""COMPUTED_VALUE"""),24)</f>
        <v>24</v>
      </c>
      <c r="J25" s="4">
        <f ca="1">IFERROR(__xludf.UNSUPPORTED("""COMPUTED_VALUE"""),44891.4495949074)</f>
        <v>44891.449594907397</v>
      </c>
    </row>
    <row r="26" spans="1:12" ht="12.75">
      <c r="A26" s="3" t="str">
        <f ca="1">IFERROR(__xludf.UNSUPPORTED("""COMPUTED_VALUE"""),"5cbdfc3f")</f>
        <v>5cbdfc3f</v>
      </c>
      <c r="B26" s="4">
        <f ca="1">IFERROR(__xludf.UNSUPPORTED("""COMPUTED_VALUE"""),44893.3780555555)</f>
        <v>44893.378055555499</v>
      </c>
      <c r="C26" s="7" t="str">
        <f ca="1">IFERROR(__xludf.UNSUPPORTED("""COMPUTED_VALUE"""),"Antonina")</f>
        <v>Antonina</v>
      </c>
      <c r="D26" s="3" t="str">
        <f ca="1">IFERROR(__xludf.UNSUPPORTED("""COMPUTED_VALUE"""),"🚢 REGULAR")</f>
        <v>🚢 REGULAR</v>
      </c>
      <c r="E26" s="3" t="str">
        <f ca="1">IFERROR(__xludf.UNSUPPORTED("""COMPUTED_VALUE"""),"⛔️ BLOQUEADO")</f>
        <v>⛔️ BLOQUEADO</v>
      </c>
      <c r="F26" s="5">
        <f ca="1">IFERROR(__xludf.UNSUPPORTED("""COMPUTED_VALUE"""),0.5)</f>
        <v>0.5</v>
      </c>
      <c r="G26" s="3" t="str">
        <f ca="1">IFERROR(__xludf.UNSUPPORTED("""COMPUTED_VALUE"""),"BR-277 bloqueada no sentido Paranaguá por conta de deslizamento de barreiras no KM 42.")</f>
        <v>BR-277 bloqueada no sentido Paranaguá por conta de deslizamento de barreiras no KM 42.</v>
      </c>
      <c r="H26" s="4">
        <f ca="1">IFERROR(__xludf.UNSUPPORTED("""COMPUTED_VALUE"""),44894.3106944444)</f>
        <v>44894.310694444401</v>
      </c>
      <c r="I26" s="3">
        <f ca="1">IFERROR(__xludf.UNSUPPORTED("""COMPUTED_VALUE"""),24)</f>
        <v>24</v>
      </c>
      <c r="J26" s="4">
        <f ca="1">IFERROR(__xludf.UNSUPPORTED("""COMPUTED_VALUE"""),44895.3106944444)</f>
        <v>44895.310694444401</v>
      </c>
    </row>
    <row r="27" spans="1:12" ht="12.75">
      <c r="A27" s="3" t="str">
        <f ca="1">IFERROR(__xludf.UNSUPPORTED("""COMPUTED_VALUE"""),"68770114")</f>
        <v>68770114</v>
      </c>
      <c r="B27" s="4">
        <f ca="1">IFERROR(__xludf.UNSUPPORTED("""COMPUTED_VALUE"""),44895.3628703703)</f>
        <v>44895.3628703703</v>
      </c>
      <c r="C27" s="8" t="str">
        <f ca="1">IFERROR(__xludf.UNSUPPORTED("""COMPUTED_VALUE"""),"Antonina")</f>
        <v>Antonina</v>
      </c>
      <c r="D27" s="3" t="str">
        <f ca="1">IFERROR(__xludf.UNSUPPORTED("""COMPUTED_VALUE"""),"🚢 REGULAR")</f>
        <v>🚢 REGULAR</v>
      </c>
      <c r="E27" s="3" t="str">
        <f ca="1">IFERROR(__xludf.UNSUPPORTED("""COMPUTED_VALUE"""),"⚠️ PARCIALMENTE BLOQUEADO")</f>
        <v>⚠️ PARCIALMENTE BLOQUEADO</v>
      </c>
      <c r="F27" s="5">
        <f ca="1">IFERROR(__xludf.UNSUPPORTED("""COMPUTED_VALUE"""),0.5)</f>
        <v>0.5</v>
      </c>
      <c r="G27" s="3" t="str">
        <f ca="1">IFERROR(__xludf.UNSUPPORTED("""COMPUTED_VALUE"""),"BR-277 em pista simples entre os km 42 e 39 no sentido litoral, ainda em decorrência de queda de barreiras.")</f>
        <v>BR-277 em pista simples entre os km 42 e 39 no sentido litoral, ainda em decorrência de queda de barreiras.</v>
      </c>
      <c r="H27" s="4">
        <f ca="1">IFERROR(__xludf.UNSUPPORTED("""COMPUTED_VALUE"""),44896.3475925925)</f>
        <v>44896.347592592501</v>
      </c>
      <c r="I27" s="3">
        <f ca="1">IFERROR(__xludf.UNSUPPORTED("""COMPUTED_VALUE"""),24)</f>
        <v>24</v>
      </c>
      <c r="J27" s="4">
        <f ca="1">IFERROR(__xludf.UNSUPPORTED("""COMPUTED_VALUE"""),44897.3475925925)</f>
        <v>44897.347592592501</v>
      </c>
    </row>
    <row r="28" spans="1:12" ht="12.75">
      <c r="A28" s="3" t="str">
        <f ca="1">IFERROR(__xludf.UNSUPPORTED("""COMPUTED_VALUE"""),"7543d7bb")</f>
        <v>7543d7bb</v>
      </c>
      <c r="B28" s="4">
        <f ca="1">IFERROR(__xludf.UNSUPPORTED("""COMPUTED_VALUE"""),44900.6058796296)</f>
        <v>44900.605879629598</v>
      </c>
      <c r="C28" s="7" t="str">
        <f ca="1">IFERROR(__xludf.UNSUPPORTED("""COMPUTED_VALUE"""),"Antonina")</f>
        <v>Antonina</v>
      </c>
      <c r="D28" s="3" t="str">
        <f ca="1">IFERROR(__xludf.UNSUPPORTED("""COMPUTED_VALUE"""),"🚢 REGULAR")</f>
        <v>🚢 REGULAR</v>
      </c>
      <c r="E28" s="3" t="str">
        <f ca="1">IFERROR(__xludf.UNSUPPORTED("""COMPUTED_VALUE"""),"⚠️ PARCIALMENTE BLOQUEADO")</f>
        <v>⚠️ PARCIALMENTE BLOQUEADO</v>
      </c>
      <c r="F28" s="5">
        <f ca="1">IFERROR(__xludf.UNSUPPORTED("""COMPUTED_VALUE"""),0)</f>
        <v>0</v>
      </c>
      <c r="G28" s="3" t="str">
        <f ca="1">IFERROR(__xludf.UNSUPPORTED("""COMPUTED_VALUE"""),"Sem restrições de acesso por conta de manifestações. Trecho em pista simples na BR-277 por conta de deslizamento de barreiras.")</f>
        <v>Sem restrições de acesso por conta de manifestações. Trecho em pista simples na BR-277 por conta de deslizamento de barreiras.</v>
      </c>
      <c r="H28" s="4">
        <f ca="1">IFERROR(__xludf.UNSUPPORTED("""COMPUTED_VALUE"""),44902.375324074)</f>
        <v>44902.375324073997</v>
      </c>
      <c r="I28" s="3">
        <f ca="1">IFERROR(__xludf.UNSUPPORTED("""COMPUTED_VALUE"""),24)</f>
        <v>24</v>
      </c>
      <c r="J28" s="4">
        <f ca="1">IFERROR(__xludf.UNSUPPORTED("""COMPUTED_VALUE"""),44903.375324074)</f>
        <v>44903.375324073997</v>
      </c>
    </row>
    <row r="29" spans="1:12" ht="12.75">
      <c r="A29" s="3" t="str">
        <f ca="1">IFERROR(__xludf.UNSUPPORTED("""COMPUTED_VALUE"""),"18c6d32f")</f>
        <v>18c6d32f</v>
      </c>
      <c r="B29" s="4">
        <f ca="1">IFERROR(__xludf.UNSUPPORTED("""COMPUTED_VALUE"""),44903.4146875)</f>
        <v>44903.414687500001</v>
      </c>
      <c r="C29" s="8" t="str">
        <f ca="1">IFERROR(__xludf.UNSUPPORTED("""COMPUTED_VALUE"""),"Antonina")</f>
        <v>Antonina</v>
      </c>
      <c r="D29" s="3" t="str">
        <f ca="1">IFERROR(__xludf.UNSUPPORTED("""COMPUTED_VALUE"""),"🚢 REGULAR")</f>
        <v>🚢 REGULAR</v>
      </c>
      <c r="E29" s="3" t="str">
        <f ca="1">IFERROR(__xludf.UNSUPPORTED("""COMPUTED_VALUE"""),"🚛 LIBERADO")</f>
        <v>🚛 LIBERADO</v>
      </c>
      <c r="F29" s="5">
        <f ca="1">IFERROR(__xludf.UNSUPPORTED("""COMPUTED_VALUE"""),0)</f>
        <v>0</v>
      </c>
      <c r="G29" s="3" t="str">
        <f ca="1">IFERROR(__xludf.UNSUPPORTED("""COMPUTED_VALUE"""),"Trânsito em pista simples em trecho curto da BR-277 por conta de deslizamento de barreiras.")</f>
        <v>Trânsito em pista simples em trecho curto da BR-277 por conta de deslizamento de barreiras.</v>
      </c>
      <c r="H29" s="4">
        <f ca="1">IFERROR(__xludf.UNSUPPORTED("""COMPUTED_VALUE"""),44903.4146875)</f>
        <v>44903.414687500001</v>
      </c>
      <c r="I29" s="3">
        <f ca="1">IFERROR(__xludf.UNSUPPORTED("""COMPUTED_VALUE"""),24)</f>
        <v>24</v>
      </c>
      <c r="J29" s="4">
        <f ca="1">IFERROR(__xludf.UNSUPPORTED("""COMPUTED_VALUE"""),44904.4146875)</f>
        <v>44904.414687500001</v>
      </c>
    </row>
    <row r="30" spans="1:12" ht="12.75">
      <c r="A30" s="3" t="str">
        <f ca="1">IFERROR(__xludf.UNSUPPORTED("""COMPUTED_VALUE"""),"a7d02e16")</f>
        <v>a7d02e16</v>
      </c>
      <c r="B30" s="4">
        <f ca="1">IFERROR(__xludf.UNSUPPORTED("""COMPUTED_VALUE"""),44907.4177546296)</f>
        <v>44907.417754629598</v>
      </c>
      <c r="C30" s="8" t="str">
        <f ca="1">IFERROR(__xludf.UNSUPPORTED("""COMPUTED_VALUE"""),"Antonina")</f>
        <v>Antonina</v>
      </c>
      <c r="D30" s="3" t="str">
        <f ca="1">IFERROR(__xludf.UNSUPPORTED("""COMPUTED_VALUE"""),"🚢 REGULAR")</f>
        <v>🚢 REGULAR</v>
      </c>
      <c r="E30" s="3" t="str">
        <f ca="1">IFERROR(__xludf.UNSUPPORTED("""COMPUTED_VALUE"""),"🚛 LIBERADO")</f>
        <v>🚛 LIBERADO</v>
      </c>
      <c r="F30" s="5">
        <f ca="1">IFERROR(__xludf.UNSUPPORTED("""COMPUTED_VALUE"""),0)</f>
        <v>0</v>
      </c>
      <c r="G30" s="3" t="str">
        <f ca="1">IFERROR(__xludf.UNSUPPORTED("""COMPUTED_VALUE"""),"Sem restrições em virtude de paralizações e/ou manifestações. Trecho em pista simples na BR-277 em virtude de queda de barreiras.")</f>
        <v>Sem restrições em virtude de paralizações e/ou manifestações. Trecho em pista simples na BR-277 em virtude de queda de barreiras.</v>
      </c>
      <c r="H30" s="4">
        <f ca="1">IFERROR(__xludf.UNSUPPORTED("""COMPUTED_VALUE"""),44908.3545601851)</f>
        <v>44908.3545601851</v>
      </c>
      <c r="I30" s="3">
        <f ca="1">IFERROR(__xludf.UNSUPPORTED("""COMPUTED_VALUE"""),24)</f>
        <v>24</v>
      </c>
      <c r="J30" s="4">
        <f ca="1">IFERROR(__xludf.UNSUPPORTED("""COMPUTED_VALUE"""),44909.3545601851)</f>
        <v>44909.3545601851</v>
      </c>
    </row>
    <row r="31" spans="1:12" ht="12.75">
      <c r="A31" s="3" t="str">
        <f ca="1">IFERROR(__xludf.UNSUPPORTED("""COMPUTED_VALUE"""),"82ccb1c4")</f>
        <v>82ccb1c4</v>
      </c>
      <c r="B31" s="4">
        <f ca="1">IFERROR(__xludf.UNSUPPORTED("""COMPUTED_VALUE"""),44909.4426504629)</f>
        <v>44909.442650462901</v>
      </c>
      <c r="C31" s="8" t="str">
        <f ca="1">IFERROR(__xludf.UNSUPPORTED("""COMPUTED_VALUE"""),"Antonina")</f>
        <v>Antonina</v>
      </c>
      <c r="D31" s="3" t="str">
        <f ca="1">IFERROR(__xludf.UNSUPPORTED("""COMPUTED_VALUE"""),"🚢 REGULAR")</f>
        <v>🚢 REGULAR</v>
      </c>
      <c r="E31" s="3" t="str">
        <f ca="1">IFERROR(__xludf.UNSUPPORTED("""COMPUTED_VALUE"""),"🚛 LIBERADO")</f>
        <v>🚛 LIBERADO</v>
      </c>
      <c r="F31" s="5">
        <f ca="1">IFERROR(__xludf.UNSUPPORTED("""COMPUTED_VALUE"""),0)</f>
        <v>0</v>
      </c>
      <c r="G31" s="3" t="str">
        <f ca="1">IFERROR(__xludf.UNSUPPORTED("""COMPUTED_VALUE"""),"Trecho da BR-277 em pista simples por conta de deslizamentos de barreiras.")</f>
        <v>Trecho da BR-277 em pista simples por conta de deslizamentos de barreiras.</v>
      </c>
      <c r="H31" s="4">
        <f ca="1">IFERROR(__xludf.UNSUPPORTED("""COMPUTED_VALUE"""),44911.2502893518)</f>
        <v>44911.250289351803</v>
      </c>
      <c r="I31" s="3">
        <f ca="1">IFERROR(__xludf.UNSUPPORTED("""COMPUTED_VALUE"""),24)</f>
        <v>24</v>
      </c>
      <c r="J31" s="4">
        <f ca="1">IFERROR(__xludf.UNSUPPORTED("""COMPUTED_VALUE"""),44912.2502893518)</f>
        <v>44912.250289351803</v>
      </c>
    </row>
    <row r="32" spans="1:12" ht="12.75">
      <c r="A32" s="3" t="str">
        <f ca="1">IFERROR(__xludf.UNSUPPORTED("""COMPUTED_VALUE"""),"6e2fb238")</f>
        <v>6e2fb238</v>
      </c>
      <c r="B32" s="4">
        <f ca="1">IFERROR(__xludf.UNSUPPORTED("""COMPUTED_VALUE"""),44914.3882407407)</f>
        <v>44914.3882407407</v>
      </c>
      <c r="C32" s="8" t="str">
        <f ca="1">IFERROR(__xludf.UNSUPPORTED("""COMPUTED_VALUE"""),"Antonina")</f>
        <v>Antonina</v>
      </c>
      <c r="D32" s="3" t="str">
        <f ca="1">IFERROR(__xludf.UNSUPPORTED("""COMPUTED_VALUE"""),"🚢 REGULAR")</f>
        <v>🚢 REGULAR</v>
      </c>
      <c r="E32" s="3" t="str">
        <f ca="1">IFERROR(__xludf.UNSUPPORTED("""COMPUTED_VALUE"""),"⚠️ PARCIALMENTE BLOQUEADO")</f>
        <v>⚠️ PARCIALMENTE BLOQUEADO</v>
      </c>
      <c r="F32" s="5">
        <f ca="1">IFERROR(__xludf.UNSUPPORTED("""COMPUTED_VALUE"""),0)</f>
        <v>0</v>
      </c>
      <c r="G32" s="3" t="str">
        <f ca="1">IFERROR(__xludf.UNSUPPORTED("""COMPUTED_VALUE"""),"Trecho da BR-277 em pista simples por conta de deslizamentos de barreiras, causando lentidão e tempo adicional no deslocamento.")</f>
        <v>Trecho da BR-277 em pista simples por conta de deslizamentos de barreiras, causando lentidão e tempo adicional no deslocamento.</v>
      </c>
      <c r="H32" s="4">
        <f ca="1">IFERROR(__xludf.UNSUPPORTED("""COMPUTED_VALUE"""),44916.3750462962)</f>
        <v>44916.375046296198</v>
      </c>
      <c r="I32" s="3">
        <f ca="1">IFERROR(__xludf.UNSUPPORTED("""COMPUTED_VALUE"""),24)</f>
        <v>24</v>
      </c>
      <c r="J32" s="4">
        <f ca="1">IFERROR(__xludf.UNSUPPORTED("""COMPUTED_VALUE"""),44917.3750462962)</f>
        <v>44917.375046296198</v>
      </c>
    </row>
    <row r="33" spans="1:12" ht="12.75">
      <c r="A33" s="3" t="str">
        <f ca="1">IFERROR(__xludf.UNSUPPORTED("""COMPUTED_VALUE"""),"8554ee8d")</f>
        <v>8554ee8d</v>
      </c>
      <c r="B33" s="4">
        <f ca="1">IFERROR(__xludf.UNSUPPORTED("""COMPUTED_VALUE"""),44918.4534375)</f>
        <v>44918.4534375</v>
      </c>
      <c r="C33" s="7" t="str">
        <f ca="1">IFERROR(__xludf.UNSUPPORTED("""COMPUTED_VALUE"""),"Antonina")</f>
        <v>Antonina</v>
      </c>
      <c r="D33" s="3" t="str">
        <f ca="1">IFERROR(__xludf.UNSUPPORTED("""COMPUTED_VALUE"""),"🚢 REGULAR")</f>
        <v>🚢 REGULAR</v>
      </c>
      <c r="E33" s="3" t="str">
        <f ca="1">IFERROR(__xludf.UNSUPPORTED("""COMPUTED_VALUE"""),"⚠️ PARCIALMENTE BLOQUEADO")</f>
        <v>⚠️ PARCIALMENTE BLOQUEADO</v>
      </c>
      <c r="F33" s="5">
        <f ca="1">IFERROR(__xludf.UNSUPPORTED("""COMPUTED_VALUE"""),0)</f>
        <v>0</v>
      </c>
      <c r="G33" s="3" t="str">
        <f ca="1">IFERROR(__xludf.UNSUPPORTED("""COMPUTED_VALUE"""),"Rodovia BR277, que dá acesso ao Porto, em pista simples em trecho de serra. 
Proibição de circulação de veículos de carga em dias e horários específicos no final de ano, conforme informe operacional da APPA disposto em https://www.portosdoparana.pr.gov.br"&amp;"/Noticia/INFORME-OPERACIONAL-0.")</f>
        <v>Rodovia BR277, que dá acesso ao Porto, em pista simples em trecho de serra. 
Proibição de circulação de veículos de carga em dias e horários específicos no final de ano, conforme informe operacional da APPA disposto em https://www.portosdoparana.pr.gov.br/Noticia/INFORME-OPERACIONAL-0.</v>
      </c>
      <c r="H33" s="4">
        <f ca="1">IFERROR(__xludf.UNSUPPORTED("""COMPUTED_VALUE"""),44918.4534375)</f>
        <v>44918.4534375</v>
      </c>
      <c r="I33" s="3">
        <f ca="1">IFERROR(__xludf.UNSUPPORTED("""COMPUTED_VALUE"""),24)</f>
        <v>24</v>
      </c>
      <c r="J33" s="4">
        <f ca="1">IFERROR(__xludf.UNSUPPORTED("""COMPUTED_VALUE"""),44919.4534375)</f>
        <v>44919.4534375</v>
      </c>
    </row>
    <row r="34" spans="1:12" ht="12.75">
      <c r="A34" s="3" t="str">
        <f ca="1">IFERROR(__xludf.UNSUPPORTED("""COMPUTED_VALUE"""),"7f909e92")</f>
        <v>7f909e92</v>
      </c>
      <c r="B34" s="4">
        <f ca="1">IFERROR(__xludf.UNSUPPORTED("""COMPUTED_VALUE"""),44921.4101273148)</f>
        <v>44921.410127314797</v>
      </c>
      <c r="C34" s="8" t="str">
        <f ca="1">IFERROR(__xludf.UNSUPPORTED("""COMPUTED_VALUE"""),"Antonina")</f>
        <v>Antonina</v>
      </c>
      <c r="D34" s="3" t="str">
        <f ca="1">IFERROR(__xludf.UNSUPPORTED("""COMPUTED_VALUE"""),"🚢 REGULAR")</f>
        <v>🚢 REGULAR</v>
      </c>
      <c r="E34" s="3" t="str">
        <f ca="1">IFERROR(__xludf.UNSUPPORTED("""COMPUTED_VALUE"""),"🚛 LIBERADO")</f>
        <v>🚛 LIBERADO</v>
      </c>
      <c r="F34" s="5">
        <f ca="1">IFERROR(__xludf.UNSUPPORTED("""COMPUTED_VALUE"""),0)</f>
        <v>0</v>
      </c>
      <c r="G34" s="3" t="str">
        <f ca="1">IFERROR(__xludf.UNSUPPORTED("""COMPUTED_VALUE"""),"Rodovia BR277, que dá acesso ao Porto, em pista simples em trecho de serra. 
Proibição de circulação de veículos de carga em dias e horários específicos no final de ano, conforme informe operacional da APPA disposto em https://www.portosdoparana.pr.gov.br"&amp;"/Noticia/INFORME-OPERACIONAL-0.")</f>
        <v>Rodovia BR277, que dá acesso ao Porto, em pista simples em trecho de serra. 
Proibição de circulação de veículos de carga em dias e horários específicos no final de ano, conforme informe operacional da APPA disposto em https://www.portosdoparana.pr.gov.br/Noticia/INFORME-OPERACIONAL-0.</v>
      </c>
      <c r="H34" s="4">
        <f ca="1">IFERROR(__xludf.UNSUPPORTED("""COMPUTED_VALUE"""),44921.4101273148)</f>
        <v>44921.410127314797</v>
      </c>
      <c r="I34" s="3">
        <f ca="1">IFERROR(__xludf.UNSUPPORTED("""COMPUTED_VALUE"""),24)</f>
        <v>24</v>
      </c>
      <c r="J34" s="4">
        <f ca="1">IFERROR(__xludf.UNSUPPORTED("""COMPUTED_VALUE"""),44922.4101273148)</f>
        <v>44922.410127314797</v>
      </c>
    </row>
    <row r="35" spans="1:12" ht="12.75">
      <c r="A35" s="3" t="str">
        <f ca="1">IFERROR(__xludf.UNSUPPORTED("""COMPUTED_VALUE"""),"ec55dab6")</f>
        <v>ec55dab6</v>
      </c>
      <c r="B35" s="4">
        <f ca="1">IFERROR(__xludf.UNSUPPORTED("""COMPUTED_VALUE"""),44924.6350810185)</f>
        <v>44924.635081018503</v>
      </c>
      <c r="C35" s="8" t="str">
        <f ca="1">IFERROR(__xludf.UNSUPPORTED("""COMPUTED_VALUE"""),"Antonina")</f>
        <v>Antonina</v>
      </c>
      <c r="D35" s="3" t="str">
        <f ca="1">IFERROR(__xludf.UNSUPPORTED("""COMPUTED_VALUE"""),"🚢 REGULAR")</f>
        <v>🚢 REGULAR</v>
      </c>
      <c r="E35" s="3" t="str">
        <f ca="1">IFERROR(__xludf.UNSUPPORTED("""COMPUTED_VALUE"""),"🚛 LIBERADO")</f>
        <v>🚛 LIBERADO</v>
      </c>
      <c r="F35" s="5">
        <f ca="1">IFERROR(__xludf.UNSUPPORTED("""COMPUTED_VALUE"""),0)</f>
        <v>0</v>
      </c>
      <c r="G35" s="3" t="str">
        <f ca="1">IFERROR(__xludf.UNSUPPORTED("""COMPUTED_VALUE"""),"Rodovia BR277, que dá acesso ao Porto, em pista simples em trecho de serra. 
Proibição de circulação de veículos de carga em dias e horários específicos no final de ano, conforme informe operacional da APPA disposto em https://www.portosdoparana.pr.gov.br"&amp;"/Noticia/INFORME-OPERACIONAL-0.")</f>
        <v>Rodovia BR277, que dá acesso ao Porto, em pista simples em trecho de serra. 
Proibição de circulação de veículos de carga em dias e horários específicos no final de ano, conforme informe operacional da APPA disposto em https://www.portosdoparana.pr.gov.br/Noticia/INFORME-OPERACIONAL-0.</v>
      </c>
      <c r="H35" s="4">
        <f ca="1">IFERROR(__xludf.UNSUPPORTED("""COMPUTED_VALUE"""),44924.6350810185)</f>
        <v>44924.635081018503</v>
      </c>
      <c r="I35" s="3">
        <f ca="1">IFERROR(__xludf.UNSUPPORTED("""COMPUTED_VALUE"""),24)</f>
        <v>24</v>
      </c>
      <c r="J35" s="4">
        <f ca="1">IFERROR(__xludf.UNSUPPORTED("""COMPUTED_VALUE"""),44925.6350810185)</f>
        <v>44925.635081018503</v>
      </c>
    </row>
    <row r="36" spans="1:12" ht="12.75">
      <c r="A36" s="3" t="str">
        <f ca="1">IFERROR(__xludf.UNSUPPORTED("""COMPUTED_VALUE"""),"fdb95fb4")</f>
        <v>fdb95fb4</v>
      </c>
      <c r="B36" s="4">
        <f ca="1">IFERROR(__xludf.UNSUPPORTED("""COMPUTED_VALUE"""),44928.4628935185)</f>
        <v>44928.462893518503</v>
      </c>
      <c r="C36" s="7" t="str">
        <f ca="1">IFERROR(__xludf.UNSUPPORTED("""COMPUTED_VALUE"""),"Antonina")</f>
        <v>Antonina</v>
      </c>
      <c r="D36" s="3" t="str">
        <f ca="1">IFERROR(__xludf.UNSUPPORTED("""COMPUTED_VALUE"""),"🚢 REGULAR")</f>
        <v>🚢 REGULAR</v>
      </c>
      <c r="E36" s="3" t="str">
        <f ca="1">IFERROR(__xludf.UNSUPPORTED("""COMPUTED_VALUE"""),"🚛 LIBERADO")</f>
        <v>🚛 LIBERADO</v>
      </c>
      <c r="F36" s="5">
        <f ca="1">IFERROR(__xludf.UNSUPPORTED("""COMPUTED_VALUE"""),0)</f>
        <v>0</v>
      </c>
      <c r="G36" s="3" t="str">
        <f ca="1">IFERROR(__xludf.UNSUPPORTED("""COMPUTED_VALUE"""),"Rodovia BR277, que dá acesso ao Porto, em pista simples em trecho de serra. 
Proibição de circulação de veículos de carga em dias e horários específicos no final de ano, conforme informe operacional da APPA disposto em https://www.portosdoparana.pr.gov.br"&amp;"/Noticia/INFORME-OPERACIONAL-0.")</f>
        <v>Rodovia BR277, que dá acesso ao Porto, em pista simples em trecho de serra. 
Proibição de circulação de veículos de carga em dias e horários específicos no final de ano, conforme informe operacional da APPA disposto em https://www.portosdoparana.pr.gov.br/Noticia/INFORME-OPERACIONAL-0.</v>
      </c>
      <c r="H36" s="4">
        <f ca="1">IFERROR(__xludf.UNSUPPORTED("""COMPUTED_VALUE"""),44928.4628935185)</f>
        <v>44928.462893518503</v>
      </c>
      <c r="I36" s="3">
        <f ca="1">IFERROR(__xludf.UNSUPPORTED("""COMPUTED_VALUE"""),24)</f>
        <v>24</v>
      </c>
      <c r="J36" s="4">
        <f ca="1">IFERROR(__xludf.UNSUPPORTED("""COMPUTED_VALUE"""),44929.4628935185)</f>
        <v>44929.462893518503</v>
      </c>
    </row>
    <row r="37" spans="1:12" ht="12.75">
      <c r="A37" s="3" t="str">
        <f ca="1">IFERROR(__xludf.UNSUPPORTED("""COMPUTED_VALUE"""),"4b27212b")</f>
        <v>4b27212b</v>
      </c>
      <c r="B37" s="4">
        <f ca="1">IFERROR(__xludf.UNSUPPORTED("""COMPUTED_VALUE"""),44929.591099537)</f>
        <v>44929.591099537</v>
      </c>
      <c r="C37" s="7" t="str">
        <f ca="1">IFERROR(__xludf.UNSUPPORTED("""COMPUTED_VALUE"""),"Antonina")</f>
        <v>Antonina</v>
      </c>
      <c r="D37" s="3" t="str">
        <f ca="1">IFERROR(__xludf.UNSUPPORTED("""COMPUTED_VALUE"""),"🚢 REGULAR")</f>
        <v>🚢 REGULAR</v>
      </c>
      <c r="E37" s="3" t="str">
        <f ca="1">IFERROR(__xludf.UNSUPPORTED("""COMPUTED_VALUE"""),"🚛 LIBERADO")</f>
        <v>🚛 LIBERADO</v>
      </c>
      <c r="F37" s="5">
        <f ca="1">IFERROR(__xludf.UNSUPPORTED("""COMPUTED_VALUE"""),0)</f>
        <v>0</v>
      </c>
      <c r="G37" s="3" t="str">
        <f ca="1">IFERROR(__xludf.UNSUPPORTED("""COMPUTED_VALUE"""),"Rodovia BR277, que dá acesso ao Porto, em pista simples em trecho de serra. 
Proibição de circulação de veículos de carga em dias e horários específicos no final de ano, conforme informe operacional da APPA disposto em https://www.portosdoparana.pr.gov.br"&amp;"/Noticia/INFORME-OPERACIONAL-0.")</f>
        <v>Rodovia BR277, que dá acesso ao Porto, em pista simples em trecho de serra. 
Proibição de circulação de veículos de carga em dias e horários específicos no final de ano, conforme informe operacional da APPA disposto em https://www.portosdoparana.pr.gov.br/Noticia/INFORME-OPERACIONAL-0.</v>
      </c>
      <c r="H37" s="4">
        <f ca="1">IFERROR(__xludf.UNSUPPORTED("""COMPUTED_VALUE"""),44929.591099537)</f>
        <v>44929.591099537</v>
      </c>
      <c r="I37" s="3">
        <f ca="1">IFERROR(__xludf.UNSUPPORTED("""COMPUTED_VALUE"""),24)</f>
        <v>24</v>
      </c>
      <c r="J37" s="4">
        <f ca="1">IFERROR(__xludf.UNSUPPORTED("""COMPUTED_VALUE"""),44930.591099537)</f>
        <v>44930.591099537</v>
      </c>
    </row>
    <row r="38" spans="1:12" ht="12.75">
      <c r="A38" s="3" t="str">
        <f ca="1">IFERROR(__xludf.UNSUPPORTED("""COMPUTED_VALUE"""),"a26dff91")</f>
        <v>a26dff91</v>
      </c>
      <c r="B38" s="4">
        <f ca="1">IFERROR(__xludf.UNSUPPORTED("""COMPUTED_VALUE"""),44932.6645138888)</f>
        <v>44932.664513888798</v>
      </c>
      <c r="C38" s="8" t="str">
        <f ca="1">IFERROR(__xludf.UNSUPPORTED("""COMPUTED_VALUE"""),"Antonina")</f>
        <v>Antonina</v>
      </c>
      <c r="D38" s="3" t="str">
        <f ca="1">IFERROR(__xludf.UNSUPPORTED("""COMPUTED_VALUE"""),"🚢 REGULAR")</f>
        <v>🚢 REGULAR</v>
      </c>
      <c r="E38" s="3" t="str">
        <f ca="1">IFERROR(__xludf.UNSUPPORTED("""COMPUTED_VALUE"""),"🚛 LIBERADO")</f>
        <v>🚛 LIBERADO</v>
      </c>
      <c r="F38" s="5">
        <f ca="1">IFERROR(__xludf.UNSUPPORTED("""COMPUTED_VALUE"""),0)</f>
        <v>0</v>
      </c>
      <c r="G38" s="3" t="str">
        <f ca="1">IFERROR(__xludf.UNSUPPORTED("""COMPUTED_VALUE"""),"Normalidade")</f>
        <v>Normalidade</v>
      </c>
      <c r="H38" s="4">
        <f ca="1">IFERROR(__xludf.UNSUPPORTED("""COMPUTED_VALUE"""),44932.6645138888)</f>
        <v>44932.664513888798</v>
      </c>
      <c r="I38" s="3">
        <f ca="1">IFERROR(__xludf.UNSUPPORTED("""COMPUTED_VALUE"""),24)</f>
        <v>24</v>
      </c>
      <c r="J38" s="4">
        <f ca="1">IFERROR(__xludf.UNSUPPORTED("""COMPUTED_VALUE"""),44933.6645138888)</f>
        <v>44933.664513888798</v>
      </c>
    </row>
    <row r="39" spans="1:12" ht="12.75">
      <c r="A39" s="3" t="str">
        <f ca="1">IFERROR(__xludf.UNSUPPORTED("""COMPUTED_VALUE"""),"2afad6f5")</f>
        <v>2afad6f5</v>
      </c>
      <c r="B39" s="4">
        <f ca="1">IFERROR(__xludf.UNSUPPORTED("""COMPUTED_VALUE"""),44935.4144097222)</f>
        <v>44935.414409722202</v>
      </c>
      <c r="C39" s="7" t="str">
        <f ca="1">IFERROR(__xludf.UNSUPPORTED("""COMPUTED_VALUE"""),"Antonina")</f>
        <v>Antonina</v>
      </c>
      <c r="D39" s="3" t="str">
        <f ca="1">IFERROR(__xludf.UNSUPPORTED("""COMPUTED_VALUE"""),"🚢 REGULAR")</f>
        <v>🚢 REGULAR</v>
      </c>
      <c r="E39" s="3" t="str">
        <f ca="1">IFERROR(__xludf.UNSUPPORTED("""COMPUTED_VALUE"""),"⚠️ PARCIALMENTE BLOQUEADO")</f>
        <v>⚠️ PARCIALMENTE BLOQUEADO</v>
      </c>
      <c r="F39" s="5">
        <f ca="1">IFERROR(__xludf.UNSUPPORTED("""COMPUTED_VALUE"""),0.25)</f>
        <v>0.25</v>
      </c>
      <c r="G39" s="3" t="str">
        <f ca="1">IFERROR(__xludf.UNSUPPORTED("""COMPUTED_VALUE"""),"Rodovia BR277, que dá acesso ao Porto, operando em pista simples em trecho de serra
devido a obras  para contenção de desmoronamentos ocorridos no Km 42. Há filas e atrasos na viagem. Atualizações constantes podem ser obtidas em: https://www.der.pr.gov.br"&amp;"/ , na opção: “ATUALIZAÇÕES DE TRÁFEGO”")</f>
        <v>Rodovia BR277, que dá acesso ao Porto, operando em pista simples em trecho de serra
devido a obras  para contenção de desmoronamentos ocorridos no Km 42. Há filas e atrasos na viagem. Atualizações constantes podem ser obtidas em: https://www.der.pr.gov.br/ , na opção: “ATUALIZAÇÕES DE TRÁFEGO”</v>
      </c>
      <c r="H39" s="4">
        <f ca="1">IFERROR(__xludf.UNSUPPORTED("""COMPUTED_VALUE"""),44935.4144097222)</f>
        <v>44935.414409722202</v>
      </c>
      <c r="I39" s="3">
        <f ca="1">IFERROR(__xludf.UNSUPPORTED("""COMPUTED_VALUE"""),12)</f>
        <v>12</v>
      </c>
      <c r="J39" s="4">
        <f ca="1">IFERROR(__xludf.UNSUPPORTED("""COMPUTED_VALUE"""),44935.9144097222)</f>
        <v>44935.914409722202</v>
      </c>
      <c r="L39" s="3" t="str">
        <f ca="1">IFERROR(__xludf.UNSUPPORTED("""COMPUTED_VALUE"""),"Crítico")</f>
        <v>Crítico</v>
      </c>
    </row>
    <row r="40" spans="1:12" ht="12.75">
      <c r="A40" s="3" t="str">
        <f ca="1">IFERROR(__xludf.UNSUPPORTED("""COMPUTED_VALUE"""),"75fc6253")</f>
        <v>75fc6253</v>
      </c>
      <c r="B40" s="4">
        <f ca="1">IFERROR(__xludf.UNSUPPORTED("""COMPUTED_VALUE"""),44937.6419907407)</f>
        <v>44937.641990740703</v>
      </c>
      <c r="C40" s="8" t="str">
        <f ca="1">IFERROR(__xludf.UNSUPPORTED("""COMPUTED_VALUE"""),"Antonina")</f>
        <v>Antonina</v>
      </c>
      <c r="D40" s="3" t="str">
        <f ca="1">IFERROR(__xludf.UNSUPPORTED("""COMPUTED_VALUE"""),"🚢 REGULAR")</f>
        <v>🚢 REGULAR</v>
      </c>
      <c r="E40" s="3" t="str">
        <f ca="1">IFERROR(__xludf.UNSUPPORTED("""COMPUTED_VALUE"""),"⚠️ PARCIALMENTE BLOQUEADO")</f>
        <v>⚠️ PARCIALMENTE BLOQUEADO</v>
      </c>
      <c r="F40" s="5">
        <f ca="1">IFERROR(__xludf.UNSUPPORTED("""COMPUTED_VALUE"""),0.25)</f>
        <v>0.25</v>
      </c>
      <c r="G40" s="3" t="str">
        <f ca="1">IFERROR(__xludf.UNSUPPORTED("""COMPUTED_VALUE"""),"Rodovia BR277, que dá acesso ao Porto, operando em pista simples em trecho de serra (Km 42), por conta de obras de contenção de desmoronamentos. 
Não há interrupções, porém há lentidão e formação de filas em amos os sentidos com atrasos na viagem. 
Inform"&amp;"ações atualizadas podem ser obtidas em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amos os sentidos com atrasos na viagem. 
Informações atualizadas podem ser obtidas em www.der.pr.gov.br, clicando em seguida em “Atualizações de Tráfego”.</v>
      </c>
      <c r="H40" s="4">
        <f ca="1">IFERROR(__xludf.UNSUPPORTED("""COMPUTED_VALUE"""),44937.6419907407)</f>
        <v>44937.641990740703</v>
      </c>
      <c r="I40" s="3">
        <f ca="1">IFERROR(__xludf.UNSUPPORTED("""COMPUTED_VALUE"""),24)</f>
        <v>24</v>
      </c>
      <c r="J40" s="4">
        <f ca="1">IFERROR(__xludf.UNSUPPORTED("""COMPUTED_VALUE"""),44938.6419907407)</f>
        <v>44938.641990740703</v>
      </c>
      <c r="L40" s="3" t="str">
        <f ca="1">IFERROR(__xludf.UNSUPPORTED("""COMPUTED_VALUE"""),"Crítico")</f>
        <v>Crítico</v>
      </c>
    </row>
    <row r="41" spans="1:12" ht="12.75">
      <c r="A41" s="3" t="str">
        <f ca="1">IFERROR(__xludf.UNSUPPORTED("""COMPUTED_VALUE"""),"7ad98815")</f>
        <v>7ad98815</v>
      </c>
      <c r="B41" s="4">
        <f ca="1">IFERROR(__xludf.UNSUPPORTED("""COMPUTED_VALUE"""),44939.8204513888)</f>
        <v>44939.820451388798</v>
      </c>
      <c r="C41" s="8" t="str">
        <f ca="1">IFERROR(__xludf.UNSUPPORTED("""COMPUTED_VALUE"""),"Antonina")</f>
        <v>Antonina</v>
      </c>
      <c r="D41" s="3" t="str">
        <f ca="1">IFERROR(__xludf.UNSUPPORTED("""COMPUTED_VALUE"""),"🚢 REGULAR")</f>
        <v>🚢 REGULAR</v>
      </c>
      <c r="E41" s="3" t="str">
        <f ca="1">IFERROR(__xludf.UNSUPPORTED("""COMPUTED_VALUE"""),"⚠️ PARCIALMENTE BLOQUEADO")</f>
        <v>⚠️ PARCIALMENTE BLOQUEADO</v>
      </c>
      <c r="F41" s="5">
        <f ca="1">IFERROR(__xludf.UNSUPPORTED("""COMPUTED_VALUE"""),0.25)</f>
        <v>0.25</v>
      </c>
      <c r="G41"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"&amp;"Informações atualizadas podem ser obtidas em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Informações atualizadas podem ser obtidas em www.der.pr.gov.br, clicando em seguida em “Atualizações de Tráfego”.</v>
      </c>
      <c r="H41" s="4">
        <f ca="1">IFERROR(__xludf.UNSUPPORTED("""COMPUTED_VALUE"""),44939.8204513888)</f>
        <v>44939.820451388798</v>
      </c>
      <c r="I41" s="3">
        <f ca="1">IFERROR(__xludf.UNSUPPORTED("""COMPUTED_VALUE"""),24)</f>
        <v>24</v>
      </c>
      <c r="J41" s="4">
        <f ca="1">IFERROR(__xludf.UNSUPPORTED("""COMPUTED_VALUE"""),44940.8204513888)</f>
        <v>44940.820451388798</v>
      </c>
      <c r="L41" s="3" t="str">
        <f ca="1">IFERROR(__xludf.UNSUPPORTED("""COMPUTED_VALUE"""),"Crítico")</f>
        <v>Crítico</v>
      </c>
    </row>
    <row r="42" spans="1:12" ht="12.75">
      <c r="A42" s="3" t="str">
        <f ca="1">IFERROR(__xludf.UNSUPPORTED("""COMPUTED_VALUE"""),"92cf7e9f")</f>
        <v>92cf7e9f</v>
      </c>
      <c r="B42" s="4">
        <f ca="1">IFERROR(__xludf.UNSUPPORTED("""COMPUTED_VALUE"""),44942.7236342592)</f>
        <v>44942.7236342592</v>
      </c>
      <c r="C42" s="7" t="str">
        <f ca="1">IFERROR(__xludf.UNSUPPORTED("""COMPUTED_VALUE"""),"Antonina")</f>
        <v>Antonina</v>
      </c>
      <c r="D42" s="3" t="str">
        <f ca="1">IFERROR(__xludf.UNSUPPORTED("""COMPUTED_VALUE"""),"🚢 REGULAR")</f>
        <v>🚢 REGULAR</v>
      </c>
      <c r="E42" s="3" t="str">
        <f ca="1">IFERROR(__xludf.UNSUPPORTED("""COMPUTED_VALUE"""),"⚠️ PARCIALMENTE BLOQUEADO")</f>
        <v>⚠️ PARCIALMENTE BLOQUEADO</v>
      </c>
      <c r="F42" s="5">
        <f ca="1">IFERROR(__xludf.UNSUPPORTED("""COMPUTED_VALUE"""),0.25)</f>
        <v>0.25</v>
      </c>
      <c r="G42"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"&amp;"Informações atualizadas podem ser obtidas em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Informações atualizadas podem ser obtidas em www.der.pr.gov.br, clicando em seguida em “Atualizações de Tráfego”.</v>
      </c>
      <c r="H42" s="4">
        <f ca="1">IFERROR(__xludf.UNSUPPORTED("""COMPUTED_VALUE"""),44942.7236342592)</f>
        <v>44942.7236342592</v>
      </c>
      <c r="I42" s="3">
        <f ca="1">IFERROR(__xludf.UNSUPPORTED("""COMPUTED_VALUE"""),24)</f>
        <v>24</v>
      </c>
      <c r="J42" s="4">
        <f ca="1">IFERROR(__xludf.UNSUPPORTED("""COMPUTED_VALUE"""),44943.7236342592)</f>
        <v>44943.7236342592</v>
      </c>
      <c r="L42" s="3" t="str">
        <f ca="1">IFERROR(__xludf.UNSUPPORTED("""COMPUTED_VALUE"""),"Crítico")</f>
        <v>Crítico</v>
      </c>
    </row>
    <row r="43" spans="1:12" ht="12.75">
      <c r="A43" s="3" t="str">
        <f ca="1">IFERROR(__xludf.UNSUPPORTED("""COMPUTED_VALUE"""),"115cff38")</f>
        <v>115cff38</v>
      </c>
      <c r="B43" s="4">
        <f ca="1">IFERROR(__xludf.UNSUPPORTED("""COMPUTED_VALUE"""),44946.6949652777)</f>
        <v>44946.694965277697</v>
      </c>
      <c r="C43" s="7" t="str">
        <f ca="1">IFERROR(__xludf.UNSUPPORTED("""COMPUTED_VALUE"""),"Antonina")</f>
        <v>Antonina</v>
      </c>
      <c r="D43" s="3" t="str">
        <f ca="1">IFERROR(__xludf.UNSUPPORTED("""COMPUTED_VALUE"""),"🚢 REGULAR")</f>
        <v>🚢 REGULAR</v>
      </c>
      <c r="E43" s="3" t="str">
        <f ca="1">IFERROR(__xludf.UNSUPPORTED("""COMPUTED_VALUE"""),"⚠️ PARCIALMENTE BLOQUEADO")</f>
        <v>⚠️ PARCIALMENTE BLOQUEADO</v>
      </c>
      <c r="F43" s="5">
        <f ca="1">IFERROR(__xludf.UNSUPPORTED("""COMPUTED_VALUE"""),0.25)</f>
        <v>0.25</v>
      </c>
      <c r="G43"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43" s="4">
        <f ca="1">IFERROR(__xludf.UNSUPPORTED("""COMPUTED_VALUE"""),44946.6949652777)</f>
        <v>44946.694965277697</v>
      </c>
      <c r="I43" s="3">
        <f ca="1">IFERROR(__xludf.UNSUPPORTED("""COMPUTED_VALUE"""),24)</f>
        <v>24</v>
      </c>
      <c r="J43" s="4">
        <f ca="1">IFERROR(__xludf.UNSUPPORTED("""COMPUTED_VALUE"""),44947.6949652777)</f>
        <v>44947.694965277697</v>
      </c>
      <c r="L43" s="3" t="str">
        <f ca="1">IFERROR(__xludf.UNSUPPORTED("""COMPUTED_VALUE"""),"Crítico")</f>
        <v>Crítico</v>
      </c>
    </row>
    <row r="44" spans="1:12" ht="12.75">
      <c r="A44" s="3" t="str">
        <f ca="1">IFERROR(__xludf.UNSUPPORTED("""COMPUTED_VALUE"""),"a09240c9")</f>
        <v>a09240c9</v>
      </c>
      <c r="B44" s="4">
        <f ca="1">IFERROR(__xludf.UNSUPPORTED("""COMPUTED_VALUE"""),44950.3794097222)</f>
        <v>44950.379409722198</v>
      </c>
      <c r="C44" s="8" t="str">
        <f ca="1">IFERROR(__xludf.UNSUPPORTED("""COMPUTED_VALUE"""),"Antonina")</f>
        <v>Antonina</v>
      </c>
      <c r="D44" s="3" t="str">
        <f ca="1">IFERROR(__xludf.UNSUPPORTED("""COMPUTED_VALUE"""),"🚢 REGULAR")</f>
        <v>🚢 REGULAR</v>
      </c>
      <c r="E44" s="3" t="str">
        <f ca="1">IFERROR(__xludf.UNSUPPORTED("""COMPUTED_VALUE"""),"⚠️ PARCIALMENTE BLOQUEADO")</f>
        <v>⚠️ PARCIALMENTE BLOQUEADO</v>
      </c>
      <c r="F44" s="5">
        <f ca="1">IFERROR(__xludf.UNSUPPORTED("""COMPUTED_VALUE"""),0.25)</f>
        <v>0.25</v>
      </c>
      <c r="G44"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44" s="4">
        <f ca="1">IFERROR(__xludf.UNSUPPORTED("""COMPUTED_VALUE"""),44952.7085763888)</f>
        <v>44952.708576388803</v>
      </c>
      <c r="I44" s="3">
        <f ca="1">IFERROR(__xludf.UNSUPPORTED("""COMPUTED_VALUE"""),24)</f>
        <v>24</v>
      </c>
      <c r="J44" s="4">
        <f ca="1">IFERROR(__xludf.UNSUPPORTED("""COMPUTED_VALUE"""),44953.7085763888)</f>
        <v>44953.708576388803</v>
      </c>
      <c r="K44" s="3" t="str">
        <f ca="1">IFERROR(__xludf.UNSUPPORTED("""COMPUTED_VALUE"""),"URECB")</f>
        <v>URECB</v>
      </c>
      <c r="L44" s="3" t="str">
        <f ca="1">IFERROR(__xludf.UNSUPPORTED("""COMPUTED_VALUE"""),"Crítico")</f>
        <v>Crítico</v>
      </c>
    </row>
    <row r="45" spans="1:12" ht="12.75">
      <c r="A45" s="3" t="str">
        <f ca="1">IFERROR(__xludf.UNSUPPORTED("""COMPUTED_VALUE"""),"9bfaad9a")</f>
        <v>9bfaad9a</v>
      </c>
      <c r="B45" s="4">
        <f ca="1">IFERROR(__xludf.UNSUPPORTED("""COMPUTED_VALUE"""),44956.6409722222)</f>
        <v>44956.640972222202</v>
      </c>
      <c r="C45" s="8" t="str">
        <f ca="1">IFERROR(__xludf.UNSUPPORTED("""COMPUTED_VALUE"""),"Antonina")</f>
        <v>Antonina</v>
      </c>
      <c r="D45" s="3" t="str">
        <f ca="1">IFERROR(__xludf.UNSUPPORTED("""COMPUTED_VALUE"""),"🚢 REGULAR")</f>
        <v>🚢 REGULAR</v>
      </c>
      <c r="E45" s="3" t="str">
        <f ca="1">IFERROR(__xludf.UNSUPPORTED("""COMPUTED_VALUE"""),"⚠️ PARCIALMENTE BLOQUEADO")</f>
        <v>⚠️ PARCIALMENTE BLOQUEADO</v>
      </c>
      <c r="F45" s="5">
        <f ca="1">IFERROR(__xludf.UNSUPPORTED("""COMPUTED_VALUE"""),0.25)</f>
        <v>0.25</v>
      </c>
      <c r="G45" s="3" t="str">
        <f ca="1">IFERROR(__xludf.UNSUPPORTED("""COMPUTED_VALUE"""),"DESCRIÇÃO DETALHADA DA SITUAÇÃO:
Rodovia BR277, que dá acesso ao Porto, operando em pista simples em trecho de serra (Km 42), por conta de obras de contenção de desmoronamentos.
Não há interrupções, porém há lentidão e formação de filas em ambos os sent"&amp;"idos, gerando atrasos na viagem.
Proibição de circulação de veículos de carga em dias e horários específicos (twitter.com/prf_pr.) Informações atualizadas podem ser obtidas em twitter.com/prf_pr e www.der.pr.gov.br (clicando em seguida em “Atualizações d"&amp;"e Tráfego”).")</f>
        <v>DESCRIÇÃO DETALHADA DA SITUAÇÃO:
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45" s="4">
        <f ca="1">IFERROR(__xludf.UNSUPPORTED("""COMPUTED_VALUE"""),44956.6409722222)</f>
        <v>44956.640972222202</v>
      </c>
      <c r="I45" s="3">
        <f ca="1">IFERROR(__xludf.UNSUPPORTED("""COMPUTED_VALUE"""),24)</f>
        <v>24</v>
      </c>
      <c r="J45" s="4">
        <f ca="1">IFERROR(__xludf.UNSUPPORTED("""COMPUTED_VALUE"""),44957.6409722222)</f>
        <v>44957.640972222202</v>
      </c>
      <c r="K45" s="3" t="str">
        <f ca="1">IFERROR(__xludf.UNSUPPORTED("""COMPUTED_VALUE"""),"URECB")</f>
        <v>URECB</v>
      </c>
      <c r="L45" s="3" t="str">
        <f ca="1">IFERROR(__xludf.UNSUPPORTED("""COMPUTED_VALUE"""),"Crítico")</f>
        <v>Crítico</v>
      </c>
    </row>
    <row r="46" spans="1:12" ht="12.75">
      <c r="A46" s="3" t="str">
        <f ca="1">IFERROR(__xludf.UNSUPPORTED("""COMPUTED_VALUE"""),"07155dae")</f>
        <v>07155dae</v>
      </c>
      <c r="B46" s="4">
        <f ca="1">IFERROR(__xludf.UNSUPPORTED("""COMPUTED_VALUE"""),44959.5738541666)</f>
        <v>44959.5738541666</v>
      </c>
      <c r="C46" s="8" t="str">
        <f ca="1">IFERROR(__xludf.UNSUPPORTED("""COMPUTED_VALUE"""),"Antonina")</f>
        <v>Antonina</v>
      </c>
      <c r="D46" s="3" t="str">
        <f ca="1">IFERROR(__xludf.UNSUPPORTED("""COMPUTED_VALUE"""),"🚢 REGULAR")</f>
        <v>🚢 REGULAR</v>
      </c>
      <c r="E46" s="3" t="str">
        <f ca="1">IFERROR(__xludf.UNSUPPORTED("""COMPUTED_VALUE"""),"⚠️ PARCIALMENTE BLOQUEADO")</f>
        <v>⚠️ PARCIALMENTE BLOQUEADO</v>
      </c>
      <c r="F46" s="5">
        <f ca="1">IFERROR(__xludf.UNSUPPORTED("""COMPUTED_VALUE"""),0.25)</f>
        <v>0.25</v>
      </c>
      <c r="G46"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46" s="4">
        <f ca="1">IFERROR(__xludf.UNSUPPORTED("""COMPUTED_VALUE"""),44959.5738541666)</f>
        <v>44959.5738541666</v>
      </c>
      <c r="I46" s="3">
        <f ca="1">IFERROR(__xludf.UNSUPPORTED("""COMPUTED_VALUE"""),24)</f>
        <v>24</v>
      </c>
      <c r="J46" s="4">
        <f ca="1">IFERROR(__xludf.UNSUPPORTED("""COMPUTED_VALUE"""),44960.5738541666)</f>
        <v>44960.5738541666</v>
      </c>
      <c r="K46" s="3" t="str">
        <f ca="1">IFERROR(__xludf.UNSUPPORTED("""COMPUTED_VALUE"""),"URECB")</f>
        <v>URECB</v>
      </c>
      <c r="L46" s="3" t="str">
        <f ca="1">IFERROR(__xludf.UNSUPPORTED("""COMPUTED_VALUE"""),"Crítico")</f>
        <v>Crítico</v>
      </c>
    </row>
    <row r="47" spans="1:12" ht="12.75">
      <c r="A47" s="3" t="str">
        <f ca="1">IFERROR(__xludf.UNSUPPORTED("""COMPUTED_VALUE"""),"56ecdb97")</f>
        <v>56ecdb97</v>
      </c>
      <c r="B47" s="4">
        <f ca="1">IFERROR(__xludf.UNSUPPORTED("""COMPUTED_VALUE"""),44960.452511574)</f>
        <v>44960.452511574003</v>
      </c>
      <c r="C47" s="8" t="str">
        <f ca="1">IFERROR(__xludf.UNSUPPORTED("""COMPUTED_VALUE"""),"Antonina")</f>
        <v>Antonina</v>
      </c>
      <c r="D47" s="3" t="str">
        <f ca="1">IFERROR(__xludf.UNSUPPORTED("""COMPUTED_VALUE"""),"🚢 REGULAR")</f>
        <v>🚢 REGULAR</v>
      </c>
      <c r="E47" s="3" t="str">
        <f ca="1">IFERROR(__xludf.UNSUPPORTED("""COMPUTED_VALUE"""),"⚠️ PARCIALMENTE BLOQUEADO")</f>
        <v>⚠️ PARCIALMENTE BLOQUEADO</v>
      </c>
      <c r="F47" s="5">
        <f ca="1">IFERROR(__xludf.UNSUPPORTED("""COMPUTED_VALUE"""),0.25)</f>
        <v>0.25</v>
      </c>
      <c r="G47"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Pr"&amp;"oibição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47" s="4">
        <f ca="1">IFERROR(__xludf.UNSUPPORTED("""COMPUTED_VALUE"""),44960.452511574)</f>
        <v>44960.452511574003</v>
      </c>
      <c r="I47" s="3">
        <f ca="1">IFERROR(__xludf.UNSUPPORTED("""COMPUTED_VALUE"""),24)</f>
        <v>24</v>
      </c>
      <c r="J47" s="4">
        <f ca="1">IFERROR(__xludf.UNSUPPORTED("""COMPUTED_VALUE"""),44961.452511574)</f>
        <v>44961.452511574003</v>
      </c>
      <c r="K47" s="3" t="str">
        <f ca="1">IFERROR(__xludf.UNSUPPORTED("""COMPUTED_VALUE"""),"URECB")</f>
        <v>URECB</v>
      </c>
      <c r="L47" s="3" t="str">
        <f ca="1">IFERROR(__xludf.UNSUPPORTED("""COMPUTED_VALUE"""),"Crítico")</f>
        <v>Crítico</v>
      </c>
    </row>
    <row r="48" spans="1:12" ht="12.75">
      <c r="A48" s="3" t="str">
        <f ca="1">IFERROR(__xludf.UNSUPPORTED("""COMPUTED_VALUE"""),"9bcb4991")</f>
        <v>9bcb4991</v>
      </c>
      <c r="B48" s="4">
        <f ca="1">IFERROR(__xludf.UNSUPPORTED("""COMPUTED_VALUE"""),44963.5785416666)</f>
        <v>44963.578541666597</v>
      </c>
      <c r="C48" s="7" t="str">
        <f ca="1">IFERROR(__xludf.UNSUPPORTED("""COMPUTED_VALUE"""),"Antonina")</f>
        <v>Antonina</v>
      </c>
      <c r="D48" s="3" t="str">
        <f ca="1">IFERROR(__xludf.UNSUPPORTED("""COMPUTED_VALUE"""),"🚢 REGULAR")</f>
        <v>🚢 REGULAR</v>
      </c>
      <c r="E48" s="3" t="str">
        <f ca="1">IFERROR(__xludf.UNSUPPORTED("""COMPUTED_VALUE"""),"⚠️ PARCIALMENTE BLOQUEADO")</f>
        <v>⚠️ PARCIALMENTE BLOQUEADO</v>
      </c>
      <c r="F48" s="5">
        <f ca="1">IFERROR(__xludf.UNSUPPORTED("""COMPUTED_VALUE"""),0.25)</f>
        <v>0.25</v>
      </c>
      <c r="G48"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Pr"&amp;"oibição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48" s="4">
        <f ca="1">IFERROR(__xludf.UNSUPPORTED("""COMPUTED_VALUE"""),44963.5785416666)</f>
        <v>44963.578541666597</v>
      </c>
      <c r="I48" s="3">
        <f ca="1">IFERROR(__xludf.UNSUPPORTED("""COMPUTED_VALUE"""),24)</f>
        <v>24</v>
      </c>
      <c r="J48" s="4">
        <f ca="1">IFERROR(__xludf.UNSUPPORTED("""COMPUTED_VALUE"""),44964.5785416666)</f>
        <v>44964.578541666597</v>
      </c>
      <c r="K48" s="3" t="str">
        <f ca="1">IFERROR(__xludf.UNSUPPORTED("""COMPUTED_VALUE"""),"urecb")</f>
        <v>urecb</v>
      </c>
      <c r="L48" s="3" t="str">
        <f ca="1">IFERROR(__xludf.UNSUPPORTED("""COMPUTED_VALUE"""),"Crítico")</f>
        <v>Crítico</v>
      </c>
    </row>
    <row r="49" spans="1:12" ht="12.75">
      <c r="A49" s="3" t="str">
        <f ca="1">IFERROR(__xludf.UNSUPPORTED("""COMPUTED_VALUE"""),"435796da")</f>
        <v>435796da</v>
      </c>
      <c r="B49" s="4">
        <f ca="1">IFERROR(__xludf.UNSUPPORTED("""COMPUTED_VALUE"""),44966.3975462963)</f>
        <v>44966.397546296299</v>
      </c>
      <c r="C49" s="8" t="str">
        <f ca="1">IFERROR(__xludf.UNSUPPORTED("""COMPUTED_VALUE"""),"Antonina")</f>
        <v>Antonina</v>
      </c>
      <c r="D49" s="3" t="str">
        <f ca="1">IFERROR(__xludf.UNSUPPORTED("""COMPUTED_VALUE"""),"🚢 REGULAR")</f>
        <v>🚢 REGULAR</v>
      </c>
      <c r="E49" s="3" t="str">
        <f ca="1">IFERROR(__xludf.UNSUPPORTED("""COMPUTED_VALUE"""),"⚠️ PARCIALMENTE BLOQUEADO")</f>
        <v>⚠️ PARCIALMENTE BLOQUEADO</v>
      </c>
      <c r="F49" s="5">
        <f ca="1">IFERROR(__xludf.UNSUPPORTED("""COMPUTED_VALUE"""),0.25)</f>
        <v>0.25</v>
      </c>
      <c r="G49"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Pr"&amp;"oibição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49" s="4">
        <f ca="1">IFERROR(__xludf.UNSUPPORTED("""COMPUTED_VALUE"""),44966.3975462963)</f>
        <v>44966.397546296299</v>
      </c>
      <c r="I49" s="3">
        <f ca="1">IFERROR(__xludf.UNSUPPORTED("""COMPUTED_VALUE"""),24)</f>
        <v>24</v>
      </c>
      <c r="J49" s="4">
        <f ca="1">IFERROR(__xludf.UNSUPPORTED("""COMPUTED_VALUE"""),44967.3975462963)</f>
        <v>44967.397546296299</v>
      </c>
      <c r="K49" s="3" t="str">
        <f ca="1">IFERROR(__xludf.UNSUPPORTED("""COMPUTED_VALUE"""),"URECB")</f>
        <v>URECB</v>
      </c>
      <c r="L49" s="3" t="str">
        <f ca="1">IFERROR(__xludf.UNSUPPORTED("""COMPUTED_VALUE"""),"Crítico")</f>
        <v>Crítico</v>
      </c>
    </row>
    <row r="50" spans="1:12" ht="12.75">
      <c r="A50" s="3" t="str">
        <f ca="1">IFERROR(__xludf.UNSUPPORTED("""COMPUTED_VALUE"""),"5a2e9c62")</f>
        <v>5a2e9c62</v>
      </c>
      <c r="B50" s="4">
        <f ca="1">IFERROR(__xludf.UNSUPPORTED("""COMPUTED_VALUE"""),44993.433761574)</f>
        <v>44993.433761574001</v>
      </c>
      <c r="C50" s="7" t="str">
        <f ca="1">IFERROR(__xludf.UNSUPPORTED("""COMPUTED_VALUE"""),"Antonina")</f>
        <v>Antonina</v>
      </c>
      <c r="D50" s="3" t="str">
        <f ca="1">IFERROR(__xludf.UNSUPPORTED("""COMPUTED_VALUE"""),"🚢 REGULAR")</f>
        <v>🚢 REGULAR</v>
      </c>
      <c r="E50" s="3" t="str">
        <f ca="1">IFERROR(__xludf.UNSUPPORTED("""COMPUTED_VALUE"""),"⚠️ PARCIALMENTE BLOQUEADO")</f>
        <v>⚠️ PARCIALMENTE BLOQUEADO</v>
      </c>
      <c r="F50" s="5">
        <f ca="1">IFERROR(__xludf.UNSUPPORTED("""COMPUTED_VALUE"""),0.25)</f>
        <v>0.25</v>
      </c>
      <c r="G50" s="3" t="str">
        <f ca="1">IFERROR(__xludf.UNSUPPORTED("""COMPUTED_VALUE"""),"DESCRIÇÃO DETALHADA DA SITUAÇÃO:
Rodovia BR277, que dá acesso ao Porto, com interdição parcial em razão do afundamento do pavimento no km 33,5. 
 Informações atualizadas podem ser obtidas em twitter.com/prf_pr e www.der.pr.gov.br (clicando em seguida em"&amp;" “Atualizações de Tráfego”).")</f>
        <v>DESCRIÇÃO DETALHADA DA SITUAÇÃO:
Rodovia BR277, que dá acesso ao Porto, com interdição parcial em razão do afundamento do pavimento no km 33,5. 
 Informações atualizadas podem ser obtidas em twitter.com/prf_pr e www.der.pr.gov.br (clicando em seguida em “Atualizações de Tráfego”).</v>
      </c>
      <c r="H50" s="4">
        <f ca="1">IFERROR(__xludf.UNSUPPORTED("""COMPUTED_VALUE"""),44995.433761574)</f>
        <v>44995.433761574001</v>
      </c>
      <c r="I50" s="3">
        <f ca="1">IFERROR(__xludf.UNSUPPORTED("""COMPUTED_VALUE"""),24)</f>
        <v>24</v>
      </c>
      <c r="J50" s="4">
        <f ca="1">IFERROR(__xludf.UNSUPPORTED("""COMPUTED_VALUE"""),44996.433761574)</f>
        <v>44996.433761574001</v>
      </c>
      <c r="K50" s="6" t="str">
        <f ca="1">IFERROR(__xludf.UNSUPPORTED("""COMPUTED_VALUE"""),"www.der.pr.gov.br")</f>
        <v>www.der.pr.gov.br</v>
      </c>
      <c r="L50" s="3" t="str">
        <f ca="1">IFERROR(__xludf.UNSUPPORTED("""COMPUTED_VALUE"""),"Crítico")</f>
        <v>Crítico</v>
      </c>
    </row>
    <row r="51" spans="1:12" ht="12.75">
      <c r="A51" s="3" t="str">
        <f ca="1">IFERROR(__xludf.UNSUPPORTED("""COMPUTED_VALUE"""),"a7f3e06b")</f>
        <v>a7f3e06b</v>
      </c>
      <c r="B51" s="4">
        <f ca="1">IFERROR(__xludf.UNSUPPORTED("""COMPUTED_VALUE"""),45001.3989467592)</f>
        <v>45001.398946759196</v>
      </c>
      <c r="C51" s="8" t="str">
        <f ca="1">IFERROR(__xludf.UNSUPPORTED("""COMPUTED_VALUE"""),"Antonina")</f>
        <v>Antonina</v>
      </c>
      <c r="D51" s="3" t="str">
        <f ca="1">IFERROR(__xludf.UNSUPPORTED("""COMPUTED_VALUE"""),"🚢 REGULAR")</f>
        <v>🚢 REGULAR</v>
      </c>
      <c r="E51" s="3" t="str">
        <f ca="1">IFERROR(__xludf.UNSUPPORTED("""COMPUTED_VALUE"""),"⚠️ PARCIALMENTE BLOQUEADO")</f>
        <v>⚠️ PARCIALMENTE BLOQUEADO</v>
      </c>
      <c r="F51" s="5">
        <f ca="1">IFERROR(__xludf.UNSUPPORTED("""COMPUTED_VALUE"""),0.25)</f>
        <v>0.25</v>
      </c>
      <c r="G51" s="3" t="str">
        <f ca="1">IFERROR(__xludf.UNSUPPORTED("""COMPUTED_VALUE"""),"Restrições de acesso na rodovia BR-277, que dá acesso aos Portos de Paranaguá e Antonina, em virtude de quedas de barreira e rachaduras na pista.
Condições atualizadas das restrições podem ser consultadas em https://www.der.pr.gov.br/, na aba ""atualizaç"&amp;"ões de tráfego"".")</f>
        <v>Restrições de acesso na rodovia BR-277, que dá acesso aos Portos de Paranaguá e Antonina, em virtude de quedas de barreira e rachaduras na pista.
Condições atualizadas das restrições podem ser consultadas em https://www.der.pr.gov.br/, na aba "atualizações de tráfego".</v>
      </c>
      <c r="H51" s="4">
        <f ca="1">IFERROR(__xludf.UNSUPPORTED("""COMPUTED_VALUE"""),45001.3989467592)</f>
        <v>45001.398946759196</v>
      </c>
      <c r="I51" s="3">
        <f ca="1">IFERROR(__xludf.UNSUPPORTED("""COMPUTED_VALUE"""),24)</f>
        <v>24</v>
      </c>
      <c r="J51" s="4">
        <f ca="1">IFERROR(__xludf.UNSUPPORTED("""COMPUTED_VALUE"""),45002.3989467592)</f>
        <v>45002.398946759196</v>
      </c>
      <c r="K51" s="3" t="str">
        <f ca="1">IFERROR(__xludf.UNSUPPORTED("""COMPUTED_VALUE"""),"URECB")</f>
        <v>URECB</v>
      </c>
      <c r="L51" s="3" t="str">
        <f ca="1">IFERROR(__xludf.UNSUPPORTED("""COMPUTED_VALUE"""),"Crítico")</f>
        <v>Crítico</v>
      </c>
    </row>
    <row r="52" spans="1:12" ht="12.75">
      <c r="A52" s="3" t="str">
        <f ca="1">IFERROR(__xludf.UNSUPPORTED("""COMPUTED_VALUE"""),"61042cb5")</f>
        <v>61042cb5</v>
      </c>
      <c r="B52" s="4">
        <f ca="1">IFERROR(__xludf.UNSUPPORTED("""COMPUTED_VALUE"""),45002.4123726851)</f>
        <v>45002.412372685103</v>
      </c>
      <c r="C52" s="7" t="str">
        <f ca="1">IFERROR(__xludf.UNSUPPORTED("""COMPUTED_VALUE"""),"Antonina")</f>
        <v>Antonina</v>
      </c>
      <c r="D52" s="3" t="str">
        <f ca="1">IFERROR(__xludf.UNSUPPORTED("""COMPUTED_VALUE"""),"🚢 REGULAR")</f>
        <v>🚢 REGULAR</v>
      </c>
      <c r="E52" s="3" t="str">
        <f ca="1">IFERROR(__xludf.UNSUPPORTED("""COMPUTED_VALUE"""),"⚠️ PARCIALMENTE BLOQUEADO")</f>
        <v>⚠️ PARCIALMENTE BLOQUEADO</v>
      </c>
      <c r="F52" s="5">
        <f ca="1">IFERROR(__xludf.UNSUPPORTED("""COMPUTED_VALUE"""),0.25)</f>
        <v>0.25</v>
      </c>
      <c r="G52" s="3" t="str">
        <f ca="1">IFERROR(__xludf.UNSUPPORTED("""COMPUTED_VALUE"""),"Restrições de acesso na rodovia BR-277, que dá acesso aos Portos de Paranaguá e Antonina, em virtude de quedas de barreira e rachaduras na pista. Condições atualizadas das restrições podem ser consultadas em https://www.der.pr.gov.br/, na aba ""atualizaçõ"&amp;"es de tráfego"".")</f>
        <v>Restrições de acesso na rodovia BR-277, que dá acesso aos Portos de Paranaguá e Antonina, em virtude de quedas de barreira e rachaduras na pista. Condições atualizadas das restrições podem ser consultadas em https://www.der.pr.gov.br/, na aba "atualizações de tráfego".</v>
      </c>
      <c r="H52" s="4">
        <f ca="1">IFERROR(__xludf.UNSUPPORTED("""COMPUTED_VALUE"""),45002.4123726851)</f>
        <v>45002.412372685103</v>
      </c>
      <c r="I52" s="3">
        <f ca="1">IFERROR(__xludf.UNSUPPORTED("""COMPUTED_VALUE"""),24)</f>
        <v>24</v>
      </c>
      <c r="J52" s="4">
        <f ca="1">IFERROR(__xludf.UNSUPPORTED("""COMPUTED_VALUE"""),45003.4123726851)</f>
        <v>45003.412372685103</v>
      </c>
      <c r="K52" s="3" t="str">
        <f ca="1">IFERROR(__xludf.UNSUPPORTED("""COMPUTED_VALUE"""),"URECB")</f>
        <v>URECB</v>
      </c>
      <c r="L52" s="3" t="str">
        <f ca="1">IFERROR(__xludf.UNSUPPORTED("""COMPUTED_VALUE"""),"Crítico")</f>
        <v>Crítico</v>
      </c>
    </row>
    <row r="53" spans="1:12" ht="12.75">
      <c r="A53" s="3" t="str">
        <f ca="1">IFERROR(__xludf.UNSUPPORTED("""COMPUTED_VALUE"""),"e33f0e44")</f>
        <v>e33f0e44</v>
      </c>
      <c r="B53" s="4">
        <f ca="1">IFERROR(__xludf.UNSUPPORTED("""COMPUTED_VALUE"""),45006.902199074)</f>
        <v>45006.902199074</v>
      </c>
      <c r="C53" s="7" t="str">
        <f ca="1">IFERROR(__xludf.UNSUPPORTED("""COMPUTED_VALUE"""),"Antonina")</f>
        <v>Antonina</v>
      </c>
      <c r="D53" s="3" t="str">
        <f ca="1">IFERROR(__xludf.UNSUPPORTED("""COMPUTED_VALUE"""),"🚢 REGULAR")</f>
        <v>🚢 REGULAR</v>
      </c>
      <c r="E53" s="3" t="str">
        <f ca="1">IFERROR(__xludf.UNSUPPORTED("""COMPUTED_VALUE"""),"⚠️ PARCIALMENTE BLOQUEADO")</f>
        <v>⚠️ PARCIALMENTE BLOQUEADO</v>
      </c>
      <c r="F53" s="5">
        <f ca="1">IFERROR(__xludf.UNSUPPORTED("""COMPUTED_VALUE"""),0.25)</f>
        <v>0.25</v>
      </c>
      <c r="G53"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53" s="4">
        <f ca="1">IFERROR(__xludf.UNSUPPORTED("""COMPUTED_VALUE"""),45006.902199074)</f>
        <v>45006.902199074</v>
      </c>
      <c r="I53" s="3">
        <f ca="1">IFERROR(__xludf.UNSUPPORTED("""COMPUTED_VALUE"""),24)</f>
        <v>24</v>
      </c>
      <c r="J53" s="4">
        <f ca="1">IFERROR(__xludf.UNSUPPORTED("""COMPUTED_VALUE"""),45007.902199074)</f>
        <v>45007.902199074</v>
      </c>
      <c r="K53" s="3" t="str">
        <f ca="1">IFERROR(__xludf.UNSUPPORTED("""COMPUTED_VALUE"""),"comunicação pessoal")</f>
        <v>comunicação pessoal</v>
      </c>
      <c r="L53" s="3" t="str">
        <f ca="1">IFERROR(__xludf.UNSUPPORTED("""COMPUTED_VALUE"""),"Crítico")</f>
        <v>Crítico</v>
      </c>
    </row>
    <row r="54" spans="1:12" ht="12.75">
      <c r="A54" s="3" t="str">
        <f ca="1">IFERROR(__xludf.UNSUPPORTED("""COMPUTED_VALUE"""),"3f43b7dd")</f>
        <v>3f43b7dd</v>
      </c>
      <c r="B54" s="4">
        <f ca="1">IFERROR(__xludf.UNSUPPORTED("""COMPUTED_VALUE"""),45015.4208912037)</f>
        <v>45015.420891203699</v>
      </c>
      <c r="C54" s="8" t="str">
        <f ca="1">IFERROR(__xludf.UNSUPPORTED("""COMPUTED_VALUE"""),"Antonina")</f>
        <v>Antonina</v>
      </c>
      <c r="D54" s="3" t="str">
        <f ca="1">IFERROR(__xludf.UNSUPPORTED("""COMPUTED_VALUE"""),"🚢 REGULAR")</f>
        <v>🚢 REGULAR</v>
      </c>
      <c r="E54" s="3" t="str">
        <f ca="1">IFERROR(__xludf.UNSUPPORTED("""COMPUTED_VALUE"""),"⚠️ PARCIALMENTE BLOQUEADO")</f>
        <v>⚠️ PARCIALMENTE BLOQUEADO</v>
      </c>
      <c r="F54" s="5">
        <f ca="1">IFERROR(__xludf.UNSUPPORTED("""COMPUTED_VALUE"""),0.25)</f>
        <v>0.25</v>
      </c>
      <c r="G54"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54" s="4">
        <f ca="1">IFERROR(__xludf.UNSUPPORTED("""COMPUTED_VALUE"""),45015.4208912037)</f>
        <v>45015.420891203699</v>
      </c>
      <c r="I54" s="3">
        <f ca="1">IFERROR(__xludf.UNSUPPORTED("""COMPUTED_VALUE"""),24)</f>
        <v>24</v>
      </c>
      <c r="J54" s="4">
        <f ca="1">IFERROR(__xludf.UNSUPPORTED("""COMPUTED_VALUE"""),45016.4208912037)</f>
        <v>45016.420891203699</v>
      </c>
      <c r="K54" s="3" t="str">
        <f ca="1">IFERROR(__xludf.UNSUPPORTED("""COMPUTED_VALUE"""),"Comunicação pessoal; DER e PRF")</f>
        <v>Comunicação pessoal; DER e PRF</v>
      </c>
      <c r="L54" s="3" t="str">
        <f ca="1">IFERROR(__xludf.UNSUPPORTED("""COMPUTED_VALUE"""),"Crítico")</f>
        <v>Crítico</v>
      </c>
    </row>
    <row r="55" spans="1:12" ht="12.75">
      <c r="A55" s="3" t="str">
        <f ca="1">IFERROR(__xludf.UNSUPPORTED("""COMPUTED_VALUE"""),"21d4105d")</f>
        <v>21d4105d</v>
      </c>
      <c r="B55" s="4">
        <f ca="1">IFERROR(__xludf.UNSUPPORTED("""COMPUTED_VALUE"""),45016.7556828703)</f>
        <v>45016.755682870302</v>
      </c>
      <c r="C55" s="7" t="str">
        <f ca="1">IFERROR(__xludf.UNSUPPORTED("""COMPUTED_VALUE"""),"Antonina")</f>
        <v>Antonina</v>
      </c>
      <c r="D55" s="3" t="str">
        <f ca="1">IFERROR(__xludf.UNSUPPORTED("""COMPUTED_VALUE"""),"🚢 REGULAR")</f>
        <v>🚢 REGULAR</v>
      </c>
      <c r="E55" s="3" t="str">
        <f ca="1">IFERROR(__xludf.UNSUPPORTED("""COMPUTED_VALUE"""),"⚠️ PARCIALMENTE BLOQUEADO")</f>
        <v>⚠️ PARCIALMENTE BLOQUEADO</v>
      </c>
      <c r="F55" s="5">
        <f ca="1">IFERROR(__xludf.UNSUPPORTED("""COMPUTED_VALUE"""),0.25)</f>
        <v>0.25</v>
      </c>
      <c r="G55"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55" s="4">
        <f ca="1">IFERROR(__xludf.UNSUPPORTED("""COMPUTED_VALUE"""),45016.7556828703)</f>
        <v>45016.755682870302</v>
      </c>
      <c r="I55" s="3">
        <f ca="1">IFERROR(__xludf.UNSUPPORTED("""COMPUTED_VALUE"""),6)</f>
        <v>6</v>
      </c>
      <c r="J55" s="4">
        <f ca="1">IFERROR(__xludf.UNSUPPORTED("""COMPUTED_VALUE"""),45017.0056828703)</f>
        <v>45017.005682870302</v>
      </c>
      <c r="K55" s="3" t="str">
        <f ca="1">IFERROR(__xludf.UNSUPPORTED("""COMPUTED_VALUE"""),"Comunicação pessoal; twitter da PRF e DER")</f>
        <v>Comunicação pessoal; twitter da PRF e DER</v>
      </c>
      <c r="L55" s="3" t="str">
        <f ca="1">IFERROR(__xludf.UNSUPPORTED("""COMPUTED_VALUE"""),"Crítico")</f>
        <v>Crítico</v>
      </c>
    </row>
    <row r="56" spans="1:12" ht="12.75">
      <c r="A56" s="3" t="str">
        <f ca="1">IFERROR(__xludf.UNSUPPORTED("""COMPUTED_VALUE"""),"5563d439")</f>
        <v>5563d439</v>
      </c>
      <c r="B56" s="4">
        <f ca="1">IFERROR(__xludf.UNSUPPORTED("""COMPUTED_VALUE"""),45020.3861921296)</f>
        <v>45020.386192129597</v>
      </c>
      <c r="C56" s="7" t="str">
        <f ca="1">IFERROR(__xludf.UNSUPPORTED("""COMPUTED_VALUE"""),"Antonina")</f>
        <v>Antonina</v>
      </c>
      <c r="D56" s="3" t="str">
        <f ca="1">IFERROR(__xludf.UNSUPPORTED("""COMPUTED_VALUE"""),"🚢 REGULAR")</f>
        <v>🚢 REGULAR</v>
      </c>
      <c r="E56" s="3" t="str">
        <f ca="1">IFERROR(__xludf.UNSUPPORTED("""COMPUTED_VALUE"""),"⚠️ PARCIALMENTE BLOQUEADO")</f>
        <v>⚠️ PARCIALMENTE BLOQUEADO</v>
      </c>
      <c r="F56" s="5">
        <f ca="1">IFERROR(__xludf.UNSUPPORTED("""COMPUTED_VALUE"""),0.25)</f>
        <v>0.25</v>
      </c>
      <c r="G56"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56" s="4">
        <f ca="1">IFERROR(__xludf.UNSUPPORTED("""COMPUTED_VALUE"""),45020.3861921296)</f>
        <v>45020.386192129597</v>
      </c>
      <c r="I56" s="3">
        <f ca="1">IFERROR(__xludf.UNSUPPORTED("""COMPUTED_VALUE"""),24)</f>
        <v>24</v>
      </c>
      <c r="J56" s="4">
        <f ca="1">IFERROR(__xludf.UNSUPPORTED("""COMPUTED_VALUE"""),45021.3861921296)</f>
        <v>45021.386192129597</v>
      </c>
      <c r="K56" s="3" t="str">
        <f ca="1">IFERROR(__xludf.UNSUPPORTED("""COMPUTED_VALUE"""),"Comunicação pessoal; site e redes sociais de DER e PRF")</f>
        <v>Comunicação pessoal; site e redes sociais de DER e PRF</v>
      </c>
      <c r="L56" s="3" t="str">
        <f ca="1">IFERROR(__xludf.UNSUPPORTED("""COMPUTED_VALUE"""),"Crítico")</f>
        <v>Crítico</v>
      </c>
    </row>
    <row r="57" spans="1:12" ht="12.75">
      <c r="A57" s="3" t="str">
        <f ca="1">IFERROR(__xludf.UNSUPPORTED("""COMPUTED_VALUE"""),"ba191eb2")</f>
        <v>ba191eb2</v>
      </c>
      <c r="B57" s="4">
        <f ca="1">IFERROR(__xludf.UNSUPPORTED("""COMPUTED_VALUE"""),45022.4082291666)</f>
        <v>45022.408229166598</v>
      </c>
      <c r="C57" s="7" t="str">
        <f ca="1">IFERROR(__xludf.UNSUPPORTED("""COMPUTED_VALUE"""),"Antonina")</f>
        <v>Antonina</v>
      </c>
      <c r="D57" s="3" t="str">
        <f ca="1">IFERROR(__xludf.UNSUPPORTED("""COMPUTED_VALUE"""),"🚢 REGULAR")</f>
        <v>🚢 REGULAR</v>
      </c>
      <c r="E57" s="3" t="str">
        <f ca="1">IFERROR(__xludf.UNSUPPORTED("""COMPUTED_VALUE"""),"⚠️ PARCIALMENTE BLOQUEADO")</f>
        <v>⚠️ PARCIALMENTE BLOQUEADO</v>
      </c>
      <c r="F57" s="5">
        <f ca="1">IFERROR(__xludf.UNSUPPORTED("""COMPUTED_VALUE"""),0.25)</f>
        <v>0.25</v>
      </c>
      <c r="G57"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
FONTE DA INFORMAÇÃO:"&amp;" Comunicação pessoal; site e redes sociais de DER e PRF")</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
FONTE DA INFORMAÇÃO: Comunicação pessoal; site e redes sociais de DER e PRF</v>
      </c>
      <c r="H57" s="4">
        <f ca="1">IFERROR(__xludf.UNSUPPORTED("""COMPUTED_VALUE"""),45022.4082291666)</f>
        <v>45022.408229166598</v>
      </c>
      <c r="I57" s="3">
        <f ca="1">IFERROR(__xludf.UNSUPPORTED("""COMPUTED_VALUE"""),24)</f>
        <v>24</v>
      </c>
      <c r="J57" s="4">
        <f ca="1">IFERROR(__xludf.UNSUPPORTED("""COMPUTED_VALUE"""),45023.4082291666)</f>
        <v>45023.408229166598</v>
      </c>
      <c r="K57" s="3" t="str">
        <f ca="1">IFERROR(__xludf.UNSUPPORTED("""COMPUTED_VALUE"""),"URECB")</f>
        <v>URECB</v>
      </c>
      <c r="L57" s="3" t="str">
        <f ca="1">IFERROR(__xludf.UNSUPPORTED("""COMPUTED_VALUE"""),"Crítico")</f>
        <v>Crítico</v>
      </c>
    </row>
    <row r="58" spans="1:12" ht="12.75">
      <c r="A58" s="3" t="str">
        <f ca="1">IFERROR(__xludf.UNSUPPORTED("""COMPUTED_VALUE"""),"d1229304")</f>
        <v>d1229304</v>
      </c>
      <c r="B58" s="4">
        <f ca="1">IFERROR(__xludf.UNSUPPORTED("""COMPUTED_VALUE"""),45026.365162037)</f>
        <v>45026.365162037</v>
      </c>
      <c r="C58" s="8" t="str">
        <f ca="1">IFERROR(__xludf.UNSUPPORTED("""COMPUTED_VALUE"""),"Antonina")</f>
        <v>Antonina</v>
      </c>
      <c r="D58" s="3" t="str">
        <f ca="1">IFERROR(__xludf.UNSUPPORTED("""COMPUTED_VALUE"""),"🚢 REGULAR")</f>
        <v>🚢 REGULAR</v>
      </c>
      <c r="E58" s="3" t="str">
        <f ca="1">IFERROR(__xludf.UNSUPPORTED("""COMPUTED_VALUE"""),"⚠️ PARCIALMENTE BLOQUEADO")</f>
        <v>⚠️ PARCIALMENTE BLOQUEADO</v>
      </c>
      <c r="F58" s="5">
        <f ca="1">IFERROR(__xludf.UNSUPPORTED("""COMPUTED_VALUE"""),0.25)</f>
        <v>0.25</v>
      </c>
      <c r="G58"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58" s="4">
        <f ca="1">IFERROR(__xludf.UNSUPPORTED("""COMPUTED_VALUE"""),45026.365162037)</f>
        <v>45026.365162037</v>
      </c>
      <c r="I58" s="3">
        <f ca="1">IFERROR(__xludf.UNSUPPORTED("""COMPUTED_VALUE"""),24)</f>
        <v>24</v>
      </c>
      <c r="J58" s="4">
        <f ca="1">IFERROR(__xludf.UNSUPPORTED("""COMPUTED_VALUE"""),45027.365162037)</f>
        <v>45027.365162037</v>
      </c>
      <c r="K58" s="3" t="str">
        <f ca="1">IFERROR(__xludf.UNSUPPORTED("""COMPUTED_VALUE"""),"Comunicação pessoal; site e redes sociais de DER e PRF")</f>
        <v>Comunicação pessoal; site e redes sociais de DER e PRF</v>
      </c>
      <c r="L58" s="3" t="str">
        <f ca="1">IFERROR(__xludf.UNSUPPORTED("""COMPUTED_VALUE"""),"Crítico")</f>
        <v>Crítico</v>
      </c>
    </row>
    <row r="59" spans="1:12" ht="12.75">
      <c r="A59" s="3" t="str">
        <f ca="1">IFERROR(__xludf.UNSUPPORTED("""COMPUTED_VALUE"""),"1d00323d")</f>
        <v>1d00323d</v>
      </c>
      <c r="B59" s="4">
        <f ca="1">IFERROR(__xludf.UNSUPPORTED("""COMPUTED_VALUE"""),45027.658125)</f>
        <v>45027.658125000002</v>
      </c>
      <c r="C59" s="8" t="str">
        <f ca="1">IFERROR(__xludf.UNSUPPORTED("""COMPUTED_VALUE"""),"Antonina")</f>
        <v>Antonina</v>
      </c>
      <c r="D59" s="3" t="str">
        <f ca="1">IFERROR(__xludf.UNSUPPORTED("""COMPUTED_VALUE"""),"🚢 REGULAR")</f>
        <v>🚢 REGULAR</v>
      </c>
      <c r="E59" s="3" t="str">
        <f ca="1">IFERROR(__xludf.UNSUPPORTED("""COMPUTED_VALUE"""),"⚠️ PARCIALMENTE BLOQUEADO")</f>
        <v>⚠️ PARCIALMENTE BLOQUEADO</v>
      </c>
      <c r="F59" s="5">
        <f ca="1">IFERROR(__xludf.UNSUPPORTED("""COMPUTED_VALUE"""),0.25)</f>
        <v>0.25</v>
      </c>
      <c r="G59"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59" s="4">
        <f ca="1">IFERROR(__xludf.UNSUPPORTED("""COMPUTED_VALUE"""),45027.658125)</f>
        <v>45027.658125000002</v>
      </c>
      <c r="I59" s="3">
        <f ca="1">IFERROR(__xludf.UNSUPPORTED("""COMPUTED_VALUE"""),24)</f>
        <v>24</v>
      </c>
      <c r="J59" s="4">
        <f ca="1">IFERROR(__xludf.UNSUPPORTED("""COMPUTED_VALUE"""),45028.658125)</f>
        <v>45028.658125000002</v>
      </c>
      <c r="K59" s="3" t="str">
        <f ca="1">IFERROR(__xludf.UNSUPPORTED("""COMPUTED_VALUE"""),"Comunicação pessoal; site e redes sociais de DER e PRF")</f>
        <v>Comunicação pessoal; site e redes sociais de DER e PRF</v>
      </c>
      <c r="L59" s="3" t="str">
        <f ca="1">IFERROR(__xludf.UNSUPPORTED("""COMPUTED_VALUE"""),"Crítico")</f>
        <v>Crítico</v>
      </c>
    </row>
    <row r="60" spans="1:12" ht="12.75">
      <c r="A60" s="3" t="str">
        <f ca="1">IFERROR(__xludf.UNSUPPORTED("""COMPUTED_VALUE"""),"8e241c24")</f>
        <v>8e241c24</v>
      </c>
      <c r="B60" s="4">
        <f ca="1">IFERROR(__xludf.UNSUPPORTED("""COMPUTED_VALUE"""),45029.6720023148)</f>
        <v>45029.672002314801</v>
      </c>
      <c r="C60" s="7" t="str">
        <f ca="1">IFERROR(__xludf.UNSUPPORTED("""COMPUTED_VALUE"""),"Antonina")</f>
        <v>Antonina</v>
      </c>
      <c r="D60" s="3" t="str">
        <f ca="1">IFERROR(__xludf.UNSUPPORTED("""COMPUTED_VALUE"""),"🚢 REGULAR")</f>
        <v>🚢 REGULAR</v>
      </c>
      <c r="E60" s="3" t="str">
        <f ca="1">IFERROR(__xludf.UNSUPPORTED("""COMPUTED_VALUE"""),"⚠️ PARCIALMENTE BLOQUEADO")</f>
        <v>⚠️ PARCIALMENTE BLOQUEADO</v>
      </c>
      <c r="F60" s="5">
        <f ca="1">IFERROR(__xludf.UNSUPPORTED("""COMPUTED_VALUE"""),0.25)</f>
        <v>0.25</v>
      </c>
      <c r="G60"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60" s="4">
        <f ca="1">IFERROR(__xludf.UNSUPPORTED("""COMPUTED_VALUE"""),45029.6720023148)</f>
        <v>45029.672002314801</v>
      </c>
      <c r="I60" s="3">
        <f ca="1">IFERROR(__xludf.UNSUPPORTED("""COMPUTED_VALUE"""),24)</f>
        <v>24</v>
      </c>
      <c r="J60" s="4">
        <f ca="1">IFERROR(__xludf.UNSUPPORTED("""COMPUTED_VALUE"""),45030.6720023148)</f>
        <v>45030.672002314801</v>
      </c>
      <c r="K60" s="3" t="str">
        <f ca="1">IFERROR(__xludf.UNSUPPORTED("""COMPUTED_VALUE"""),"FONTE DA INFORMAÇÃO: Comunicação pessoal; site e redes sociais de DER e PRF")</f>
        <v>FONTE DA INFORMAÇÃO: Comunicação pessoal; site e redes sociais de DER e PRF</v>
      </c>
      <c r="L60" s="3" t="str">
        <f ca="1">IFERROR(__xludf.UNSUPPORTED("""COMPUTED_VALUE"""),"Crítico")</f>
        <v>Crítico</v>
      </c>
    </row>
    <row r="61" spans="1:12" ht="12.75">
      <c r="A61" s="3" t="str">
        <f ca="1">IFERROR(__xludf.UNSUPPORTED("""COMPUTED_VALUE"""),"be3797f1")</f>
        <v>be3797f1</v>
      </c>
      <c r="B61" s="4">
        <f ca="1">IFERROR(__xludf.UNSUPPORTED("""COMPUTED_VALUE"""),45034.4412384259)</f>
        <v>45034.441238425898</v>
      </c>
      <c r="C61" s="7" t="str">
        <f ca="1">IFERROR(__xludf.UNSUPPORTED("""COMPUTED_VALUE"""),"Antonina")</f>
        <v>Antonina</v>
      </c>
      <c r="D61" s="3" t="str">
        <f ca="1">IFERROR(__xludf.UNSUPPORTED("""COMPUTED_VALUE"""),"🚢 REGULAR")</f>
        <v>🚢 REGULAR</v>
      </c>
      <c r="E61" s="3" t="str">
        <f ca="1">IFERROR(__xludf.UNSUPPORTED("""COMPUTED_VALUE"""),"⚠️ PARCIALMENTE BLOQUEADO")</f>
        <v>⚠️ PARCIALMENTE BLOQUEADO</v>
      </c>
      <c r="F61" s="5">
        <f ca="1">IFERROR(__xludf.UNSUPPORTED("""COMPUTED_VALUE"""),0.25)</f>
        <v>0.25</v>
      </c>
      <c r="G61" s="3" t="str">
        <f ca="1">IFERROR(__xludf.UNSUPPORTED("""COMPUTED_VALUE"""),"Rodovia BR277, que dá acesso ao Porto, operando em pista simples em trecho de serra por conta de obras. Desvio operacional no km 33.
Informações atualizadas podem ser obtidas em twitter.com/prf_pr e  www.der.pr.gov.br (clicando em seguida em “Atualizaçõe"&amp;"s de Tráfego”).")</f>
        <v>Rodovia BR277, que dá acesso ao Porto, operando em pista simples em trecho de serra por conta de obras. Desvio operacional no km 33.
Informações atualizadas podem ser obtidas em twitter.com/prf_pr e  www.der.pr.gov.br (clicando em seguida em “Atualizações de Tráfego”).</v>
      </c>
      <c r="H61" s="4">
        <f ca="1">IFERROR(__xludf.UNSUPPORTED("""COMPUTED_VALUE"""),45034.4412384259)</f>
        <v>45034.441238425898</v>
      </c>
      <c r="I61" s="3">
        <f ca="1">IFERROR(__xludf.UNSUPPORTED("""COMPUTED_VALUE"""),24)</f>
        <v>24</v>
      </c>
      <c r="J61" s="4">
        <f ca="1">IFERROR(__xludf.UNSUPPORTED("""COMPUTED_VALUE"""),45035.4412384259)</f>
        <v>45035.441238425898</v>
      </c>
      <c r="K61" s="6" t="str">
        <f ca="1">IFERROR(__xludf.UNSUPPORTED("""COMPUTED_VALUE"""),"www.der.pr.gov.br")</f>
        <v>www.der.pr.gov.br</v>
      </c>
      <c r="L61" s="3" t="str">
        <f ca="1">IFERROR(__xludf.UNSUPPORTED("""COMPUTED_VALUE"""),"Crítico")</f>
        <v>Crítico</v>
      </c>
    </row>
    <row r="62" spans="1:12" ht="12.75">
      <c r="A62" s="3" t="str">
        <f ca="1">IFERROR(__xludf.UNSUPPORTED("""COMPUTED_VALUE"""),"ab274d52")</f>
        <v>ab274d52</v>
      </c>
      <c r="B62" s="4">
        <f ca="1">IFERROR(__xludf.UNSUPPORTED("""COMPUTED_VALUE"""),45121.6894560185)</f>
        <v>45121.689456018503</v>
      </c>
      <c r="C62" s="7" t="str">
        <f ca="1">IFERROR(__xludf.UNSUPPORTED("""COMPUTED_VALUE"""),"Antonina")</f>
        <v>Antonina</v>
      </c>
      <c r="D62" s="3" t="str">
        <f ca="1">IFERROR(__xludf.UNSUPPORTED("""COMPUTED_VALUE"""),"🚢 REGULAR")</f>
        <v>🚢 REGULAR</v>
      </c>
      <c r="E62" s="3" t="str">
        <f ca="1">IFERROR(__xludf.UNSUPPORTED("""COMPUTED_VALUE"""),"🚛 LIBERADO")</f>
        <v>🚛 LIBERADO</v>
      </c>
      <c r="F62" s="5">
        <f ca="1">IFERROR(__xludf.UNSUPPORTED("""COMPUTED_VALUE"""),0)</f>
        <v>0</v>
      </c>
      <c r="G62" s="3" t="str">
        <f ca="1">IFERROR(__xludf.UNSUPPORTED("""COMPUTED_VALUE"""),"Normalidade")</f>
        <v>Normalidade</v>
      </c>
      <c r="H62" s="4">
        <f ca="1">IFERROR(__xludf.UNSUPPORTED("""COMPUTED_VALUE"""),45121.6894560185)</f>
        <v>45121.689456018503</v>
      </c>
      <c r="I62" s="3">
        <f ca="1">IFERROR(__xludf.UNSUPPORTED("""COMPUTED_VALUE"""),24)</f>
        <v>24</v>
      </c>
      <c r="J62" s="4">
        <f ca="1">IFERROR(__xludf.UNSUPPORTED("""COMPUTED_VALUE"""),45122.6894560185)</f>
        <v>45122.689456018503</v>
      </c>
    </row>
    <row r="63" spans="1:12" ht="12.75">
      <c r="A63" s="3" t="str">
        <f ca="1">IFERROR(__xludf.UNSUPPORTED("""COMPUTED_VALUE"""),"5185707f")</f>
        <v>5185707f</v>
      </c>
      <c r="B63" s="4">
        <f ca="1">IFERROR(__xludf.UNSUPPORTED("""COMPUTED_VALUE"""),45125.8406712963)</f>
        <v>45125.840671296297</v>
      </c>
      <c r="C63" s="7" t="str">
        <f ca="1">IFERROR(__xludf.UNSUPPORTED("""COMPUTED_VALUE"""),"Antonina")</f>
        <v>Antonina</v>
      </c>
      <c r="D63" s="3" t="str">
        <f ca="1">IFERROR(__xludf.UNSUPPORTED("""COMPUTED_VALUE"""),"🚢 REGULAR")</f>
        <v>🚢 REGULAR</v>
      </c>
      <c r="E63" s="3" t="str">
        <f ca="1">IFERROR(__xludf.UNSUPPORTED("""COMPUTED_VALUE"""),"🚛 LIBERADO")</f>
        <v>🚛 LIBERADO</v>
      </c>
      <c r="F63" s="5">
        <f ca="1">IFERROR(__xludf.UNSUPPORTED("""COMPUTED_VALUE"""),0)</f>
        <v>0</v>
      </c>
      <c r="G63" s="3" t="str">
        <f ca="1">IFERROR(__xludf.UNSUPPORTED("""COMPUTED_VALUE"""),"Normalidade")</f>
        <v>Normalidade</v>
      </c>
      <c r="H63" s="4">
        <f ca="1">IFERROR(__xludf.UNSUPPORTED("""COMPUTED_VALUE"""),45125.8406712963)</f>
        <v>45125.840671296297</v>
      </c>
      <c r="I63" s="3">
        <f ca="1">IFERROR(__xludf.UNSUPPORTED("""COMPUTED_VALUE"""),24)</f>
        <v>24</v>
      </c>
      <c r="J63" s="4">
        <f ca="1">IFERROR(__xludf.UNSUPPORTED("""COMPUTED_VALUE"""),45126.8406712963)</f>
        <v>45126.840671296297</v>
      </c>
    </row>
    <row r="64" spans="1:12" ht="12.75">
      <c r="A64" s="3" t="str">
        <f ca="1">IFERROR(__xludf.UNSUPPORTED("""COMPUTED_VALUE"""),"02b44f0f")</f>
        <v>02b44f0f</v>
      </c>
      <c r="B64" s="4">
        <f ca="1">IFERROR(__xludf.UNSUPPORTED("""COMPUTED_VALUE"""),44865.8918981481)</f>
        <v>44865.891898148097</v>
      </c>
      <c r="C64" s="7" t="str">
        <f ca="1">IFERROR(__xludf.UNSUPPORTED("""COMPUTED_VALUE"""),"Aratu")</f>
        <v>Aratu</v>
      </c>
      <c r="D64" s="3" t="str">
        <f ca="1">IFERROR(__xludf.UNSUPPORTED("""COMPUTED_VALUE"""),"🚢 REGULAR")</f>
        <v>🚢 REGULAR</v>
      </c>
      <c r="E64" s="3" t="str">
        <f ca="1">IFERROR(__xludf.UNSUPPORTED("""COMPUTED_VALUE"""),"🚛 LIBERADO")</f>
        <v>🚛 LIBERADO</v>
      </c>
      <c r="F64" s="5">
        <f ca="1">IFERROR(__xludf.UNSUPPORTED("""COMPUTED_VALUE"""),0)</f>
        <v>0</v>
      </c>
      <c r="G64" s="3" t="str">
        <f ca="1">IFERROR(__xludf.UNSUPPORTED("""COMPUTED_VALUE"""),"Normal")</f>
        <v>Normal</v>
      </c>
      <c r="H64" s="4">
        <f ca="1">IFERROR(__xludf.UNSUPPORTED("""COMPUTED_VALUE"""),44868.2618055555)</f>
        <v>44868.261805555499</v>
      </c>
      <c r="I64" s="3">
        <f ca="1">IFERROR(__xludf.UNSUPPORTED("""COMPUTED_VALUE"""),23)</f>
        <v>23</v>
      </c>
      <c r="J64" s="4">
        <f ca="1">IFERROR(__xludf.UNSUPPORTED("""COMPUTED_VALUE"""),44869.2201388888)</f>
        <v>44869.220138888799</v>
      </c>
    </row>
    <row r="65" spans="1:10" ht="12.75">
      <c r="A65" s="3" t="str">
        <f ca="1">IFERROR(__xludf.UNSUPPORTED("""COMPUTED_VALUE"""),"1cfb7c95")</f>
        <v>1cfb7c95</v>
      </c>
      <c r="B65" s="4">
        <f ca="1">IFERROR(__xludf.UNSUPPORTED("""COMPUTED_VALUE"""),44868.4454513888)</f>
        <v>44868.445451388798</v>
      </c>
      <c r="C65" s="8" t="str">
        <f ca="1">IFERROR(__xludf.UNSUPPORTED("""COMPUTED_VALUE"""),"Aratu")</f>
        <v>Aratu</v>
      </c>
      <c r="D65" s="3" t="str">
        <f ca="1">IFERROR(__xludf.UNSUPPORTED("""COMPUTED_VALUE"""),"🚢 REGULAR")</f>
        <v>🚢 REGULAR</v>
      </c>
      <c r="E65" s="3" t="str">
        <f ca="1">IFERROR(__xludf.UNSUPPORTED("""COMPUTED_VALUE"""),"🚛 LIBERADO")</f>
        <v>🚛 LIBERADO</v>
      </c>
      <c r="F65" s="5">
        <f ca="1">IFERROR(__xludf.UNSUPPORTED("""COMPUTED_VALUE"""),0)</f>
        <v>0</v>
      </c>
      <c r="G65" s="3" t="str">
        <f ca="1">IFERROR(__xludf.UNSUPPORTED("""COMPUTED_VALUE"""),"Normal")</f>
        <v>Normal</v>
      </c>
      <c r="H65" s="4">
        <f ca="1">IFERROR(__xludf.UNSUPPORTED("""COMPUTED_VALUE"""),44868.4454513888)</f>
        <v>44868.445451388798</v>
      </c>
      <c r="I65" s="3">
        <f ca="1">IFERROR(__xludf.UNSUPPORTED("""COMPUTED_VALUE"""),24)</f>
        <v>24</v>
      </c>
      <c r="J65" s="4">
        <f ca="1">IFERROR(__xludf.UNSUPPORTED("""COMPUTED_VALUE"""),44869.4454513888)</f>
        <v>44869.445451388798</v>
      </c>
    </row>
    <row r="66" spans="1:10" ht="12.75">
      <c r="A66" s="3" t="str">
        <f ca="1">IFERROR(__xludf.UNSUPPORTED("""COMPUTED_VALUE"""),"8007b3e1")</f>
        <v>8007b3e1</v>
      </c>
      <c r="B66" s="4">
        <f ca="1">IFERROR(__xludf.UNSUPPORTED("""COMPUTED_VALUE"""),44869.3109259259)</f>
        <v>44869.3109259259</v>
      </c>
      <c r="C66" s="7" t="str">
        <f ca="1">IFERROR(__xludf.UNSUPPORTED("""COMPUTED_VALUE"""),"Aratu")</f>
        <v>Aratu</v>
      </c>
      <c r="D66" s="3" t="str">
        <f ca="1">IFERROR(__xludf.UNSUPPORTED("""COMPUTED_VALUE"""),"🚢 REGULAR")</f>
        <v>🚢 REGULAR</v>
      </c>
      <c r="E66" s="3" t="str">
        <f ca="1">IFERROR(__xludf.UNSUPPORTED("""COMPUTED_VALUE"""),"🚛 LIBERADO")</f>
        <v>🚛 LIBERADO</v>
      </c>
      <c r="F66" s="5">
        <f ca="1">IFERROR(__xludf.UNSUPPORTED("""COMPUTED_VALUE"""),0)</f>
        <v>0</v>
      </c>
      <c r="G66" s="3" t="str">
        <f ca="1">IFERROR(__xludf.UNSUPPORTED("""COMPUTED_VALUE"""),"Normalidade")</f>
        <v>Normalidade</v>
      </c>
      <c r="H66" s="4">
        <f ca="1">IFERROR(__xludf.UNSUPPORTED("""COMPUTED_VALUE"""),44869.3104166666)</f>
        <v>44869.310416666602</v>
      </c>
      <c r="I66" s="3">
        <f ca="1">IFERROR(__xludf.UNSUPPORTED("""COMPUTED_VALUE"""),24)</f>
        <v>24</v>
      </c>
      <c r="J66" s="4">
        <f ca="1">IFERROR(__xludf.UNSUPPORTED("""COMPUTED_VALUE"""),44870.3104166666)</f>
        <v>44870.310416666602</v>
      </c>
    </row>
    <row r="67" spans="1:10" ht="12.75">
      <c r="A67" s="3" t="str">
        <f ca="1">IFERROR(__xludf.UNSUPPORTED("""COMPUTED_VALUE"""),"93c6b158")</f>
        <v>93c6b158</v>
      </c>
      <c r="B67" s="4">
        <f ca="1">IFERROR(__xludf.UNSUPPORTED("""COMPUTED_VALUE"""),44870.3240856481)</f>
        <v>44870.324085648099</v>
      </c>
      <c r="C67" s="8" t="str">
        <f ca="1">IFERROR(__xludf.UNSUPPORTED("""COMPUTED_VALUE"""),"Aratu")</f>
        <v>Aratu</v>
      </c>
      <c r="D67" s="3" t="str">
        <f ca="1">IFERROR(__xludf.UNSUPPORTED("""COMPUTED_VALUE"""),"🚢 REGULAR")</f>
        <v>🚢 REGULAR</v>
      </c>
      <c r="E67" s="3" t="str">
        <f ca="1">IFERROR(__xludf.UNSUPPORTED("""COMPUTED_VALUE"""),"🚛 LIBERADO")</f>
        <v>🚛 LIBERADO</v>
      </c>
      <c r="F67" s="5">
        <f ca="1">IFERROR(__xludf.UNSUPPORTED("""COMPUTED_VALUE"""),0)</f>
        <v>0</v>
      </c>
      <c r="G67" s="3" t="str">
        <f ca="1">IFERROR(__xludf.UNSUPPORTED("""COMPUTED_VALUE"""),"Normalidade")</f>
        <v>Normalidade</v>
      </c>
      <c r="H67" s="4">
        <f ca="1">IFERROR(__xludf.UNSUPPORTED("""COMPUTED_VALUE"""),44870.3240856481)</f>
        <v>44870.324085648099</v>
      </c>
      <c r="I67" s="3">
        <f ca="1">IFERROR(__xludf.UNSUPPORTED("""COMPUTED_VALUE"""),23)</f>
        <v>23</v>
      </c>
      <c r="J67" s="4">
        <f ca="1">IFERROR(__xludf.UNSUPPORTED("""COMPUTED_VALUE"""),44871.2824189814)</f>
        <v>44871.282418981398</v>
      </c>
    </row>
    <row r="68" spans="1:10" ht="12.75">
      <c r="A68" s="3" t="str">
        <f ca="1">IFERROR(__xludf.UNSUPPORTED("""COMPUTED_VALUE"""),"52ba474b")</f>
        <v>52ba474b</v>
      </c>
      <c r="B68" s="4">
        <f ca="1">IFERROR(__xludf.UNSUPPORTED("""COMPUTED_VALUE"""),44871.4163194444)</f>
        <v>44871.416319444397</v>
      </c>
      <c r="C68" s="8" t="str">
        <f ca="1">IFERROR(__xludf.UNSUPPORTED("""COMPUTED_VALUE"""),"Aratu")</f>
        <v>Aratu</v>
      </c>
      <c r="D68" s="3" t="str">
        <f ca="1">IFERROR(__xludf.UNSUPPORTED("""COMPUTED_VALUE"""),"🚢 REGULAR")</f>
        <v>🚢 REGULAR</v>
      </c>
      <c r="E68" s="3" t="str">
        <f ca="1">IFERROR(__xludf.UNSUPPORTED("""COMPUTED_VALUE"""),"🚛 LIBERADO")</f>
        <v>🚛 LIBERADO</v>
      </c>
      <c r="F68" s="5">
        <f ca="1">IFERROR(__xludf.UNSUPPORTED("""COMPUTED_VALUE"""),0)</f>
        <v>0</v>
      </c>
      <c r="G68" s="3" t="str">
        <f ca="1">IFERROR(__xludf.UNSUPPORTED("""COMPUTED_VALUE"""),"Normalidade")</f>
        <v>Normalidade</v>
      </c>
      <c r="H68" s="4">
        <f ca="1">IFERROR(__xludf.UNSUPPORTED("""COMPUTED_VALUE"""),44871.4163194444)</f>
        <v>44871.416319444397</v>
      </c>
      <c r="I68" s="3">
        <f ca="1">IFERROR(__xludf.UNSUPPORTED("""COMPUTED_VALUE"""),24)</f>
        <v>24</v>
      </c>
      <c r="J68" s="4">
        <f ca="1">IFERROR(__xludf.UNSUPPORTED("""COMPUTED_VALUE"""),44872.4163194444)</f>
        <v>44872.416319444397</v>
      </c>
    </row>
    <row r="69" spans="1:10" ht="12.75">
      <c r="A69" s="3" t="str">
        <f ca="1">IFERROR(__xludf.UNSUPPORTED("""COMPUTED_VALUE"""),"0dcbeaf9")</f>
        <v>0dcbeaf9</v>
      </c>
      <c r="B69" s="4">
        <f ca="1">IFERROR(__xludf.UNSUPPORTED("""COMPUTED_VALUE"""),44872.4183796296)</f>
        <v>44872.418379629598</v>
      </c>
      <c r="C69" s="7" t="str">
        <f ca="1">IFERROR(__xludf.UNSUPPORTED("""COMPUTED_VALUE"""),"Aratu")</f>
        <v>Aratu</v>
      </c>
      <c r="D69" s="3" t="str">
        <f ca="1">IFERROR(__xludf.UNSUPPORTED("""COMPUTED_VALUE"""),"🚢 REGULAR")</f>
        <v>🚢 REGULAR</v>
      </c>
      <c r="E69" s="3" t="str">
        <f ca="1">IFERROR(__xludf.UNSUPPORTED("""COMPUTED_VALUE"""),"🚛 LIBERADO")</f>
        <v>🚛 LIBERADO</v>
      </c>
      <c r="F69" s="5">
        <f ca="1">IFERROR(__xludf.UNSUPPORTED("""COMPUTED_VALUE"""),0)</f>
        <v>0</v>
      </c>
      <c r="G69" s="3" t="str">
        <f ca="1">IFERROR(__xludf.UNSUPPORTED("""COMPUTED_VALUE"""),"Normalidade")</f>
        <v>Normalidade</v>
      </c>
      <c r="H69" s="4">
        <f ca="1">IFERROR(__xludf.UNSUPPORTED("""COMPUTED_VALUE"""),44872.4183796296)</f>
        <v>44872.418379629598</v>
      </c>
      <c r="I69" s="3">
        <f ca="1">IFERROR(__xludf.UNSUPPORTED("""COMPUTED_VALUE"""),24)</f>
        <v>24</v>
      </c>
      <c r="J69" s="4">
        <f ca="1">IFERROR(__xludf.UNSUPPORTED("""COMPUTED_VALUE"""),44873.4183796296)</f>
        <v>44873.418379629598</v>
      </c>
    </row>
    <row r="70" spans="1:10" ht="12.75">
      <c r="A70" s="3" t="str">
        <f ca="1">IFERROR(__xludf.UNSUPPORTED("""COMPUTED_VALUE"""),"87142d49")</f>
        <v>87142d49</v>
      </c>
      <c r="B70" s="4">
        <f ca="1">IFERROR(__xludf.UNSUPPORTED("""COMPUTED_VALUE"""),44873.413761574)</f>
        <v>44873.413761573996</v>
      </c>
      <c r="C70" s="8" t="str">
        <f ca="1">IFERROR(__xludf.UNSUPPORTED("""COMPUTED_VALUE"""),"Aratu")</f>
        <v>Aratu</v>
      </c>
      <c r="D70" s="3" t="str">
        <f ca="1">IFERROR(__xludf.UNSUPPORTED("""COMPUTED_VALUE"""),"🚢 REGULAR")</f>
        <v>🚢 REGULAR</v>
      </c>
      <c r="E70" s="3" t="str">
        <f ca="1">IFERROR(__xludf.UNSUPPORTED("""COMPUTED_VALUE"""),"🚛 LIBERADO")</f>
        <v>🚛 LIBERADO</v>
      </c>
      <c r="F70" s="5">
        <f ca="1">IFERROR(__xludf.UNSUPPORTED("""COMPUTED_VALUE"""),0)</f>
        <v>0</v>
      </c>
      <c r="G70" s="3" t="str">
        <f ca="1">IFERROR(__xludf.UNSUPPORTED("""COMPUTED_VALUE"""),"Normalidade")</f>
        <v>Normalidade</v>
      </c>
      <c r="H70" s="4">
        <f ca="1">IFERROR(__xludf.UNSUPPORTED("""COMPUTED_VALUE"""),44873.413761574)</f>
        <v>44873.413761573996</v>
      </c>
      <c r="I70" s="3">
        <f ca="1">IFERROR(__xludf.UNSUPPORTED("""COMPUTED_VALUE"""),24)</f>
        <v>24</v>
      </c>
      <c r="J70" s="4">
        <f ca="1">IFERROR(__xludf.UNSUPPORTED("""COMPUTED_VALUE"""),44874.413761574)</f>
        <v>44874.413761573996</v>
      </c>
    </row>
    <row r="71" spans="1:10" ht="12.75">
      <c r="A71" s="3" t="str">
        <f ca="1">IFERROR(__xludf.UNSUPPORTED("""COMPUTED_VALUE"""),"3df38553")</f>
        <v>3df38553</v>
      </c>
      <c r="B71" s="4">
        <f ca="1">IFERROR(__xludf.UNSUPPORTED("""COMPUTED_VALUE"""),44874.244224537)</f>
        <v>44874.244224536997</v>
      </c>
      <c r="C71" s="7" t="str">
        <f ca="1">IFERROR(__xludf.UNSUPPORTED("""COMPUTED_VALUE"""),"Aratu")</f>
        <v>Aratu</v>
      </c>
      <c r="D71" s="3" t="str">
        <f ca="1">IFERROR(__xludf.UNSUPPORTED("""COMPUTED_VALUE"""),"🚢 REGULAR")</f>
        <v>🚢 REGULAR</v>
      </c>
      <c r="E71" s="3" t="str">
        <f ca="1">IFERROR(__xludf.UNSUPPORTED("""COMPUTED_VALUE"""),"🚛 LIBERADO")</f>
        <v>🚛 LIBERADO</v>
      </c>
      <c r="F71" s="5">
        <f ca="1">IFERROR(__xludf.UNSUPPORTED("""COMPUTED_VALUE"""),0)</f>
        <v>0</v>
      </c>
      <c r="G71" s="3" t="str">
        <f ca="1">IFERROR(__xludf.UNSUPPORTED("""COMPUTED_VALUE"""),"Normal")</f>
        <v>Normal</v>
      </c>
      <c r="H71" s="4">
        <f ca="1">IFERROR(__xludf.UNSUPPORTED("""COMPUTED_VALUE"""),44874.244224537)</f>
        <v>44874.244224536997</v>
      </c>
      <c r="I71" s="3">
        <f ca="1">IFERROR(__xludf.UNSUPPORTED("""COMPUTED_VALUE"""),24)</f>
        <v>24</v>
      </c>
      <c r="J71" s="4">
        <f ca="1">IFERROR(__xludf.UNSUPPORTED("""COMPUTED_VALUE"""),44875.244224537)</f>
        <v>44875.244224536997</v>
      </c>
    </row>
    <row r="72" spans="1:10" ht="12.75">
      <c r="A72" s="3" t="str">
        <f ca="1">IFERROR(__xludf.UNSUPPORTED("""COMPUTED_VALUE"""),"f2d5c11e")</f>
        <v>f2d5c11e</v>
      </c>
      <c r="B72" s="4">
        <f ca="1">IFERROR(__xludf.UNSUPPORTED("""COMPUTED_VALUE"""),44875.4478356481)</f>
        <v>44875.447835648098</v>
      </c>
      <c r="C72" s="8" t="str">
        <f ca="1">IFERROR(__xludf.UNSUPPORTED("""COMPUTED_VALUE"""),"Aratu")</f>
        <v>Aratu</v>
      </c>
      <c r="D72" s="3" t="str">
        <f ca="1">IFERROR(__xludf.UNSUPPORTED("""COMPUTED_VALUE"""),"🚢 REGULAR")</f>
        <v>🚢 REGULAR</v>
      </c>
      <c r="E72" s="3" t="str">
        <f ca="1">IFERROR(__xludf.UNSUPPORTED("""COMPUTED_VALUE"""),"🚛 LIBERADO")</f>
        <v>🚛 LIBERADO</v>
      </c>
      <c r="F72" s="5">
        <f ca="1">IFERROR(__xludf.UNSUPPORTED("""COMPUTED_VALUE"""),0)</f>
        <v>0</v>
      </c>
      <c r="G72" s="3" t="str">
        <f ca="1">IFERROR(__xludf.UNSUPPORTED("""COMPUTED_VALUE"""),"Normalidade")</f>
        <v>Normalidade</v>
      </c>
      <c r="H72" s="4">
        <f ca="1">IFERROR(__xludf.UNSUPPORTED("""COMPUTED_VALUE"""),44875.4478356481)</f>
        <v>44875.447835648098</v>
      </c>
      <c r="I72" s="3">
        <f ca="1">IFERROR(__xludf.UNSUPPORTED("""COMPUTED_VALUE"""),24)</f>
        <v>24</v>
      </c>
      <c r="J72" s="4">
        <f ca="1">IFERROR(__xludf.UNSUPPORTED("""COMPUTED_VALUE"""),44876.4478356481)</f>
        <v>44876.447835648098</v>
      </c>
    </row>
    <row r="73" spans="1:10" ht="12.75">
      <c r="A73" s="3" t="str">
        <f ca="1">IFERROR(__xludf.UNSUPPORTED("""COMPUTED_VALUE"""),"0e3616da")</f>
        <v>0e3616da</v>
      </c>
      <c r="B73" s="4">
        <f ca="1">IFERROR(__xludf.UNSUPPORTED("""COMPUTED_VALUE"""),44876.3497106481)</f>
        <v>44876.349710648101</v>
      </c>
      <c r="C73" s="7" t="str">
        <f ca="1">IFERROR(__xludf.UNSUPPORTED("""COMPUTED_VALUE"""),"Aratu")</f>
        <v>Aratu</v>
      </c>
      <c r="D73" s="3" t="str">
        <f ca="1">IFERROR(__xludf.UNSUPPORTED("""COMPUTED_VALUE"""),"🚢 REGULAR")</f>
        <v>🚢 REGULAR</v>
      </c>
      <c r="E73" s="3" t="str">
        <f ca="1">IFERROR(__xludf.UNSUPPORTED("""COMPUTED_VALUE"""),"🚛 LIBERADO")</f>
        <v>🚛 LIBERADO</v>
      </c>
      <c r="F73" s="5">
        <f ca="1">IFERROR(__xludf.UNSUPPORTED("""COMPUTED_VALUE"""),0)</f>
        <v>0</v>
      </c>
      <c r="G73" s="3" t="str">
        <f ca="1">IFERROR(__xludf.UNSUPPORTED("""COMPUTED_VALUE"""),"Normalidade")</f>
        <v>Normalidade</v>
      </c>
      <c r="H73" s="4">
        <f ca="1">IFERROR(__xludf.UNSUPPORTED("""COMPUTED_VALUE"""),44876.3497106481)</f>
        <v>44876.349710648101</v>
      </c>
      <c r="I73" s="3">
        <f ca="1">IFERROR(__xludf.UNSUPPORTED("""COMPUTED_VALUE"""),24)</f>
        <v>24</v>
      </c>
      <c r="J73" s="4">
        <f ca="1">IFERROR(__xludf.UNSUPPORTED("""COMPUTED_VALUE"""),44877.3497106481)</f>
        <v>44877.349710648101</v>
      </c>
    </row>
    <row r="74" spans="1:10" ht="12.75">
      <c r="A74" s="3" t="str">
        <f ca="1">IFERROR(__xludf.UNSUPPORTED("""COMPUTED_VALUE"""),"0317315e")</f>
        <v>0317315e</v>
      </c>
      <c r="B74" s="4">
        <f ca="1">IFERROR(__xludf.UNSUPPORTED("""COMPUTED_VALUE"""),44877.3252893518)</f>
        <v>44877.3252893518</v>
      </c>
      <c r="C74" s="8" t="str">
        <f ca="1">IFERROR(__xludf.UNSUPPORTED("""COMPUTED_VALUE"""),"Aratu")</f>
        <v>Aratu</v>
      </c>
      <c r="D74" s="3" t="str">
        <f ca="1">IFERROR(__xludf.UNSUPPORTED("""COMPUTED_VALUE"""),"🚢 REGULAR")</f>
        <v>🚢 REGULAR</v>
      </c>
      <c r="E74" s="3" t="str">
        <f ca="1">IFERROR(__xludf.UNSUPPORTED("""COMPUTED_VALUE"""),"🚛 LIBERADO")</f>
        <v>🚛 LIBERADO</v>
      </c>
      <c r="F74" s="5">
        <f ca="1">IFERROR(__xludf.UNSUPPORTED("""COMPUTED_VALUE"""),0)</f>
        <v>0</v>
      </c>
      <c r="G74" s="3" t="str">
        <f ca="1">IFERROR(__xludf.UNSUPPORTED("""COMPUTED_VALUE"""),"Normalidade")</f>
        <v>Normalidade</v>
      </c>
      <c r="H74" s="4">
        <f ca="1">IFERROR(__xludf.UNSUPPORTED("""COMPUTED_VALUE"""),44877.3252893518)</f>
        <v>44877.3252893518</v>
      </c>
      <c r="I74" s="3">
        <f ca="1">IFERROR(__xludf.UNSUPPORTED("""COMPUTED_VALUE"""),24)</f>
        <v>24</v>
      </c>
      <c r="J74" s="4">
        <f ca="1">IFERROR(__xludf.UNSUPPORTED("""COMPUTED_VALUE"""),44878.3252893518)</f>
        <v>44878.3252893518</v>
      </c>
    </row>
    <row r="75" spans="1:10" ht="12.75">
      <c r="A75" s="3" t="str">
        <f ca="1">IFERROR(__xludf.UNSUPPORTED("""COMPUTED_VALUE"""),"c726fec1")</f>
        <v>c726fec1</v>
      </c>
      <c r="B75" s="4">
        <f ca="1">IFERROR(__xludf.UNSUPPORTED("""COMPUTED_VALUE"""),44878.4464699074)</f>
        <v>44878.446469907401</v>
      </c>
      <c r="C75" s="8" t="str">
        <f ca="1">IFERROR(__xludf.UNSUPPORTED("""COMPUTED_VALUE"""),"Aratu")</f>
        <v>Aratu</v>
      </c>
      <c r="D75" s="3" t="str">
        <f ca="1">IFERROR(__xludf.UNSUPPORTED("""COMPUTED_VALUE"""),"🚢 REGULAR")</f>
        <v>🚢 REGULAR</v>
      </c>
      <c r="E75" s="3" t="str">
        <f ca="1">IFERROR(__xludf.UNSUPPORTED("""COMPUTED_VALUE"""),"🚛 LIBERADO")</f>
        <v>🚛 LIBERADO</v>
      </c>
      <c r="F75" s="5">
        <f ca="1">IFERROR(__xludf.UNSUPPORTED("""COMPUTED_VALUE"""),0)</f>
        <v>0</v>
      </c>
      <c r="G75" s="3" t="str">
        <f ca="1">IFERROR(__xludf.UNSUPPORTED("""COMPUTED_VALUE"""),"Normalidade")</f>
        <v>Normalidade</v>
      </c>
      <c r="H75" s="4">
        <f ca="1">IFERROR(__xludf.UNSUPPORTED("""COMPUTED_VALUE"""),44878.4464699074)</f>
        <v>44878.446469907401</v>
      </c>
      <c r="I75" s="3">
        <f ca="1">IFERROR(__xludf.UNSUPPORTED("""COMPUTED_VALUE"""),24)</f>
        <v>24</v>
      </c>
      <c r="J75" s="4">
        <f ca="1">IFERROR(__xludf.UNSUPPORTED("""COMPUTED_VALUE"""),44879.4464699074)</f>
        <v>44879.446469907401</v>
      </c>
    </row>
    <row r="76" spans="1:10" ht="12.75">
      <c r="A76" s="3" t="str">
        <f ca="1">IFERROR(__xludf.UNSUPPORTED("""COMPUTED_VALUE"""),"247bcd2e")</f>
        <v>247bcd2e</v>
      </c>
      <c r="B76" s="4">
        <f ca="1">IFERROR(__xludf.UNSUPPORTED("""COMPUTED_VALUE"""),44879.2341782407)</f>
        <v>44879.234178240702</v>
      </c>
      <c r="C76" s="8" t="str">
        <f ca="1">IFERROR(__xludf.UNSUPPORTED("""COMPUTED_VALUE"""),"Aratu")</f>
        <v>Aratu</v>
      </c>
      <c r="D76" s="3" t="str">
        <f ca="1">IFERROR(__xludf.UNSUPPORTED("""COMPUTED_VALUE"""),"🚢 REGULAR")</f>
        <v>🚢 REGULAR</v>
      </c>
      <c r="E76" s="3" t="str">
        <f ca="1">IFERROR(__xludf.UNSUPPORTED("""COMPUTED_VALUE"""),"🚛 LIBERADO")</f>
        <v>🚛 LIBERADO</v>
      </c>
      <c r="F76" s="5">
        <f ca="1">IFERROR(__xludf.UNSUPPORTED("""COMPUTED_VALUE"""),0)</f>
        <v>0</v>
      </c>
      <c r="G76" s="3" t="str">
        <f ca="1">IFERROR(__xludf.UNSUPPORTED("""COMPUTED_VALUE"""),"Normalidade")</f>
        <v>Normalidade</v>
      </c>
      <c r="H76" s="4">
        <f ca="1">IFERROR(__xludf.UNSUPPORTED("""COMPUTED_VALUE"""),44879.2341782407)</f>
        <v>44879.234178240702</v>
      </c>
      <c r="I76" s="3">
        <f ca="1">IFERROR(__xludf.UNSUPPORTED("""COMPUTED_VALUE"""),24)</f>
        <v>24</v>
      </c>
      <c r="J76" s="4">
        <f ca="1">IFERROR(__xludf.UNSUPPORTED("""COMPUTED_VALUE"""),44880.2341782407)</f>
        <v>44880.234178240702</v>
      </c>
    </row>
    <row r="77" spans="1:10" ht="12.75">
      <c r="A77" s="3" t="str">
        <f ca="1">IFERROR(__xludf.UNSUPPORTED("""COMPUTED_VALUE"""),"6476c32c")</f>
        <v>6476c32c</v>
      </c>
      <c r="B77" s="4">
        <f ca="1">IFERROR(__xludf.UNSUPPORTED("""COMPUTED_VALUE"""),44880.2940509259)</f>
        <v>44880.294050925899</v>
      </c>
      <c r="C77" s="8" t="str">
        <f ca="1">IFERROR(__xludf.UNSUPPORTED("""COMPUTED_VALUE"""),"Aratu")</f>
        <v>Aratu</v>
      </c>
      <c r="D77" s="3" t="str">
        <f ca="1">IFERROR(__xludf.UNSUPPORTED("""COMPUTED_VALUE"""),"🚢 REGULAR")</f>
        <v>🚢 REGULAR</v>
      </c>
      <c r="E77" s="3" t="str">
        <f ca="1">IFERROR(__xludf.UNSUPPORTED("""COMPUTED_VALUE"""),"🚛 LIBERADO")</f>
        <v>🚛 LIBERADO</v>
      </c>
      <c r="F77" s="5">
        <f ca="1">IFERROR(__xludf.UNSUPPORTED("""COMPUTED_VALUE"""),0)</f>
        <v>0</v>
      </c>
      <c r="G77" s="3" t="str">
        <f ca="1">IFERROR(__xludf.UNSUPPORTED("""COMPUTED_VALUE"""),"Normalidade")</f>
        <v>Normalidade</v>
      </c>
      <c r="H77" s="4">
        <f ca="1">IFERROR(__xludf.UNSUPPORTED("""COMPUTED_VALUE"""),44880.2940509259)</f>
        <v>44880.294050925899</v>
      </c>
      <c r="I77" s="3">
        <f ca="1">IFERROR(__xludf.UNSUPPORTED("""COMPUTED_VALUE"""),24)</f>
        <v>24</v>
      </c>
      <c r="J77" s="4">
        <f ca="1">IFERROR(__xludf.UNSUPPORTED("""COMPUTED_VALUE"""),44881.2940509259)</f>
        <v>44881.294050925899</v>
      </c>
    </row>
    <row r="78" spans="1:10" ht="12.75">
      <c r="A78" s="3" t="str">
        <f ca="1">IFERROR(__xludf.UNSUPPORTED("""COMPUTED_VALUE"""),"ec4c8648")</f>
        <v>ec4c8648</v>
      </c>
      <c r="B78" s="4">
        <f ca="1">IFERROR(__xludf.UNSUPPORTED("""COMPUTED_VALUE"""),44881.351412037)</f>
        <v>44881.351412037002</v>
      </c>
      <c r="C78" s="8" t="str">
        <f ca="1">IFERROR(__xludf.UNSUPPORTED("""COMPUTED_VALUE"""),"Aratu")</f>
        <v>Aratu</v>
      </c>
      <c r="D78" s="3" t="str">
        <f ca="1">IFERROR(__xludf.UNSUPPORTED("""COMPUTED_VALUE"""),"🚢 REGULAR")</f>
        <v>🚢 REGULAR</v>
      </c>
      <c r="E78" s="3" t="str">
        <f ca="1">IFERROR(__xludf.UNSUPPORTED("""COMPUTED_VALUE"""),"🚛 LIBERADO")</f>
        <v>🚛 LIBERADO</v>
      </c>
      <c r="F78" s="5">
        <f ca="1">IFERROR(__xludf.UNSUPPORTED("""COMPUTED_VALUE"""),0)</f>
        <v>0</v>
      </c>
      <c r="G78" s="3" t="str">
        <f ca="1">IFERROR(__xludf.UNSUPPORTED("""COMPUTED_VALUE"""),"Normalidade")</f>
        <v>Normalidade</v>
      </c>
      <c r="H78" s="4">
        <f ca="1">IFERROR(__xludf.UNSUPPORTED("""COMPUTED_VALUE"""),44881.351412037)</f>
        <v>44881.351412037002</v>
      </c>
      <c r="I78" s="3">
        <f ca="1">IFERROR(__xludf.UNSUPPORTED("""COMPUTED_VALUE"""),24)</f>
        <v>24</v>
      </c>
      <c r="J78" s="4">
        <f ca="1">IFERROR(__xludf.UNSUPPORTED("""COMPUTED_VALUE"""),44882.351412037)</f>
        <v>44882.351412037002</v>
      </c>
    </row>
    <row r="79" spans="1:10" ht="12.75">
      <c r="A79" s="3" t="str">
        <f ca="1">IFERROR(__xludf.UNSUPPORTED("""COMPUTED_VALUE"""),"d55a880d")</f>
        <v>d55a880d</v>
      </c>
      <c r="B79" s="4">
        <f ca="1">IFERROR(__xludf.UNSUPPORTED("""COMPUTED_VALUE"""),44882.2882986111)</f>
        <v>44882.2882986111</v>
      </c>
      <c r="C79" s="7" t="str">
        <f ca="1">IFERROR(__xludf.UNSUPPORTED("""COMPUTED_VALUE"""),"Aratu")</f>
        <v>Aratu</v>
      </c>
      <c r="D79" s="3" t="str">
        <f ca="1">IFERROR(__xludf.UNSUPPORTED("""COMPUTED_VALUE"""),"🚢 REGULAR")</f>
        <v>🚢 REGULAR</v>
      </c>
      <c r="E79" s="3" t="str">
        <f ca="1">IFERROR(__xludf.UNSUPPORTED("""COMPUTED_VALUE"""),"🚛 LIBERADO")</f>
        <v>🚛 LIBERADO</v>
      </c>
      <c r="F79" s="5">
        <f ca="1">IFERROR(__xludf.UNSUPPORTED("""COMPUTED_VALUE"""),0)</f>
        <v>0</v>
      </c>
      <c r="G79" s="3" t="str">
        <f ca="1">IFERROR(__xludf.UNSUPPORTED("""COMPUTED_VALUE"""),"Normalidade")</f>
        <v>Normalidade</v>
      </c>
      <c r="H79" s="4">
        <f ca="1">IFERROR(__xludf.UNSUPPORTED("""COMPUTED_VALUE"""),44882.2882986111)</f>
        <v>44882.2882986111</v>
      </c>
      <c r="I79" s="3">
        <f ca="1">IFERROR(__xludf.UNSUPPORTED("""COMPUTED_VALUE"""),24)</f>
        <v>24</v>
      </c>
      <c r="J79" s="4">
        <f ca="1">IFERROR(__xludf.UNSUPPORTED("""COMPUTED_VALUE"""),44883.2882986111)</f>
        <v>44883.2882986111</v>
      </c>
    </row>
    <row r="80" spans="1:10" ht="12.75">
      <c r="A80" s="3" t="str">
        <f ca="1">IFERROR(__xludf.UNSUPPORTED("""COMPUTED_VALUE"""),"77d9784b")</f>
        <v>77d9784b</v>
      </c>
      <c r="B80" s="4">
        <f ca="1">IFERROR(__xludf.UNSUPPORTED("""COMPUTED_VALUE"""),44882.2886342592)</f>
        <v>44882.288634259203</v>
      </c>
      <c r="C80" s="8" t="str">
        <f ca="1">IFERROR(__xludf.UNSUPPORTED("""COMPUTED_VALUE"""),"Aratu")</f>
        <v>Aratu</v>
      </c>
      <c r="D80" s="3" t="str">
        <f ca="1">IFERROR(__xludf.UNSUPPORTED("""COMPUTED_VALUE"""),"🚢 REGULAR")</f>
        <v>🚢 REGULAR</v>
      </c>
      <c r="E80" s="3" t="str">
        <f ca="1">IFERROR(__xludf.UNSUPPORTED("""COMPUTED_VALUE"""),"🚛 LIBERADO")</f>
        <v>🚛 LIBERADO</v>
      </c>
      <c r="F80" s="5">
        <f ca="1">IFERROR(__xludf.UNSUPPORTED("""COMPUTED_VALUE"""),0)</f>
        <v>0</v>
      </c>
      <c r="G80" s="3" t="str">
        <f ca="1">IFERROR(__xludf.UNSUPPORTED("""COMPUTED_VALUE"""),"Normalidade")</f>
        <v>Normalidade</v>
      </c>
      <c r="H80" s="4">
        <f ca="1">IFERROR(__xludf.UNSUPPORTED("""COMPUTED_VALUE"""),44882.2886342592)</f>
        <v>44882.288634259203</v>
      </c>
      <c r="I80" s="3">
        <f ca="1">IFERROR(__xludf.UNSUPPORTED("""COMPUTED_VALUE"""),24)</f>
        <v>24</v>
      </c>
      <c r="J80" s="4">
        <f ca="1">IFERROR(__xludf.UNSUPPORTED("""COMPUTED_VALUE"""),44883.2886342592)</f>
        <v>44883.288634259203</v>
      </c>
    </row>
    <row r="81" spans="1:10" ht="12.75">
      <c r="A81" s="3" t="str">
        <f ca="1">IFERROR(__xludf.UNSUPPORTED("""COMPUTED_VALUE"""),"72b14e09")</f>
        <v>72b14e09</v>
      </c>
      <c r="B81" s="4">
        <f ca="1">IFERROR(__xludf.UNSUPPORTED("""COMPUTED_VALUE"""),44883.4950694444)</f>
        <v>44883.495069444398</v>
      </c>
      <c r="C81" s="7" t="str">
        <f ca="1">IFERROR(__xludf.UNSUPPORTED("""COMPUTED_VALUE"""),"Aratu")</f>
        <v>Aratu</v>
      </c>
      <c r="D81" s="3" t="str">
        <f ca="1">IFERROR(__xludf.UNSUPPORTED("""COMPUTED_VALUE"""),"🚢 REGULAR")</f>
        <v>🚢 REGULAR</v>
      </c>
      <c r="E81" s="3" t="str">
        <f ca="1">IFERROR(__xludf.UNSUPPORTED("""COMPUTED_VALUE"""),"🚛 LIBERADO")</f>
        <v>🚛 LIBERADO</v>
      </c>
      <c r="F81" s="5">
        <f ca="1">IFERROR(__xludf.UNSUPPORTED("""COMPUTED_VALUE"""),0)</f>
        <v>0</v>
      </c>
      <c r="G81" s="3" t="str">
        <f ca="1">IFERROR(__xludf.UNSUPPORTED("""COMPUTED_VALUE"""),"Normalidade")</f>
        <v>Normalidade</v>
      </c>
      <c r="H81" s="4">
        <f ca="1">IFERROR(__xludf.UNSUPPORTED("""COMPUTED_VALUE"""),44883.4950694444)</f>
        <v>44883.495069444398</v>
      </c>
      <c r="I81" s="3">
        <f ca="1">IFERROR(__xludf.UNSUPPORTED("""COMPUTED_VALUE"""),24)</f>
        <v>24</v>
      </c>
      <c r="J81" s="4">
        <f ca="1">IFERROR(__xludf.UNSUPPORTED("""COMPUTED_VALUE"""),44884.4950694444)</f>
        <v>44884.495069444398</v>
      </c>
    </row>
    <row r="82" spans="1:10" ht="12.75">
      <c r="A82" s="3" t="str">
        <f ca="1">IFERROR(__xludf.UNSUPPORTED("""COMPUTED_VALUE"""),"d1d4f86b")</f>
        <v>d1d4f86b</v>
      </c>
      <c r="B82" s="4">
        <f ca="1">IFERROR(__xludf.UNSUPPORTED("""COMPUTED_VALUE"""),44884.401724537)</f>
        <v>44884.401724536998</v>
      </c>
      <c r="C82" s="7" t="str">
        <f ca="1">IFERROR(__xludf.UNSUPPORTED("""COMPUTED_VALUE"""),"Aratu")</f>
        <v>Aratu</v>
      </c>
      <c r="D82" s="3" t="str">
        <f ca="1">IFERROR(__xludf.UNSUPPORTED("""COMPUTED_VALUE"""),"🚢 REGULAR")</f>
        <v>🚢 REGULAR</v>
      </c>
      <c r="E82" s="3" t="str">
        <f ca="1">IFERROR(__xludf.UNSUPPORTED("""COMPUTED_VALUE"""),"🚛 LIBERADO")</f>
        <v>🚛 LIBERADO</v>
      </c>
      <c r="F82" s="5">
        <f ca="1">IFERROR(__xludf.UNSUPPORTED("""COMPUTED_VALUE"""),0)</f>
        <v>0</v>
      </c>
      <c r="G82" s="3" t="str">
        <f ca="1">IFERROR(__xludf.UNSUPPORTED("""COMPUTED_VALUE"""),"Normalidade")</f>
        <v>Normalidade</v>
      </c>
      <c r="H82" s="4">
        <f ca="1">IFERROR(__xludf.UNSUPPORTED("""COMPUTED_VALUE"""),44884.401724537)</f>
        <v>44884.401724536998</v>
      </c>
      <c r="I82" s="3">
        <f ca="1">IFERROR(__xludf.UNSUPPORTED("""COMPUTED_VALUE"""),24)</f>
        <v>24</v>
      </c>
      <c r="J82" s="4">
        <f ca="1">IFERROR(__xludf.UNSUPPORTED("""COMPUTED_VALUE"""),44885.401724537)</f>
        <v>44885.401724536998</v>
      </c>
    </row>
    <row r="83" spans="1:10" ht="12.75">
      <c r="A83" s="3" t="str">
        <f ca="1">IFERROR(__xludf.UNSUPPORTED("""COMPUTED_VALUE"""),"fd226bc2")</f>
        <v>fd226bc2</v>
      </c>
      <c r="B83" s="4">
        <f ca="1">IFERROR(__xludf.UNSUPPORTED("""COMPUTED_VALUE"""),44886.3333333333)</f>
        <v>44886.333333333299</v>
      </c>
      <c r="C83" s="7" t="str">
        <f ca="1">IFERROR(__xludf.UNSUPPORTED("""COMPUTED_VALUE"""),"Aratu")</f>
        <v>Aratu</v>
      </c>
      <c r="D83" s="3" t="str">
        <f ca="1">IFERROR(__xludf.UNSUPPORTED("""COMPUTED_VALUE"""),"🚢 REGULAR")</f>
        <v>🚢 REGULAR</v>
      </c>
      <c r="E83" s="3" t="str">
        <f ca="1">IFERROR(__xludf.UNSUPPORTED("""COMPUTED_VALUE"""),"🚛 LIBERADO")</f>
        <v>🚛 LIBERADO</v>
      </c>
      <c r="F83" s="5">
        <f ca="1">IFERROR(__xludf.UNSUPPORTED("""COMPUTED_VALUE"""),0)</f>
        <v>0</v>
      </c>
      <c r="G83" s="3" t="str">
        <f ca="1">IFERROR(__xludf.UNSUPPORTED("""COMPUTED_VALUE"""),"Normalidade")</f>
        <v>Normalidade</v>
      </c>
      <c r="H83" s="4">
        <f ca="1">IFERROR(__xludf.UNSUPPORTED("""COMPUTED_VALUE"""),44886.3333333333)</f>
        <v>44886.333333333299</v>
      </c>
      <c r="I83" s="3">
        <f ca="1">IFERROR(__xludf.UNSUPPORTED("""COMPUTED_VALUE"""),24)</f>
        <v>24</v>
      </c>
      <c r="J83" s="4">
        <f ca="1">IFERROR(__xludf.UNSUPPORTED("""COMPUTED_VALUE"""),44887.3333333333)</f>
        <v>44887.333333333299</v>
      </c>
    </row>
    <row r="84" spans="1:10" ht="12.75">
      <c r="A84" s="3" t="str">
        <f ca="1">IFERROR(__xludf.UNSUPPORTED("""COMPUTED_VALUE"""),"5c19ddec")</f>
        <v>5c19ddec</v>
      </c>
      <c r="B84" s="4">
        <f ca="1">IFERROR(__xludf.UNSUPPORTED("""COMPUTED_VALUE"""),44888.2598842591)</f>
        <v>44888.259884259103</v>
      </c>
      <c r="C84" s="8" t="str">
        <f ca="1">IFERROR(__xludf.UNSUPPORTED("""COMPUTED_VALUE"""),"Aratu")</f>
        <v>Aratu</v>
      </c>
      <c r="D84" s="3" t="str">
        <f ca="1">IFERROR(__xludf.UNSUPPORTED("""COMPUTED_VALUE"""),"🚢 REGULAR")</f>
        <v>🚢 REGULAR</v>
      </c>
      <c r="E84" s="3" t="str">
        <f ca="1">IFERROR(__xludf.UNSUPPORTED("""COMPUTED_VALUE"""),"🚛 LIBERADO")</f>
        <v>🚛 LIBERADO</v>
      </c>
      <c r="F84" s="5">
        <f ca="1">IFERROR(__xludf.UNSUPPORTED("""COMPUTED_VALUE"""),0)</f>
        <v>0</v>
      </c>
      <c r="G84" s="3" t="str">
        <f ca="1">IFERROR(__xludf.UNSUPPORTED("""COMPUTED_VALUE"""),"Normalidade")</f>
        <v>Normalidade</v>
      </c>
      <c r="H84" s="4">
        <f ca="1">IFERROR(__xludf.UNSUPPORTED("""COMPUTED_VALUE"""),44888.2598842591)</f>
        <v>44888.259884259103</v>
      </c>
      <c r="I84" s="3">
        <f ca="1">IFERROR(__xludf.UNSUPPORTED("""COMPUTED_VALUE"""),24)</f>
        <v>24</v>
      </c>
      <c r="J84" s="4">
        <f ca="1">IFERROR(__xludf.UNSUPPORTED("""COMPUTED_VALUE"""),44889.2598842591)</f>
        <v>44889.259884259103</v>
      </c>
    </row>
    <row r="85" spans="1:10" ht="12.75">
      <c r="A85" s="3" t="str">
        <f ca="1">IFERROR(__xludf.UNSUPPORTED("""COMPUTED_VALUE"""),"c79adaa2")</f>
        <v>c79adaa2</v>
      </c>
      <c r="B85" s="4">
        <f ca="1">IFERROR(__xludf.UNSUPPORTED("""COMPUTED_VALUE"""),44890.1362847222)</f>
        <v>44890.136284722197</v>
      </c>
      <c r="C85" s="8" t="str">
        <f ca="1">IFERROR(__xludf.UNSUPPORTED("""COMPUTED_VALUE"""),"Aratu")</f>
        <v>Aratu</v>
      </c>
      <c r="D85" s="3" t="str">
        <f ca="1">IFERROR(__xludf.UNSUPPORTED("""COMPUTED_VALUE"""),"🚢 REGULAR")</f>
        <v>🚢 REGULAR</v>
      </c>
      <c r="E85" s="3" t="str">
        <f ca="1">IFERROR(__xludf.UNSUPPORTED("""COMPUTED_VALUE"""),"🚛 LIBERADO")</f>
        <v>🚛 LIBERADO</v>
      </c>
      <c r="F85" s="5">
        <f ca="1">IFERROR(__xludf.UNSUPPORTED("""COMPUTED_VALUE"""),0)</f>
        <v>0</v>
      </c>
      <c r="G85" s="3" t="str">
        <f ca="1">IFERROR(__xludf.UNSUPPORTED("""COMPUTED_VALUE"""),"Normalidade")</f>
        <v>Normalidade</v>
      </c>
      <c r="H85" s="4">
        <f ca="1">IFERROR(__xludf.UNSUPPORTED("""COMPUTED_VALUE"""),44890.1362847222)</f>
        <v>44890.136284722197</v>
      </c>
      <c r="I85" s="3">
        <f ca="1">IFERROR(__xludf.UNSUPPORTED("""COMPUTED_VALUE"""),24)</f>
        <v>24</v>
      </c>
      <c r="J85" s="4">
        <f ca="1">IFERROR(__xludf.UNSUPPORTED("""COMPUTED_VALUE"""),44891.1362847222)</f>
        <v>44891.136284722197</v>
      </c>
    </row>
    <row r="86" spans="1:10" ht="12.75">
      <c r="A86" s="3" t="str">
        <f ca="1">IFERROR(__xludf.UNSUPPORTED("""COMPUTED_VALUE"""),"789b909c")</f>
        <v>789b909c</v>
      </c>
      <c r="B86" s="4">
        <f ca="1">IFERROR(__xludf.UNSUPPORTED("""COMPUTED_VALUE"""),44892.4592129629)</f>
        <v>44892.459212962902</v>
      </c>
      <c r="C86" s="7" t="str">
        <f ca="1">IFERROR(__xludf.UNSUPPORTED("""COMPUTED_VALUE"""),"Aratu")</f>
        <v>Aratu</v>
      </c>
      <c r="D86" s="3" t="str">
        <f ca="1">IFERROR(__xludf.UNSUPPORTED("""COMPUTED_VALUE"""),"🚢 REGULAR")</f>
        <v>🚢 REGULAR</v>
      </c>
      <c r="E86" s="3" t="str">
        <f ca="1">IFERROR(__xludf.UNSUPPORTED("""COMPUTED_VALUE"""),"🚛 LIBERADO")</f>
        <v>🚛 LIBERADO</v>
      </c>
      <c r="F86" s="5">
        <f ca="1">IFERROR(__xludf.UNSUPPORTED("""COMPUTED_VALUE"""),0)</f>
        <v>0</v>
      </c>
      <c r="G86" s="3" t="str">
        <f ca="1">IFERROR(__xludf.UNSUPPORTED("""COMPUTED_VALUE"""),"Normalidade")</f>
        <v>Normalidade</v>
      </c>
      <c r="H86" s="4">
        <f ca="1">IFERROR(__xludf.UNSUPPORTED("""COMPUTED_VALUE"""),44892.4592129629)</f>
        <v>44892.459212962902</v>
      </c>
      <c r="I86" s="3">
        <f ca="1">IFERROR(__xludf.UNSUPPORTED("""COMPUTED_VALUE"""),24)</f>
        <v>24</v>
      </c>
      <c r="J86" s="4">
        <f ca="1">IFERROR(__xludf.UNSUPPORTED("""COMPUTED_VALUE"""),44893.4592129629)</f>
        <v>44893.459212962902</v>
      </c>
    </row>
    <row r="87" spans="1:10" ht="12.75">
      <c r="A87" s="3" t="str">
        <f ca="1">IFERROR(__xludf.UNSUPPORTED("""COMPUTED_VALUE"""),"9053aa76")</f>
        <v>9053aa76</v>
      </c>
      <c r="B87" s="4">
        <f ca="1">IFERROR(__xludf.UNSUPPORTED("""COMPUTED_VALUE"""),44893.3772800925)</f>
        <v>44893.3772800925</v>
      </c>
      <c r="C87" s="7" t="str">
        <f ca="1">IFERROR(__xludf.UNSUPPORTED("""COMPUTED_VALUE"""),"Aratu")</f>
        <v>Aratu</v>
      </c>
      <c r="D87" s="3" t="str">
        <f ca="1">IFERROR(__xludf.UNSUPPORTED("""COMPUTED_VALUE"""),"🚢 REGULAR")</f>
        <v>🚢 REGULAR</v>
      </c>
      <c r="E87" s="3" t="str">
        <f ca="1">IFERROR(__xludf.UNSUPPORTED("""COMPUTED_VALUE"""),"🚛 LIBERADO")</f>
        <v>🚛 LIBERADO</v>
      </c>
      <c r="F87" s="5">
        <f ca="1">IFERROR(__xludf.UNSUPPORTED("""COMPUTED_VALUE"""),0)</f>
        <v>0</v>
      </c>
      <c r="G87" s="3" t="str">
        <f ca="1">IFERROR(__xludf.UNSUPPORTED("""COMPUTED_VALUE"""),"Normalidade")</f>
        <v>Normalidade</v>
      </c>
      <c r="H87" s="4">
        <f ca="1">IFERROR(__xludf.UNSUPPORTED("""COMPUTED_VALUE"""),44893.3772800925)</f>
        <v>44893.3772800925</v>
      </c>
      <c r="I87" s="3">
        <f ca="1">IFERROR(__xludf.UNSUPPORTED("""COMPUTED_VALUE"""),24)</f>
        <v>24</v>
      </c>
      <c r="J87" s="4">
        <f ca="1">IFERROR(__xludf.UNSUPPORTED("""COMPUTED_VALUE"""),44894.3772800925)</f>
        <v>44894.3772800925</v>
      </c>
    </row>
    <row r="88" spans="1:10" ht="12.75">
      <c r="A88" s="3" t="str">
        <f ca="1">IFERROR(__xludf.UNSUPPORTED("""COMPUTED_VALUE"""),"1e8972fc")</f>
        <v>1e8972fc</v>
      </c>
      <c r="B88" s="4">
        <f ca="1">IFERROR(__xludf.UNSUPPORTED("""COMPUTED_VALUE"""),44894.369537037)</f>
        <v>44894.369537036997</v>
      </c>
      <c r="C88" s="8" t="str">
        <f ca="1">IFERROR(__xludf.UNSUPPORTED("""COMPUTED_VALUE"""),"Aratu")</f>
        <v>Aratu</v>
      </c>
      <c r="D88" s="3" t="str">
        <f ca="1">IFERROR(__xludf.UNSUPPORTED("""COMPUTED_VALUE"""),"🚢 REGULAR")</f>
        <v>🚢 REGULAR</v>
      </c>
      <c r="E88" s="3" t="str">
        <f ca="1">IFERROR(__xludf.UNSUPPORTED("""COMPUTED_VALUE"""),"🚛 LIBERADO")</f>
        <v>🚛 LIBERADO</v>
      </c>
      <c r="F88" s="5">
        <f ca="1">IFERROR(__xludf.UNSUPPORTED("""COMPUTED_VALUE"""),0)</f>
        <v>0</v>
      </c>
      <c r="G88" s="3" t="str">
        <f ca="1">IFERROR(__xludf.UNSUPPORTED("""COMPUTED_VALUE"""),"Normalidade")</f>
        <v>Normalidade</v>
      </c>
      <c r="H88" s="4">
        <f ca="1">IFERROR(__xludf.UNSUPPORTED("""COMPUTED_VALUE"""),44894.369537037)</f>
        <v>44894.369537036997</v>
      </c>
      <c r="I88" s="3">
        <f ca="1">IFERROR(__xludf.UNSUPPORTED("""COMPUTED_VALUE"""),24)</f>
        <v>24</v>
      </c>
      <c r="J88" s="4">
        <f ca="1">IFERROR(__xludf.UNSUPPORTED("""COMPUTED_VALUE"""),44895.369537037)</f>
        <v>44895.369537036997</v>
      </c>
    </row>
    <row r="89" spans="1:10" ht="12.75">
      <c r="A89" s="3" t="str">
        <f ca="1">IFERROR(__xludf.UNSUPPORTED("""COMPUTED_VALUE"""),"9e22a46a")</f>
        <v>9e22a46a</v>
      </c>
      <c r="B89" s="4">
        <f ca="1">IFERROR(__xludf.UNSUPPORTED("""COMPUTED_VALUE"""),44895.2888194444)</f>
        <v>44895.288819444402</v>
      </c>
      <c r="C89" s="7" t="str">
        <f ca="1">IFERROR(__xludf.UNSUPPORTED("""COMPUTED_VALUE"""),"Aratu")</f>
        <v>Aratu</v>
      </c>
      <c r="D89" s="3" t="str">
        <f ca="1">IFERROR(__xludf.UNSUPPORTED("""COMPUTED_VALUE"""),"🚢 REGULAR")</f>
        <v>🚢 REGULAR</v>
      </c>
      <c r="E89" s="3" t="str">
        <f ca="1">IFERROR(__xludf.UNSUPPORTED("""COMPUTED_VALUE"""),"🚛 LIBERADO")</f>
        <v>🚛 LIBERADO</v>
      </c>
      <c r="F89" s="5">
        <f ca="1">IFERROR(__xludf.UNSUPPORTED("""COMPUTED_VALUE"""),0)</f>
        <v>0</v>
      </c>
      <c r="G89" s="3" t="str">
        <f ca="1">IFERROR(__xludf.UNSUPPORTED("""COMPUTED_VALUE"""),"Normalidade")</f>
        <v>Normalidade</v>
      </c>
      <c r="H89" s="4">
        <f ca="1">IFERROR(__xludf.UNSUPPORTED("""COMPUTED_VALUE"""),44895.2888194444)</f>
        <v>44895.288819444402</v>
      </c>
      <c r="I89" s="3">
        <f ca="1">IFERROR(__xludf.UNSUPPORTED("""COMPUTED_VALUE"""),24)</f>
        <v>24</v>
      </c>
      <c r="J89" s="4">
        <f ca="1">IFERROR(__xludf.UNSUPPORTED("""COMPUTED_VALUE"""),44896.2888194444)</f>
        <v>44896.288819444402</v>
      </c>
    </row>
    <row r="90" spans="1:10" ht="12.75">
      <c r="A90" s="3" t="str">
        <f ca="1">IFERROR(__xludf.UNSUPPORTED("""COMPUTED_VALUE"""),"dd60dba7")</f>
        <v>dd60dba7</v>
      </c>
      <c r="B90" s="4">
        <f ca="1">IFERROR(__xludf.UNSUPPORTED("""COMPUTED_VALUE"""),44896.4337962962)</f>
        <v>44896.433796296202</v>
      </c>
      <c r="C90" s="8" t="str">
        <f ca="1">IFERROR(__xludf.UNSUPPORTED("""COMPUTED_VALUE"""),"Aratu")</f>
        <v>Aratu</v>
      </c>
      <c r="D90" s="3" t="str">
        <f ca="1">IFERROR(__xludf.UNSUPPORTED("""COMPUTED_VALUE"""),"🚢 REGULAR")</f>
        <v>🚢 REGULAR</v>
      </c>
      <c r="E90" s="3" t="str">
        <f ca="1">IFERROR(__xludf.UNSUPPORTED("""COMPUTED_VALUE"""),"🚛 LIBERADO")</f>
        <v>🚛 LIBERADO</v>
      </c>
      <c r="F90" s="5">
        <f ca="1">IFERROR(__xludf.UNSUPPORTED("""COMPUTED_VALUE"""),0)</f>
        <v>0</v>
      </c>
      <c r="G90" s="3" t="str">
        <f ca="1">IFERROR(__xludf.UNSUPPORTED("""COMPUTED_VALUE"""),"Normalidade")</f>
        <v>Normalidade</v>
      </c>
      <c r="H90" s="4">
        <f ca="1">IFERROR(__xludf.UNSUPPORTED("""COMPUTED_VALUE"""),44896.4337962962)</f>
        <v>44896.433796296202</v>
      </c>
      <c r="I90" s="3">
        <f ca="1">IFERROR(__xludf.UNSUPPORTED("""COMPUTED_VALUE"""),24)</f>
        <v>24</v>
      </c>
      <c r="J90" s="4">
        <f ca="1">IFERROR(__xludf.UNSUPPORTED("""COMPUTED_VALUE"""),44897.4337962962)</f>
        <v>44897.433796296202</v>
      </c>
    </row>
    <row r="91" spans="1:10" ht="12.75">
      <c r="A91" s="3" t="str">
        <f ca="1">IFERROR(__xludf.UNSUPPORTED("""COMPUTED_VALUE"""),"f3f21f4f")</f>
        <v>f3f21f4f</v>
      </c>
      <c r="B91" s="4">
        <f ca="1">IFERROR(__xludf.UNSUPPORTED("""COMPUTED_VALUE"""),44897.4076504629)</f>
        <v>44897.407650462897</v>
      </c>
      <c r="C91" s="7" t="str">
        <f ca="1">IFERROR(__xludf.UNSUPPORTED("""COMPUTED_VALUE"""),"Aratu")</f>
        <v>Aratu</v>
      </c>
      <c r="D91" s="3" t="str">
        <f ca="1">IFERROR(__xludf.UNSUPPORTED("""COMPUTED_VALUE"""),"🚢 REGULAR")</f>
        <v>🚢 REGULAR</v>
      </c>
      <c r="E91" s="3" t="str">
        <f ca="1">IFERROR(__xludf.UNSUPPORTED("""COMPUTED_VALUE"""),"🚛 LIBERADO")</f>
        <v>🚛 LIBERADO</v>
      </c>
      <c r="F91" s="5">
        <f ca="1">IFERROR(__xludf.UNSUPPORTED("""COMPUTED_VALUE"""),0)</f>
        <v>0</v>
      </c>
      <c r="G91" s="3" t="str">
        <f ca="1">IFERROR(__xludf.UNSUPPORTED("""COMPUTED_VALUE"""),"Normalidade")</f>
        <v>Normalidade</v>
      </c>
      <c r="H91" s="4">
        <f ca="1">IFERROR(__xludf.UNSUPPORTED("""COMPUTED_VALUE"""),44897.4076504629)</f>
        <v>44897.407650462897</v>
      </c>
      <c r="I91" s="3">
        <f ca="1">IFERROR(__xludf.UNSUPPORTED("""COMPUTED_VALUE"""),24)</f>
        <v>24</v>
      </c>
      <c r="J91" s="4">
        <f ca="1">IFERROR(__xludf.UNSUPPORTED("""COMPUTED_VALUE"""),44898.4076504629)</f>
        <v>44898.407650462897</v>
      </c>
    </row>
    <row r="92" spans="1:10" ht="12.75">
      <c r="A92" s="3" t="str">
        <f ca="1">IFERROR(__xludf.UNSUPPORTED("""COMPUTED_VALUE"""),"a6c96d09")</f>
        <v>a6c96d09</v>
      </c>
      <c r="B92" s="4">
        <f ca="1">IFERROR(__xludf.UNSUPPORTED("""COMPUTED_VALUE"""),44898.2930324074)</f>
        <v>44898.293032407397</v>
      </c>
      <c r="C92" s="8" t="str">
        <f ca="1">IFERROR(__xludf.UNSUPPORTED("""COMPUTED_VALUE"""),"Aratu")</f>
        <v>Aratu</v>
      </c>
      <c r="D92" s="3" t="str">
        <f ca="1">IFERROR(__xludf.UNSUPPORTED("""COMPUTED_VALUE"""),"🚢 REGULAR")</f>
        <v>🚢 REGULAR</v>
      </c>
      <c r="E92" s="3" t="str">
        <f ca="1">IFERROR(__xludf.UNSUPPORTED("""COMPUTED_VALUE"""),"🚛 LIBERADO")</f>
        <v>🚛 LIBERADO</v>
      </c>
      <c r="F92" s="5">
        <f ca="1">IFERROR(__xludf.UNSUPPORTED("""COMPUTED_VALUE"""),0)</f>
        <v>0</v>
      </c>
      <c r="G92" s="3" t="str">
        <f ca="1">IFERROR(__xludf.UNSUPPORTED("""COMPUTED_VALUE"""),"Normalidade")</f>
        <v>Normalidade</v>
      </c>
      <c r="H92" s="4">
        <f ca="1">IFERROR(__xludf.UNSUPPORTED("""COMPUTED_VALUE"""),44898.2930324074)</f>
        <v>44898.293032407397</v>
      </c>
      <c r="I92" s="3">
        <f ca="1">IFERROR(__xludf.UNSUPPORTED("""COMPUTED_VALUE"""),24)</f>
        <v>24</v>
      </c>
      <c r="J92" s="4">
        <f ca="1">IFERROR(__xludf.UNSUPPORTED("""COMPUTED_VALUE"""),44899.2930324074)</f>
        <v>44899.293032407397</v>
      </c>
    </row>
    <row r="93" spans="1:10" ht="12.75">
      <c r="A93" s="3" t="str">
        <f ca="1">IFERROR(__xludf.UNSUPPORTED("""COMPUTED_VALUE"""),"257daae1")</f>
        <v>257daae1</v>
      </c>
      <c r="B93" s="4">
        <f ca="1">IFERROR(__xludf.UNSUPPORTED("""COMPUTED_VALUE"""),44899.2508449074)</f>
        <v>44899.250844907401</v>
      </c>
      <c r="C93" s="8" t="str">
        <f ca="1">IFERROR(__xludf.UNSUPPORTED("""COMPUTED_VALUE"""),"Aratu")</f>
        <v>Aratu</v>
      </c>
      <c r="D93" s="3" t="str">
        <f ca="1">IFERROR(__xludf.UNSUPPORTED("""COMPUTED_VALUE"""),"🚢 REGULAR")</f>
        <v>🚢 REGULAR</v>
      </c>
      <c r="E93" s="3" t="str">
        <f ca="1">IFERROR(__xludf.UNSUPPORTED("""COMPUTED_VALUE"""),"🚛 LIBERADO")</f>
        <v>🚛 LIBERADO</v>
      </c>
      <c r="F93" s="5">
        <f ca="1">IFERROR(__xludf.UNSUPPORTED("""COMPUTED_VALUE"""),0)</f>
        <v>0</v>
      </c>
      <c r="G93" s="3" t="str">
        <f ca="1">IFERROR(__xludf.UNSUPPORTED("""COMPUTED_VALUE"""),"Normalidade")</f>
        <v>Normalidade</v>
      </c>
      <c r="H93" s="4">
        <f ca="1">IFERROR(__xludf.UNSUPPORTED("""COMPUTED_VALUE"""),44899.2508449074)</f>
        <v>44899.250844907401</v>
      </c>
      <c r="I93" s="3">
        <f ca="1">IFERROR(__xludf.UNSUPPORTED("""COMPUTED_VALUE"""),24)</f>
        <v>24</v>
      </c>
      <c r="J93" s="4">
        <f ca="1">IFERROR(__xludf.UNSUPPORTED("""COMPUTED_VALUE"""),44900.2508449074)</f>
        <v>44900.250844907401</v>
      </c>
    </row>
    <row r="94" spans="1:10" ht="12.75">
      <c r="A94" s="3" t="str">
        <f ca="1">IFERROR(__xludf.UNSUPPORTED("""COMPUTED_VALUE"""),"d5f3ab81")</f>
        <v>d5f3ab81</v>
      </c>
      <c r="B94" s="4">
        <f ca="1">IFERROR(__xludf.UNSUPPORTED("""COMPUTED_VALUE"""),44900.3842939814)</f>
        <v>44900.384293981399</v>
      </c>
      <c r="C94" s="8" t="str">
        <f ca="1">IFERROR(__xludf.UNSUPPORTED("""COMPUTED_VALUE"""),"Aratu")</f>
        <v>Aratu</v>
      </c>
      <c r="D94" s="3" t="str">
        <f ca="1">IFERROR(__xludf.UNSUPPORTED("""COMPUTED_VALUE"""),"🚢 REGULAR")</f>
        <v>🚢 REGULAR</v>
      </c>
      <c r="E94" s="3" t="str">
        <f ca="1">IFERROR(__xludf.UNSUPPORTED("""COMPUTED_VALUE"""),"🚛 LIBERADO")</f>
        <v>🚛 LIBERADO</v>
      </c>
      <c r="F94" s="5">
        <f ca="1">IFERROR(__xludf.UNSUPPORTED("""COMPUTED_VALUE"""),0)</f>
        <v>0</v>
      </c>
      <c r="G94" s="3" t="str">
        <f ca="1">IFERROR(__xludf.UNSUPPORTED("""COMPUTED_VALUE"""),"Sem registros de bloqueios.")</f>
        <v>Sem registros de bloqueios.</v>
      </c>
      <c r="H94" s="4">
        <f ca="1">IFERROR(__xludf.UNSUPPORTED("""COMPUTED_VALUE"""),44900.3842939814)</f>
        <v>44900.384293981399</v>
      </c>
      <c r="I94" s="3">
        <f ca="1">IFERROR(__xludf.UNSUPPORTED("""COMPUTED_VALUE"""),24)</f>
        <v>24</v>
      </c>
      <c r="J94" s="4">
        <f ca="1">IFERROR(__xludf.UNSUPPORTED("""COMPUTED_VALUE"""),44901.3842939814)</f>
        <v>44901.384293981399</v>
      </c>
    </row>
    <row r="95" spans="1:10" ht="12.75">
      <c r="A95" s="3" t="str">
        <f ca="1">IFERROR(__xludf.UNSUPPORTED("""COMPUTED_VALUE"""),"1d8de007")</f>
        <v>1d8de007</v>
      </c>
      <c r="B95" s="4">
        <f ca="1">IFERROR(__xludf.UNSUPPORTED("""COMPUTED_VALUE"""),44901.3126157407)</f>
        <v>44901.312615740702</v>
      </c>
      <c r="C95" s="7" t="str">
        <f ca="1">IFERROR(__xludf.UNSUPPORTED("""COMPUTED_VALUE"""),"Aratu")</f>
        <v>Aratu</v>
      </c>
      <c r="D95" s="3" t="str">
        <f ca="1">IFERROR(__xludf.UNSUPPORTED("""COMPUTED_VALUE"""),"🚢 REGULAR")</f>
        <v>🚢 REGULAR</v>
      </c>
      <c r="E95" s="3" t="str">
        <f ca="1">IFERROR(__xludf.UNSUPPORTED("""COMPUTED_VALUE"""),"🚛 LIBERADO")</f>
        <v>🚛 LIBERADO</v>
      </c>
      <c r="F95" s="5">
        <f ca="1">IFERROR(__xludf.UNSUPPORTED("""COMPUTED_VALUE"""),0)</f>
        <v>0</v>
      </c>
      <c r="G95" s="3" t="str">
        <f ca="1">IFERROR(__xludf.UNSUPPORTED("""COMPUTED_VALUE"""),"Sem ocorrências de bloqueios.")</f>
        <v>Sem ocorrências de bloqueios.</v>
      </c>
      <c r="H95" s="4">
        <f ca="1">IFERROR(__xludf.UNSUPPORTED("""COMPUTED_VALUE"""),44901.3126157407)</f>
        <v>44901.312615740702</v>
      </c>
      <c r="I95" s="3">
        <f ca="1">IFERROR(__xludf.UNSUPPORTED("""COMPUTED_VALUE"""),24)</f>
        <v>24</v>
      </c>
      <c r="J95" s="4">
        <f ca="1">IFERROR(__xludf.UNSUPPORTED("""COMPUTED_VALUE"""),44902.3126157407)</f>
        <v>44902.312615740702</v>
      </c>
    </row>
    <row r="96" spans="1:10" ht="12.75">
      <c r="A96" s="3" t="str">
        <f ca="1">IFERROR(__xludf.UNSUPPORTED("""COMPUTED_VALUE"""),"914ea503")</f>
        <v>914ea503</v>
      </c>
      <c r="B96" s="4">
        <f ca="1">IFERROR(__xludf.UNSUPPORTED("""COMPUTED_VALUE"""),44902.3514351851)</f>
        <v>44902.351435185097</v>
      </c>
      <c r="C96" s="8" t="str">
        <f ca="1">IFERROR(__xludf.UNSUPPORTED("""COMPUTED_VALUE"""),"Aratu")</f>
        <v>Aratu</v>
      </c>
      <c r="D96" s="3" t="str">
        <f ca="1">IFERROR(__xludf.UNSUPPORTED("""COMPUTED_VALUE"""),"🚢 REGULAR")</f>
        <v>🚢 REGULAR</v>
      </c>
      <c r="E96" s="3" t="str">
        <f ca="1">IFERROR(__xludf.UNSUPPORTED("""COMPUTED_VALUE"""),"🚛 LIBERADO")</f>
        <v>🚛 LIBERADO</v>
      </c>
      <c r="F96" s="5">
        <f ca="1">IFERROR(__xludf.UNSUPPORTED("""COMPUTED_VALUE"""),0)</f>
        <v>0</v>
      </c>
      <c r="G96" s="3" t="str">
        <f ca="1">IFERROR(__xludf.UNSUPPORTED("""COMPUTED_VALUE"""),"Sem ocorrências de bloqueios.")</f>
        <v>Sem ocorrências de bloqueios.</v>
      </c>
      <c r="H96" s="4">
        <f ca="1">IFERROR(__xludf.UNSUPPORTED("""COMPUTED_VALUE"""),44902.3514351851)</f>
        <v>44902.351435185097</v>
      </c>
      <c r="I96" s="3">
        <f ca="1">IFERROR(__xludf.UNSUPPORTED("""COMPUTED_VALUE"""),24)</f>
        <v>24</v>
      </c>
      <c r="J96" s="4">
        <f ca="1">IFERROR(__xludf.UNSUPPORTED("""COMPUTED_VALUE"""),44903.3514351851)</f>
        <v>44903.351435185097</v>
      </c>
    </row>
    <row r="97" spans="1:10" ht="12.75">
      <c r="A97" s="3" t="str">
        <f ca="1">IFERROR(__xludf.UNSUPPORTED("""COMPUTED_VALUE"""),"fde8247b")</f>
        <v>fde8247b</v>
      </c>
      <c r="B97" s="4">
        <f ca="1">IFERROR(__xludf.UNSUPPORTED("""COMPUTED_VALUE"""),44903.6682986111)</f>
        <v>44903.668298611097</v>
      </c>
      <c r="C97" s="7" t="str">
        <f ca="1">IFERROR(__xludf.UNSUPPORTED("""COMPUTED_VALUE"""),"Aratu")</f>
        <v>Aratu</v>
      </c>
      <c r="D97" s="3" t="str">
        <f ca="1">IFERROR(__xludf.UNSUPPORTED("""COMPUTED_VALUE"""),"🚢 REGULAR")</f>
        <v>🚢 REGULAR</v>
      </c>
      <c r="E97" s="3" t="str">
        <f ca="1">IFERROR(__xludf.UNSUPPORTED("""COMPUTED_VALUE"""),"🚛 LIBERADO")</f>
        <v>🚛 LIBERADO</v>
      </c>
      <c r="F97" s="5">
        <f ca="1">IFERROR(__xludf.UNSUPPORTED("""COMPUTED_VALUE"""),0)</f>
        <v>0</v>
      </c>
      <c r="G97" s="3" t="str">
        <f ca="1">IFERROR(__xludf.UNSUPPORTED("""COMPUTED_VALUE"""),"Sem registros de bloqueios.")</f>
        <v>Sem registros de bloqueios.</v>
      </c>
      <c r="H97" s="4">
        <f ca="1">IFERROR(__xludf.UNSUPPORTED("""COMPUTED_VALUE"""),44903.6682986111)</f>
        <v>44903.668298611097</v>
      </c>
      <c r="I97" s="3">
        <f ca="1">IFERROR(__xludf.UNSUPPORTED("""COMPUTED_VALUE"""),24)</f>
        <v>24</v>
      </c>
      <c r="J97" s="4">
        <f ca="1">IFERROR(__xludf.UNSUPPORTED("""COMPUTED_VALUE"""),44904.6682986111)</f>
        <v>44904.668298611097</v>
      </c>
    </row>
    <row r="98" spans="1:10" ht="12.75">
      <c r="A98" s="3" t="str">
        <f ca="1">IFERROR(__xludf.UNSUPPORTED("""COMPUTED_VALUE"""),"8aed792f")</f>
        <v>8aed792f</v>
      </c>
      <c r="B98" s="4">
        <f ca="1">IFERROR(__xludf.UNSUPPORTED("""COMPUTED_VALUE"""),44904.3449768518)</f>
        <v>44904.344976851797</v>
      </c>
      <c r="C98" s="7" t="str">
        <f ca="1">IFERROR(__xludf.UNSUPPORTED("""COMPUTED_VALUE"""),"Aratu")</f>
        <v>Aratu</v>
      </c>
      <c r="D98" s="3" t="str">
        <f ca="1">IFERROR(__xludf.UNSUPPORTED("""COMPUTED_VALUE"""),"🚢 REGULAR")</f>
        <v>🚢 REGULAR</v>
      </c>
      <c r="E98" s="3" t="str">
        <f ca="1">IFERROR(__xludf.UNSUPPORTED("""COMPUTED_VALUE"""),"🚛 LIBERADO")</f>
        <v>🚛 LIBERADO</v>
      </c>
      <c r="F98" s="5">
        <f ca="1">IFERROR(__xludf.UNSUPPORTED("""COMPUTED_VALUE"""),0)</f>
        <v>0</v>
      </c>
      <c r="G98" s="3" t="str">
        <f ca="1">IFERROR(__xludf.UNSUPPORTED("""COMPUTED_VALUE"""),"Sem registros de bloqueios.")</f>
        <v>Sem registros de bloqueios.</v>
      </c>
      <c r="H98" s="4">
        <f ca="1">IFERROR(__xludf.UNSUPPORTED("""COMPUTED_VALUE"""),44904.3449768518)</f>
        <v>44904.344976851797</v>
      </c>
      <c r="I98" s="3">
        <f ca="1">IFERROR(__xludf.UNSUPPORTED("""COMPUTED_VALUE"""),24)</f>
        <v>24</v>
      </c>
      <c r="J98" s="4">
        <f ca="1">IFERROR(__xludf.UNSUPPORTED("""COMPUTED_VALUE"""),44905.3449768518)</f>
        <v>44905.344976851797</v>
      </c>
    </row>
    <row r="99" spans="1:10" ht="12.75">
      <c r="A99" s="3" t="str">
        <f ca="1">IFERROR(__xludf.UNSUPPORTED("""COMPUTED_VALUE"""),"4e0f7ae3")</f>
        <v>4e0f7ae3</v>
      </c>
      <c r="B99" s="4">
        <f ca="1">IFERROR(__xludf.UNSUPPORTED("""COMPUTED_VALUE"""),44906.3094444444)</f>
        <v>44906.3094444444</v>
      </c>
      <c r="C99" s="8" t="str">
        <f ca="1">IFERROR(__xludf.UNSUPPORTED("""COMPUTED_VALUE"""),"Aratu")</f>
        <v>Aratu</v>
      </c>
      <c r="D99" s="3" t="str">
        <f ca="1">IFERROR(__xludf.UNSUPPORTED("""COMPUTED_VALUE"""),"🚢 REGULAR")</f>
        <v>🚢 REGULAR</v>
      </c>
      <c r="E99" s="3" t="str">
        <f ca="1">IFERROR(__xludf.UNSUPPORTED("""COMPUTED_VALUE"""),"🚛 LIBERADO")</f>
        <v>🚛 LIBERADO</v>
      </c>
      <c r="F99" s="5">
        <f ca="1">IFERROR(__xludf.UNSUPPORTED("""COMPUTED_VALUE"""),0)</f>
        <v>0</v>
      </c>
      <c r="G99" s="3" t="str">
        <f ca="1">IFERROR(__xludf.UNSUPPORTED("""COMPUTED_VALUE"""),"Sem bloqueios registrados.")</f>
        <v>Sem bloqueios registrados.</v>
      </c>
      <c r="H99" s="4">
        <f ca="1">IFERROR(__xludf.UNSUPPORTED("""COMPUTED_VALUE"""),44906.3094444444)</f>
        <v>44906.3094444444</v>
      </c>
      <c r="I99" s="3">
        <f ca="1">IFERROR(__xludf.UNSUPPORTED("""COMPUTED_VALUE"""),24)</f>
        <v>24</v>
      </c>
      <c r="J99" s="4">
        <f ca="1">IFERROR(__xludf.UNSUPPORTED("""COMPUTED_VALUE"""),44907.3094444444)</f>
        <v>44907.3094444444</v>
      </c>
    </row>
    <row r="100" spans="1:10" ht="12.75">
      <c r="A100" s="3" t="str">
        <f ca="1">IFERROR(__xludf.UNSUPPORTED("""COMPUTED_VALUE"""),"937087cd")</f>
        <v>937087cd</v>
      </c>
      <c r="B100" s="4">
        <f ca="1">IFERROR(__xludf.UNSUPPORTED("""COMPUTED_VALUE"""),44907.2237268518)</f>
        <v>44907.2237268518</v>
      </c>
      <c r="C100" s="7" t="str">
        <f ca="1">IFERROR(__xludf.UNSUPPORTED("""COMPUTED_VALUE"""),"Aratu")</f>
        <v>Aratu</v>
      </c>
      <c r="D100" s="3" t="str">
        <f ca="1">IFERROR(__xludf.UNSUPPORTED("""COMPUTED_VALUE"""),"🚢 REGULAR")</f>
        <v>🚢 REGULAR</v>
      </c>
      <c r="E100" s="3" t="str">
        <f ca="1">IFERROR(__xludf.UNSUPPORTED("""COMPUTED_VALUE"""),"🚛 LIBERADO")</f>
        <v>🚛 LIBERADO</v>
      </c>
      <c r="F100" s="5">
        <f ca="1">IFERROR(__xludf.UNSUPPORTED("""COMPUTED_VALUE"""),0)</f>
        <v>0</v>
      </c>
      <c r="G100" s="3" t="str">
        <f ca="1">IFERROR(__xludf.UNSUPPORTED("""COMPUTED_VALUE"""),"Sem bloqueios registrados.")</f>
        <v>Sem bloqueios registrados.</v>
      </c>
      <c r="H100" s="4">
        <f ca="1">IFERROR(__xludf.UNSUPPORTED("""COMPUTED_VALUE"""),44907.2237268518)</f>
        <v>44907.2237268518</v>
      </c>
      <c r="I100" s="3">
        <f ca="1">IFERROR(__xludf.UNSUPPORTED("""COMPUTED_VALUE"""),24)</f>
        <v>24</v>
      </c>
      <c r="J100" s="4">
        <f ca="1">IFERROR(__xludf.UNSUPPORTED("""COMPUTED_VALUE"""),44908.2237268518)</f>
        <v>44908.2237268518</v>
      </c>
    </row>
    <row r="101" spans="1:10" ht="12.75">
      <c r="A101" s="3" t="str">
        <f ca="1">IFERROR(__xludf.UNSUPPORTED("""COMPUTED_VALUE"""),"b9c3c6ff")</f>
        <v>b9c3c6ff</v>
      </c>
      <c r="B101" s="4">
        <f ca="1">IFERROR(__xludf.UNSUPPORTED("""COMPUTED_VALUE"""),44908.3625462962)</f>
        <v>44908.362546296201</v>
      </c>
      <c r="C101" s="8" t="str">
        <f ca="1">IFERROR(__xludf.UNSUPPORTED("""COMPUTED_VALUE"""),"Aratu")</f>
        <v>Aratu</v>
      </c>
      <c r="D101" s="3" t="str">
        <f ca="1">IFERROR(__xludf.UNSUPPORTED("""COMPUTED_VALUE"""),"🚢 REGULAR")</f>
        <v>🚢 REGULAR</v>
      </c>
      <c r="E101" s="3" t="str">
        <f ca="1">IFERROR(__xludf.UNSUPPORTED("""COMPUTED_VALUE"""),"🚛 LIBERADO")</f>
        <v>🚛 LIBERADO</v>
      </c>
      <c r="F101" s="5">
        <f ca="1">IFERROR(__xludf.UNSUPPORTED("""COMPUTED_VALUE"""),0)</f>
        <v>0</v>
      </c>
      <c r="G101" s="3" t="str">
        <f ca="1">IFERROR(__xludf.UNSUPPORTED("""COMPUTED_VALUE"""),"Sem registros de bloqueios.")</f>
        <v>Sem registros de bloqueios.</v>
      </c>
      <c r="H101" s="4">
        <f ca="1">IFERROR(__xludf.UNSUPPORTED("""COMPUTED_VALUE"""),44908.3625462962)</f>
        <v>44908.362546296201</v>
      </c>
      <c r="I101" s="3">
        <f ca="1">IFERROR(__xludf.UNSUPPORTED("""COMPUTED_VALUE"""),24)</f>
        <v>24</v>
      </c>
      <c r="J101" s="4">
        <f ca="1">IFERROR(__xludf.UNSUPPORTED("""COMPUTED_VALUE"""),44909.3625462962)</f>
        <v>44909.362546296201</v>
      </c>
    </row>
    <row r="102" spans="1:10" ht="12.75">
      <c r="A102" s="3" t="str">
        <f ca="1">IFERROR(__xludf.UNSUPPORTED("""COMPUTED_VALUE"""),"264b0376")</f>
        <v>264b0376</v>
      </c>
      <c r="B102" s="4">
        <f ca="1">IFERROR(__xludf.UNSUPPORTED("""COMPUTED_VALUE"""),44909.3293287037)</f>
        <v>44909.329328703701</v>
      </c>
      <c r="C102" s="7" t="str">
        <f ca="1">IFERROR(__xludf.UNSUPPORTED("""COMPUTED_VALUE"""),"Aratu")</f>
        <v>Aratu</v>
      </c>
      <c r="D102" s="3" t="str">
        <f ca="1">IFERROR(__xludf.UNSUPPORTED("""COMPUTED_VALUE"""),"🚢 REGULAR")</f>
        <v>🚢 REGULAR</v>
      </c>
      <c r="E102" s="3" t="str">
        <f ca="1">IFERROR(__xludf.UNSUPPORTED("""COMPUTED_VALUE"""),"🚛 LIBERADO")</f>
        <v>🚛 LIBERADO</v>
      </c>
      <c r="F102" s="5">
        <f ca="1">IFERROR(__xludf.UNSUPPORTED("""COMPUTED_VALUE"""),0)</f>
        <v>0</v>
      </c>
      <c r="G102" s="3" t="str">
        <f ca="1">IFERROR(__xludf.UNSUPPORTED("""COMPUTED_VALUE"""),"Sem registros de bloqueios.")</f>
        <v>Sem registros de bloqueios.</v>
      </c>
      <c r="H102" s="4">
        <f ca="1">IFERROR(__xludf.UNSUPPORTED("""COMPUTED_VALUE"""),44909.3293287037)</f>
        <v>44909.329328703701</v>
      </c>
      <c r="I102" s="3">
        <f ca="1">IFERROR(__xludf.UNSUPPORTED("""COMPUTED_VALUE"""),24)</f>
        <v>24</v>
      </c>
      <c r="J102" s="4">
        <f ca="1">IFERROR(__xludf.UNSUPPORTED("""COMPUTED_VALUE"""),44910.3293287037)</f>
        <v>44910.329328703701</v>
      </c>
    </row>
    <row r="103" spans="1:10" ht="12.75">
      <c r="A103" s="3" t="str">
        <f ca="1">IFERROR(__xludf.UNSUPPORTED("""COMPUTED_VALUE"""),"6ea49404")</f>
        <v>6ea49404</v>
      </c>
      <c r="B103" s="4">
        <f ca="1">IFERROR(__xludf.UNSUPPORTED("""COMPUTED_VALUE"""),44910.4658912037)</f>
        <v>44910.465891203698</v>
      </c>
      <c r="C103" s="7" t="str">
        <f ca="1">IFERROR(__xludf.UNSUPPORTED("""COMPUTED_VALUE"""),"Aratu")</f>
        <v>Aratu</v>
      </c>
      <c r="D103" s="3" t="str">
        <f ca="1">IFERROR(__xludf.UNSUPPORTED("""COMPUTED_VALUE"""),"🚢 REGULAR")</f>
        <v>🚢 REGULAR</v>
      </c>
      <c r="E103" s="3" t="str">
        <f ca="1">IFERROR(__xludf.UNSUPPORTED("""COMPUTED_VALUE"""),"🚛 LIBERADO")</f>
        <v>🚛 LIBERADO</v>
      </c>
      <c r="F103" s="5">
        <f ca="1">IFERROR(__xludf.UNSUPPORTED("""COMPUTED_VALUE"""),0)</f>
        <v>0</v>
      </c>
      <c r="G103" s="3" t="str">
        <f ca="1">IFERROR(__xludf.UNSUPPORTED("""COMPUTED_VALUE"""),"Sem registros de bloqueios.")</f>
        <v>Sem registros de bloqueios.</v>
      </c>
      <c r="H103" s="4">
        <f ca="1">IFERROR(__xludf.UNSUPPORTED("""COMPUTED_VALUE"""),44910.4658912037)</f>
        <v>44910.465891203698</v>
      </c>
      <c r="I103" s="3">
        <f ca="1">IFERROR(__xludf.UNSUPPORTED("""COMPUTED_VALUE"""),24)</f>
        <v>24</v>
      </c>
      <c r="J103" s="4">
        <f ca="1">IFERROR(__xludf.UNSUPPORTED("""COMPUTED_VALUE"""),44911.4658912037)</f>
        <v>44911.465891203698</v>
      </c>
    </row>
    <row r="104" spans="1:10" ht="12.75">
      <c r="A104" s="3" t="str">
        <f ca="1">IFERROR(__xludf.UNSUPPORTED("""COMPUTED_VALUE"""),"5f09d09e")</f>
        <v>5f09d09e</v>
      </c>
      <c r="B104" s="4">
        <f ca="1">IFERROR(__xludf.UNSUPPORTED("""COMPUTED_VALUE"""),44911.3251736111)</f>
        <v>44911.325173611098</v>
      </c>
      <c r="C104" s="7" t="str">
        <f ca="1">IFERROR(__xludf.UNSUPPORTED("""COMPUTED_VALUE"""),"Aratu")</f>
        <v>Aratu</v>
      </c>
      <c r="D104" s="3" t="str">
        <f ca="1">IFERROR(__xludf.UNSUPPORTED("""COMPUTED_VALUE"""),"🚢 REGULAR")</f>
        <v>🚢 REGULAR</v>
      </c>
      <c r="E104" s="3" t="str">
        <f ca="1">IFERROR(__xludf.UNSUPPORTED("""COMPUTED_VALUE"""),"🚛 LIBERADO")</f>
        <v>🚛 LIBERADO</v>
      </c>
      <c r="F104" s="5">
        <f ca="1">IFERROR(__xludf.UNSUPPORTED("""COMPUTED_VALUE"""),0)</f>
        <v>0</v>
      </c>
      <c r="G104" s="3" t="str">
        <f ca="1">IFERROR(__xludf.UNSUPPORTED("""COMPUTED_VALUE"""),"Sem registros de bloqueios.")</f>
        <v>Sem registros de bloqueios.</v>
      </c>
      <c r="H104" s="4">
        <f ca="1">IFERROR(__xludf.UNSUPPORTED("""COMPUTED_VALUE"""),44911.3251736111)</f>
        <v>44911.325173611098</v>
      </c>
      <c r="I104" s="3">
        <f ca="1">IFERROR(__xludf.UNSUPPORTED("""COMPUTED_VALUE"""),24)</f>
        <v>24</v>
      </c>
      <c r="J104" s="4">
        <f ca="1">IFERROR(__xludf.UNSUPPORTED("""COMPUTED_VALUE"""),44912.3251736111)</f>
        <v>44912.325173611098</v>
      </c>
    </row>
    <row r="105" spans="1:10" ht="12.75">
      <c r="A105" s="3" t="str">
        <f ca="1">IFERROR(__xludf.UNSUPPORTED("""COMPUTED_VALUE"""),"07021ee0")</f>
        <v>07021ee0</v>
      </c>
      <c r="B105" s="4">
        <f ca="1">IFERROR(__xludf.UNSUPPORTED("""COMPUTED_VALUE"""),44913.3751273148)</f>
        <v>44913.375127314801</v>
      </c>
      <c r="C105" s="7" t="str">
        <f ca="1">IFERROR(__xludf.UNSUPPORTED("""COMPUTED_VALUE"""),"Aratu")</f>
        <v>Aratu</v>
      </c>
      <c r="D105" s="3" t="str">
        <f ca="1">IFERROR(__xludf.UNSUPPORTED("""COMPUTED_VALUE"""),"🚢 REGULAR")</f>
        <v>🚢 REGULAR</v>
      </c>
      <c r="E105" s="3" t="str">
        <f ca="1">IFERROR(__xludf.UNSUPPORTED("""COMPUTED_VALUE"""),"🚛 LIBERADO")</f>
        <v>🚛 LIBERADO</v>
      </c>
      <c r="F105" s="5">
        <f ca="1">IFERROR(__xludf.UNSUPPORTED("""COMPUTED_VALUE"""),0)</f>
        <v>0</v>
      </c>
      <c r="G105" s="3" t="str">
        <f ca="1">IFERROR(__xludf.UNSUPPORTED("""COMPUTED_VALUE"""),"Sem registros de bloqueios.")</f>
        <v>Sem registros de bloqueios.</v>
      </c>
      <c r="H105" s="4">
        <f ca="1">IFERROR(__xludf.UNSUPPORTED("""COMPUTED_VALUE"""),44913.3751273148)</f>
        <v>44913.375127314801</v>
      </c>
      <c r="I105" s="3">
        <f ca="1">IFERROR(__xludf.UNSUPPORTED("""COMPUTED_VALUE"""),24)</f>
        <v>24</v>
      </c>
      <c r="J105" s="4">
        <f ca="1">IFERROR(__xludf.UNSUPPORTED("""COMPUTED_VALUE"""),44914.3751273148)</f>
        <v>44914.375127314801</v>
      </c>
    </row>
    <row r="106" spans="1:10" ht="12.75">
      <c r="A106" s="3" t="str">
        <f ca="1">IFERROR(__xludf.UNSUPPORTED("""COMPUTED_VALUE"""),"f17e0dfc")</f>
        <v>f17e0dfc</v>
      </c>
      <c r="B106" s="4">
        <f ca="1">IFERROR(__xludf.UNSUPPORTED("""COMPUTED_VALUE"""),44914.8371643518)</f>
        <v>44914.837164351797</v>
      </c>
      <c r="C106" s="8" t="str">
        <f ca="1">IFERROR(__xludf.UNSUPPORTED("""COMPUTED_VALUE"""),"Aratu")</f>
        <v>Aratu</v>
      </c>
      <c r="D106" s="3" t="str">
        <f ca="1">IFERROR(__xludf.UNSUPPORTED("""COMPUTED_VALUE"""),"🚢 REGULAR")</f>
        <v>🚢 REGULAR</v>
      </c>
      <c r="E106" s="3" t="str">
        <f ca="1">IFERROR(__xludf.UNSUPPORTED("""COMPUTED_VALUE"""),"🚛 LIBERADO")</f>
        <v>🚛 LIBERADO</v>
      </c>
      <c r="F106" s="5">
        <f ca="1">IFERROR(__xludf.UNSUPPORTED("""COMPUTED_VALUE"""),0)</f>
        <v>0</v>
      </c>
      <c r="G106" s="3" t="str">
        <f ca="1">IFERROR(__xludf.UNSUPPORTED("""COMPUTED_VALUE"""),"Sem registros de bloqueios.")</f>
        <v>Sem registros de bloqueios.</v>
      </c>
      <c r="H106" s="4">
        <f ca="1">IFERROR(__xludf.UNSUPPORTED("""COMPUTED_VALUE"""),44914.8371643518)</f>
        <v>44914.837164351797</v>
      </c>
      <c r="I106" s="3">
        <f ca="1">IFERROR(__xludf.UNSUPPORTED("""COMPUTED_VALUE"""),24)</f>
        <v>24</v>
      </c>
      <c r="J106" s="4">
        <f ca="1">IFERROR(__xludf.UNSUPPORTED("""COMPUTED_VALUE"""),44915.8371643518)</f>
        <v>44915.837164351797</v>
      </c>
    </row>
    <row r="107" spans="1:10" ht="12.75">
      <c r="A107" s="3" t="str">
        <f ca="1">IFERROR(__xludf.UNSUPPORTED("""COMPUTED_VALUE"""),"b24d277c")</f>
        <v>b24d277c</v>
      </c>
      <c r="B107" s="4">
        <f ca="1">IFERROR(__xludf.UNSUPPORTED("""COMPUTED_VALUE"""),44915.3079282407)</f>
        <v>44915.307928240698</v>
      </c>
      <c r="C107" s="8" t="str">
        <f ca="1">IFERROR(__xludf.UNSUPPORTED("""COMPUTED_VALUE"""),"Aratu")</f>
        <v>Aratu</v>
      </c>
      <c r="D107" s="3" t="str">
        <f ca="1">IFERROR(__xludf.UNSUPPORTED("""COMPUTED_VALUE"""),"🚢 REGULAR")</f>
        <v>🚢 REGULAR</v>
      </c>
      <c r="E107" s="3" t="str">
        <f ca="1">IFERROR(__xludf.UNSUPPORTED("""COMPUTED_VALUE"""),"🚛 LIBERADO")</f>
        <v>🚛 LIBERADO</v>
      </c>
      <c r="F107" s="5">
        <f ca="1">IFERROR(__xludf.UNSUPPORTED("""COMPUTED_VALUE"""),0)</f>
        <v>0</v>
      </c>
      <c r="G107" s="3" t="str">
        <f ca="1">IFERROR(__xludf.UNSUPPORTED("""COMPUTED_VALUE"""),"Sem registros de bloqueios.")</f>
        <v>Sem registros de bloqueios.</v>
      </c>
      <c r="H107" s="4">
        <f ca="1">IFERROR(__xludf.UNSUPPORTED("""COMPUTED_VALUE"""),44915.3079282407)</f>
        <v>44915.307928240698</v>
      </c>
      <c r="I107" s="3">
        <f ca="1">IFERROR(__xludf.UNSUPPORTED("""COMPUTED_VALUE"""),24)</f>
        <v>24</v>
      </c>
      <c r="J107" s="4">
        <f ca="1">IFERROR(__xludf.UNSUPPORTED("""COMPUTED_VALUE"""),44916.3079282407)</f>
        <v>44916.307928240698</v>
      </c>
    </row>
    <row r="108" spans="1:10" ht="12.75">
      <c r="A108" s="3" t="str">
        <f ca="1">IFERROR(__xludf.UNSUPPORTED("""COMPUTED_VALUE"""),"c46bd6a3")</f>
        <v>c46bd6a3</v>
      </c>
      <c r="B108" s="4">
        <f ca="1">IFERROR(__xludf.UNSUPPORTED("""COMPUTED_VALUE"""),44916.4086574074)</f>
        <v>44916.408657407403</v>
      </c>
      <c r="C108" s="8" t="str">
        <f ca="1">IFERROR(__xludf.UNSUPPORTED("""COMPUTED_VALUE"""),"Aratu")</f>
        <v>Aratu</v>
      </c>
      <c r="D108" s="3" t="str">
        <f ca="1">IFERROR(__xludf.UNSUPPORTED("""COMPUTED_VALUE"""),"🚢 REGULAR")</f>
        <v>🚢 REGULAR</v>
      </c>
      <c r="E108" s="3" t="str">
        <f ca="1">IFERROR(__xludf.UNSUPPORTED("""COMPUTED_VALUE"""),"🚛 LIBERADO")</f>
        <v>🚛 LIBERADO</v>
      </c>
      <c r="F108" s="5">
        <f ca="1">IFERROR(__xludf.UNSUPPORTED("""COMPUTED_VALUE"""),0)</f>
        <v>0</v>
      </c>
      <c r="G108" s="3" t="str">
        <f ca="1">IFERROR(__xludf.UNSUPPORTED("""COMPUTED_VALUE"""),"Sem registros de bloqueios.")</f>
        <v>Sem registros de bloqueios.</v>
      </c>
      <c r="H108" s="4">
        <f ca="1">IFERROR(__xludf.UNSUPPORTED("""COMPUTED_VALUE"""),44916.4086574074)</f>
        <v>44916.408657407403</v>
      </c>
      <c r="I108" s="3">
        <f ca="1">IFERROR(__xludf.UNSUPPORTED("""COMPUTED_VALUE"""),24)</f>
        <v>24</v>
      </c>
      <c r="J108" s="4">
        <f ca="1">IFERROR(__xludf.UNSUPPORTED("""COMPUTED_VALUE"""),44917.4086574074)</f>
        <v>44917.408657407403</v>
      </c>
    </row>
    <row r="109" spans="1:10" ht="12.75">
      <c r="A109" s="3" t="str">
        <f ca="1">IFERROR(__xludf.UNSUPPORTED("""COMPUTED_VALUE"""),"8cd52bbc")</f>
        <v>8cd52bbc</v>
      </c>
      <c r="B109" s="4">
        <f ca="1">IFERROR(__xludf.UNSUPPORTED("""COMPUTED_VALUE"""),44917.1897916666)</f>
        <v>44917.189791666598</v>
      </c>
      <c r="C109" s="7" t="str">
        <f ca="1">IFERROR(__xludf.UNSUPPORTED("""COMPUTED_VALUE"""),"Aratu")</f>
        <v>Aratu</v>
      </c>
      <c r="D109" s="3" t="str">
        <f ca="1">IFERROR(__xludf.UNSUPPORTED("""COMPUTED_VALUE"""),"🚢 REGULAR")</f>
        <v>🚢 REGULAR</v>
      </c>
      <c r="E109" s="3" t="str">
        <f ca="1">IFERROR(__xludf.UNSUPPORTED("""COMPUTED_VALUE"""),"🚛 LIBERADO")</f>
        <v>🚛 LIBERADO</v>
      </c>
      <c r="F109" s="5">
        <f ca="1">IFERROR(__xludf.UNSUPPORTED("""COMPUTED_VALUE"""),0)</f>
        <v>0</v>
      </c>
      <c r="G109" s="3" t="str">
        <f ca="1">IFERROR(__xludf.UNSUPPORTED("""COMPUTED_VALUE"""),"Normalidade")</f>
        <v>Normalidade</v>
      </c>
      <c r="H109" s="4">
        <f ca="1">IFERROR(__xludf.UNSUPPORTED("""COMPUTED_VALUE"""),44917.1897916666)</f>
        <v>44917.189791666598</v>
      </c>
      <c r="I109" s="3">
        <f ca="1">IFERROR(__xludf.UNSUPPORTED("""COMPUTED_VALUE"""),24)</f>
        <v>24</v>
      </c>
      <c r="J109" s="4">
        <f ca="1">IFERROR(__xludf.UNSUPPORTED("""COMPUTED_VALUE"""),44918.1897916666)</f>
        <v>44918.189791666598</v>
      </c>
    </row>
    <row r="110" spans="1:10" ht="12.75">
      <c r="A110" s="3" t="str">
        <f ca="1">IFERROR(__xludf.UNSUPPORTED("""COMPUTED_VALUE"""),"2f7bd18c")</f>
        <v>2f7bd18c</v>
      </c>
      <c r="B110" s="4">
        <f ca="1">IFERROR(__xludf.UNSUPPORTED("""COMPUTED_VALUE"""),44918.2611921296)</f>
        <v>44918.261192129597</v>
      </c>
      <c r="C110" s="8" t="str">
        <f ca="1">IFERROR(__xludf.UNSUPPORTED("""COMPUTED_VALUE"""),"Aratu")</f>
        <v>Aratu</v>
      </c>
      <c r="D110" s="3" t="str">
        <f ca="1">IFERROR(__xludf.UNSUPPORTED("""COMPUTED_VALUE"""),"🚢 REGULAR")</f>
        <v>🚢 REGULAR</v>
      </c>
      <c r="E110" s="3" t="str">
        <f ca="1">IFERROR(__xludf.UNSUPPORTED("""COMPUTED_VALUE"""),"🚛 LIBERADO")</f>
        <v>🚛 LIBERADO</v>
      </c>
      <c r="F110" s="5">
        <f ca="1">IFERROR(__xludf.UNSUPPORTED("""COMPUTED_VALUE"""),0)</f>
        <v>0</v>
      </c>
      <c r="G110" s="3" t="str">
        <f ca="1">IFERROR(__xludf.UNSUPPORTED("""COMPUTED_VALUE"""),"Normalidade")</f>
        <v>Normalidade</v>
      </c>
      <c r="H110" s="4">
        <f ca="1">IFERROR(__xludf.UNSUPPORTED("""COMPUTED_VALUE"""),44918.2611921296)</f>
        <v>44918.261192129597</v>
      </c>
      <c r="I110" s="3">
        <f ca="1">IFERROR(__xludf.UNSUPPORTED("""COMPUTED_VALUE"""),24)</f>
        <v>24</v>
      </c>
      <c r="J110" s="4">
        <f ca="1">IFERROR(__xludf.UNSUPPORTED("""COMPUTED_VALUE"""),44919.2611921296)</f>
        <v>44919.261192129597</v>
      </c>
    </row>
    <row r="111" spans="1:10" ht="12.75">
      <c r="A111" s="3" t="str">
        <f ca="1">IFERROR(__xludf.UNSUPPORTED("""COMPUTED_VALUE"""),"1a91b6a8")</f>
        <v>1a91b6a8</v>
      </c>
      <c r="B111" s="4">
        <f ca="1">IFERROR(__xludf.UNSUPPORTED("""COMPUTED_VALUE"""),44919.5183101851)</f>
        <v>44919.5183101851</v>
      </c>
      <c r="C111" s="8" t="str">
        <f ca="1">IFERROR(__xludf.UNSUPPORTED("""COMPUTED_VALUE"""),"Aratu")</f>
        <v>Aratu</v>
      </c>
      <c r="D111" s="3" t="str">
        <f ca="1">IFERROR(__xludf.UNSUPPORTED("""COMPUTED_VALUE"""),"🚢 REGULAR")</f>
        <v>🚢 REGULAR</v>
      </c>
      <c r="E111" s="3" t="str">
        <f ca="1">IFERROR(__xludf.UNSUPPORTED("""COMPUTED_VALUE"""),"🚛 LIBERADO")</f>
        <v>🚛 LIBERADO</v>
      </c>
      <c r="F111" s="5">
        <f ca="1">IFERROR(__xludf.UNSUPPORTED("""COMPUTED_VALUE"""),0)</f>
        <v>0</v>
      </c>
      <c r="G111" s="3" t="str">
        <f ca="1">IFERROR(__xludf.UNSUPPORTED("""COMPUTED_VALUE"""),"Normalidade")</f>
        <v>Normalidade</v>
      </c>
      <c r="H111" s="4">
        <f ca="1">IFERROR(__xludf.UNSUPPORTED("""COMPUTED_VALUE"""),44919.5183101851)</f>
        <v>44919.5183101851</v>
      </c>
      <c r="I111" s="3">
        <f ca="1">IFERROR(__xludf.UNSUPPORTED("""COMPUTED_VALUE"""),24)</f>
        <v>24</v>
      </c>
      <c r="J111" s="4">
        <f ca="1">IFERROR(__xludf.UNSUPPORTED("""COMPUTED_VALUE"""),44920.5183101851)</f>
        <v>44920.5183101851</v>
      </c>
    </row>
    <row r="112" spans="1:10" ht="12.75">
      <c r="A112" s="3" t="str">
        <f ca="1">IFERROR(__xludf.UNSUPPORTED("""COMPUTED_VALUE"""),"f99d305c")</f>
        <v>f99d305c</v>
      </c>
      <c r="B112" s="4">
        <f ca="1">IFERROR(__xludf.UNSUPPORTED("""COMPUTED_VALUE"""),44920.5095601851)</f>
        <v>44920.509560185099</v>
      </c>
      <c r="C112" s="7" t="str">
        <f ca="1">IFERROR(__xludf.UNSUPPORTED("""COMPUTED_VALUE"""),"Aratu")</f>
        <v>Aratu</v>
      </c>
      <c r="D112" s="3" t="str">
        <f ca="1">IFERROR(__xludf.UNSUPPORTED("""COMPUTED_VALUE"""),"🚢 REGULAR")</f>
        <v>🚢 REGULAR</v>
      </c>
      <c r="E112" s="3" t="str">
        <f ca="1">IFERROR(__xludf.UNSUPPORTED("""COMPUTED_VALUE"""),"🚛 LIBERADO")</f>
        <v>🚛 LIBERADO</v>
      </c>
      <c r="F112" s="5">
        <f ca="1">IFERROR(__xludf.UNSUPPORTED("""COMPUTED_VALUE"""),0)</f>
        <v>0</v>
      </c>
      <c r="G112" s="3" t="str">
        <f ca="1">IFERROR(__xludf.UNSUPPORTED("""COMPUTED_VALUE"""),"Normalidade")</f>
        <v>Normalidade</v>
      </c>
      <c r="H112" s="4">
        <f ca="1">IFERROR(__xludf.UNSUPPORTED("""COMPUTED_VALUE"""),44920.5095601851)</f>
        <v>44920.509560185099</v>
      </c>
      <c r="I112" s="3">
        <f ca="1">IFERROR(__xludf.UNSUPPORTED("""COMPUTED_VALUE"""),24)</f>
        <v>24</v>
      </c>
      <c r="J112" s="4">
        <f ca="1">IFERROR(__xludf.UNSUPPORTED("""COMPUTED_VALUE"""),44921.5095601851)</f>
        <v>44921.509560185099</v>
      </c>
    </row>
    <row r="113" spans="1:12" ht="12.75">
      <c r="A113" s="3" t="str">
        <f ca="1">IFERROR(__xludf.UNSUPPORTED("""COMPUTED_VALUE"""),"afc69eff")</f>
        <v>afc69eff</v>
      </c>
      <c r="B113" s="4">
        <f ca="1">IFERROR(__xludf.UNSUPPORTED("""COMPUTED_VALUE"""),44921.2959953703)</f>
        <v>44921.295995370303</v>
      </c>
      <c r="C113" s="7" t="str">
        <f ca="1">IFERROR(__xludf.UNSUPPORTED("""COMPUTED_VALUE"""),"Aratu")</f>
        <v>Aratu</v>
      </c>
      <c r="D113" s="3" t="str">
        <f ca="1">IFERROR(__xludf.UNSUPPORTED("""COMPUTED_VALUE"""),"🚢 REGULAR")</f>
        <v>🚢 REGULAR</v>
      </c>
      <c r="E113" s="3" t="str">
        <f ca="1">IFERROR(__xludf.UNSUPPORTED("""COMPUTED_VALUE"""),"🚛 LIBERADO")</f>
        <v>🚛 LIBERADO</v>
      </c>
      <c r="F113" s="5">
        <f ca="1">IFERROR(__xludf.UNSUPPORTED("""COMPUTED_VALUE"""),0)</f>
        <v>0</v>
      </c>
      <c r="G113" s="3" t="str">
        <f ca="1">IFERROR(__xludf.UNSUPPORTED("""COMPUTED_VALUE"""),"Normalidade")</f>
        <v>Normalidade</v>
      </c>
      <c r="H113" s="4">
        <f ca="1">IFERROR(__xludf.UNSUPPORTED("""COMPUTED_VALUE"""),44921.2959953703)</f>
        <v>44921.295995370303</v>
      </c>
      <c r="I113" s="3">
        <f ca="1">IFERROR(__xludf.UNSUPPORTED("""COMPUTED_VALUE"""),24)</f>
        <v>24</v>
      </c>
      <c r="J113" s="4">
        <f ca="1">IFERROR(__xludf.UNSUPPORTED("""COMPUTED_VALUE"""),44922.2959953703)</f>
        <v>44922.295995370303</v>
      </c>
    </row>
    <row r="114" spans="1:12" ht="12.75">
      <c r="A114" s="3" t="str">
        <f ca="1">IFERROR(__xludf.UNSUPPORTED("""COMPUTED_VALUE"""),"1c53fbc6")</f>
        <v>1c53fbc6</v>
      </c>
      <c r="B114" s="4">
        <f ca="1">IFERROR(__xludf.UNSUPPORTED("""COMPUTED_VALUE"""),44922.2624884259)</f>
        <v>44922.262488425898</v>
      </c>
      <c r="C114" s="8" t="str">
        <f ca="1">IFERROR(__xludf.UNSUPPORTED("""COMPUTED_VALUE"""),"Aratu")</f>
        <v>Aratu</v>
      </c>
      <c r="D114" s="3" t="str">
        <f ca="1">IFERROR(__xludf.UNSUPPORTED("""COMPUTED_VALUE"""),"🚢 REGULAR")</f>
        <v>🚢 REGULAR</v>
      </c>
      <c r="E114" s="3" t="str">
        <f ca="1">IFERROR(__xludf.UNSUPPORTED("""COMPUTED_VALUE"""),"🚛 LIBERADO")</f>
        <v>🚛 LIBERADO</v>
      </c>
      <c r="F114" s="5">
        <f ca="1">IFERROR(__xludf.UNSUPPORTED("""COMPUTED_VALUE"""),0)</f>
        <v>0</v>
      </c>
      <c r="G114" s="3" t="str">
        <f ca="1">IFERROR(__xludf.UNSUPPORTED("""COMPUTED_VALUE"""),"Normalidade")</f>
        <v>Normalidade</v>
      </c>
      <c r="H114" s="4">
        <f ca="1">IFERROR(__xludf.UNSUPPORTED("""COMPUTED_VALUE"""),44922.2624884259)</f>
        <v>44922.262488425898</v>
      </c>
      <c r="I114" s="3">
        <f ca="1">IFERROR(__xludf.UNSUPPORTED("""COMPUTED_VALUE"""),24)</f>
        <v>24</v>
      </c>
      <c r="J114" s="4">
        <f ca="1">IFERROR(__xludf.UNSUPPORTED("""COMPUTED_VALUE"""),44923.2624884259)</f>
        <v>44923.262488425898</v>
      </c>
    </row>
    <row r="115" spans="1:12" ht="12.75">
      <c r="A115" s="3" t="str">
        <f ca="1">IFERROR(__xludf.UNSUPPORTED("""COMPUTED_VALUE"""),"b9183e61")</f>
        <v>b9183e61</v>
      </c>
      <c r="B115" s="4">
        <f ca="1">IFERROR(__xludf.UNSUPPORTED("""COMPUTED_VALUE"""),44923.274849537)</f>
        <v>44923.274849537003</v>
      </c>
      <c r="C115" s="7" t="str">
        <f ca="1">IFERROR(__xludf.UNSUPPORTED("""COMPUTED_VALUE"""),"Aratu")</f>
        <v>Aratu</v>
      </c>
      <c r="D115" s="3" t="str">
        <f ca="1">IFERROR(__xludf.UNSUPPORTED("""COMPUTED_VALUE"""),"🚢 REGULAR")</f>
        <v>🚢 REGULAR</v>
      </c>
      <c r="E115" s="3" t="str">
        <f ca="1">IFERROR(__xludf.UNSUPPORTED("""COMPUTED_VALUE"""),"🚛 LIBERADO")</f>
        <v>🚛 LIBERADO</v>
      </c>
      <c r="F115" s="5">
        <f ca="1">IFERROR(__xludf.UNSUPPORTED("""COMPUTED_VALUE"""),0)</f>
        <v>0</v>
      </c>
      <c r="G115" s="3" t="str">
        <f ca="1">IFERROR(__xludf.UNSUPPORTED("""COMPUTED_VALUE"""),"Normalidade")</f>
        <v>Normalidade</v>
      </c>
      <c r="H115" s="4">
        <f ca="1">IFERROR(__xludf.UNSUPPORTED("""COMPUTED_VALUE"""),44923.274849537)</f>
        <v>44923.274849537003</v>
      </c>
      <c r="I115" s="3">
        <f ca="1">IFERROR(__xludf.UNSUPPORTED("""COMPUTED_VALUE"""),24)</f>
        <v>24</v>
      </c>
      <c r="J115" s="4">
        <f ca="1">IFERROR(__xludf.UNSUPPORTED("""COMPUTED_VALUE"""),44924.274849537)</f>
        <v>44924.274849537003</v>
      </c>
    </row>
    <row r="116" spans="1:12" ht="12.75">
      <c r="A116" s="3" t="str">
        <f ca="1">IFERROR(__xludf.UNSUPPORTED("""COMPUTED_VALUE"""),"a179ad46")</f>
        <v>a179ad46</v>
      </c>
      <c r="B116" s="4">
        <f ca="1">IFERROR(__xludf.UNSUPPORTED("""COMPUTED_VALUE"""),44924.2566898148)</f>
        <v>44924.2566898148</v>
      </c>
      <c r="C116" s="7" t="str">
        <f ca="1">IFERROR(__xludf.UNSUPPORTED("""COMPUTED_VALUE"""),"Aratu")</f>
        <v>Aratu</v>
      </c>
      <c r="D116" s="3" t="str">
        <f ca="1">IFERROR(__xludf.UNSUPPORTED("""COMPUTED_VALUE"""),"🚢 REGULAR")</f>
        <v>🚢 REGULAR</v>
      </c>
      <c r="E116" s="3" t="str">
        <f ca="1">IFERROR(__xludf.UNSUPPORTED("""COMPUTED_VALUE"""),"🚛 LIBERADO")</f>
        <v>🚛 LIBERADO</v>
      </c>
      <c r="F116" s="5">
        <f ca="1">IFERROR(__xludf.UNSUPPORTED("""COMPUTED_VALUE"""),0)</f>
        <v>0</v>
      </c>
      <c r="G116" s="3" t="str">
        <f ca="1">IFERROR(__xludf.UNSUPPORTED("""COMPUTED_VALUE"""),"Normalidade")</f>
        <v>Normalidade</v>
      </c>
      <c r="H116" s="4">
        <f ca="1">IFERROR(__xludf.UNSUPPORTED("""COMPUTED_VALUE"""),44924.2566898148)</f>
        <v>44924.2566898148</v>
      </c>
      <c r="I116" s="3">
        <f ca="1">IFERROR(__xludf.UNSUPPORTED("""COMPUTED_VALUE"""),24)</f>
        <v>24</v>
      </c>
      <c r="J116" s="4">
        <f ca="1">IFERROR(__xludf.UNSUPPORTED("""COMPUTED_VALUE"""),44925.2566898148)</f>
        <v>44925.2566898148</v>
      </c>
    </row>
    <row r="117" spans="1:12" ht="12.75">
      <c r="A117" s="3" t="str">
        <f ca="1">IFERROR(__xludf.UNSUPPORTED("""COMPUTED_VALUE"""),"b357f8b9")</f>
        <v>b357f8b9</v>
      </c>
      <c r="B117" s="4">
        <f ca="1">IFERROR(__xludf.UNSUPPORTED("""COMPUTED_VALUE"""),44925.2895254629)</f>
        <v>44925.289525462897</v>
      </c>
      <c r="C117" s="8" t="str">
        <f ca="1">IFERROR(__xludf.UNSUPPORTED("""COMPUTED_VALUE"""),"Aratu")</f>
        <v>Aratu</v>
      </c>
      <c r="D117" s="3" t="str">
        <f ca="1">IFERROR(__xludf.UNSUPPORTED("""COMPUTED_VALUE"""),"🚢 REGULAR")</f>
        <v>🚢 REGULAR</v>
      </c>
      <c r="E117" s="3" t="str">
        <f ca="1">IFERROR(__xludf.UNSUPPORTED("""COMPUTED_VALUE"""),"🚛 LIBERADO")</f>
        <v>🚛 LIBERADO</v>
      </c>
      <c r="F117" s="5">
        <f ca="1">IFERROR(__xludf.UNSUPPORTED("""COMPUTED_VALUE"""),0)</f>
        <v>0</v>
      </c>
      <c r="G117" s="3" t="str">
        <f ca="1">IFERROR(__xludf.UNSUPPORTED("""COMPUTED_VALUE"""),"Normalidade")</f>
        <v>Normalidade</v>
      </c>
      <c r="H117" s="4">
        <f ca="1">IFERROR(__xludf.UNSUPPORTED("""COMPUTED_VALUE"""),44925.2895254629)</f>
        <v>44925.289525462897</v>
      </c>
      <c r="I117" s="3">
        <f ca="1">IFERROR(__xludf.UNSUPPORTED("""COMPUTED_VALUE"""),24)</f>
        <v>24</v>
      </c>
      <c r="J117" s="4">
        <f ca="1">IFERROR(__xludf.UNSUPPORTED("""COMPUTED_VALUE"""),44926.2895254629)</f>
        <v>44926.289525462897</v>
      </c>
    </row>
    <row r="118" spans="1:12" ht="12.75">
      <c r="A118" s="3" t="str">
        <f ca="1">IFERROR(__xludf.UNSUPPORTED("""COMPUTED_VALUE"""),"d1905d08")</f>
        <v>d1905d08</v>
      </c>
      <c r="B118" s="4">
        <f ca="1">IFERROR(__xludf.UNSUPPORTED("""COMPUTED_VALUE"""),44926.4884375)</f>
        <v>44926.488437499997</v>
      </c>
      <c r="C118" s="7" t="str">
        <f ca="1">IFERROR(__xludf.UNSUPPORTED("""COMPUTED_VALUE"""),"Aratu")</f>
        <v>Aratu</v>
      </c>
      <c r="D118" s="3" t="str">
        <f ca="1">IFERROR(__xludf.UNSUPPORTED("""COMPUTED_VALUE"""),"🚢 REGULAR")</f>
        <v>🚢 REGULAR</v>
      </c>
      <c r="E118" s="3" t="str">
        <f ca="1">IFERROR(__xludf.UNSUPPORTED("""COMPUTED_VALUE"""),"🚛 LIBERADO")</f>
        <v>🚛 LIBERADO</v>
      </c>
      <c r="F118" s="5">
        <f ca="1">IFERROR(__xludf.UNSUPPORTED("""COMPUTED_VALUE"""),0)</f>
        <v>0</v>
      </c>
      <c r="G118" s="3" t="str">
        <f ca="1">IFERROR(__xludf.UNSUPPORTED("""COMPUTED_VALUE"""),"Normalidade")</f>
        <v>Normalidade</v>
      </c>
      <c r="H118" s="4">
        <f ca="1">IFERROR(__xludf.UNSUPPORTED("""COMPUTED_VALUE"""),44926.4884375)</f>
        <v>44926.488437499997</v>
      </c>
      <c r="I118" s="3">
        <f ca="1">IFERROR(__xludf.UNSUPPORTED("""COMPUTED_VALUE"""),24)</f>
        <v>24</v>
      </c>
      <c r="J118" s="4">
        <f ca="1">IFERROR(__xludf.UNSUPPORTED("""COMPUTED_VALUE"""),44927.4884375)</f>
        <v>44927.488437499997</v>
      </c>
    </row>
    <row r="119" spans="1:12" ht="12.75">
      <c r="A119" s="3" t="str">
        <f ca="1">IFERROR(__xludf.UNSUPPORTED("""COMPUTED_VALUE"""),"99679fe5")</f>
        <v>99679fe5</v>
      </c>
      <c r="B119" s="4">
        <f ca="1">IFERROR(__xludf.UNSUPPORTED("""COMPUTED_VALUE"""),44927.3408217592)</f>
        <v>44927.3408217592</v>
      </c>
      <c r="C119" s="7" t="str">
        <f ca="1">IFERROR(__xludf.UNSUPPORTED("""COMPUTED_VALUE"""),"Aratu")</f>
        <v>Aratu</v>
      </c>
      <c r="D119" s="3" t="str">
        <f ca="1">IFERROR(__xludf.UNSUPPORTED("""COMPUTED_VALUE"""),"🚢 REGULAR")</f>
        <v>🚢 REGULAR</v>
      </c>
      <c r="E119" s="3" t="str">
        <f ca="1">IFERROR(__xludf.UNSUPPORTED("""COMPUTED_VALUE"""),"🚛 LIBERADO")</f>
        <v>🚛 LIBERADO</v>
      </c>
      <c r="F119" s="5">
        <f ca="1">IFERROR(__xludf.UNSUPPORTED("""COMPUTED_VALUE"""),0)</f>
        <v>0</v>
      </c>
      <c r="G119" s="3" t="str">
        <f ca="1">IFERROR(__xludf.UNSUPPORTED("""COMPUTED_VALUE"""),"Normalidade")</f>
        <v>Normalidade</v>
      </c>
      <c r="H119" s="4">
        <f ca="1">IFERROR(__xludf.UNSUPPORTED("""COMPUTED_VALUE"""),44927.3408217592)</f>
        <v>44927.3408217592</v>
      </c>
      <c r="I119" s="3">
        <f ca="1">IFERROR(__xludf.UNSUPPORTED("""COMPUTED_VALUE"""),24)</f>
        <v>24</v>
      </c>
      <c r="J119" s="4">
        <f ca="1">IFERROR(__xludf.UNSUPPORTED("""COMPUTED_VALUE"""),44928.3408217592)</f>
        <v>44928.3408217592</v>
      </c>
    </row>
    <row r="120" spans="1:12" ht="12.75">
      <c r="A120" s="3" t="str">
        <f ca="1">IFERROR(__xludf.UNSUPPORTED("""COMPUTED_VALUE"""),"219155eb")</f>
        <v>219155eb</v>
      </c>
      <c r="B120" s="4">
        <f ca="1">IFERROR(__xludf.UNSUPPORTED("""COMPUTED_VALUE"""),44928.3271875)</f>
        <v>44928.327187499999</v>
      </c>
      <c r="C120" s="7" t="str">
        <f ca="1">IFERROR(__xludf.UNSUPPORTED("""COMPUTED_VALUE"""),"Aratu")</f>
        <v>Aratu</v>
      </c>
      <c r="D120" s="3" t="str">
        <f ca="1">IFERROR(__xludf.UNSUPPORTED("""COMPUTED_VALUE"""),"🚢 REGULAR")</f>
        <v>🚢 REGULAR</v>
      </c>
      <c r="E120" s="3" t="str">
        <f ca="1">IFERROR(__xludf.UNSUPPORTED("""COMPUTED_VALUE"""),"🚛 LIBERADO")</f>
        <v>🚛 LIBERADO</v>
      </c>
      <c r="F120" s="5">
        <f ca="1">IFERROR(__xludf.UNSUPPORTED("""COMPUTED_VALUE"""),0)</f>
        <v>0</v>
      </c>
      <c r="G120" s="3" t="str">
        <f ca="1">IFERROR(__xludf.UNSUPPORTED("""COMPUTED_VALUE"""),"Normalidade")</f>
        <v>Normalidade</v>
      </c>
      <c r="H120" s="4">
        <f ca="1">IFERROR(__xludf.UNSUPPORTED("""COMPUTED_VALUE"""),44928.3271875)</f>
        <v>44928.327187499999</v>
      </c>
      <c r="I120" s="3">
        <f ca="1">IFERROR(__xludf.UNSUPPORTED("""COMPUTED_VALUE"""),24)</f>
        <v>24</v>
      </c>
      <c r="J120" s="4">
        <f ca="1">IFERROR(__xludf.UNSUPPORTED("""COMPUTED_VALUE"""),44929.3271875)</f>
        <v>44929.327187499999</v>
      </c>
    </row>
    <row r="121" spans="1:12" ht="12.75">
      <c r="A121" s="3" t="str">
        <f ca="1">IFERROR(__xludf.UNSUPPORTED("""COMPUTED_VALUE"""),"91d31ba3")</f>
        <v>91d31ba3</v>
      </c>
      <c r="B121" s="4">
        <f ca="1">IFERROR(__xludf.UNSUPPORTED("""COMPUTED_VALUE"""),44930.4154513888)</f>
        <v>44930.415451388799</v>
      </c>
      <c r="C121" s="7" t="str">
        <f ca="1">IFERROR(__xludf.UNSUPPORTED("""COMPUTED_VALUE"""),"Aratu")</f>
        <v>Aratu</v>
      </c>
      <c r="D121" s="3" t="str">
        <f ca="1">IFERROR(__xludf.UNSUPPORTED("""COMPUTED_VALUE"""),"🚢 REGULAR")</f>
        <v>🚢 REGULAR</v>
      </c>
      <c r="E121" s="3" t="str">
        <f ca="1">IFERROR(__xludf.UNSUPPORTED("""COMPUTED_VALUE"""),"🚛 LIBERADO")</f>
        <v>🚛 LIBERADO</v>
      </c>
      <c r="F121" s="5">
        <f ca="1">IFERROR(__xludf.UNSUPPORTED("""COMPUTED_VALUE"""),0)</f>
        <v>0</v>
      </c>
      <c r="G121" s="3" t="str">
        <f ca="1">IFERROR(__xludf.UNSUPPORTED("""COMPUTED_VALUE"""),"Normalidade")</f>
        <v>Normalidade</v>
      </c>
      <c r="H121" s="4">
        <f ca="1">IFERROR(__xludf.UNSUPPORTED("""COMPUTED_VALUE"""),44930.4154513888)</f>
        <v>44930.415451388799</v>
      </c>
      <c r="I121" s="3">
        <f ca="1">IFERROR(__xludf.UNSUPPORTED("""COMPUTED_VALUE"""),24)</f>
        <v>24</v>
      </c>
      <c r="J121" s="4">
        <f ca="1">IFERROR(__xludf.UNSUPPORTED("""COMPUTED_VALUE"""),44931.4154513888)</f>
        <v>44931.415451388799</v>
      </c>
    </row>
    <row r="122" spans="1:12" ht="12.75">
      <c r="A122" s="3" t="str">
        <f ca="1">IFERROR(__xludf.UNSUPPORTED("""COMPUTED_VALUE"""),"9e7e05a0")</f>
        <v>9e7e05a0</v>
      </c>
      <c r="B122" s="4">
        <f ca="1">IFERROR(__xludf.UNSUPPORTED("""COMPUTED_VALUE"""),44932.6768055555)</f>
        <v>44932.6768055555</v>
      </c>
      <c r="C122" s="7" t="str">
        <f ca="1">IFERROR(__xludf.UNSUPPORTED("""COMPUTED_VALUE"""),"Aratu")</f>
        <v>Aratu</v>
      </c>
      <c r="D122" s="3" t="str">
        <f ca="1">IFERROR(__xludf.UNSUPPORTED("""COMPUTED_VALUE"""),"🚢 REGULAR")</f>
        <v>🚢 REGULAR</v>
      </c>
      <c r="E122" s="3" t="str">
        <f ca="1">IFERROR(__xludf.UNSUPPORTED("""COMPUTED_VALUE"""),"🚛 LIBERADO")</f>
        <v>🚛 LIBERADO</v>
      </c>
      <c r="F122" s="5">
        <f ca="1">IFERROR(__xludf.UNSUPPORTED("""COMPUTED_VALUE"""),0)</f>
        <v>0</v>
      </c>
      <c r="G122" s="3" t="str">
        <f ca="1">IFERROR(__xludf.UNSUPPORTED("""COMPUTED_VALUE"""),"Normalidade")</f>
        <v>Normalidade</v>
      </c>
      <c r="H122" s="4">
        <f ca="1">IFERROR(__xludf.UNSUPPORTED("""COMPUTED_VALUE"""),44932.6768055555)</f>
        <v>44932.6768055555</v>
      </c>
      <c r="I122" s="3">
        <f ca="1">IFERROR(__xludf.UNSUPPORTED("""COMPUTED_VALUE"""),24)</f>
        <v>24</v>
      </c>
      <c r="J122" s="4">
        <f ca="1">IFERROR(__xludf.UNSUPPORTED("""COMPUTED_VALUE"""),44933.6768055555)</f>
        <v>44933.6768055555</v>
      </c>
    </row>
    <row r="123" spans="1:12" ht="12.75">
      <c r="A123" s="3" t="str">
        <f ca="1">IFERROR(__xludf.UNSUPPORTED("""COMPUTED_VALUE"""),"988c681b")</f>
        <v>988c681b</v>
      </c>
      <c r="B123" s="4">
        <f ca="1">IFERROR(__xludf.UNSUPPORTED("""COMPUTED_VALUE"""),44933.8478819444)</f>
        <v>44933.847881944399</v>
      </c>
      <c r="C123" s="8" t="str">
        <f ca="1">IFERROR(__xludf.UNSUPPORTED("""COMPUTED_VALUE"""),"Aratu")</f>
        <v>Aratu</v>
      </c>
      <c r="D123" s="3" t="str">
        <f ca="1">IFERROR(__xludf.UNSUPPORTED("""COMPUTED_VALUE"""),"🚢 REGULAR")</f>
        <v>🚢 REGULAR</v>
      </c>
      <c r="E123" s="3" t="str">
        <f ca="1">IFERROR(__xludf.UNSUPPORTED("""COMPUTED_VALUE"""),"🚛 LIBERADO")</f>
        <v>🚛 LIBERADO</v>
      </c>
      <c r="F123" s="5">
        <f ca="1">IFERROR(__xludf.UNSUPPORTED("""COMPUTED_VALUE"""),0)</f>
        <v>0</v>
      </c>
      <c r="G123" s="3" t="str">
        <f ca="1">IFERROR(__xludf.UNSUPPORTED("""COMPUTED_VALUE"""),"Normalidade")</f>
        <v>Normalidade</v>
      </c>
      <c r="H123" s="4">
        <f ca="1">IFERROR(__xludf.UNSUPPORTED("""COMPUTED_VALUE"""),44933.8478819444)</f>
        <v>44933.847881944399</v>
      </c>
      <c r="I123" s="3">
        <f ca="1">IFERROR(__xludf.UNSUPPORTED("""COMPUTED_VALUE"""),24)</f>
        <v>24</v>
      </c>
      <c r="J123" s="4">
        <f ca="1">IFERROR(__xludf.UNSUPPORTED("""COMPUTED_VALUE"""),44934.8478819444)</f>
        <v>44934.847881944399</v>
      </c>
      <c r="L123" s="3" t="str">
        <f ca="1">IFERROR(__xludf.UNSUPPORTED("""COMPUTED_VALUE"""),"Normalidade")</f>
        <v>Normalidade</v>
      </c>
    </row>
    <row r="124" spans="1:12" ht="12.75">
      <c r="A124" s="3" t="str">
        <f ca="1">IFERROR(__xludf.UNSUPPORTED("""COMPUTED_VALUE"""),"567279cc")</f>
        <v>567279cc</v>
      </c>
      <c r="B124" s="4">
        <f ca="1">IFERROR(__xludf.UNSUPPORTED("""COMPUTED_VALUE"""),44934.2899884259)</f>
        <v>44934.289988425902</v>
      </c>
      <c r="C124" s="7" t="str">
        <f ca="1">IFERROR(__xludf.UNSUPPORTED("""COMPUTED_VALUE"""),"Aratu")</f>
        <v>Aratu</v>
      </c>
      <c r="D124" s="3" t="str">
        <f ca="1">IFERROR(__xludf.UNSUPPORTED("""COMPUTED_VALUE"""),"🚢 REGULAR")</f>
        <v>🚢 REGULAR</v>
      </c>
      <c r="E124" s="3" t="str">
        <f ca="1">IFERROR(__xludf.UNSUPPORTED("""COMPUTED_VALUE"""),"🚛 LIBERADO")</f>
        <v>🚛 LIBERADO</v>
      </c>
      <c r="F124" s="5">
        <f ca="1">IFERROR(__xludf.UNSUPPORTED("""COMPUTED_VALUE"""),0)</f>
        <v>0</v>
      </c>
      <c r="G124" s="3" t="str">
        <f ca="1">IFERROR(__xludf.UNSUPPORTED("""COMPUTED_VALUE"""),"Normalidade")</f>
        <v>Normalidade</v>
      </c>
      <c r="H124" s="4">
        <f ca="1">IFERROR(__xludf.UNSUPPORTED("""COMPUTED_VALUE"""),44934.2899884259)</f>
        <v>44934.289988425902</v>
      </c>
      <c r="I124" s="3">
        <f ca="1">IFERROR(__xludf.UNSUPPORTED("""COMPUTED_VALUE"""),24)</f>
        <v>24</v>
      </c>
      <c r="J124" s="4">
        <f ca="1">IFERROR(__xludf.UNSUPPORTED("""COMPUTED_VALUE"""),44935.2899884259)</f>
        <v>44935.289988425902</v>
      </c>
      <c r="L124" s="3" t="str">
        <f ca="1">IFERROR(__xludf.UNSUPPORTED("""COMPUTED_VALUE"""),"Normalidade")</f>
        <v>Normalidade</v>
      </c>
    </row>
    <row r="125" spans="1:12" ht="12.75">
      <c r="A125" s="3" t="str">
        <f ca="1">IFERROR(__xludf.UNSUPPORTED("""COMPUTED_VALUE"""),"f82e3572")</f>
        <v>f82e3572</v>
      </c>
      <c r="B125" s="4">
        <f ca="1">IFERROR(__xludf.UNSUPPORTED("""COMPUTED_VALUE"""),44935.3333912037)</f>
        <v>44935.333391203698</v>
      </c>
      <c r="C125" s="7" t="str">
        <f ca="1">IFERROR(__xludf.UNSUPPORTED("""COMPUTED_VALUE"""),"Aratu")</f>
        <v>Aratu</v>
      </c>
      <c r="D125" s="3" t="str">
        <f ca="1">IFERROR(__xludf.UNSUPPORTED("""COMPUTED_VALUE"""),"🚢 REGULAR")</f>
        <v>🚢 REGULAR</v>
      </c>
      <c r="E125" s="3" t="str">
        <f ca="1">IFERROR(__xludf.UNSUPPORTED("""COMPUTED_VALUE"""),"🚛 LIBERADO")</f>
        <v>🚛 LIBERADO</v>
      </c>
      <c r="F125" s="5">
        <f ca="1">IFERROR(__xludf.UNSUPPORTED("""COMPUTED_VALUE"""),0)</f>
        <v>0</v>
      </c>
      <c r="G125" s="3" t="str">
        <f ca="1">IFERROR(__xludf.UNSUPPORTED("""COMPUTED_VALUE"""),"Normalidade")</f>
        <v>Normalidade</v>
      </c>
      <c r="H125" s="4">
        <f ca="1">IFERROR(__xludf.UNSUPPORTED("""COMPUTED_VALUE"""),44935.3333912037)</f>
        <v>44935.333391203698</v>
      </c>
      <c r="I125" s="3">
        <f ca="1">IFERROR(__xludf.UNSUPPORTED("""COMPUTED_VALUE"""),24)</f>
        <v>24</v>
      </c>
      <c r="J125" s="4">
        <f ca="1">IFERROR(__xludf.UNSUPPORTED("""COMPUTED_VALUE"""),44936.3333912037)</f>
        <v>44936.333391203698</v>
      </c>
      <c r="L125" s="3" t="str">
        <f ca="1">IFERROR(__xludf.UNSUPPORTED("""COMPUTED_VALUE"""),"Normalidade")</f>
        <v>Normalidade</v>
      </c>
    </row>
    <row r="126" spans="1:12" ht="12.75">
      <c r="A126" s="3" t="str">
        <f ca="1">IFERROR(__xludf.UNSUPPORTED("""COMPUTED_VALUE"""),"684decd8")</f>
        <v>684decd8</v>
      </c>
      <c r="B126" s="4">
        <f ca="1">IFERROR(__xludf.UNSUPPORTED("""COMPUTED_VALUE"""),44937.2092361111)</f>
        <v>44937.209236111099</v>
      </c>
      <c r="C126" s="7" t="str">
        <f ca="1">IFERROR(__xludf.UNSUPPORTED("""COMPUTED_VALUE"""),"Aratu")</f>
        <v>Aratu</v>
      </c>
      <c r="D126" s="3" t="str">
        <f ca="1">IFERROR(__xludf.UNSUPPORTED("""COMPUTED_VALUE"""),"🚢 REGULAR")</f>
        <v>🚢 REGULAR</v>
      </c>
      <c r="E126" s="3" t="str">
        <f ca="1">IFERROR(__xludf.UNSUPPORTED("""COMPUTED_VALUE"""),"🚛 LIBERADO")</f>
        <v>🚛 LIBERADO</v>
      </c>
      <c r="F126" s="5">
        <f ca="1">IFERROR(__xludf.UNSUPPORTED("""COMPUTED_VALUE"""),0)</f>
        <v>0</v>
      </c>
      <c r="G126" s="3" t="str">
        <f ca="1">IFERROR(__xludf.UNSUPPORTED("""COMPUTED_VALUE"""),"Normalidade")</f>
        <v>Normalidade</v>
      </c>
      <c r="H126" s="4">
        <f ca="1">IFERROR(__xludf.UNSUPPORTED("""COMPUTED_VALUE"""),44937.2092361111)</f>
        <v>44937.209236111099</v>
      </c>
      <c r="I126" s="3">
        <f ca="1">IFERROR(__xludf.UNSUPPORTED("""COMPUTED_VALUE"""),24)</f>
        <v>24</v>
      </c>
      <c r="J126" s="4">
        <f ca="1">IFERROR(__xludf.UNSUPPORTED("""COMPUTED_VALUE"""),44938.2092361111)</f>
        <v>44938.209236111099</v>
      </c>
      <c r="L126" s="3" t="str">
        <f ca="1">IFERROR(__xludf.UNSUPPORTED("""COMPUTED_VALUE"""),"Normalidade")</f>
        <v>Normalidade</v>
      </c>
    </row>
    <row r="127" spans="1:12" ht="12.75">
      <c r="A127" s="3" t="str">
        <f ca="1">IFERROR(__xludf.UNSUPPORTED("""COMPUTED_VALUE"""),"ceaeef41")</f>
        <v>ceaeef41</v>
      </c>
      <c r="B127" s="4">
        <f ca="1">IFERROR(__xludf.UNSUPPORTED("""COMPUTED_VALUE"""),44939.812824074)</f>
        <v>44939.812824073997</v>
      </c>
      <c r="C127" s="8" t="str">
        <f ca="1">IFERROR(__xludf.UNSUPPORTED("""COMPUTED_VALUE"""),"Aratu")</f>
        <v>Aratu</v>
      </c>
      <c r="D127" s="3" t="str">
        <f ca="1">IFERROR(__xludf.UNSUPPORTED("""COMPUTED_VALUE"""),"🚢 REGULAR")</f>
        <v>🚢 REGULAR</v>
      </c>
      <c r="E127" s="3" t="str">
        <f ca="1">IFERROR(__xludf.UNSUPPORTED("""COMPUTED_VALUE"""),"🚛 LIBERADO")</f>
        <v>🚛 LIBERADO</v>
      </c>
      <c r="F127" s="5">
        <f ca="1">IFERROR(__xludf.UNSUPPORTED("""COMPUTED_VALUE"""),0)</f>
        <v>0</v>
      </c>
      <c r="G127" s="3" t="str">
        <f ca="1">IFERROR(__xludf.UNSUPPORTED("""COMPUTED_VALUE"""),"Normalidade")</f>
        <v>Normalidade</v>
      </c>
      <c r="H127" s="4">
        <f ca="1">IFERROR(__xludf.UNSUPPORTED("""COMPUTED_VALUE"""),44939.812824074)</f>
        <v>44939.812824073997</v>
      </c>
      <c r="I127" s="3">
        <f ca="1">IFERROR(__xludf.UNSUPPORTED("""COMPUTED_VALUE"""),24)</f>
        <v>24</v>
      </c>
      <c r="J127" s="4">
        <f ca="1">IFERROR(__xludf.UNSUPPORTED("""COMPUTED_VALUE"""),44940.812824074)</f>
        <v>44940.812824073997</v>
      </c>
      <c r="L127" s="3" t="str">
        <f ca="1">IFERROR(__xludf.UNSUPPORTED("""COMPUTED_VALUE"""),"Normalidade")</f>
        <v>Normalidade</v>
      </c>
    </row>
    <row r="128" spans="1:12" ht="12.75">
      <c r="A128" s="3" t="str">
        <f ca="1">IFERROR(__xludf.UNSUPPORTED("""COMPUTED_VALUE"""),"b327eca4")</f>
        <v>b327eca4</v>
      </c>
      <c r="B128" s="4">
        <f ca="1">IFERROR(__xludf.UNSUPPORTED("""COMPUTED_VALUE"""),44940.5998726851)</f>
        <v>44940.599872685103</v>
      </c>
      <c r="C128" s="8" t="str">
        <f ca="1">IFERROR(__xludf.UNSUPPORTED("""COMPUTED_VALUE"""),"Aratu")</f>
        <v>Aratu</v>
      </c>
      <c r="D128" s="3" t="str">
        <f ca="1">IFERROR(__xludf.UNSUPPORTED("""COMPUTED_VALUE"""),"🚢 REGULAR")</f>
        <v>🚢 REGULAR</v>
      </c>
      <c r="E128" s="3" t="str">
        <f ca="1">IFERROR(__xludf.UNSUPPORTED("""COMPUTED_VALUE"""),"🚛 LIBERADO")</f>
        <v>🚛 LIBERADO</v>
      </c>
      <c r="F128" s="5">
        <f ca="1">IFERROR(__xludf.UNSUPPORTED("""COMPUTED_VALUE"""),0)</f>
        <v>0</v>
      </c>
      <c r="G128" s="3" t="str">
        <f ca="1">IFERROR(__xludf.UNSUPPORTED("""COMPUTED_VALUE"""),"Normalidade")</f>
        <v>Normalidade</v>
      </c>
      <c r="H128" s="4">
        <f ca="1">IFERROR(__xludf.UNSUPPORTED("""COMPUTED_VALUE"""),44940.5998726851)</f>
        <v>44940.599872685103</v>
      </c>
      <c r="I128" s="3">
        <f ca="1">IFERROR(__xludf.UNSUPPORTED("""COMPUTED_VALUE"""),24)</f>
        <v>24</v>
      </c>
      <c r="J128" s="4">
        <f ca="1">IFERROR(__xludf.UNSUPPORTED("""COMPUTED_VALUE"""),44941.5998726851)</f>
        <v>44941.599872685103</v>
      </c>
      <c r="L128" s="3" t="str">
        <f ca="1">IFERROR(__xludf.UNSUPPORTED("""COMPUTED_VALUE"""),"Normalidade")</f>
        <v>Normalidade</v>
      </c>
    </row>
    <row r="129" spans="1:12" ht="12.75">
      <c r="A129" s="3" t="str">
        <f ca="1">IFERROR(__xludf.UNSUPPORTED("""COMPUTED_VALUE"""),"9f45866c")</f>
        <v>9f45866c</v>
      </c>
      <c r="B129" s="4">
        <f ca="1">IFERROR(__xludf.UNSUPPORTED("""COMPUTED_VALUE"""),44941.415011574)</f>
        <v>44941.415011573998</v>
      </c>
      <c r="C129" s="8" t="str">
        <f ca="1">IFERROR(__xludf.UNSUPPORTED("""COMPUTED_VALUE"""),"Aratu")</f>
        <v>Aratu</v>
      </c>
      <c r="D129" s="3" t="str">
        <f ca="1">IFERROR(__xludf.UNSUPPORTED("""COMPUTED_VALUE"""),"🚢 REGULAR")</f>
        <v>🚢 REGULAR</v>
      </c>
      <c r="E129" s="3" t="str">
        <f ca="1">IFERROR(__xludf.UNSUPPORTED("""COMPUTED_VALUE"""),"🚛 LIBERADO")</f>
        <v>🚛 LIBERADO</v>
      </c>
      <c r="F129" s="5">
        <f ca="1">IFERROR(__xludf.UNSUPPORTED("""COMPUTED_VALUE"""),0)</f>
        <v>0</v>
      </c>
      <c r="G129" s="3" t="str">
        <f ca="1">IFERROR(__xludf.UNSUPPORTED("""COMPUTED_VALUE"""),"Normalidade")</f>
        <v>Normalidade</v>
      </c>
      <c r="H129" s="4">
        <f ca="1">IFERROR(__xludf.UNSUPPORTED("""COMPUTED_VALUE"""),44941.415011574)</f>
        <v>44941.415011573998</v>
      </c>
      <c r="I129" s="3">
        <f ca="1">IFERROR(__xludf.UNSUPPORTED("""COMPUTED_VALUE"""),24)</f>
        <v>24</v>
      </c>
      <c r="J129" s="4">
        <f ca="1">IFERROR(__xludf.UNSUPPORTED("""COMPUTED_VALUE"""),44942.415011574)</f>
        <v>44942.415011573998</v>
      </c>
      <c r="L129" s="3" t="str">
        <f ca="1">IFERROR(__xludf.UNSUPPORTED("""COMPUTED_VALUE"""),"Normalidade")</f>
        <v>Normalidade</v>
      </c>
    </row>
    <row r="130" spans="1:12" ht="12.75">
      <c r="A130" s="3" t="str">
        <f ca="1">IFERROR(__xludf.UNSUPPORTED("""COMPUTED_VALUE"""),"4d14243b")</f>
        <v>4d14243b</v>
      </c>
      <c r="B130" s="4">
        <f ca="1">IFERROR(__xludf.UNSUPPORTED("""COMPUTED_VALUE"""),44942.3194560185)</f>
        <v>44942.3194560185</v>
      </c>
      <c r="C130" s="8" t="str">
        <f ca="1">IFERROR(__xludf.UNSUPPORTED("""COMPUTED_VALUE"""),"Aratu")</f>
        <v>Aratu</v>
      </c>
      <c r="D130" s="3" t="str">
        <f ca="1">IFERROR(__xludf.UNSUPPORTED("""COMPUTED_VALUE"""),"🚢 REGULAR")</f>
        <v>🚢 REGULAR</v>
      </c>
      <c r="E130" s="3" t="str">
        <f ca="1">IFERROR(__xludf.UNSUPPORTED("""COMPUTED_VALUE"""),"🚛 LIBERADO")</f>
        <v>🚛 LIBERADO</v>
      </c>
      <c r="F130" s="5">
        <f ca="1">IFERROR(__xludf.UNSUPPORTED("""COMPUTED_VALUE"""),0)</f>
        <v>0</v>
      </c>
      <c r="G130" s="3" t="str">
        <f ca="1">IFERROR(__xludf.UNSUPPORTED("""COMPUTED_VALUE"""),"Normalidade")</f>
        <v>Normalidade</v>
      </c>
      <c r="H130" s="4">
        <f ca="1">IFERROR(__xludf.UNSUPPORTED("""COMPUTED_VALUE"""),44942.3194560185)</f>
        <v>44942.3194560185</v>
      </c>
      <c r="I130" s="3">
        <f ca="1">IFERROR(__xludf.UNSUPPORTED("""COMPUTED_VALUE"""),24)</f>
        <v>24</v>
      </c>
      <c r="J130" s="4">
        <f ca="1">IFERROR(__xludf.UNSUPPORTED("""COMPUTED_VALUE"""),44943.3194560185)</f>
        <v>44943.3194560185</v>
      </c>
      <c r="L130" s="3" t="str">
        <f ca="1">IFERROR(__xludf.UNSUPPORTED("""COMPUTED_VALUE"""),"Normalidade")</f>
        <v>Normalidade</v>
      </c>
    </row>
    <row r="131" spans="1:12" ht="12.75">
      <c r="A131" s="3" t="str">
        <f ca="1">IFERROR(__xludf.UNSUPPORTED("""COMPUTED_VALUE"""),"bdced8c8")</f>
        <v>bdced8c8</v>
      </c>
      <c r="B131" s="4">
        <f ca="1">IFERROR(__xludf.UNSUPPORTED("""COMPUTED_VALUE"""),44943.3724305555)</f>
        <v>44943.372430555501</v>
      </c>
      <c r="C131" s="7" t="str">
        <f ca="1">IFERROR(__xludf.UNSUPPORTED("""COMPUTED_VALUE"""),"Aratu")</f>
        <v>Aratu</v>
      </c>
      <c r="D131" s="3" t="str">
        <f ca="1">IFERROR(__xludf.UNSUPPORTED("""COMPUTED_VALUE"""),"🚢 REGULAR")</f>
        <v>🚢 REGULAR</v>
      </c>
      <c r="E131" s="3" t="str">
        <f ca="1">IFERROR(__xludf.UNSUPPORTED("""COMPUTED_VALUE"""),"🚛 LIBERADO")</f>
        <v>🚛 LIBERADO</v>
      </c>
      <c r="F131" s="5">
        <f ca="1">IFERROR(__xludf.UNSUPPORTED("""COMPUTED_VALUE"""),0)</f>
        <v>0</v>
      </c>
      <c r="G131" s="3" t="str">
        <f ca="1">IFERROR(__xludf.UNSUPPORTED("""COMPUTED_VALUE"""),"Normalidade")</f>
        <v>Normalidade</v>
      </c>
      <c r="H131" s="4">
        <f ca="1">IFERROR(__xludf.UNSUPPORTED("""COMPUTED_VALUE"""),44943.3724305555)</f>
        <v>44943.372430555501</v>
      </c>
      <c r="I131" s="3">
        <f ca="1">IFERROR(__xludf.UNSUPPORTED("""COMPUTED_VALUE"""),24)</f>
        <v>24</v>
      </c>
      <c r="J131" s="4">
        <f ca="1">IFERROR(__xludf.UNSUPPORTED("""COMPUTED_VALUE"""),44944.3724305555)</f>
        <v>44944.372430555501</v>
      </c>
      <c r="L131" s="3" t="str">
        <f ca="1">IFERROR(__xludf.UNSUPPORTED("""COMPUTED_VALUE"""),"Normalidade")</f>
        <v>Normalidade</v>
      </c>
    </row>
    <row r="132" spans="1:12" ht="12.75">
      <c r="A132" s="3" t="str">
        <f ca="1">IFERROR(__xludf.UNSUPPORTED("""COMPUTED_VALUE"""),"5f6b3448")</f>
        <v>5f6b3448</v>
      </c>
      <c r="B132" s="4">
        <f ca="1">IFERROR(__xludf.UNSUPPORTED("""COMPUTED_VALUE"""),44944.4279976851)</f>
        <v>44944.427997685103</v>
      </c>
      <c r="C132" s="7" t="str">
        <f ca="1">IFERROR(__xludf.UNSUPPORTED("""COMPUTED_VALUE"""),"Aratu")</f>
        <v>Aratu</v>
      </c>
      <c r="D132" s="3" t="str">
        <f ca="1">IFERROR(__xludf.UNSUPPORTED("""COMPUTED_VALUE"""),"🚢 REGULAR")</f>
        <v>🚢 REGULAR</v>
      </c>
      <c r="E132" s="3" t="str">
        <f ca="1">IFERROR(__xludf.UNSUPPORTED("""COMPUTED_VALUE"""),"🚛 LIBERADO")</f>
        <v>🚛 LIBERADO</v>
      </c>
      <c r="F132" s="5">
        <f ca="1">IFERROR(__xludf.UNSUPPORTED("""COMPUTED_VALUE"""),0)</f>
        <v>0</v>
      </c>
      <c r="G132" s="3" t="str">
        <f ca="1">IFERROR(__xludf.UNSUPPORTED("""COMPUTED_VALUE"""),"Normalidade")</f>
        <v>Normalidade</v>
      </c>
      <c r="H132" s="4">
        <f ca="1">IFERROR(__xludf.UNSUPPORTED("""COMPUTED_VALUE"""),44944.4279976851)</f>
        <v>44944.427997685103</v>
      </c>
      <c r="I132" s="3">
        <f ca="1">IFERROR(__xludf.UNSUPPORTED("""COMPUTED_VALUE"""),24)</f>
        <v>24</v>
      </c>
      <c r="J132" s="4">
        <f ca="1">IFERROR(__xludf.UNSUPPORTED("""COMPUTED_VALUE"""),44945.4279976851)</f>
        <v>44945.427997685103</v>
      </c>
      <c r="L132" s="3" t="str">
        <f ca="1">IFERROR(__xludf.UNSUPPORTED("""COMPUTED_VALUE"""),"Normalidade")</f>
        <v>Normalidade</v>
      </c>
    </row>
    <row r="133" spans="1:12" ht="12.75">
      <c r="A133" s="3" t="str">
        <f ca="1">IFERROR(__xludf.UNSUPPORTED("""COMPUTED_VALUE"""),"6dab5ea9")</f>
        <v>6dab5ea9</v>
      </c>
      <c r="B133" s="4">
        <f ca="1">IFERROR(__xludf.UNSUPPORTED("""COMPUTED_VALUE"""),44945.4145717592)</f>
        <v>44945.414571759196</v>
      </c>
      <c r="C133" s="8" t="str">
        <f ca="1">IFERROR(__xludf.UNSUPPORTED("""COMPUTED_VALUE"""),"Aratu")</f>
        <v>Aratu</v>
      </c>
      <c r="D133" s="3" t="str">
        <f ca="1">IFERROR(__xludf.UNSUPPORTED("""COMPUTED_VALUE"""),"🚢 REGULAR")</f>
        <v>🚢 REGULAR</v>
      </c>
      <c r="E133" s="3" t="str">
        <f ca="1">IFERROR(__xludf.UNSUPPORTED("""COMPUTED_VALUE"""),"🚛 LIBERADO")</f>
        <v>🚛 LIBERADO</v>
      </c>
      <c r="F133" s="5">
        <f ca="1">IFERROR(__xludf.UNSUPPORTED("""COMPUTED_VALUE"""),0)</f>
        <v>0</v>
      </c>
      <c r="G133" s="3" t="str">
        <f ca="1">IFERROR(__xludf.UNSUPPORTED("""COMPUTED_VALUE"""),"Normalidade")</f>
        <v>Normalidade</v>
      </c>
      <c r="H133" s="4">
        <f ca="1">IFERROR(__xludf.UNSUPPORTED("""COMPUTED_VALUE"""),44945.4145717592)</f>
        <v>44945.414571759196</v>
      </c>
      <c r="I133" s="3">
        <f ca="1">IFERROR(__xludf.UNSUPPORTED("""COMPUTED_VALUE"""),24)</f>
        <v>24</v>
      </c>
      <c r="J133" s="4">
        <f ca="1">IFERROR(__xludf.UNSUPPORTED("""COMPUTED_VALUE"""),44946.4145717592)</f>
        <v>44946.414571759196</v>
      </c>
      <c r="L133" s="3" t="str">
        <f ca="1">IFERROR(__xludf.UNSUPPORTED("""COMPUTED_VALUE"""),"Normalidade")</f>
        <v>Normalidade</v>
      </c>
    </row>
    <row r="134" spans="1:12" ht="12.75">
      <c r="A134" s="3" t="str">
        <f ca="1">IFERROR(__xludf.UNSUPPORTED("""COMPUTED_VALUE"""),"d49e8d7a")</f>
        <v>d49e8d7a</v>
      </c>
      <c r="B134" s="4">
        <f ca="1">IFERROR(__xludf.UNSUPPORTED("""COMPUTED_VALUE"""),44946.3090509259)</f>
        <v>44946.309050925898</v>
      </c>
      <c r="C134" s="8" t="str">
        <f ca="1">IFERROR(__xludf.UNSUPPORTED("""COMPUTED_VALUE"""),"Aratu")</f>
        <v>Aratu</v>
      </c>
      <c r="D134" s="3" t="str">
        <f ca="1">IFERROR(__xludf.UNSUPPORTED("""COMPUTED_VALUE"""),"🚢 REGULAR")</f>
        <v>🚢 REGULAR</v>
      </c>
      <c r="E134" s="3" t="str">
        <f ca="1">IFERROR(__xludf.UNSUPPORTED("""COMPUTED_VALUE"""),"🚛 LIBERADO")</f>
        <v>🚛 LIBERADO</v>
      </c>
      <c r="F134" s="5">
        <f ca="1">IFERROR(__xludf.UNSUPPORTED("""COMPUTED_VALUE"""),0)</f>
        <v>0</v>
      </c>
      <c r="G134" s="3" t="str">
        <f ca="1">IFERROR(__xludf.UNSUPPORTED("""COMPUTED_VALUE"""),"Normalidade")</f>
        <v>Normalidade</v>
      </c>
      <c r="H134" s="4">
        <f ca="1">IFERROR(__xludf.UNSUPPORTED("""COMPUTED_VALUE"""),44946.3090509259)</f>
        <v>44946.309050925898</v>
      </c>
      <c r="I134" s="3">
        <f ca="1">IFERROR(__xludf.UNSUPPORTED("""COMPUTED_VALUE"""),24)</f>
        <v>24</v>
      </c>
      <c r="J134" s="4">
        <f ca="1">IFERROR(__xludf.UNSUPPORTED("""COMPUTED_VALUE"""),44947.3090509259)</f>
        <v>44947.309050925898</v>
      </c>
      <c r="L134" s="3" t="str">
        <f ca="1">IFERROR(__xludf.UNSUPPORTED("""COMPUTED_VALUE"""),"Normalidade")</f>
        <v>Normalidade</v>
      </c>
    </row>
    <row r="135" spans="1:12" ht="12.75">
      <c r="A135" s="3" t="str">
        <f ca="1">IFERROR(__xludf.UNSUPPORTED("""COMPUTED_VALUE"""),"4aa2d790")</f>
        <v>4aa2d790</v>
      </c>
      <c r="B135" s="4">
        <f ca="1">IFERROR(__xludf.UNSUPPORTED("""COMPUTED_VALUE"""),44946.3089930555)</f>
        <v>44946.3089930555</v>
      </c>
      <c r="C135" s="7" t="str">
        <f ca="1">IFERROR(__xludf.UNSUPPORTED("""COMPUTED_VALUE"""),"Aratu")</f>
        <v>Aratu</v>
      </c>
      <c r="D135" s="3" t="str">
        <f ca="1">IFERROR(__xludf.UNSUPPORTED("""COMPUTED_VALUE"""),"🚢 REGULAR")</f>
        <v>🚢 REGULAR</v>
      </c>
      <c r="E135" s="3" t="str">
        <f ca="1">IFERROR(__xludf.UNSUPPORTED("""COMPUTED_VALUE"""),"🚛 LIBERADO")</f>
        <v>🚛 LIBERADO</v>
      </c>
      <c r="F135" s="5">
        <f ca="1">IFERROR(__xludf.UNSUPPORTED("""COMPUTED_VALUE"""),0)</f>
        <v>0</v>
      </c>
      <c r="G135" s="3" t="str">
        <f ca="1">IFERROR(__xludf.UNSUPPORTED("""COMPUTED_VALUE"""),"Normalidade")</f>
        <v>Normalidade</v>
      </c>
      <c r="H135" s="4">
        <f ca="1">IFERROR(__xludf.UNSUPPORTED("""COMPUTED_VALUE"""),44946.3089930555)</f>
        <v>44946.3089930555</v>
      </c>
      <c r="I135" s="3">
        <f ca="1">IFERROR(__xludf.UNSUPPORTED("""COMPUTED_VALUE"""),24)</f>
        <v>24</v>
      </c>
      <c r="J135" s="4">
        <f ca="1">IFERROR(__xludf.UNSUPPORTED("""COMPUTED_VALUE"""),44947.3089930555)</f>
        <v>44947.3089930555</v>
      </c>
      <c r="L135" s="3" t="str">
        <f ca="1">IFERROR(__xludf.UNSUPPORTED("""COMPUTED_VALUE"""),"Normalidade")</f>
        <v>Normalidade</v>
      </c>
    </row>
    <row r="136" spans="1:12" ht="12.75">
      <c r="A136" s="3" t="str">
        <f ca="1">IFERROR(__xludf.UNSUPPORTED("""COMPUTED_VALUE"""),"c3d5532a")</f>
        <v>c3d5532a</v>
      </c>
      <c r="B136" s="4">
        <f ca="1">IFERROR(__xludf.UNSUPPORTED("""COMPUTED_VALUE"""),44947.3560648148)</f>
        <v>44947.356064814798</v>
      </c>
      <c r="C136" s="8" t="str">
        <f ca="1">IFERROR(__xludf.UNSUPPORTED("""COMPUTED_VALUE"""),"Aratu")</f>
        <v>Aratu</v>
      </c>
      <c r="D136" s="3" t="str">
        <f ca="1">IFERROR(__xludf.UNSUPPORTED("""COMPUTED_VALUE"""),"🚢 REGULAR")</f>
        <v>🚢 REGULAR</v>
      </c>
      <c r="E136" s="3" t="str">
        <f ca="1">IFERROR(__xludf.UNSUPPORTED("""COMPUTED_VALUE"""),"🚛 LIBERADO")</f>
        <v>🚛 LIBERADO</v>
      </c>
      <c r="F136" s="5">
        <f ca="1">IFERROR(__xludf.UNSUPPORTED("""COMPUTED_VALUE"""),0)</f>
        <v>0</v>
      </c>
      <c r="G136" s="3" t="str">
        <f ca="1">IFERROR(__xludf.UNSUPPORTED("""COMPUTED_VALUE"""),"Normalidade")</f>
        <v>Normalidade</v>
      </c>
      <c r="H136" s="4">
        <f ca="1">IFERROR(__xludf.UNSUPPORTED("""COMPUTED_VALUE"""),44947.3560648148)</f>
        <v>44947.356064814798</v>
      </c>
      <c r="I136" s="3">
        <f ca="1">IFERROR(__xludf.UNSUPPORTED("""COMPUTED_VALUE"""),24)</f>
        <v>24</v>
      </c>
      <c r="J136" s="4">
        <f ca="1">IFERROR(__xludf.UNSUPPORTED("""COMPUTED_VALUE"""),44948.3560648148)</f>
        <v>44948.356064814798</v>
      </c>
      <c r="L136" s="3" t="str">
        <f ca="1">IFERROR(__xludf.UNSUPPORTED("""COMPUTED_VALUE"""),"Normalidade")</f>
        <v>Normalidade</v>
      </c>
    </row>
    <row r="137" spans="1:12" ht="12.75">
      <c r="A137" s="3" t="str">
        <f ca="1">IFERROR(__xludf.UNSUPPORTED("""COMPUTED_VALUE"""),"a92e3e65")</f>
        <v>a92e3e65</v>
      </c>
      <c r="B137" s="4">
        <f ca="1">IFERROR(__xludf.UNSUPPORTED("""COMPUTED_VALUE"""),44948.2322106481)</f>
        <v>44948.232210648101</v>
      </c>
      <c r="C137" s="7" t="str">
        <f ca="1">IFERROR(__xludf.UNSUPPORTED("""COMPUTED_VALUE"""),"Aratu")</f>
        <v>Aratu</v>
      </c>
      <c r="D137" s="3" t="str">
        <f ca="1">IFERROR(__xludf.UNSUPPORTED("""COMPUTED_VALUE"""),"🚢 REGULAR")</f>
        <v>🚢 REGULAR</v>
      </c>
      <c r="E137" s="3" t="str">
        <f ca="1">IFERROR(__xludf.UNSUPPORTED("""COMPUTED_VALUE"""),"🚛 LIBERADO")</f>
        <v>🚛 LIBERADO</v>
      </c>
      <c r="F137" s="5">
        <f ca="1">IFERROR(__xludf.UNSUPPORTED("""COMPUTED_VALUE"""),0)</f>
        <v>0</v>
      </c>
      <c r="G137" s="3" t="str">
        <f ca="1">IFERROR(__xludf.UNSUPPORTED("""COMPUTED_VALUE"""),"Normalidade")</f>
        <v>Normalidade</v>
      </c>
      <c r="H137" s="4">
        <f ca="1">IFERROR(__xludf.UNSUPPORTED("""COMPUTED_VALUE"""),44948.2322106481)</f>
        <v>44948.232210648101</v>
      </c>
      <c r="I137" s="3">
        <f ca="1">IFERROR(__xludf.UNSUPPORTED("""COMPUTED_VALUE"""),24)</f>
        <v>24</v>
      </c>
      <c r="J137" s="4">
        <f ca="1">IFERROR(__xludf.UNSUPPORTED("""COMPUTED_VALUE"""),44949.2322106481)</f>
        <v>44949.232210648101</v>
      </c>
      <c r="L137" s="3" t="str">
        <f ca="1">IFERROR(__xludf.UNSUPPORTED("""COMPUTED_VALUE"""),"Normalidade")</f>
        <v>Normalidade</v>
      </c>
    </row>
    <row r="138" spans="1:12" ht="12.75">
      <c r="A138" s="3" t="str">
        <f ca="1">IFERROR(__xludf.UNSUPPORTED("""COMPUTED_VALUE"""),"1f903efc")</f>
        <v>1f903efc</v>
      </c>
      <c r="B138" s="4">
        <f ca="1">IFERROR(__xludf.UNSUPPORTED("""COMPUTED_VALUE"""),44950.2822916666)</f>
        <v>44950.282291666597</v>
      </c>
      <c r="C138" s="7" t="str">
        <f ca="1">IFERROR(__xludf.UNSUPPORTED("""COMPUTED_VALUE"""),"Aratu")</f>
        <v>Aratu</v>
      </c>
      <c r="D138" s="3" t="str">
        <f ca="1">IFERROR(__xludf.UNSUPPORTED("""COMPUTED_VALUE"""),"🚢 REGULAR")</f>
        <v>🚢 REGULAR</v>
      </c>
      <c r="E138" s="3" t="str">
        <f ca="1">IFERROR(__xludf.UNSUPPORTED("""COMPUTED_VALUE"""),"🚛 LIBERADO")</f>
        <v>🚛 LIBERADO</v>
      </c>
      <c r="F138" s="5">
        <f ca="1">IFERROR(__xludf.UNSUPPORTED("""COMPUTED_VALUE"""),0)</f>
        <v>0</v>
      </c>
      <c r="G138" s="3" t="str">
        <f ca="1">IFERROR(__xludf.UNSUPPORTED("""COMPUTED_VALUE"""),"Normalidade")</f>
        <v>Normalidade</v>
      </c>
      <c r="H138" s="4">
        <f ca="1">IFERROR(__xludf.UNSUPPORTED("""COMPUTED_VALUE"""),44950.2822916666)</f>
        <v>44950.282291666597</v>
      </c>
      <c r="I138" s="3">
        <f ca="1">IFERROR(__xludf.UNSUPPORTED("""COMPUTED_VALUE"""),24)</f>
        <v>24</v>
      </c>
      <c r="J138" s="4">
        <f ca="1">IFERROR(__xludf.UNSUPPORTED("""COMPUTED_VALUE"""),44951.2822916666)</f>
        <v>44951.282291666597</v>
      </c>
      <c r="L138" s="3" t="str">
        <f ca="1">IFERROR(__xludf.UNSUPPORTED("""COMPUTED_VALUE"""),"Normalidade")</f>
        <v>Normalidade</v>
      </c>
    </row>
    <row r="139" spans="1:12" ht="12.75">
      <c r="A139" s="3" t="str">
        <f ca="1">IFERROR(__xludf.UNSUPPORTED("""COMPUTED_VALUE"""),"cc8893a4")</f>
        <v>cc8893a4</v>
      </c>
      <c r="B139" s="4">
        <f ca="1">IFERROR(__xludf.UNSUPPORTED("""COMPUTED_VALUE"""),44952.4682175925)</f>
        <v>44952.468217592497</v>
      </c>
      <c r="C139" s="7" t="str">
        <f ca="1">IFERROR(__xludf.UNSUPPORTED("""COMPUTED_VALUE"""),"Aratu")</f>
        <v>Aratu</v>
      </c>
      <c r="D139" s="3" t="str">
        <f ca="1">IFERROR(__xludf.UNSUPPORTED("""COMPUTED_VALUE"""),"🚢 REGULAR")</f>
        <v>🚢 REGULAR</v>
      </c>
      <c r="E139" s="3" t="str">
        <f ca="1">IFERROR(__xludf.UNSUPPORTED("""COMPUTED_VALUE"""),"🚛 LIBERADO")</f>
        <v>🚛 LIBERADO</v>
      </c>
      <c r="F139" s="5">
        <f ca="1">IFERROR(__xludf.UNSUPPORTED("""COMPUTED_VALUE"""),0)</f>
        <v>0</v>
      </c>
      <c r="G139" s="3" t="str">
        <f ca="1">IFERROR(__xludf.UNSUPPORTED("""COMPUTED_VALUE"""),"Normalidade")</f>
        <v>Normalidade</v>
      </c>
      <c r="H139" s="4">
        <f ca="1">IFERROR(__xludf.UNSUPPORTED("""COMPUTED_VALUE"""),44952.4682175925)</f>
        <v>44952.468217592497</v>
      </c>
      <c r="I139" s="3">
        <f ca="1">IFERROR(__xludf.UNSUPPORTED("""COMPUTED_VALUE"""),24)</f>
        <v>24</v>
      </c>
      <c r="J139" s="4">
        <f ca="1">IFERROR(__xludf.UNSUPPORTED("""COMPUTED_VALUE"""),44953.4682175925)</f>
        <v>44953.468217592497</v>
      </c>
      <c r="L139" s="3" t="str">
        <f ca="1">IFERROR(__xludf.UNSUPPORTED("""COMPUTED_VALUE"""),"Normalidade")</f>
        <v>Normalidade</v>
      </c>
    </row>
    <row r="140" spans="1:12" ht="12.75">
      <c r="A140" s="3" t="str">
        <f ca="1">IFERROR(__xludf.UNSUPPORTED("""COMPUTED_VALUE"""),"df18b012")</f>
        <v>df18b012</v>
      </c>
      <c r="B140" s="4">
        <f ca="1">IFERROR(__xludf.UNSUPPORTED("""COMPUTED_VALUE"""),44952.5999884259)</f>
        <v>44952.5999884259</v>
      </c>
      <c r="C140" s="7" t="str">
        <f ca="1">IFERROR(__xludf.UNSUPPORTED("""COMPUTED_VALUE"""),"Aratu")</f>
        <v>Aratu</v>
      </c>
      <c r="D140" s="3" t="str">
        <f ca="1">IFERROR(__xludf.UNSUPPORTED("""COMPUTED_VALUE"""),"🚢 REGULAR")</f>
        <v>🚢 REGULAR</v>
      </c>
      <c r="E140" s="3" t="str">
        <f ca="1">IFERROR(__xludf.UNSUPPORTED("""COMPUTED_VALUE"""),"🚛 LIBERADO")</f>
        <v>🚛 LIBERADO</v>
      </c>
      <c r="F140" s="5">
        <f ca="1">IFERROR(__xludf.UNSUPPORTED("""COMPUTED_VALUE"""),0)</f>
        <v>0</v>
      </c>
      <c r="G140" s="3" t="str">
        <f ca="1">IFERROR(__xludf.UNSUPPORTED("""COMPUTED_VALUE"""),"Normalidade")</f>
        <v>Normalidade</v>
      </c>
      <c r="H140" s="4">
        <f ca="1">IFERROR(__xludf.UNSUPPORTED("""COMPUTED_VALUE"""),44952.5999884259)</f>
        <v>44952.5999884259</v>
      </c>
      <c r="I140" s="3">
        <f ca="1">IFERROR(__xludf.UNSUPPORTED("""COMPUTED_VALUE"""),24)</f>
        <v>24</v>
      </c>
      <c r="J140" s="4">
        <f ca="1">IFERROR(__xludf.UNSUPPORTED("""COMPUTED_VALUE"""),44953.5999884259)</f>
        <v>44953.5999884259</v>
      </c>
      <c r="L140" s="3" t="str">
        <f ca="1">IFERROR(__xludf.UNSUPPORTED("""COMPUTED_VALUE"""),"Normalidade")</f>
        <v>Normalidade</v>
      </c>
    </row>
    <row r="141" spans="1:12" ht="12.75">
      <c r="A141" s="3" t="str">
        <f ca="1">IFERROR(__xludf.UNSUPPORTED("""COMPUTED_VALUE"""),"42520e5b")</f>
        <v>42520e5b</v>
      </c>
      <c r="B141" s="4">
        <f ca="1">IFERROR(__xludf.UNSUPPORTED("""COMPUTED_VALUE"""),44953.3626736111)</f>
        <v>44953.362673611096</v>
      </c>
      <c r="C141" s="7" t="str">
        <f ca="1">IFERROR(__xludf.UNSUPPORTED("""COMPUTED_VALUE"""),"Aratu")</f>
        <v>Aratu</v>
      </c>
      <c r="D141" s="3" t="str">
        <f ca="1">IFERROR(__xludf.UNSUPPORTED("""COMPUTED_VALUE"""),"🚢 REGULAR")</f>
        <v>🚢 REGULAR</v>
      </c>
      <c r="E141" s="3" t="str">
        <f ca="1">IFERROR(__xludf.UNSUPPORTED("""COMPUTED_VALUE"""),"🚛 LIBERADO")</f>
        <v>🚛 LIBERADO</v>
      </c>
      <c r="F141" s="5">
        <f ca="1">IFERROR(__xludf.UNSUPPORTED("""COMPUTED_VALUE"""),0)</f>
        <v>0</v>
      </c>
      <c r="G141" s="3" t="str">
        <f ca="1">IFERROR(__xludf.UNSUPPORTED("""COMPUTED_VALUE"""),"Normalidade")</f>
        <v>Normalidade</v>
      </c>
      <c r="H141" s="4">
        <f ca="1">IFERROR(__xludf.UNSUPPORTED("""COMPUTED_VALUE"""),44953.3626736111)</f>
        <v>44953.362673611096</v>
      </c>
      <c r="I141" s="3">
        <f ca="1">IFERROR(__xludf.UNSUPPORTED("""COMPUTED_VALUE"""),24)</f>
        <v>24</v>
      </c>
      <c r="J141" s="4">
        <f ca="1">IFERROR(__xludf.UNSUPPORTED("""COMPUTED_VALUE"""),44954.3626736111)</f>
        <v>44954.362673611096</v>
      </c>
      <c r="L141" s="3" t="str">
        <f ca="1">IFERROR(__xludf.UNSUPPORTED("""COMPUTED_VALUE"""),"Normalidade")</f>
        <v>Normalidade</v>
      </c>
    </row>
    <row r="142" spans="1:12" ht="12.75">
      <c r="A142" s="3" t="str">
        <f ca="1">IFERROR(__xludf.UNSUPPORTED("""COMPUTED_VALUE"""),"a29fb8ac")</f>
        <v>a29fb8ac</v>
      </c>
      <c r="B142" s="4">
        <f ca="1">IFERROR(__xludf.UNSUPPORTED("""COMPUTED_VALUE"""),44955.3960416666)</f>
        <v>44955.396041666601</v>
      </c>
      <c r="C142" s="7" t="str">
        <f ca="1">IFERROR(__xludf.UNSUPPORTED("""COMPUTED_VALUE"""),"Aratu")</f>
        <v>Aratu</v>
      </c>
      <c r="D142" s="3" t="str">
        <f ca="1">IFERROR(__xludf.UNSUPPORTED("""COMPUTED_VALUE"""),"🚢 REGULAR")</f>
        <v>🚢 REGULAR</v>
      </c>
      <c r="E142" s="3" t="str">
        <f ca="1">IFERROR(__xludf.UNSUPPORTED("""COMPUTED_VALUE"""),"🚛 LIBERADO")</f>
        <v>🚛 LIBERADO</v>
      </c>
      <c r="F142" s="5">
        <f ca="1">IFERROR(__xludf.UNSUPPORTED("""COMPUTED_VALUE"""),0)</f>
        <v>0</v>
      </c>
      <c r="G142" s="3" t="str">
        <f ca="1">IFERROR(__xludf.UNSUPPORTED("""COMPUTED_VALUE"""),"Normalidade")</f>
        <v>Normalidade</v>
      </c>
      <c r="H142" s="4">
        <f ca="1">IFERROR(__xludf.UNSUPPORTED("""COMPUTED_VALUE"""),44955.3960416666)</f>
        <v>44955.396041666601</v>
      </c>
      <c r="I142" s="3">
        <f ca="1">IFERROR(__xludf.UNSUPPORTED("""COMPUTED_VALUE"""),24)</f>
        <v>24</v>
      </c>
      <c r="J142" s="4">
        <f ca="1">IFERROR(__xludf.UNSUPPORTED("""COMPUTED_VALUE"""),44956.3960416666)</f>
        <v>44956.396041666601</v>
      </c>
      <c r="L142" s="3" t="str">
        <f ca="1">IFERROR(__xludf.UNSUPPORTED("""COMPUTED_VALUE"""),"Normalidade")</f>
        <v>Normalidade</v>
      </c>
    </row>
    <row r="143" spans="1:12" ht="12.75">
      <c r="A143" s="3" t="str">
        <f ca="1">IFERROR(__xludf.UNSUPPORTED("""COMPUTED_VALUE"""),"35854d90")</f>
        <v>35854d90</v>
      </c>
      <c r="B143" s="4">
        <f ca="1">IFERROR(__xludf.UNSUPPORTED("""COMPUTED_VALUE"""),44956.3438310185)</f>
        <v>44956.343831018501</v>
      </c>
      <c r="C143" s="7" t="str">
        <f ca="1">IFERROR(__xludf.UNSUPPORTED("""COMPUTED_VALUE"""),"Aratu")</f>
        <v>Aratu</v>
      </c>
      <c r="D143" s="3" t="str">
        <f ca="1">IFERROR(__xludf.UNSUPPORTED("""COMPUTED_VALUE"""),"🚢 REGULAR")</f>
        <v>🚢 REGULAR</v>
      </c>
      <c r="E143" s="3" t="str">
        <f ca="1">IFERROR(__xludf.UNSUPPORTED("""COMPUTED_VALUE"""),"🚛 LIBERADO")</f>
        <v>🚛 LIBERADO</v>
      </c>
      <c r="F143" s="5">
        <f ca="1">IFERROR(__xludf.UNSUPPORTED("""COMPUTED_VALUE"""),0)</f>
        <v>0</v>
      </c>
      <c r="G143" s="3" t="str">
        <f ca="1">IFERROR(__xludf.UNSUPPORTED("""COMPUTED_VALUE"""),"Normalidade")</f>
        <v>Normalidade</v>
      </c>
      <c r="H143" s="4">
        <f ca="1">IFERROR(__xludf.UNSUPPORTED("""COMPUTED_VALUE"""),44956.3438310185)</f>
        <v>44956.343831018501</v>
      </c>
      <c r="I143" s="3">
        <f ca="1">IFERROR(__xludf.UNSUPPORTED("""COMPUTED_VALUE"""),24)</f>
        <v>24</v>
      </c>
      <c r="J143" s="4">
        <f ca="1">IFERROR(__xludf.UNSUPPORTED("""COMPUTED_VALUE"""),44957.3438310185)</f>
        <v>44957.343831018501</v>
      </c>
      <c r="L143" s="3" t="str">
        <f ca="1">IFERROR(__xludf.UNSUPPORTED("""COMPUTED_VALUE"""),"Normalidade")</f>
        <v>Normalidade</v>
      </c>
    </row>
    <row r="144" spans="1:12" ht="12.75">
      <c r="A144" s="3" t="str">
        <f ca="1">IFERROR(__xludf.UNSUPPORTED("""COMPUTED_VALUE"""),"e7a814d4")</f>
        <v>e7a814d4</v>
      </c>
      <c r="B144" s="4">
        <f ca="1">IFERROR(__xludf.UNSUPPORTED("""COMPUTED_VALUE"""),44958.2903935185)</f>
        <v>44958.290393518502</v>
      </c>
      <c r="C144" s="7" t="str">
        <f ca="1">IFERROR(__xludf.UNSUPPORTED("""COMPUTED_VALUE"""),"Aratu")</f>
        <v>Aratu</v>
      </c>
      <c r="D144" s="3" t="str">
        <f ca="1">IFERROR(__xludf.UNSUPPORTED("""COMPUTED_VALUE"""),"🚢 REGULAR")</f>
        <v>🚢 REGULAR</v>
      </c>
      <c r="E144" s="3" t="str">
        <f ca="1">IFERROR(__xludf.UNSUPPORTED("""COMPUTED_VALUE"""),"🚛 LIBERADO")</f>
        <v>🚛 LIBERADO</v>
      </c>
      <c r="F144" s="5">
        <f ca="1">IFERROR(__xludf.UNSUPPORTED("""COMPUTED_VALUE"""),0)</f>
        <v>0</v>
      </c>
      <c r="G144" s="3" t="str">
        <f ca="1">IFERROR(__xludf.UNSUPPORTED("""COMPUTED_VALUE"""),"Normalidade")</f>
        <v>Normalidade</v>
      </c>
      <c r="H144" s="4">
        <f ca="1">IFERROR(__xludf.UNSUPPORTED("""COMPUTED_VALUE"""),44958.2903935185)</f>
        <v>44958.290393518502</v>
      </c>
      <c r="I144" s="3">
        <f ca="1">IFERROR(__xludf.UNSUPPORTED("""COMPUTED_VALUE"""),24)</f>
        <v>24</v>
      </c>
      <c r="J144" s="4">
        <f ca="1">IFERROR(__xludf.UNSUPPORTED("""COMPUTED_VALUE"""),44959.2903935185)</f>
        <v>44959.290393518502</v>
      </c>
      <c r="L144" s="3" t="str">
        <f ca="1">IFERROR(__xludf.UNSUPPORTED("""COMPUTED_VALUE"""),"Normalidade")</f>
        <v>Normalidade</v>
      </c>
    </row>
    <row r="145" spans="1:12" ht="12.75">
      <c r="A145" s="3" t="str">
        <f ca="1">IFERROR(__xludf.UNSUPPORTED("""COMPUTED_VALUE"""),"c5dd0d5c")</f>
        <v>c5dd0d5c</v>
      </c>
      <c r="B145" s="4">
        <f ca="1">IFERROR(__xludf.UNSUPPORTED("""COMPUTED_VALUE"""),44960.2598263888)</f>
        <v>44960.259826388799</v>
      </c>
      <c r="C145" s="7" t="str">
        <f ca="1">IFERROR(__xludf.UNSUPPORTED("""COMPUTED_VALUE"""),"Aratu")</f>
        <v>Aratu</v>
      </c>
      <c r="D145" s="3" t="str">
        <f ca="1">IFERROR(__xludf.UNSUPPORTED("""COMPUTED_VALUE"""),"🚢 REGULAR")</f>
        <v>🚢 REGULAR</v>
      </c>
      <c r="E145" s="3" t="str">
        <f ca="1">IFERROR(__xludf.UNSUPPORTED("""COMPUTED_VALUE"""),"🚛 LIBERADO")</f>
        <v>🚛 LIBERADO</v>
      </c>
      <c r="F145" s="5">
        <f ca="1">IFERROR(__xludf.UNSUPPORTED("""COMPUTED_VALUE"""),0)</f>
        <v>0</v>
      </c>
      <c r="G145" s="3" t="str">
        <f ca="1">IFERROR(__xludf.UNSUPPORTED("""COMPUTED_VALUE"""),"Normalidade")</f>
        <v>Normalidade</v>
      </c>
      <c r="H145" s="4">
        <f ca="1">IFERROR(__xludf.UNSUPPORTED("""COMPUTED_VALUE"""),44960.2598263888)</f>
        <v>44960.259826388799</v>
      </c>
      <c r="I145" s="3">
        <f ca="1">IFERROR(__xludf.UNSUPPORTED("""COMPUTED_VALUE"""),24)</f>
        <v>24</v>
      </c>
      <c r="J145" s="4">
        <f ca="1">IFERROR(__xludf.UNSUPPORTED("""COMPUTED_VALUE"""),44961.2598263888)</f>
        <v>44961.259826388799</v>
      </c>
      <c r="L145" s="3" t="str">
        <f ca="1">IFERROR(__xludf.UNSUPPORTED("""COMPUTED_VALUE"""),"Normalidade")</f>
        <v>Normalidade</v>
      </c>
    </row>
    <row r="146" spans="1:12" ht="12.75">
      <c r="A146" s="3" t="str">
        <f ca="1">IFERROR(__xludf.UNSUPPORTED("""COMPUTED_VALUE"""),"9ec53808")</f>
        <v>9ec53808</v>
      </c>
      <c r="B146" s="4">
        <f ca="1">IFERROR(__xludf.UNSUPPORTED("""COMPUTED_VALUE"""),44962.3459259259)</f>
        <v>44962.345925925903</v>
      </c>
      <c r="C146" s="7" t="str">
        <f ca="1">IFERROR(__xludf.UNSUPPORTED("""COMPUTED_VALUE"""),"Aratu")</f>
        <v>Aratu</v>
      </c>
      <c r="D146" s="3" t="str">
        <f ca="1">IFERROR(__xludf.UNSUPPORTED("""COMPUTED_VALUE"""),"🚢 REGULAR")</f>
        <v>🚢 REGULAR</v>
      </c>
      <c r="E146" s="3" t="str">
        <f ca="1">IFERROR(__xludf.UNSUPPORTED("""COMPUTED_VALUE"""),"🚛 LIBERADO")</f>
        <v>🚛 LIBERADO</v>
      </c>
      <c r="F146" s="5">
        <f ca="1">IFERROR(__xludf.UNSUPPORTED("""COMPUTED_VALUE"""),0)</f>
        <v>0</v>
      </c>
      <c r="G146" s="3" t="str">
        <f ca="1">IFERROR(__xludf.UNSUPPORTED("""COMPUTED_VALUE"""),"Normalidade")</f>
        <v>Normalidade</v>
      </c>
      <c r="H146" s="4">
        <f ca="1">IFERROR(__xludf.UNSUPPORTED("""COMPUTED_VALUE"""),44962.3459259259)</f>
        <v>44962.345925925903</v>
      </c>
      <c r="I146" s="3">
        <f ca="1">IFERROR(__xludf.UNSUPPORTED("""COMPUTED_VALUE"""),24)</f>
        <v>24</v>
      </c>
      <c r="J146" s="4">
        <f ca="1">IFERROR(__xludf.UNSUPPORTED("""COMPUTED_VALUE"""),44963.3459259259)</f>
        <v>44963.345925925903</v>
      </c>
      <c r="L146" s="3" t="str">
        <f ca="1">IFERROR(__xludf.UNSUPPORTED("""COMPUTED_VALUE"""),"Normalidade")</f>
        <v>Normalidade</v>
      </c>
    </row>
    <row r="147" spans="1:12" ht="12.75">
      <c r="A147" s="3" t="str">
        <f ca="1">IFERROR(__xludf.UNSUPPORTED("""COMPUTED_VALUE"""),"ffb0b0e2")</f>
        <v>ffb0b0e2</v>
      </c>
      <c r="B147" s="4">
        <f ca="1">IFERROR(__xludf.UNSUPPORTED("""COMPUTED_VALUE"""),44964.229849537)</f>
        <v>44964.229849536998</v>
      </c>
      <c r="C147" s="8" t="str">
        <f ca="1">IFERROR(__xludf.UNSUPPORTED("""COMPUTED_VALUE"""),"Aratu")</f>
        <v>Aratu</v>
      </c>
      <c r="D147" s="3" t="str">
        <f ca="1">IFERROR(__xludf.UNSUPPORTED("""COMPUTED_VALUE"""),"🚢 REGULAR")</f>
        <v>🚢 REGULAR</v>
      </c>
      <c r="E147" s="3" t="str">
        <f ca="1">IFERROR(__xludf.UNSUPPORTED("""COMPUTED_VALUE"""),"🚛 LIBERADO")</f>
        <v>🚛 LIBERADO</v>
      </c>
      <c r="F147" s="5">
        <f ca="1">IFERROR(__xludf.UNSUPPORTED("""COMPUTED_VALUE"""),0)</f>
        <v>0</v>
      </c>
      <c r="G147" s="3" t="str">
        <f ca="1">IFERROR(__xludf.UNSUPPORTED("""COMPUTED_VALUE"""),"Normalidade")</f>
        <v>Normalidade</v>
      </c>
      <c r="H147" s="4">
        <f ca="1">IFERROR(__xludf.UNSUPPORTED("""COMPUTED_VALUE"""),44964.229849537)</f>
        <v>44964.229849536998</v>
      </c>
      <c r="I147" s="3">
        <f ca="1">IFERROR(__xludf.UNSUPPORTED("""COMPUTED_VALUE"""),24)</f>
        <v>24</v>
      </c>
      <c r="J147" s="4">
        <f ca="1">IFERROR(__xludf.UNSUPPORTED("""COMPUTED_VALUE"""),44965.229849537)</f>
        <v>44965.229849536998</v>
      </c>
      <c r="L147" s="3" t="str">
        <f ca="1">IFERROR(__xludf.UNSUPPORTED("""COMPUTED_VALUE"""),"Normalidade")</f>
        <v>Normalidade</v>
      </c>
    </row>
    <row r="148" spans="1:12" ht="12.75">
      <c r="A148" s="3" t="str">
        <f ca="1">IFERROR(__xludf.UNSUPPORTED("""COMPUTED_VALUE"""),"9d009360")</f>
        <v>9d009360</v>
      </c>
      <c r="B148" s="4">
        <f ca="1">IFERROR(__xludf.UNSUPPORTED("""COMPUTED_VALUE"""),44966.2686805555)</f>
        <v>44966.268680555499</v>
      </c>
      <c r="C148" s="8" t="str">
        <f ca="1">IFERROR(__xludf.UNSUPPORTED("""COMPUTED_VALUE"""),"Aratu")</f>
        <v>Aratu</v>
      </c>
      <c r="D148" s="3" t="str">
        <f ca="1">IFERROR(__xludf.UNSUPPORTED("""COMPUTED_VALUE"""),"🚢 REGULAR")</f>
        <v>🚢 REGULAR</v>
      </c>
      <c r="E148" s="3" t="str">
        <f ca="1">IFERROR(__xludf.UNSUPPORTED("""COMPUTED_VALUE"""),"🚛 LIBERADO")</f>
        <v>🚛 LIBERADO</v>
      </c>
      <c r="F148" s="5">
        <f ca="1">IFERROR(__xludf.UNSUPPORTED("""COMPUTED_VALUE"""),0)</f>
        <v>0</v>
      </c>
      <c r="G148" s="3" t="str">
        <f ca="1">IFERROR(__xludf.UNSUPPORTED("""COMPUTED_VALUE"""),"Normalidade")</f>
        <v>Normalidade</v>
      </c>
      <c r="H148" s="4">
        <f ca="1">IFERROR(__xludf.UNSUPPORTED("""COMPUTED_VALUE"""),44966.2686805555)</f>
        <v>44966.268680555499</v>
      </c>
      <c r="I148" s="3">
        <f ca="1">IFERROR(__xludf.UNSUPPORTED("""COMPUTED_VALUE"""),24)</f>
        <v>24</v>
      </c>
      <c r="J148" s="4">
        <f ca="1">IFERROR(__xludf.UNSUPPORTED("""COMPUTED_VALUE"""),44967.2686805555)</f>
        <v>44967.268680555499</v>
      </c>
      <c r="L148" s="3" t="str">
        <f ca="1">IFERROR(__xludf.UNSUPPORTED("""COMPUTED_VALUE"""),"Normalidade")</f>
        <v>Normalidade</v>
      </c>
    </row>
    <row r="149" spans="1:12" ht="12.75">
      <c r="A149" s="3" t="str">
        <f ca="1">IFERROR(__xludf.UNSUPPORTED("""COMPUTED_VALUE"""),"9b55bc69")</f>
        <v>9b55bc69</v>
      </c>
      <c r="B149" s="4">
        <f ca="1">IFERROR(__xludf.UNSUPPORTED("""COMPUTED_VALUE"""),44968.4940162037)</f>
        <v>44968.494016203702</v>
      </c>
      <c r="C149" s="7" t="str">
        <f ca="1">IFERROR(__xludf.UNSUPPORTED("""COMPUTED_VALUE"""),"Aratu")</f>
        <v>Aratu</v>
      </c>
      <c r="D149" s="3" t="str">
        <f ca="1">IFERROR(__xludf.UNSUPPORTED("""COMPUTED_VALUE"""),"🚢 REGULAR")</f>
        <v>🚢 REGULAR</v>
      </c>
      <c r="E149" s="3" t="str">
        <f ca="1">IFERROR(__xludf.UNSUPPORTED("""COMPUTED_VALUE"""),"🚛 LIBERADO")</f>
        <v>🚛 LIBERADO</v>
      </c>
      <c r="F149" s="5">
        <f ca="1">IFERROR(__xludf.UNSUPPORTED("""COMPUTED_VALUE"""),0)</f>
        <v>0</v>
      </c>
      <c r="G149" s="3" t="str">
        <f ca="1">IFERROR(__xludf.UNSUPPORTED("""COMPUTED_VALUE"""),"Normalidade")</f>
        <v>Normalidade</v>
      </c>
      <c r="H149" s="4">
        <f ca="1">IFERROR(__xludf.UNSUPPORTED("""COMPUTED_VALUE"""),44968.4940162037)</f>
        <v>44968.494016203702</v>
      </c>
      <c r="I149" s="3">
        <f ca="1">IFERROR(__xludf.UNSUPPORTED("""COMPUTED_VALUE"""),24)</f>
        <v>24</v>
      </c>
      <c r="J149" s="4">
        <f ca="1">IFERROR(__xludf.UNSUPPORTED("""COMPUTED_VALUE"""),44969.4940162037)</f>
        <v>44969.494016203702</v>
      </c>
      <c r="L149" s="3" t="str">
        <f ca="1">IFERROR(__xludf.UNSUPPORTED("""COMPUTED_VALUE"""),"Normalidade")</f>
        <v>Normalidade</v>
      </c>
    </row>
    <row r="150" spans="1:12" ht="12.75">
      <c r="A150" s="3" t="str">
        <f ca="1">IFERROR(__xludf.UNSUPPORTED("""COMPUTED_VALUE"""),"5c352be2")</f>
        <v>5c352be2</v>
      </c>
      <c r="B150" s="4">
        <f ca="1">IFERROR(__xludf.UNSUPPORTED("""COMPUTED_VALUE"""),44969.3565162037)</f>
        <v>44969.356516203698</v>
      </c>
      <c r="C150" s="7" t="str">
        <f ca="1">IFERROR(__xludf.UNSUPPORTED("""COMPUTED_VALUE"""),"Aratu")</f>
        <v>Aratu</v>
      </c>
      <c r="D150" s="3" t="str">
        <f ca="1">IFERROR(__xludf.UNSUPPORTED("""COMPUTED_VALUE"""),"🚢 REGULAR")</f>
        <v>🚢 REGULAR</v>
      </c>
      <c r="E150" s="3" t="str">
        <f ca="1">IFERROR(__xludf.UNSUPPORTED("""COMPUTED_VALUE"""),"🚛 LIBERADO")</f>
        <v>🚛 LIBERADO</v>
      </c>
      <c r="F150" s="5">
        <f ca="1">IFERROR(__xludf.UNSUPPORTED("""COMPUTED_VALUE"""),0)</f>
        <v>0</v>
      </c>
      <c r="G150" s="3" t="str">
        <f ca="1">IFERROR(__xludf.UNSUPPORTED("""COMPUTED_VALUE"""),"Normalidade")</f>
        <v>Normalidade</v>
      </c>
      <c r="H150" s="4">
        <f ca="1">IFERROR(__xludf.UNSUPPORTED("""COMPUTED_VALUE"""),44969.3565162037)</f>
        <v>44969.356516203698</v>
      </c>
      <c r="I150" s="3">
        <f ca="1">IFERROR(__xludf.UNSUPPORTED("""COMPUTED_VALUE"""),24)</f>
        <v>24</v>
      </c>
      <c r="J150" s="4">
        <f ca="1">IFERROR(__xludf.UNSUPPORTED("""COMPUTED_VALUE"""),44970.3565162037)</f>
        <v>44970.356516203698</v>
      </c>
      <c r="L150" s="3" t="str">
        <f ca="1">IFERROR(__xludf.UNSUPPORTED("""COMPUTED_VALUE"""),"Normalidade")</f>
        <v>Normalidade</v>
      </c>
    </row>
    <row r="151" spans="1:12" ht="12.75">
      <c r="A151" s="3" t="str">
        <f ca="1">IFERROR(__xludf.UNSUPPORTED("""COMPUTED_VALUE"""),"28107277")</f>
        <v>28107277</v>
      </c>
      <c r="B151" s="4">
        <f ca="1">IFERROR(__xludf.UNSUPPORTED("""COMPUTED_VALUE"""),44971.6059953703)</f>
        <v>44971.605995370301</v>
      </c>
      <c r="C151" s="7" t="str">
        <f ca="1">IFERROR(__xludf.UNSUPPORTED("""COMPUTED_VALUE"""),"Aratu")</f>
        <v>Aratu</v>
      </c>
      <c r="D151" s="3" t="str">
        <f ca="1">IFERROR(__xludf.UNSUPPORTED("""COMPUTED_VALUE"""),"🚢 REGULAR")</f>
        <v>🚢 REGULAR</v>
      </c>
      <c r="E151" s="3" t="str">
        <f ca="1">IFERROR(__xludf.UNSUPPORTED("""COMPUTED_VALUE"""),"🚛 LIBERADO")</f>
        <v>🚛 LIBERADO</v>
      </c>
      <c r="F151" s="5">
        <f ca="1">IFERROR(__xludf.UNSUPPORTED("""COMPUTED_VALUE"""),0)</f>
        <v>0</v>
      </c>
      <c r="G151" s="3" t="str">
        <f ca="1">IFERROR(__xludf.UNSUPPORTED("""COMPUTED_VALUE"""),"Normalidade")</f>
        <v>Normalidade</v>
      </c>
      <c r="H151" s="4">
        <f ca="1">IFERROR(__xludf.UNSUPPORTED("""COMPUTED_VALUE"""),44971.6059953703)</f>
        <v>44971.605995370301</v>
      </c>
      <c r="I151" s="3">
        <f ca="1">IFERROR(__xludf.UNSUPPORTED("""COMPUTED_VALUE"""),24)</f>
        <v>24</v>
      </c>
      <c r="J151" s="4">
        <f ca="1">IFERROR(__xludf.UNSUPPORTED("""COMPUTED_VALUE"""),44972.6059953703)</f>
        <v>44972.605995370301</v>
      </c>
      <c r="L151" s="3" t="str">
        <f ca="1">IFERROR(__xludf.UNSUPPORTED("""COMPUTED_VALUE"""),"Normalidade")</f>
        <v>Normalidade</v>
      </c>
    </row>
    <row r="152" spans="1:12" ht="12.75">
      <c r="A152" s="3" t="str">
        <f ca="1">IFERROR(__xludf.UNSUPPORTED("""COMPUTED_VALUE"""),"aa851fbc")</f>
        <v>aa851fbc</v>
      </c>
      <c r="B152" s="4">
        <f ca="1">IFERROR(__xludf.UNSUPPORTED("""COMPUTED_VALUE"""),44972.468912037)</f>
        <v>44972.468912037002</v>
      </c>
      <c r="C152" s="7" t="str">
        <f ca="1">IFERROR(__xludf.UNSUPPORTED("""COMPUTED_VALUE"""),"Aratu")</f>
        <v>Aratu</v>
      </c>
      <c r="D152" s="3" t="str">
        <f ca="1">IFERROR(__xludf.UNSUPPORTED("""COMPUTED_VALUE"""),"🚢 REGULAR")</f>
        <v>🚢 REGULAR</v>
      </c>
      <c r="E152" s="3" t="str">
        <f ca="1">IFERROR(__xludf.UNSUPPORTED("""COMPUTED_VALUE"""),"🚛 LIBERADO")</f>
        <v>🚛 LIBERADO</v>
      </c>
      <c r="F152" s="5">
        <f ca="1">IFERROR(__xludf.UNSUPPORTED("""COMPUTED_VALUE"""),0)</f>
        <v>0</v>
      </c>
      <c r="G152" s="3" t="str">
        <f ca="1">IFERROR(__xludf.UNSUPPORTED("""COMPUTED_VALUE"""),"Normalidade")</f>
        <v>Normalidade</v>
      </c>
      <c r="H152" s="4">
        <f ca="1">IFERROR(__xludf.UNSUPPORTED("""COMPUTED_VALUE"""),44972.468912037)</f>
        <v>44972.468912037002</v>
      </c>
      <c r="I152" s="3">
        <f ca="1">IFERROR(__xludf.UNSUPPORTED("""COMPUTED_VALUE"""),24)</f>
        <v>24</v>
      </c>
      <c r="J152" s="4">
        <f ca="1">IFERROR(__xludf.UNSUPPORTED("""COMPUTED_VALUE"""),44973.468912037)</f>
        <v>44973.468912037002</v>
      </c>
      <c r="L152" s="3" t="str">
        <f ca="1">IFERROR(__xludf.UNSUPPORTED("""COMPUTED_VALUE"""),"Normalidade")</f>
        <v>Normalidade</v>
      </c>
    </row>
    <row r="153" spans="1:12" ht="12.75">
      <c r="A153" s="3" t="str">
        <f ca="1">IFERROR(__xludf.UNSUPPORTED("""COMPUTED_VALUE"""),"72d9bb9a")</f>
        <v>72d9bb9a</v>
      </c>
      <c r="B153" s="4">
        <f ca="1">IFERROR(__xludf.UNSUPPORTED("""COMPUTED_VALUE"""),44973.4357986111)</f>
        <v>44973.435798611099</v>
      </c>
      <c r="C153" s="7" t="str">
        <f ca="1">IFERROR(__xludf.UNSUPPORTED("""COMPUTED_VALUE"""),"Aratu")</f>
        <v>Aratu</v>
      </c>
      <c r="D153" s="3" t="str">
        <f ca="1">IFERROR(__xludf.UNSUPPORTED("""COMPUTED_VALUE"""),"🚢 REGULAR")</f>
        <v>🚢 REGULAR</v>
      </c>
      <c r="E153" s="3" t="str">
        <f ca="1">IFERROR(__xludf.UNSUPPORTED("""COMPUTED_VALUE"""),"🚛 LIBERADO")</f>
        <v>🚛 LIBERADO</v>
      </c>
      <c r="F153" s="5">
        <f ca="1">IFERROR(__xludf.UNSUPPORTED("""COMPUTED_VALUE"""),0)</f>
        <v>0</v>
      </c>
      <c r="G153" s="3" t="str">
        <f ca="1">IFERROR(__xludf.UNSUPPORTED("""COMPUTED_VALUE"""),"Normalidade")</f>
        <v>Normalidade</v>
      </c>
      <c r="H153" s="4">
        <f ca="1">IFERROR(__xludf.UNSUPPORTED("""COMPUTED_VALUE"""),44973.4357986111)</f>
        <v>44973.435798611099</v>
      </c>
      <c r="I153" s="3">
        <f ca="1">IFERROR(__xludf.UNSUPPORTED("""COMPUTED_VALUE"""),24)</f>
        <v>24</v>
      </c>
      <c r="J153" s="4">
        <f ca="1">IFERROR(__xludf.UNSUPPORTED("""COMPUTED_VALUE"""),44974.4357986111)</f>
        <v>44974.435798611099</v>
      </c>
      <c r="L153" s="3" t="str">
        <f ca="1">IFERROR(__xludf.UNSUPPORTED("""COMPUTED_VALUE"""),"Normalidade")</f>
        <v>Normalidade</v>
      </c>
    </row>
    <row r="154" spans="1:12" ht="12.75">
      <c r="A154" s="3" t="str">
        <f ca="1">IFERROR(__xludf.UNSUPPORTED("""COMPUTED_VALUE"""),"c53ce6e0")</f>
        <v>c53ce6e0</v>
      </c>
      <c r="B154" s="4">
        <f ca="1">IFERROR(__xludf.UNSUPPORTED("""COMPUTED_VALUE"""),44975.571261574)</f>
        <v>44975.571261573998</v>
      </c>
      <c r="C154" s="7" t="str">
        <f ca="1">IFERROR(__xludf.UNSUPPORTED("""COMPUTED_VALUE"""),"Aratu")</f>
        <v>Aratu</v>
      </c>
      <c r="D154" s="3" t="str">
        <f ca="1">IFERROR(__xludf.UNSUPPORTED("""COMPUTED_VALUE"""),"🚢 REGULAR")</f>
        <v>🚢 REGULAR</v>
      </c>
      <c r="E154" s="3" t="str">
        <f ca="1">IFERROR(__xludf.UNSUPPORTED("""COMPUTED_VALUE"""),"🚛 LIBERADO")</f>
        <v>🚛 LIBERADO</v>
      </c>
      <c r="F154" s="5">
        <f ca="1">IFERROR(__xludf.UNSUPPORTED("""COMPUTED_VALUE"""),0)</f>
        <v>0</v>
      </c>
      <c r="G154" s="3" t="str">
        <f ca="1">IFERROR(__xludf.UNSUPPORTED("""COMPUTED_VALUE"""),"Normalidade")</f>
        <v>Normalidade</v>
      </c>
      <c r="H154" s="4">
        <f ca="1">IFERROR(__xludf.UNSUPPORTED("""COMPUTED_VALUE"""),44975.571261574)</f>
        <v>44975.571261573998</v>
      </c>
      <c r="I154" s="3">
        <f ca="1">IFERROR(__xludf.UNSUPPORTED("""COMPUTED_VALUE"""),24)</f>
        <v>24</v>
      </c>
      <c r="J154" s="4">
        <f ca="1">IFERROR(__xludf.UNSUPPORTED("""COMPUTED_VALUE"""),44976.571261574)</f>
        <v>44976.571261573998</v>
      </c>
      <c r="L154" s="3" t="str">
        <f ca="1">IFERROR(__xludf.UNSUPPORTED("""COMPUTED_VALUE"""),"Normalidade")</f>
        <v>Normalidade</v>
      </c>
    </row>
    <row r="155" spans="1:12" ht="12.75">
      <c r="A155" s="3" t="str">
        <f ca="1">IFERROR(__xludf.UNSUPPORTED("""COMPUTED_VALUE"""),"f1732709")</f>
        <v>f1732709</v>
      </c>
      <c r="B155" s="4">
        <f ca="1">IFERROR(__xludf.UNSUPPORTED("""COMPUTED_VALUE"""),44977.7184375)</f>
        <v>44977.7184375</v>
      </c>
      <c r="C155" s="8" t="str">
        <f ca="1">IFERROR(__xludf.UNSUPPORTED("""COMPUTED_VALUE"""),"Aratu")</f>
        <v>Aratu</v>
      </c>
      <c r="D155" s="3" t="str">
        <f ca="1">IFERROR(__xludf.UNSUPPORTED("""COMPUTED_VALUE"""),"🚢 REGULAR")</f>
        <v>🚢 REGULAR</v>
      </c>
      <c r="E155" s="3" t="str">
        <f ca="1">IFERROR(__xludf.UNSUPPORTED("""COMPUTED_VALUE"""),"🚛 LIBERADO")</f>
        <v>🚛 LIBERADO</v>
      </c>
      <c r="F155" s="5">
        <f ca="1">IFERROR(__xludf.UNSUPPORTED("""COMPUTED_VALUE"""),0)</f>
        <v>0</v>
      </c>
      <c r="G155" s="3" t="str">
        <f ca="1">IFERROR(__xludf.UNSUPPORTED("""COMPUTED_VALUE"""),"Normalidade")</f>
        <v>Normalidade</v>
      </c>
      <c r="H155" s="4">
        <f ca="1">IFERROR(__xludf.UNSUPPORTED("""COMPUTED_VALUE"""),44977.718449074)</f>
        <v>44977.718449073996</v>
      </c>
      <c r="I155" s="3">
        <f ca="1">IFERROR(__xludf.UNSUPPORTED("""COMPUTED_VALUE"""),24)</f>
        <v>24</v>
      </c>
      <c r="J155" s="4">
        <f ca="1">IFERROR(__xludf.UNSUPPORTED("""COMPUTED_VALUE"""),44978.718449074)</f>
        <v>44978.718449073996</v>
      </c>
      <c r="L155" s="3" t="str">
        <f ca="1">IFERROR(__xludf.UNSUPPORTED("""COMPUTED_VALUE"""),"Normalidade")</f>
        <v>Normalidade</v>
      </c>
    </row>
    <row r="156" spans="1:12" ht="12.75">
      <c r="A156" s="3" t="str">
        <f ca="1">IFERROR(__xludf.UNSUPPORTED("""COMPUTED_VALUE"""),"18a993bc")</f>
        <v>18a993bc</v>
      </c>
      <c r="B156" s="4">
        <f ca="1">IFERROR(__xludf.UNSUPPORTED("""COMPUTED_VALUE"""),44979.4525925925)</f>
        <v>44979.452592592497</v>
      </c>
      <c r="C156" s="8" t="str">
        <f ca="1">IFERROR(__xludf.UNSUPPORTED("""COMPUTED_VALUE"""),"Aratu")</f>
        <v>Aratu</v>
      </c>
      <c r="D156" s="3" t="str">
        <f ca="1">IFERROR(__xludf.UNSUPPORTED("""COMPUTED_VALUE"""),"🚢 REGULAR")</f>
        <v>🚢 REGULAR</v>
      </c>
      <c r="E156" s="3" t="str">
        <f ca="1">IFERROR(__xludf.UNSUPPORTED("""COMPUTED_VALUE"""),"🚛 LIBERADO")</f>
        <v>🚛 LIBERADO</v>
      </c>
      <c r="F156" s="5">
        <f ca="1">IFERROR(__xludf.UNSUPPORTED("""COMPUTED_VALUE"""),0)</f>
        <v>0</v>
      </c>
      <c r="G156" s="3" t="str">
        <f ca="1">IFERROR(__xludf.UNSUPPORTED("""COMPUTED_VALUE"""),"Normalidade")</f>
        <v>Normalidade</v>
      </c>
      <c r="H156" s="4">
        <f ca="1">IFERROR(__xludf.UNSUPPORTED("""COMPUTED_VALUE"""),44979.4525925925)</f>
        <v>44979.452592592497</v>
      </c>
      <c r="I156" s="3">
        <f ca="1">IFERROR(__xludf.UNSUPPORTED("""COMPUTED_VALUE"""),24)</f>
        <v>24</v>
      </c>
      <c r="J156" s="4">
        <f ca="1">IFERROR(__xludf.UNSUPPORTED("""COMPUTED_VALUE"""),44980.4525925925)</f>
        <v>44980.452592592497</v>
      </c>
      <c r="L156" s="3" t="str">
        <f ca="1">IFERROR(__xludf.UNSUPPORTED("""COMPUTED_VALUE"""),"Normalidade")</f>
        <v>Normalidade</v>
      </c>
    </row>
    <row r="157" spans="1:12" ht="12.75">
      <c r="A157" s="3" t="str">
        <f ca="1">IFERROR(__xludf.UNSUPPORTED("""COMPUTED_VALUE"""),"59bf4649")</f>
        <v>59bf4649</v>
      </c>
      <c r="B157" s="4">
        <f ca="1">IFERROR(__xludf.UNSUPPORTED("""COMPUTED_VALUE"""),44980.5483217592)</f>
        <v>44980.548321759197</v>
      </c>
      <c r="C157" s="8" t="str">
        <f ca="1">IFERROR(__xludf.UNSUPPORTED("""COMPUTED_VALUE"""),"Aratu")</f>
        <v>Aratu</v>
      </c>
      <c r="D157" s="3" t="str">
        <f ca="1">IFERROR(__xludf.UNSUPPORTED("""COMPUTED_VALUE"""),"🚢 REGULAR")</f>
        <v>🚢 REGULAR</v>
      </c>
      <c r="E157" s="3" t="str">
        <f ca="1">IFERROR(__xludf.UNSUPPORTED("""COMPUTED_VALUE"""),"🚛 LIBERADO")</f>
        <v>🚛 LIBERADO</v>
      </c>
      <c r="F157" s="5">
        <f ca="1">IFERROR(__xludf.UNSUPPORTED("""COMPUTED_VALUE"""),0)</f>
        <v>0</v>
      </c>
      <c r="G157" s="3" t="str">
        <f ca="1">IFERROR(__xludf.UNSUPPORTED("""COMPUTED_VALUE"""),"Normalidade")</f>
        <v>Normalidade</v>
      </c>
      <c r="H157" s="4">
        <f ca="1">IFERROR(__xludf.UNSUPPORTED("""COMPUTED_VALUE"""),44980.5483217592)</f>
        <v>44980.548321759197</v>
      </c>
      <c r="I157" s="3">
        <f ca="1">IFERROR(__xludf.UNSUPPORTED("""COMPUTED_VALUE"""),24)</f>
        <v>24</v>
      </c>
      <c r="J157" s="4">
        <f ca="1">IFERROR(__xludf.UNSUPPORTED("""COMPUTED_VALUE"""),44981.5483217592)</f>
        <v>44981.548321759197</v>
      </c>
      <c r="L157" s="3" t="str">
        <f ca="1">IFERROR(__xludf.UNSUPPORTED("""COMPUTED_VALUE"""),"Normalidade")</f>
        <v>Normalidade</v>
      </c>
    </row>
    <row r="158" spans="1:12" ht="12.75">
      <c r="A158" s="3" t="str">
        <f ca="1">IFERROR(__xludf.UNSUPPORTED("""COMPUTED_VALUE"""),"0a839a3f")</f>
        <v>0a839a3f</v>
      </c>
      <c r="B158" s="4">
        <f ca="1">IFERROR(__xludf.UNSUPPORTED("""COMPUTED_VALUE"""),44981.3129976851)</f>
        <v>44981.312997685098</v>
      </c>
      <c r="C158" s="7" t="str">
        <f ca="1">IFERROR(__xludf.UNSUPPORTED("""COMPUTED_VALUE"""),"Aratu")</f>
        <v>Aratu</v>
      </c>
      <c r="D158" s="3" t="str">
        <f ca="1">IFERROR(__xludf.UNSUPPORTED("""COMPUTED_VALUE"""),"🚢 REGULAR")</f>
        <v>🚢 REGULAR</v>
      </c>
      <c r="E158" s="3" t="str">
        <f ca="1">IFERROR(__xludf.UNSUPPORTED("""COMPUTED_VALUE"""),"🚛 LIBERADO")</f>
        <v>🚛 LIBERADO</v>
      </c>
      <c r="F158" s="5">
        <f ca="1">IFERROR(__xludf.UNSUPPORTED("""COMPUTED_VALUE"""),0)</f>
        <v>0</v>
      </c>
      <c r="G158" s="3" t="str">
        <f ca="1">IFERROR(__xludf.UNSUPPORTED("""COMPUTED_VALUE"""),"Normalidade")</f>
        <v>Normalidade</v>
      </c>
      <c r="H158" s="4">
        <f ca="1">IFERROR(__xludf.UNSUPPORTED("""COMPUTED_VALUE"""),44981.3129976851)</f>
        <v>44981.312997685098</v>
      </c>
      <c r="I158" s="3">
        <f ca="1">IFERROR(__xludf.UNSUPPORTED("""COMPUTED_VALUE"""),24)</f>
        <v>24</v>
      </c>
      <c r="J158" s="4">
        <f ca="1">IFERROR(__xludf.UNSUPPORTED("""COMPUTED_VALUE"""),44982.3129976851)</f>
        <v>44982.312997685098</v>
      </c>
      <c r="L158" s="3" t="str">
        <f ca="1">IFERROR(__xludf.UNSUPPORTED("""COMPUTED_VALUE"""),"Normalidade")</f>
        <v>Normalidade</v>
      </c>
    </row>
    <row r="159" spans="1:12" ht="12.75">
      <c r="A159" s="3" t="str">
        <f ca="1">IFERROR(__xludf.UNSUPPORTED("""COMPUTED_VALUE"""),"ca09b5de")</f>
        <v>ca09b5de</v>
      </c>
      <c r="B159" s="4">
        <f ca="1">IFERROR(__xludf.UNSUPPORTED("""COMPUTED_VALUE"""),44983.5155439814)</f>
        <v>44983.515543981397</v>
      </c>
      <c r="C159" s="8" t="str">
        <f ca="1">IFERROR(__xludf.UNSUPPORTED("""COMPUTED_VALUE"""),"Aratu")</f>
        <v>Aratu</v>
      </c>
      <c r="D159" s="3" t="str">
        <f ca="1">IFERROR(__xludf.UNSUPPORTED("""COMPUTED_VALUE"""),"🚢 REGULAR")</f>
        <v>🚢 REGULAR</v>
      </c>
      <c r="E159" s="3" t="str">
        <f ca="1">IFERROR(__xludf.UNSUPPORTED("""COMPUTED_VALUE"""),"🚛 LIBERADO")</f>
        <v>🚛 LIBERADO</v>
      </c>
      <c r="F159" s="5">
        <f ca="1">IFERROR(__xludf.UNSUPPORTED("""COMPUTED_VALUE"""),0)</f>
        <v>0</v>
      </c>
      <c r="G159" s="3" t="str">
        <f ca="1">IFERROR(__xludf.UNSUPPORTED("""COMPUTED_VALUE"""),"Normalidade")</f>
        <v>Normalidade</v>
      </c>
      <c r="H159" s="4">
        <f ca="1">IFERROR(__xludf.UNSUPPORTED("""COMPUTED_VALUE"""),44983.5155439814)</f>
        <v>44983.515543981397</v>
      </c>
      <c r="I159" s="3">
        <f ca="1">IFERROR(__xludf.UNSUPPORTED("""COMPUTED_VALUE"""),24)</f>
        <v>24</v>
      </c>
      <c r="J159" s="4">
        <f ca="1">IFERROR(__xludf.UNSUPPORTED("""COMPUTED_VALUE"""),44984.5155439814)</f>
        <v>44984.515543981397</v>
      </c>
      <c r="L159" s="3" t="str">
        <f ca="1">IFERROR(__xludf.UNSUPPORTED("""COMPUTED_VALUE"""),"Normalidade")</f>
        <v>Normalidade</v>
      </c>
    </row>
    <row r="160" spans="1:12" ht="12.75">
      <c r="A160" s="3" t="str">
        <f ca="1">IFERROR(__xludf.UNSUPPORTED("""COMPUTED_VALUE"""),"b833d5b3")</f>
        <v>b833d5b3</v>
      </c>
      <c r="B160" s="4">
        <f ca="1">IFERROR(__xludf.UNSUPPORTED("""COMPUTED_VALUE"""),44984.4148032407)</f>
        <v>44984.414803240703</v>
      </c>
      <c r="C160" s="7" t="str">
        <f ca="1">IFERROR(__xludf.UNSUPPORTED("""COMPUTED_VALUE"""),"Aratu")</f>
        <v>Aratu</v>
      </c>
      <c r="D160" s="3" t="str">
        <f ca="1">IFERROR(__xludf.UNSUPPORTED("""COMPUTED_VALUE"""),"🚢 REGULAR")</f>
        <v>🚢 REGULAR</v>
      </c>
      <c r="E160" s="3" t="str">
        <f ca="1">IFERROR(__xludf.UNSUPPORTED("""COMPUTED_VALUE"""),"🚛 LIBERADO")</f>
        <v>🚛 LIBERADO</v>
      </c>
      <c r="F160" s="5">
        <f ca="1">IFERROR(__xludf.UNSUPPORTED("""COMPUTED_VALUE"""),0)</f>
        <v>0</v>
      </c>
      <c r="G160" s="3" t="str">
        <f ca="1">IFERROR(__xludf.UNSUPPORTED("""COMPUTED_VALUE"""),"Normalidade")</f>
        <v>Normalidade</v>
      </c>
      <c r="H160" s="4">
        <f ca="1">IFERROR(__xludf.UNSUPPORTED("""COMPUTED_VALUE"""),44984.4148032407)</f>
        <v>44984.414803240703</v>
      </c>
      <c r="I160" s="3">
        <f ca="1">IFERROR(__xludf.UNSUPPORTED("""COMPUTED_VALUE"""),24)</f>
        <v>24</v>
      </c>
      <c r="J160" s="4">
        <f ca="1">IFERROR(__xludf.UNSUPPORTED("""COMPUTED_VALUE"""),44985.4148032407)</f>
        <v>44985.414803240703</v>
      </c>
      <c r="L160" s="3" t="str">
        <f ca="1">IFERROR(__xludf.UNSUPPORTED("""COMPUTED_VALUE"""),"Normalidade")</f>
        <v>Normalidade</v>
      </c>
    </row>
    <row r="161" spans="1:12" ht="12.75">
      <c r="A161" s="3" t="str">
        <f ca="1">IFERROR(__xludf.UNSUPPORTED("""COMPUTED_VALUE"""),"6378a686")</f>
        <v>6378a686</v>
      </c>
      <c r="B161" s="4">
        <f ca="1">IFERROR(__xludf.UNSUPPORTED("""COMPUTED_VALUE"""),44985.385474537)</f>
        <v>44985.385474536997</v>
      </c>
      <c r="C161" s="7" t="str">
        <f ca="1">IFERROR(__xludf.UNSUPPORTED("""COMPUTED_VALUE"""),"Aratu")</f>
        <v>Aratu</v>
      </c>
      <c r="D161" s="3" t="str">
        <f ca="1">IFERROR(__xludf.UNSUPPORTED("""COMPUTED_VALUE"""),"🚢 REGULAR")</f>
        <v>🚢 REGULAR</v>
      </c>
      <c r="E161" s="3" t="str">
        <f ca="1">IFERROR(__xludf.UNSUPPORTED("""COMPUTED_VALUE"""),"🚛 LIBERADO")</f>
        <v>🚛 LIBERADO</v>
      </c>
      <c r="F161" s="5">
        <f ca="1">IFERROR(__xludf.UNSUPPORTED("""COMPUTED_VALUE"""),0)</f>
        <v>0</v>
      </c>
      <c r="G161" s="3" t="str">
        <f ca="1">IFERROR(__xludf.UNSUPPORTED("""COMPUTED_VALUE"""),"Normalidade")</f>
        <v>Normalidade</v>
      </c>
      <c r="H161" s="4">
        <f ca="1">IFERROR(__xludf.UNSUPPORTED("""COMPUTED_VALUE"""),44985.385474537)</f>
        <v>44985.385474536997</v>
      </c>
      <c r="I161" s="3">
        <f ca="1">IFERROR(__xludf.UNSUPPORTED("""COMPUTED_VALUE"""),24)</f>
        <v>24</v>
      </c>
      <c r="J161" s="4">
        <f ca="1">IFERROR(__xludf.UNSUPPORTED("""COMPUTED_VALUE"""),44986.385474537)</f>
        <v>44986.385474536997</v>
      </c>
      <c r="L161" s="3" t="str">
        <f ca="1">IFERROR(__xludf.UNSUPPORTED("""COMPUTED_VALUE"""),"Normalidade")</f>
        <v>Normalidade</v>
      </c>
    </row>
    <row r="162" spans="1:12" ht="12.75">
      <c r="A162" s="3" t="str">
        <f ca="1">IFERROR(__xludf.UNSUPPORTED("""COMPUTED_VALUE"""),"0dbb7558")</f>
        <v>0dbb7558</v>
      </c>
      <c r="B162" s="4">
        <f ca="1">IFERROR(__xludf.UNSUPPORTED("""COMPUTED_VALUE"""),44987.2799074074)</f>
        <v>44987.279907407399</v>
      </c>
      <c r="C162" s="8" t="str">
        <f ca="1">IFERROR(__xludf.UNSUPPORTED("""COMPUTED_VALUE"""),"Aratu")</f>
        <v>Aratu</v>
      </c>
      <c r="D162" s="3" t="str">
        <f ca="1">IFERROR(__xludf.UNSUPPORTED("""COMPUTED_VALUE"""),"🚢 REGULAR")</f>
        <v>🚢 REGULAR</v>
      </c>
      <c r="E162" s="3" t="str">
        <f ca="1">IFERROR(__xludf.UNSUPPORTED("""COMPUTED_VALUE"""),"🚛 LIBERADO")</f>
        <v>🚛 LIBERADO</v>
      </c>
      <c r="F162" s="5">
        <f ca="1">IFERROR(__xludf.UNSUPPORTED("""COMPUTED_VALUE"""),0)</f>
        <v>0</v>
      </c>
      <c r="G162" s="3" t="str">
        <f ca="1">IFERROR(__xludf.UNSUPPORTED("""COMPUTED_VALUE"""),"Normalidade")</f>
        <v>Normalidade</v>
      </c>
      <c r="H162" s="4">
        <f ca="1">IFERROR(__xludf.UNSUPPORTED("""COMPUTED_VALUE"""),44987.2799074074)</f>
        <v>44987.279907407399</v>
      </c>
      <c r="I162" s="3">
        <f ca="1">IFERROR(__xludf.UNSUPPORTED("""COMPUTED_VALUE"""),24)</f>
        <v>24</v>
      </c>
      <c r="J162" s="4">
        <f ca="1">IFERROR(__xludf.UNSUPPORTED("""COMPUTED_VALUE"""),44988.2799074074)</f>
        <v>44988.279907407399</v>
      </c>
      <c r="L162" s="3" t="str">
        <f ca="1">IFERROR(__xludf.UNSUPPORTED("""COMPUTED_VALUE"""),"Normalidade")</f>
        <v>Normalidade</v>
      </c>
    </row>
    <row r="163" spans="1:12" ht="12.75">
      <c r="A163" s="3" t="str">
        <f ca="1">IFERROR(__xludf.UNSUPPORTED("""COMPUTED_VALUE"""),"3d10ef34")</f>
        <v>3d10ef34</v>
      </c>
      <c r="B163" s="4">
        <f ca="1">IFERROR(__xludf.UNSUPPORTED("""COMPUTED_VALUE"""),44988.4021296296)</f>
        <v>44988.402129629598</v>
      </c>
      <c r="C163" s="8" t="str">
        <f ca="1">IFERROR(__xludf.UNSUPPORTED("""COMPUTED_VALUE"""),"Aratu")</f>
        <v>Aratu</v>
      </c>
      <c r="D163" s="3" t="str">
        <f ca="1">IFERROR(__xludf.UNSUPPORTED("""COMPUTED_VALUE"""),"🚢 REGULAR")</f>
        <v>🚢 REGULAR</v>
      </c>
      <c r="E163" s="3" t="str">
        <f ca="1">IFERROR(__xludf.UNSUPPORTED("""COMPUTED_VALUE"""),"🚛 LIBERADO")</f>
        <v>🚛 LIBERADO</v>
      </c>
      <c r="F163" s="5">
        <f ca="1">IFERROR(__xludf.UNSUPPORTED("""COMPUTED_VALUE"""),0)</f>
        <v>0</v>
      </c>
      <c r="G163" s="3" t="str">
        <f ca="1">IFERROR(__xludf.UNSUPPORTED("""COMPUTED_VALUE"""),"Normalidade")</f>
        <v>Normalidade</v>
      </c>
      <c r="H163" s="4">
        <f ca="1">IFERROR(__xludf.UNSUPPORTED("""COMPUTED_VALUE"""),44988.4021412037)</f>
        <v>44988.402141203696</v>
      </c>
      <c r="I163" s="3">
        <f ca="1">IFERROR(__xludf.UNSUPPORTED("""COMPUTED_VALUE"""),24)</f>
        <v>24</v>
      </c>
      <c r="J163" s="4">
        <f ca="1">IFERROR(__xludf.UNSUPPORTED("""COMPUTED_VALUE"""),44989.4021412037)</f>
        <v>44989.402141203696</v>
      </c>
      <c r="L163" s="3" t="str">
        <f ca="1">IFERROR(__xludf.UNSUPPORTED("""COMPUTED_VALUE"""),"Normalidade")</f>
        <v>Normalidade</v>
      </c>
    </row>
    <row r="164" spans="1:12" ht="12.75">
      <c r="A164" s="3" t="str">
        <f ca="1">IFERROR(__xludf.UNSUPPORTED("""COMPUTED_VALUE"""),"2beb65f2")</f>
        <v>2beb65f2</v>
      </c>
      <c r="B164" s="4">
        <f ca="1">IFERROR(__xludf.UNSUPPORTED("""COMPUTED_VALUE"""),44991.5719212963)</f>
        <v>44991.571921296301</v>
      </c>
      <c r="C164" s="7" t="str">
        <f ca="1">IFERROR(__xludf.UNSUPPORTED("""COMPUTED_VALUE"""),"Aratu")</f>
        <v>Aratu</v>
      </c>
      <c r="D164" s="3" t="str">
        <f ca="1">IFERROR(__xludf.UNSUPPORTED("""COMPUTED_VALUE"""),"🚢 REGULAR")</f>
        <v>🚢 REGULAR</v>
      </c>
      <c r="E164" s="3" t="str">
        <f ca="1">IFERROR(__xludf.UNSUPPORTED("""COMPUTED_VALUE"""),"🚛 LIBERADO")</f>
        <v>🚛 LIBERADO</v>
      </c>
      <c r="F164" s="5">
        <f ca="1">IFERROR(__xludf.UNSUPPORTED("""COMPUTED_VALUE"""),0)</f>
        <v>0</v>
      </c>
      <c r="G164" s="3" t="str">
        <f ca="1">IFERROR(__xludf.UNSUPPORTED("""COMPUTED_VALUE"""),"Normalidade")</f>
        <v>Normalidade</v>
      </c>
      <c r="H164" s="4">
        <f ca="1">IFERROR(__xludf.UNSUPPORTED("""COMPUTED_VALUE"""),44991.5719212963)</f>
        <v>44991.571921296301</v>
      </c>
      <c r="I164" s="3">
        <f ca="1">IFERROR(__xludf.UNSUPPORTED("""COMPUTED_VALUE"""),24)</f>
        <v>24</v>
      </c>
      <c r="J164" s="4">
        <f ca="1">IFERROR(__xludf.UNSUPPORTED("""COMPUTED_VALUE"""),44992.5719212963)</f>
        <v>44992.571921296301</v>
      </c>
      <c r="L164" s="3" t="str">
        <f ca="1">IFERROR(__xludf.UNSUPPORTED("""COMPUTED_VALUE"""),"Normalidade")</f>
        <v>Normalidade</v>
      </c>
    </row>
    <row r="165" spans="1:12" ht="12.75">
      <c r="A165" s="3" t="str">
        <f ca="1">IFERROR(__xludf.UNSUPPORTED("""COMPUTED_VALUE"""),"9fab5aee")</f>
        <v>9fab5aee</v>
      </c>
      <c r="B165" s="4">
        <f ca="1">IFERROR(__xludf.UNSUPPORTED("""COMPUTED_VALUE"""),44992.3160069444)</f>
        <v>44992.316006944398</v>
      </c>
      <c r="C165" s="7" t="str">
        <f ca="1">IFERROR(__xludf.UNSUPPORTED("""COMPUTED_VALUE"""),"Aratu")</f>
        <v>Aratu</v>
      </c>
      <c r="D165" s="3" t="str">
        <f ca="1">IFERROR(__xludf.UNSUPPORTED("""COMPUTED_VALUE"""),"🚢 REGULAR")</f>
        <v>🚢 REGULAR</v>
      </c>
      <c r="E165" s="3" t="str">
        <f ca="1">IFERROR(__xludf.UNSUPPORTED("""COMPUTED_VALUE"""),"🚛 LIBERADO")</f>
        <v>🚛 LIBERADO</v>
      </c>
      <c r="F165" s="5">
        <f ca="1">IFERROR(__xludf.UNSUPPORTED("""COMPUTED_VALUE"""),0)</f>
        <v>0</v>
      </c>
      <c r="G165" s="3" t="str">
        <f ca="1">IFERROR(__xludf.UNSUPPORTED("""COMPUTED_VALUE"""),"Normalidade")</f>
        <v>Normalidade</v>
      </c>
      <c r="H165" s="4">
        <f ca="1">IFERROR(__xludf.UNSUPPORTED("""COMPUTED_VALUE"""),44992.3160069444)</f>
        <v>44992.316006944398</v>
      </c>
      <c r="I165" s="3">
        <f ca="1">IFERROR(__xludf.UNSUPPORTED("""COMPUTED_VALUE"""),24)</f>
        <v>24</v>
      </c>
      <c r="J165" s="4">
        <f ca="1">IFERROR(__xludf.UNSUPPORTED("""COMPUTED_VALUE"""),44993.3160069444)</f>
        <v>44993.316006944398</v>
      </c>
      <c r="L165" s="3" t="str">
        <f ca="1">IFERROR(__xludf.UNSUPPORTED("""COMPUTED_VALUE"""),"Normalidade")</f>
        <v>Normalidade</v>
      </c>
    </row>
    <row r="166" spans="1:12" ht="12.75">
      <c r="A166" s="3" t="str">
        <f ca="1">IFERROR(__xludf.UNSUPPORTED("""COMPUTED_VALUE"""),"b0ba47d4")</f>
        <v>b0ba47d4</v>
      </c>
      <c r="B166" s="4">
        <f ca="1">IFERROR(__xludf.UNSUPPORTED("""COMPUTED_VALUE"""),44994.2928009259)</f>
        <v>44994.292800925898</v>
      </c>
      <c r="C166" s="8" t="str">
        <f ca="1">IFERROR(__xludf.UNSUPPORTED("""COMPUTED_VALUE"""),"Aratu")</f>
        <v>Aratu</v>
      </c>
      <c r="D166" s="3" t="str">
        <f ca="1">IFERROR(__xludf.UNSUPPORTED("""COMPUTED_VALUE"""),"🚢 REGULAR")</f>
        <v>🚢 REGULAR</v>
      </c>
      <c r="E166" s="3" t="str">
        <f ca="1">IFERROR(__xludf.UNSUPPORTED("""COMPUTED_VALUE"""),"🚛 LIBERADO")</f>
        <v>🚛 LIBERADO</v>
      </c>
      <c r="F166" s="5">
        <f ca="1">IFERROR(__xludf.UNSUPPORTED("""COMPUTED_VALUE"""),0)</f>
        <v>0</v>
      </c>
      <c r="G166" s="3" t="str">
        <f ca="1">IFERROR(__xludf.UNSUPPORTED("""COMPUTED_VALUE"""),"Normalidade")</f>
        <v>Normalidade</v>
      </c>
      <c r="H166" s="4">
        <f ca="1">IFERROR(__xludf.UNSUPPORTED("""COMPUTED_VALUE"""),44994.2928009259)</f>
        <v>44994.292800925898</v>
      </c>
      <c r="I166" s="3">
        <f ca="1">IFERROR(__xludf.UNSUPPORTED("""COMPUTED_VALUE"""),24)</f>
        <v>24</v>
      </c>
      <c r="J166" s="4">
        <f ca="1">IFERROR(__xludf.UNSUPPORTED("""COMPUTED_VALUE"""),44995.2928009259)</f>
        <v>44995.292800925898</v>
      </c>
      <c r="L166" s="3" t="str">
        <f ca="1">IFERROR(__xludf.UNSUPPORTED("""COMPUTED_VALUE"""),"Normalidade")</f>
        <v>Normalidade</v>
      </c>
    </row>
    <row r="167" spans="1:12" ht="12.75">
      <c r="A167" s="3" t="str">
        <f ca="1">IFERROR(__xludf.UNSUPPORTED("""COMPUTED_VALUE"""),"c5fc172e")</f>
        <v>c5fc172e</v>
      </c>
      <c r="B167" s="4">
        <f ca="1">IFERROR(__xludf.UNSUPPORTED("""COMPUTED_VALUE"""),44996.4963541666)</f>
        <v>44996.4963541666</v>
      </c>
      <c r="C167" s="8" t="str">
        <f ca="1">IFERROR(__xludf.UNSUPPORTED("""COMPUTED_VALUE"""),"Aratu")</f>
        <v>Aratu</v>
      </c>
      <c r="D167" s="3" t="str">
        <f ca="1">IFERROR(__xludf.UNSUPPORTED("""COMPUTED_VALUE"""),"🚢 REGULAR")</f>
        <v>🚢 REGULAR</v>
      </c>
      <c r="E167" s="3" t="str">
        <f ca="1">IFERROR(__xludf.UNSUPPORTED("""COMPUTED_VALUE"""),"🚛 LIBERADO")</f>
        <v>🚛 LIBERADO</v>
      </c>
      <c r="F167" s="5">
        <f ca="1">IFERROR(__xludf.UNSUPPORTED("""COMPUTED_VALUE"""),0)</f>
        <v>0</v>
      </c>
      <c r="G167" s="3" t="str">
        <f ca="1">IFERROR(__xludf.UNSUPPORTED("""COMPUTED_VALUE"""),"Normalidade")</f>
        <v>Normalidade</v>
      </c>
      <c r="H167" s="4">
        <f ca="1">IFERROR(__xludf.UNSUPPORTED("""COMPUTED_VALUE"""),44996.4963541666)</f>
        <v>44996.4963541666</v>
      </c>
      <c r="I167" s="3">
        <f ca="1">IFERROR(__xludf.UNSUPPORTED("""COMPUTED_VALUE"""),24)</f>
        <v>24</v>
      </c>
      <c r="J167" s="4">
        <f ca="1">IFERROR(__xludf.UNSUPPORTED("""COMPUTED_VALUE"""),44997.4963541666)</f>
        <v>44997.4963541666</v>
      </c>
      <c r="L167" s="3" t="str">
        <f ca="1">IFERROR(__xludf.UNSUPPORTED("""COMPUTED_VALUE"""),"Normalidade")</f>
        <v>Normalidade</v>
      </c>
    </row>
    <row r="168" spans="1:12" ht="12.75">
      <c r="A168" s="3" t="str">
        <f ca="1">IFERROR(__xludf.UNSUPPORTED("""COMPUTED_VALUE"""),"bff65514")</f>
        <v>bff65514</v>
      </c>
      <c r="B168" s="4">
        <f ca="1">IFERROR(__xludf.UNSUPPORTED("""COMPUTED_VALUE"""),44999.3453356481)</f>
        <v>44999.345335648097</v>
      </c>
      <c r="C168" s="7" t="str">
        <f ca="1">IFERROR(__xludf.UNSUPPORTED("""COMPUTED_VALUE"""),"Aratu")</f>
        <v>Aratu</v>
      </c>
      <c r="D168" s="3" t="str">
        <f ca="1">IFERROR(__xludf.UNSUPPORTED("""COMPUTED_VALUE"""),"🚢 REGULAR")</f>
        <v>🚢 REGULAR</v>
      </c>
      <c r="E168" s="3" t="str">
        <f ca="1">IFERROR(__xludf.UNSUPPORTED("""COMPUTED_VALUE"""),"🚛 LIBERADO")</f>
        <v>🚛 LIBERADO</v>
      </c>
      <c r="F168" s="5">
        <f ca="1">IFERROR(__xludf.UNSUPPORTED("""COMPUTED_VALUE"""),0)</f>
        <v>0</v>
      </c>
      <c r="G168" s="3" t="str">
        <f ca="1">IFERROR(__xludf.UNSUPPORTED("""COMPUTED_VALUE"""),"Normalidade")</f>
        <v>Normalidade</v>
      </c>
      <c r="H168" s="4">
        <f ca="1">IFERROR(__xludf.UNSUPPORTED("""COMPUTED_VALUE"""),44999.3453356481)</f>
        <v>44999.345335648097</v>
      </c>
      <c r="I168" s="3">
        <f ca="1">IFERROR(__xludf.UNSUPPORTED("""COMPUTED_VALUE"""),24)</f>
        <v>24</v>
      </c>
      <c r="J168" s="4">
        <f ca="1">IFERROR(__xludf.UNSUPPORTED("""COMPUTED_VALUE"""),45000.3453356481)</f>
        <v>45000.345335648097</v>
      </c>
      <c r="L168" s="3" t="str">
        <f ca="1">IFERROR(__xludf.UNSUPPORTED("""COMPUTED_VALUE"""),"Normalidade")</f>
        <v>Normalidade</v>
      </c>
    </row>
    <row r="169" spans="1:12" ht="12.75">
      <c r="A169" s="3" t="str">
        <f ca="1">IFERROR(__xludf.UNSUPPORTED("""COMPUTED_VALUE"""),"a9b047d7")</f>
        <v>a9b047d7</v>
      </c>
      <c r="B169" s="4">
        <f ca="1">IFERROR(__xludf.UNSUPPORTED("""COMPUTED_VALUE"""),45001.5472453703)</f>
        <v>45001.547245370297</v>
      </c>
      <c r="C169" s="8" t="str">
        <f ca="1">IFERROR(__xludf.UNSUPPORTED("""COMPUTED_VALUE"""),"Aratu")</f>
        <v>Aratu</v>
      </c>
      <c r="D169" s="3" t="str">
        <f ca="1">IFERROR(__xludf.UNSUPPORTED("""COMPUTED_VALUE"""),"🚢 REGULAR")</f>
        <v>🚢 REGULAR</v>
      </c>
      <c r="E169" s="3" t="str">
        <f ca="1">IFERROR(__xludf.UNSUPPORTED("""COMPUTED_VALUE"""),"🚛 LIBERADO")</f>
        <v>🚛 LIBERADO</v>
      </c>
      <c r="F169" s="5">
        <f ca="1">IFERROR(__xludf.UNSUPPORTED("""COMPUTED_VALUE"""),0)</f>
        <v>0</v>
      </c>
      <c r="G169" s="3" t="str">
        <f ca="1">IFERROR(__xludf.UNSUPPORTED("""COMPUTED_VALUE"""),"Normalidade")</f>
        <v>Normalidade</v>
      </c>
      <c r="H169" s="4">
        <f ca="1">IFERROR(__xludf.UNSUPPORTED("""COMPUTED_VALUE"""),45001.5472453703)</f>
        <v>45001.547245370297</v>
      </c>
      <c r="I169" s="3">
        <f ca="1">IFERROR(__xludf.UNSUPPORTED("""COMPUTED_VALUE"""),24)</f>
        <v>24</v>
      </c>
      <c r="J169" s="4">
        <f ca="1">IFERROR(__xludf.UNSUPPORTED("""COMPUTED_VALUE"""),45002.5472453703)</f>
        <v>45002.547245370297</v>
      </c>
      <c r="L169" s="3" t="str">
        <f ca="1">IFERROR(__xludf.UNSUPPORTED("""COMPUTED_VALUE"""),"Normalidade")</f>
        <v>Normalidade</v>
      </c>
    </row>
    <row r="170" spans="1:12" ht="12.75">
      <c r="A170" s="3" t="str">
        <f ca="1">IFERROR(__xludf.UNSUPPORTED("""COMPUTED_VALUE"""),"ff5931f3")</f>
        <v>ff5931f3</v>
      </c>
      <c r="B170" s="4">
        <f ca="1">IFERROR(__xludf.UNSUPPORTED("""COMPUTED_VALUE"""),45002.4478935185)</f>
        <v>45002.447893518503</v>
      </c>
      <c r="C170" s="8" t="str">
        <f ca="1">IFERROR(__xludf.UNSUPPORTED("""COMPUTED_VALUE"""),"Aratu")</f>
        <v>Aratu</v>
      </c>
      <c r="D170" s="3" t="str">
        <f ca="1">IFERROR(__xludf.UNSUPPORTED("""COMPUTED_VALUE"""),"🚢 REGULAR")</f>
        <v>🚢 REGULAR</v>
      </c>
      <c r="E170" s="3" t="str">
        <f ca="1">IFERROR(__xludf.UNSUPPORTED("""COMPUTED_VALUE"""),"🚛 LIBERADO")</f>
        <v>🚛 LIBERADO</v>
      </c>
      <c r="F170" s="5">
        <f ca="1">IFERROR(__xludf.UNSUPPORTED("""COMPUTED_VALUE"""),0)</f>
        <v>0</v>
      </c>
      <c r="G170" s="3" t="str">
        <f ca="1">IFERROR(__xludf.UNSUPPORTED("""COMPUTED_VALUE"""),"Normalidade")</f>
        <v>Normalidade</v>
      </c>
      <c r="H170" s="4">
        <f ca="1">IFERROR(__xludf.UNSUPPORTED("""COMPUTED_VALUE"""),45002.4478935185)</f>
        <v>45002.447893518503</v>
      </c>
      <c r="I170" s="3">
        <f ca="1">IFERROR(__xludf.UNSUPPORTED("""COMPUTED_VALUE"""),24)</f>
        <v>24</v>
      </c>
      <c r="J170" s="4">
        <f ca="1">IFERROR(__xludf.UNSUPPORTED("""COMPUTED_VALUE"""),45003.4478935185)</f>
        <v>45003.447893518503</v>
      </c>
      <c r="L170" s="3" t="str">
        <f ca="1">IFERROR(__xludf.UNSUPPORTED("""COMPUTED_VALUE"""),"Normalidade")</f>
        <v>Normalidade</v>
      </c>
    </row>
    <row r="171" spans="1:12" ht="12.75">
      <c r="A171" s="3" t="str">
        <f ca="1">IFERROR(__xludf.UNSUPPORTED("""COMPUTED_VALUE"""),"94947390")</f>
        <v>94947390</v>
      </c>
      <c r="B171" s="4">
        <f ca="1">IFERROR(__xludf.UNSUPPORTED("""COMPUTED_VALUE"""),45004.5173842592)</f>
        <v>45004.517384259198</v>
      </c>
      <c r="C171" s="8" t="str">
        <f ca="1">IFERROR(__xludf.UNSUPPORTED("""COMPUTED_VALUE"""),"Aratu")</f>
        <v>Aratu</v>
      </c>
      <c r="D171" s="3" t="str">
        <f ca="1">IFERROR(__xludf.UNSUPPORTED("""COMPUTED_VALUE"""),"🚢 REGULAR")</f>
        <v>🚢 REGULAR</v>
      </c>
      <c r="E171" s="3" t="str">
        <f ca="1">IFERROR(__xludf.UNSUPPORTED("""COMPUTED_VALUE"""),"🚛 LIBERADO")</f>
        <v>🚛 LIBERADO</v>
      </c>
      <c r="F171" s="5">
        <f ca="1">IFERROR(__xludf.UNSUPPORTED("""COMPUTED_VALUE"""),0)</f>
        <v>0</v>
      </c>
      <c r="G171" s="3" t="str">
        <f ca="1">IFERROR(__xludf.UNSUPPORTED("""COMPUTED_VALUE"""),"Normalidade")</f>
        <v>Normalidade</v>
      </c>
      <c r="H171" s="4">
        <f ca="1">IFERROR(__xludf.UNSUPPORTED("""COMPUTED_VALUE"""),45004.5173842592)</f>
        <v>45004.517384259198</v>
      </c>
      <c r="I171" s="3">
        <f ca="1">IFERROR(__xludf.UNSUPPORTED("""COMPUTED_VALUE"""),24)</f>
        <v>24</v>
      </c>
      <c r="J171" s="4">
        <f ca="1">IFERROR(__xludf.UNSUPPORTED("""COMPUTED_VALUE"""),45005.5173842592)</f>
        <v>45005.517384259198</v>
      </c>
      <c r="L171" s="3" t="str">
        <f ca="1">IFERROR(__xludf.UNSUPPORTED("""COMPUTED_VALUE"""),"Normalidade")</f>
        <v>Normalidade</v>
      </c>
    </row>
    <row r="172" spans="1:12" ht="12.75">
      <c r="A172" s="3" t="str">
        <f ca="1">IFERROR(__xludf.UNSUPPORTED("""COMPUTED_VALUE"""),"4bb320b9")</f>
        <v>4bb320b9</v>
      </c>
      <c r="B172" s="4">
        <f ca="1">IFERROR(__xludf.UNSUPPORTED("""COMPUTED_VALUE"""),45005.4265856481)</f>
        <v>45005.4265856481</v>
      </c>
      <c r="C172" s="8" t="str">
        <f ca="1">IFERROR(__xludf.UNSUPPORTED("""COMPUTED_VALUE"""),"Aratu")</f>
        <v>Aratu</v>
      </c>
      <c r="D172" s="3" t="str">
        <f ca="1">IFERROR(__xludf.UNSUPPORTED("""COMPUTED_VALUE"""),"🚢 REGULAR")</f>
        <v>🚢 REGULAR</v>
      </c>
      <c r="E172" s="3" t="str">
        <f ca="1">IFERROR(__xludf.UNSUPPORTED("""COMPUTED_VALUE"""),"🚛 LIBERADO")</f>
        <v>🚛 LIBERADO</v>
      </c>
      <c r="F172" s="5">
        <f ca="1">IFERROR(__xludf.UNSUPPORTED("""COMPUTED_VALUE"""),0)</f>
        <v>0</v>
      </c>
      <c r="G172" s="3" t="str">
        <f ca="1">IFERROR(__xludf.UNSUPPORTED("""COMPUTED_VALUE"""),"Normalidade")</f>
        <v>Normalidade</v>
      </c>
      <c r="H172" s="4">
        <f ca="1">IFERROR(__xludf.UNSUPPORTED("""COMPUTED_VALUE"""),45005.4265856481)</f>
        <v>45005.4265856481</v>
      </c>
      <c r="I172" s="3">
        <f ca="1">IFERROR(__xludf.UNSUPPORTED("""COMPUTED_VALUE"""),24)</f>
        <v>24</v>
      </c>
      <c r="J172" s="4">
        <f ca="1">IFERROR(__xludf.UNSUPPORTED("""COMPUTED_VALUE"""),45006.4265856481)</f>
        <v>45006.4265856481</v>
      </c>
      <c r="L172" s="3" t="str">
        <f ca="1">IFERROR(__xludf.UNSUPPORTED("""COMPUTED_VALUE"""),"Normalidade")</f>
        <v>Normalidade</v>
      </c>
    </row>
    <row r="173" spans="1:12" ht="12.75">
      <c r="A173" s="3" t="str">
        <f ca="1">IFERROR(__xludf.UNSUPPORTED("""COMPUTED_VALUE"""),"b4a84a17")</f>
        <v>b4a84a17</v>
      </c>
      <c r="B173" s="4">
        <f ca="1">IFERROR(__xludf.UNSUPPORTED("""COMPUTED_VALUE"""),45007.4181944444)</f>
        <v>45007.418194444399</v>
      </c>
      <c r="C173" s="7" t="str">
        <f ca="1">IFERROR(__xludf.UNSUPPORTED("""COMPUTED_VALUE"""),"Aratu")</f>
        <v>Aratu</v>
      </c>
      <c r="D173" s="3" t="str">
        <f ca="1">IFERROR(__xludf.UNSUPPORTED("""COMPUTED_VALUE"""),"🚢 REGULAR")</f>
        <v>🚢 REGULAR</v>
      </c>
      <c r="E173" s="3" t="str">
        <f ca="1">IFERROR(__xludf.UNSUPPORTED("""COMPUTED_VALUE"""),"🚛 LIBERADO")</f>
        <v>🚛 LIBERADO</v>
      </c>
      <c r="F173" s="5">
        <f ca="1">IFERROR(__xludf.UNSUPPORTED("""COMPUTED_VALUE"""),0)</f>
        <v>0</v>
      </c>
      <c r="G173" s="3" t="str">
        <f ca="1">IFERROR(__xludf.UNSUPPORTED("""COMPUTED_VALUE"""),"Normalidade")</f>
        <v>Normalidade</v>
      </c>
      <c r="H173" s="4">
        <f ca="1">IFERROR(__xludf.UNSUPPORTED("""COMPUTED_VALUE"""),45007.4181944444)</f>
        <v>45007.418194444399</v>
      </c>
      <c r="I173" s="3">
        <f ca="1">IFERROR(__xludf.UNSUPPORTED("""COMPUTED_VALUE"""),24)</f>
        <v>24</v>
      </c>
      <c r="J173" s="4">
        <f ca="1">IFERROR(__xludf.UNSUPPORTED("""COMPUTED_VALUE"""),45008.4181944444)</f>
        <v>45008.418194444399</v>
      </c>
      <c r="L173" s="3" t="str">
        <f ca="1">IFERROR(__xludf.UNSUPPORTED("""COMPUTED_VALUE"""),"Normalidade")</f>
        <v>Normalidade</v>
      </c>
    </row>
    <row r="174" spans="1:12" ht="12.75">
      <c r="A174" s="3" t="str">
        <f ca="1">IFERROR(__xludf.UNSUPPORTED("""COMPUTED_VALUE"""),"c3ad9b9e")</f>
        <v>c3ad9b9e</v>
      </c>
      <c r="B174" s="4">
        <f ca="1">IFERROR(__xludf.UNSUPPORTED("""COMPUTED_VALUE"""),45009.5599305555)</f>
        <v>45009.559930555501</v>
      </c>
      <c r="C174" s="7" t="str">
        <f ca="1">IFERROR(__xludf.UNSUPPORTED("""COMPUTED_VALUE"""),"Aratu")</f>
        <v>Aratu</v>
      </c>
      <c r="D174" s="3" t="str">
        <f ca="1">IFERROR(__xludf.UNSUPPORTED("""COMPUTED_VALUE"""),"🚢 REGULAR")</f>
        <v>🚢 REGULAR</v>
      </c>
      <c r="E174" s="3" t="str">
        <f ca="1">IFERROR(__xludf.UNSUPPORTED("""COMPUTED_VALUE"""),"🚛 LIBERADO")</f>
        <v>🚛 LIBERADO</v>
      </c>
      <c r="F174" s="5">
        <f ca="1">IFERROR(__xludf.UNSUPPORTED("""COMPUTED_VALUE"""),0)</f>
        <v>0</v>
      </c>
      <c r="G174" s="3" t="str">
        <f ca="1">IFERROR(__xludf.UNSUPPORTED("""COMPUTED_VALUE"""),"Normalidade")</f>
        <v>Normalidade</v>
      </c>
      <c r="H174" s="4">
        <f ca="1">IFERROR(__xludf.UNSUPPORTED("""COMPUTED_VALUE"""),45009.5599305555)</f>
        <v>45009.559930555501</v>
      </c>
      <c r="I174" s="3">
        <f ca="1">IFERROR(__xludf.UNSUPPORTED("""COMPUTED_VALUE"""),24)</f>
        <v>24</v>
      </c>
      <c r="J174" s="4">
        <f ca="1">IFERROR(__xludf.UNSUPPORTED("""COMPUTED_VALUE"""),45010.5599305555)</f>
        <v>45010.559930555501</v>
      </c>
      <c r="L174" s="3" t="str">
        <f ca="1">IFERROR(__xludf.UNSUPPORTED("""COMPUTED_VALUE"""),"Normalidade")</f>
        <v>Normalidade</v>
      </c>
    </row>
    <row r="175" spans="1:12" ht="12.75">
      <c r="A175" s="3" t="str">
        <f ca="1">IFERROR(__xludf.UNSUPPORTED("""COMPUTED_VALUE"""),"eb5572ef")</f>
        <v>eb5572ef</v>
      </c>
      <c r="B175" s="4">
        <f ca="1">IFERROR(__xludf.UNSUPPORTED("""COMPUTED_VALUE"""),45011.6151273148)</f>
        <v>45011.615127314799</v>
      </c>
      <c r="C175" s="7" t="str">
        <f ca="1">IFERROR(__xludf.UNSUPPORTED("""COMPUTED_VALUE"""),"Aratu")</f>
        <v>Aratu</v>
      </c>
      <c r="D175" s="3" t="str">
        <f ca="1">IFERROR(__xludf.UNSUPPORTED("""COMPUTED_VALUE"""),"🚢 REGULAR")</f>
        <v>🚢 REGULAR</v>
      </c>
      <c r="E175" s="3" t="str">
        <f ca="1">IFERROR(__xludf.UNSUPPORTED("""COMPUTED_VALUE"""),"🚛 LIBERADO")</f>
        <v>🚛 LIBERADO</v>
      </c>
      <c r="F175" s="5">
        <f ca="1">IFERROR(__xludf.UNSUPPORTED("""COMPUTED_VALUE"""),0)</f>
        <v>0</v>
      </c>
      <c r="G175" s="3" t="str">
        <f ca="1">IFERROR(__xludf.UNSUPPORTED("""COMPUTED_VALUE"""),"Normalidade")</f>
        <v>Normalidade</v>
      </c>
      <c r="H175" s="4">
        <f ca="1">IFERROR(__xludf.UNSUPPORTED("""COMPUTED_VALUE"""),45011.6151273148)</f>
        <v>45011.615127314799</v>
      </c>
      <c r="I175" s="3">
        <f ca="1">IFERROR(__xludf.UNSUPPORTED("""COMPUTED_VALUE"""),24)</f>
        <v>24</v>
      </c>
      <c r="J175" s="4">
        <f ca="1">IFERROR(__xludf.UNSUPPORTED("""COMPUTED_VALUE"""),45012.6151273148)</f>
        <v>45012.615127314799</v>
      </c>
      <c r="L175" s="3" t="str">
        <f ca="1">IFERROR(__xludf.UNSUPPORTED("""COMPUTED_VALUE"""),"Normalidade")</f>
        <v>Normalidade</v>
      </c>
    </row>
    <row r="176" spans="1:12" ht="12.75">
      <c r="A176" s="3" t="str">
        <f ca="1">IFERROR(__xludf.UNSUPPORTED("""COMPUTED_VALUE"""),"39a8830e")</f>
        <v>39a8830e</v>
      </c>
      <c r="B176" s="4">
        <f ca="1">IFERROR(__xludf.UNSUPPORTED("""COMPUTED_VALUE"""),45012.4481828703)</f>
        <v>45012.448182870299</v>
      </c>
      <c r="C176" s="7" t="str">
        <f ca="1">IFERROR(__xludf.UNSUPPORTED("""COMPUTED_VALUE"""),"Aratu")</f>
        <v>Aratu</v>
      </c>
      <c r="D176" s="3" t="str">
        <f ca="1">IFERROR(__xludf.UNSUPPORTED("""COMPUTED_VALUE"""),"🚢 REGULAR")</f>
        <v>🚢 REGULAR</v>
      </c>
      <c r="E176" s="3" t="str">
        <f ca="1">IFERROR(__xludf.UNSUPPORTED("""COMPUTED_VALUE"""),"🚛 LIBERADO")</f>
        <v>🚛 LIBERADO</v>
      </c>
      <c r="F176" s="5">
        <f ca="1">IFERROR(__xludf.UNSUPPORTED("""COMPUTED_VALUE"""),0)</f>
        <v>0</v>
      </c>
      <c r="G176" s="3" t="str">
        <f ca="1">IFERROR(__xludf.UNSUPPORTED("""COMPUTED_VALUE"""),"Normalidade")</f>
        <v>Normalidade</v>
      </c>
      <c r="H176" s="4">
        <f ca="1">IFERROR(__xludf.UNSUPPORTED("""COMPUTED_VALUE"""),45012.4481828703)</f>
        <v>45012.448182870299</v>
      </c>
      <c r="I176" s="3">
        <f ca="1">IFERROR(__xludf.UNSUPPORTED("""COMPUTED_VALUE"""),24)</f>
        <v>24</v>
      </c>
      <c r="J176" s="4">
        <f ca="1">IFERROR(__xludf.UNSUPPORTED("""COMPUTED_VALUE"""),45013.4481828703)</f>
        <v>45013.448182870299</v>
      </c>
      <c r="L176" s="3" t="str">
        <f ca="1">IFERROR(__xludf.UNSUPPORTED("""COMPUTED_VALUE"""),"Normalidade")</f>
        <v>Normalidade</v>
      </c>
    </row>
    <row r="177" spans="1:12" ht="12.75">
      <c r="A177" s="3" t="str">
        <f ca="1">IFERROR(__xludf.UNSUPPORTED("""COMPUTED_VALUE"""),"4dd67af1")</f>
        <v>4dd67af1</v>
      </c>
      <c r="B177" s="4">
        <f ca="1">IFERROR(__xludf.UNSUPPORTED("""COMPUTED_VALUE"""),45015.5379166666)</f>
        <v>45015.537916666603</v>
      </c>
      <c r="C177" s="7" t="str">
        <f ca="1">IFERROR(__xludf.UNSUPPORTED("""COMPUTED_VALUE"""),"Aratu")</f>
        <v>Aratu</v>
      </c>
      <c r="D177" s="3" t="str">
        <f ca="1">IFERROR(__xludf.UNSUPPORTED("""COMPUTED_VALUE"""),"🚢 REGULAR")</f>
        <v>🚢 REGULAR</v>
      </c>
      <c r="E177" s="3" t="str">
        <f ca="1">IFERROR(__xludf.UNSUPPORTED("""COMPUTED_VALUE"""),"🚛 LIBERADO")</f>
        <v>🚛 LIBERADO</v>
      </c>
      <c r="F177" s="5">
        <f ca="1">IFERROR(__xludf.UNSUPPORTED("""COMPUTED_VALUE"""),0)</f>
        <v>0</v>
      </c>
      <c r="G177" s="3" t="str">
        <f ca="1">IFERROR(__xludf.UNSUPPORTED("""COMPUTED_VALUE"""),"Normalidade")</f>
        <v>Normalidade</v>
      </c>
      <c r="H177" s="4">
        <f ca="1">IFERROR(__xludf.UNSUPPORTED("""COMPUTED_VALUE"""),45015.5379166666)</f>
        <v>45015.537916666603</v>
      </c>
      <c r="I177" s="3">
        <f ca="1">IFERROR(__xludf.UNSUPPORTED("""COMPUTED_VALUE"""),24)</f>
        <v>24</v>
      </c>
      <c r="J177" s="4">
        <f ca="1">IFERROR(__xludf.UNSUPPORTED("""COMPUTED_VALUE"""),45016.5379166666)</f>
        <v>45016.537916666603</v>
      </c>
      <c r="L177" s="3" t="str">
        <f ca="1">IFERROR(__xludf.UNSUPPORTED("""COMPUTED_VALUE"""),"Normalidade")</f>
        <v>Normalidade</v>
      </c>
    </row>
    <row r="178" spans="1:12" ht="12.75">
      <c r="A178" s="3" t="str">
        <f ca="1">IFERROR(__xludf.UNSUPPORTED("""COMPUTED_VALUE"""),"7b372a78")</f>
        <v>7b372a78</v>
      </c>
      <c r="B178" s="4">
        <f ca="1">IFERROR(__xludf.UNSUPPORTED("""COMPUTED_VALUE"""),45016.6800347222)</f>
        <v>45016.680034722202</v>
      </c>
      <c r="C178" s="7" t="str">
        <f ca="1">IFERROR(__xludf.UNSUPPORTED("""COMPUTED_VALUE"""),"Aratu")</f>
        <v>Aratu</v>
      </c>
      <c r="D178" s="3" t="str">
        <f ca="1">IFERROR(__xludf.UNSUPPORTED("""COMPUTED_VALUE"""),"🚢 REGULAR")</f>
        <v>🚢 REGULAR</v>
      </c>
      <c r="E178" s="3" t="str">
        <f ca="1">IFERROR(__xludf.UNSUPPORTED("""COMPUTED_VALUE"""),"🚛 LIBERADO")</f>
        <v>🚛 LIBERADO</v>
      </c>
      <c r="F178" s="5">
        <f ca="1">IFERROR(__xludf.UNSUPPORTED("""COMPUTED_VALUE"""),0)</f>
        <v>0</v>
      </c>
      <c r="G178" s="3" t="str">
        <f ca="1">IFERROR(__xludf.UNSUPPORTED("""COMPUTED_VALUE"""),"Normalidade")</f>
        <v>Normalidade</v>
      </c>
      <c r="H178" s="4">
        <f ca="1">IFERROR(__xludf.UNSUPPORTED("""COMPUTED_VALUE"""),45016.6800347222)</f>
        <v>45016.680034722202</v>
      </c>
      <c r="I178" s="3">
        <f ca="1">IFERROR(__xludf.UNSUPPORTED("""COMPUTED_VALUE"""),24)</f>
        <v>24</v>
      </c>
      <c r="J178" s="4">
        <f ca="1">IFERROR(__xludf.UNSUPPORTED("""COMPUTED_VALUE"""),45017.6800347222)</f>
        <v>45017.680034722202</v>
      </c>
      <c r="L178" s="3" t="str">
        <f ca="1">IFERROR(__xludf.UNSUPPORTED("""COMPUTED_VALUE"""),"Normalidade")</f>
        <v>Normalidade</v>
      </c>
    </row>
    <row r="179" spans="1:12" ht="12.75">
      <c r="A179" s="3" t="str">
        <f ca="1">IFERROR(__xludf.UNSUPPORTED("""COMPUTED_VALUE"""),"0d0ff020")</f>
        <v>0d0ff020</v>
      </c>
      <c r="B179" s="4">
        <f ca="1">IFERROR(__xludf.UNSUPPORTED("""COMPUTED_VALUE"""),45019.6434259259)</f>
        <v>45019.643425925897</v>
      </c>
      <c r="C179" s="8" t="str">
        <f ca="1">IFERROR(__xludf.UNSUPPORTED("""COMPUTED_VALUE"""),"Aratu")</f>
        <v>Aratu</v>
      </c>
      <c r="D179" s="3" t="str">
        <f ca="1">IFERROR(__xludf.UNSUPPORTED("""COMPUTED_VALUE"""),"🚢 REGULAR")</f>
        <v>🚢 REGULAR</v>
      </c>
      <c r="E179" s="3" t="str">
        <f ca="1">IFERROR(__xludf.UNSUPPORTED("""COMPUTED_VALUE"""),"🚛 LIBERADO")</f>
        <v>🚛 LIBERADO</v>
      </c>
      <c r="F179" s="5">
        <f ca="1">IFERROR(__xludf.UNSUPPORTED("""COMPUTED_VALUE"""),0)</f>
        <v>0</v>
      </c>
      <c r="G179" s="3" t="str">
        <f ca="1">IFERROR(__xludf.UNSUPPORTED("""COMPUTED_VALUE"""),"Normalidade")</f>
        <v>Normalidade</v>
      </c>
      <c r="H179" s="4">
        <f ca="1">IFERROR(__xludf.UNSUPPORTED("""COMPUTED_VALUE"""),45019.6434259259)</f>
        <v>45019.643425925897</v>
      </c>
      <c r="I179" s="3">
        <f ca="1">IFERROR(__xludf.UNSUPPORTED("""COMPUTED_VALUE"""),24)</f>
        <v>24</v>
      </c>
      <c r="J179" s="4">
        <f ca="1">IFERROR(__xludf.UNSUPPORTED("""COMPUTED_VALUE"""),45020.6434259259)</f>
        <v>45020.643425925897</v>
      </c>
      <c r="L179" s="3" t="str">
        <f ca="1">IFERROR(__xludf.UNSUPPORTED("""COMPUTED_VALUE"""),"Normalidade")</f>
        <v>Normalidade</v>
      </c>
    </row>
    <row r="180" spans="1:12" ht="12.75">
      <c r="A180" s="3" t="str">
        <f ca="1">IFERROR(__xludf.UNSUPPORTED("""COMPUTED_VALUE"""),"7f376ae2")</f>
        <v>7f376ae2</v>
      </c>
      <c r="B180" s="4">
        <f ca="1">IFERROR(__xludf.UNSUPPORTED("""COMPUTED_VALUE"""),45020.3041087962)</f>
        <v>45020.304108796197</v>
      </c>
      <c r="C180" s="8" t="str">
        <f ca="1">IFERROR(__xludf.UNSUPPORTED("""COMPUTED_VALUE"""),"Aratu")</f>
        <v>Aratu</v>
      </c>
      <c r="D180" s="3" t="str">
        <f ca="1">IFERROR(__xludf.UNSUPPORTED("""COMPUTED_VALUE"""),"🚢 REGULAR")</f>
        <v>🚢 REGULAR</v>
      </c>
      <c r="E180" s="3" t="str">
        <f ca="1">IFERROR(__xludf.UNSUPPORTED("""COMPUTED_VALUE"""),"🚛 LIBERADO")</f>
        <v>🚛 LIBERADO</v>
      </c>
      <c r="F180" s="5">
        <f ca="1">IFERROR(__xludf.UNSUPPORTED("""COMPUTED_VALUE"""),0)</f>
        <v>0</v>
      </c>
      <c r="G180" s="3" t="str">
        <f ca="1">IFERROR(__xludf.UNSUPPORTED("""COMPUTED_VALUE"""),"Normalidade")</f>
        <v>Normalidade</v>
      </c>
      <c r="H180" s="4">
        <f ca="1">IFERROR(__xludf.UNSUPPORTED("""COMPUTED_VALUE"""),45020.3041087962)</f>
        <v>45020.304108796197</v>
      </c>
      <c r="I180" s="3">
        <f ca="1">IFERROR(__xludf.UNSUPPORTED("""COMPUTED_VALUE"""),24)</f>
        <v>24</v>
      </c>
      <c r="J180" s="4">
        <f ca="1">IFERROR(__xludf.UNSUPPORTED("""COMPUTED_VALUE"""),45021.3041087962)</f>
        <v>45021.304108796197</v>
      </c>
      <c r="L180" s="3" t="str">
        <f ca="1">IFERROR(__xludf.UNSUPPORTED("""COMPUTED_VALUE"""),"Normalidade")</f>
        <v>Normalidade</v>
      </c>
    </row>
    <row r="181" spans="1:12" ht="12.75">
      <c r="A181" s="3" t="str">
        <f ca="1">IFERROR(__xludf.UNSUPPORTED("""COMPUTED_VALUE"""),"f1482e40")</f>
        <v>f1482e40</v>
      </c>
      <c r="B181" s="4">
        <f ca="1">IFERROR(__xludf.UNSUPPORTED("""COMPUTED_VALUE"""),45022.4373032407)</f>
        <v>45022.437303240702</v>
      </c>
      <c r="C181" s="8" t="str">
        <f ca="1">IFERROR(__xludf.UNSUPPORTED("""COMPUTED_VALUE"""),"Aratu")</f>
        <v>Aratu</v>
      </c>
      <c r="D181" s="3" t="str">
        <f ca="1">IFERROR(__xludf.UNSUPPORTED("""COMPUTED_VALUE"""),"🚢 REGULAR")</f>
        <v>🚢 REGULAR</v>
      </c>
      <c r="E181" s="3" t="str">
        <f ca="1">IFERROR(__xludf.UNSUPPORTED("""COMPUTED_VALUE"""),"🚛 LIBERADO")</f>
        <v>🚛 LIBERADO</v>
      </c>
      <c r="F181" s="5">
        <f ca="1">IFERROR(__xludf.UNSUPPORTED("""COMPUTED_VALUE"""),0)</f>
        <v>0</v>
      </c>
      <c r="G181" s="3" t="str">
        <f ca="1">IFERROR(__xludf.UNSUPPORTED("""COMPUTED_VALUE"""),"Normalidade")</f>
        <v>Normalidade</v>
      </c>
      <c r="H181" s="4">
        <f ca="1">IFERROR(__xludf.UNSUPPORTED("""COMPUTED_VALUE"""),45022.4373032407)</f>
        <v>45022.437303240702</v>
      </c>
      <c r="I181" s="3">
        <f ca="1">IFERROR(__xludf.UNSUPPORTED("""COMPUTED_VALUE"""),24)</f>
        <v>24</v>
      </c>
      <c r="J181" s="4">
        <f ca="1">IFERROR(__xludf.UNSUPPORTED("""COMPUTED_VALUE"""),45023.4373032407)</f>
        <v>45023.437303240702</v>
      </c>
      <c r="L181" s="3" t="str">
        <f ca="1">IFERROR(__xludf.UNSUPPORTED("""COMPUTED_VALUE"""),"Normalidade")</f>
        <v>Normalidade</v>
      </c>
    </row>
    <row r="182" spans="1:12" ht="12.75">
      <c r="A182" s="3" t="str">
        <f ca="1">IFERROR(__xludf.UNSUPPORTED("""COMPUTED_VALUE"""),"5402486a")</f>
        <v>5402486a</v>
      </c>
      <c r="B182" s="4">
        <f ca="1">IFERROR(__xludf.UNSUPPORTED("""COMPUTED_VALUE"""),45023.6207986111)</f>
        <v>45023.620798611097</v>
      </c>
      <c r="C182" s="7" t="str">
        <f ca="1">IFERROR(__xludf.UNSUPPORTED("""COMPUTED_VALUE"""),"Aratu")</f>
        <v>Aratu</v>
      </c>
      <c r="D182" s="3" t="str">
        <f ca="1">IFERROR(__xludf.UNSUPPORTED("""COMPUTED_VALUE"""),"🚢 REGULAR")</f>
        <v>🚢 REGULAR</v>
      </c>
      <c r="E182" s="3" t="str">
        <f ca="1">IFERROR(__xludf.UNSUPPORTED("""COMPUTED_VALUE"""),"🚛 LIBERADO")</f>
        <v>🚛 LIBERADO</v>
      </c>
      <c r="F182" s="5">
        <f ca="1">IFERROR(__xludf.UNSUPPORTED("""COMPUTED_VALUE"""),0)</f>
        <v>0</v>
      </c>
      <c r="G182" s="3" t="str">
        <f ca="1">IFERROR(__xludf.UNSUPPORTED("""COMPUTED_VALUE"""),"Normalidade")</f>
        <v>Normalidade</v>
      </c>
      <c r="H182" s="4">
        <f ca="1">IFERROR(__xludf.UNSUPPORTED("""COMPUTED_VALUE"""),45023.6207986111)</f>
        <v>45023.620798611097</v>
      </c>
      <c r="I182" s="3">
        <f ca="1">IFERROR(__xludf.UNSUPPORTED("""COMPUTED_VALUE"""),24)</f>
        <v>24</v>
      </c>
      <c r="J182" s="4">
        <f ca="1">IFERROR(__xludf.UNSUPPORTED("""COMPUTED_VALUE"""),45024.6207986111)</f>
        <v>45024.620798611097</v>
      </c>
      <c r="L182" s="3" t="str">
        <f ca="1">IFERROR(__xludf.UNSUPPORTED("""COMPUTED_VALUE"""),"Normalidade")</f>
        <v>Normalidade</v>
      </c>
    </row>
    <row r="183" spans="1:12" ht="12.75">
      <c r="A183" s="3" t="str">
        <f ca="1">IFERROR(__xludf.UNSUPPORTED("""COMPUTED_VALUE"""),"296078c0")</f>
        <v>296078c0</v>
      </c>
      <c r="B183" s="4">
        <f ca="1">IFERROR(__xludf.UNSUPPORTED("""COMPUTED_VALUE"""),45024.3511342592)</f>
        <v>45024.351134259203</v>
      </c>
      <c r="C183" s="7" t="str">
        <f ca="1">IFERROR(__xludf.UNSUPPORTED("""COMPUTED_VALUE"""),"Aratu")</f>
        <v>Aratu</v>
      </c>
      <c r="D183" s="3" t="str">
        <f ca="1">IFERROR(__xludf.UNSUPPORTED("""COMPUTED_VALUE"""),"🚢 REGULAR")</f>
        <v>🚢 REGULAR</v>
      </c>
      <c r="E183" s="3" t="str">
        <f ca="1">IFERROR(__xludf.UNSUPPORTED("""COMPUTED_VALUE"""),"🚛 LIBERADO")</f>
        <v>🚛 LIBERADO</v>
      </c>
      <c r="F183" s="5">
        <f ca="1">IFERROR(__xludf.UNSUPPORTED("""COMPUTED_VALUE"""),0)</f>
        <v>0</v>
      </c>
      <c r="G183" s="3" t="str">
        <f ca="1">IFERROR(__xludf.UNSUPPORTED("""COMPUTED_VALUE"""),"Normalidade")</f>
        <v>Normalidade</v>
      </c>
      <c r="H183" s="4">
        <f ca="1">IFERROR(__xludf.UNSUPPORTED("""COMPUTED_VALUE"""),45024.3511342592)</f>
        <v>45024.351134259203</v>
      </c>
      <c r="I183" s="3">
        <f ca="1">IFERROR(__xludf.UNSUPPORTED("""COMPUTED_VALUE"""),24)</f>
        <v>24</v>
      </c>
      <c r="J183" s="4">
        <f ca="1">IFERROR(__xludf.UNSUPPORTED("""COMPUTED_VALUE"""),45025.3511342592)</f>
        <v>45025.351134259203</v>
      </c>
      <c r="L183" s="3" t="str">
        <f ca="1">IFERROR(__xludf.UNSUPPORTED("""COMPUTED_VALUE"""),"Normalidade")</f>
        <v>Normalidade</v>
      </c>
    </row>
    <row r="184" spans="1:12" ht="12.75">
      <c r="A184" s="3" t="str">
        <f ca="1">IFERROR(__xludf.UNSUPPORTED("""COMPUTED_VALUE"""),"0bf1129c")</f>
        <v>0bf1129c</v>
      </c>
      <c r="B184" s="4">
        <f ca="1">IFERROR(__xludf.UNSUPPORTED("""COMPUTED_VALUE"""),45026.4147222222)</f>
        <v>45026.414722222202</v>
      </c>
      <c r="C184" s="8" t="str">
        <f ca="1">IFERROR(__xludf.UNSUPPORTED("""COMPUTED_VALUE"""),"Aratu")</f>
        <v>Aratu</v>
      </c>
      <c r="D184" s="3" t="str">
        <f ca="1">IFERROR(__xludf.UNSUPPORTED("""COMPUTED_VALUE"""),"🚢 REGULAR")</f>
        <v>🚢 REGULAR</v>
      </c>
      <c r="E184" s="3" t="str">
        <f ca="1">IFERROR(__xludf.UNSUPPORTED("""COMPUTED_VALUE"""),"🚛 LIBERADO")</f>
        <v>🚛 LIBERADO</v>
      </c>
      <c r="F184" s="5">
        <f ca="1">IFERROR(__xludf.UNSUPPORTED("""COMPUTED_VALUE"""),0)</f>
        <v>0</v>
      </c>
      <c r="G184" s="3" t="str">
        <f ca="1">IFERROR(__xludf.UNSUPPORTED("""COMPUTED_VALUE"""),"Normalidade")</f>
        <v>Normalidade</v>
      </c>
      <c r="H184" s="4">
        <f ca="1">IFERROR(__xludf.UNSUPPORTED("""COMPUTED_VALUE"""),45026.4147222222)</f>
        <v>45026.414722222202</v>
      </c>
      <c r="I184" s="3">
        <f ca="1">IFERROR(__xludf.UNSUPPORTED("""COMPUTED_VALUE"""),24)</f>
        <v>24</v>
      </c>
      <c r="J184" s="4">
        <f ca="1">IFERROR(__xludf.UNSUPPORTED("""COMPUTED_VALUE"""),45027.4147222222)</f>
        <v>45027.414722222202</v>
      </c>
      <c r="L184" s="3" t="str">
        <f ca="1">IFERROR(__xludf.UNSUPPORTED("""COMPUTED_VALUE"""),"Normalidade")</f>
        <v>Normalidade</v>
      </c>
    </row>
    <row r="185" spans="1:12" ht="12.75">
      <c r="A185" s="3" t="str">
        <f ca="1">IFERROR(__xludf.UNSUPPORTED("""COMPUTED_VALUE"""),"6373a4d1")</f>
        <v>6373a4d1</v>
      </c>
      <c r="B185" s="4">
        <f ca="1">IFERROR(__xludf.UNSUPPORTED("""COMPUTED_VALUE"""),45027.5141319444)</f>
        <v>45027.514131944401</v>
      </c>
      <c r="C185" s="7" t="str">
        <f ca="1">IFERROR(__xludf.UNSUPPORTED("""COMPUTED_VALUE"""),"Aratu")</f>
        <v>Aratu</v>
      </c>
      <c r="D185" s="3" t="str">
        <f ca="1">IFERROR(__xludf.UNSUPPORTED("""COMPUTED_VALUE"""),"🚢 REGULAR")</f>
        <v>🚢 REGULAR</v>
      </c>
      <c r="E185" s="3" t="str">
        <f ca="1">IFERROR(__xludf.UNSUPPORTED("""COMPUTED_VALUE"""),"🚛 LIBERADO")</f>
        <v>🚛 LIBERADO</v>
      </c>
      <c r="F185" s="5">
        <f ca="1">IFERROR(__xludf.UNSUPPORTED("""COMPUTED_VALUE"""),0)</f>
        <v>0</v>
      </c>
      <c r="G185" s="3" t="str">
        <f ca="1">IFERROR(__xludf.UNSUPPORTED("""COMPUTED_VALUE"""),"Normalidade")</f>
        <v>Normalidade</v>
      </c>
      <c r="H185" s="4">
        <f ca="1">IFERROR(__xludf.UNSUPPORTED("""COMPUTED_VALUE"""),45027.5141319444)</f>
        <v>45027.514131944401</v>
      </c>
      <c r="I185" s="3">
        <f ca="1">IFERROR(__xludf.UNSUPPORTED("""COMPUTED_VALUE"""),24)</f>
        <v>24</v>
      </c>
      <c r="J185" s="4">
        <f ca="1">IFERROR(__xludf.UNSUPPORTED("""COMPUTED_VALUE"""),45028.5141319444)</f>
        <v>45028.514131944401</v>
      </c>
      <c r="L185" s="3" t="str">
        <f ca="1">IFERROR(__xludf.UNSUPPORTED("""COMPUTED_VALUE"""),"Normalidade")</f>
        <v>Normalidade</v>
      </c>
    </row>
    <row r="186" spans="1:12" ht="12.75">
      <c r="A186" s="3" t="str">
        <f ca="1">IFERROR(__xludf.UNSUPPORTED("""COMPUTED_VALUE"""),"2fb2eaaa")</f>
        <v>2fb2eaaa</v>
      </c>
      <c r="B186" s="4">
        <f ca="1">IFERROR(__xludf.UNSUPPORTED("""COMPUTED_VALUE"""),45028.5859722222)</f>
        <v>45028.585972222201</v>
      </c>
      <c r="C186" s="8" t="str">
        <f ca="1">IFERROR(__xludf.UNSUPPORTED("""COMPUTED_VALUE"""),"Aratu")</f>
        <v>Aratu</v>
      </c>
      <c r="D186" s="3" t="str">
        <f ca="1">IFERROR(__xludf.UNSUPPORTED("""COMPUTED_VALUE"""),"🚢 REGULAR")</f>
        <v>🚢 REGULAR</v>
      </c>
      <c r="E186" s="3" t="str">
        <f ca="1">IFERROR(__xludf.UNSUPPORTED("""COMPUTED_VALUE"""),"🚛 LIBERADO")</f>
        <v>🚛 LIBERADO</v>
      </c>
      <c r="F186" s="5">
        <f ca="1">IFERROR(__xludf.UNSUPPORTED("""COMPUTED_VALUE"""),0)</f>
        <v>0</v>
      </c>
      <c r="G186" s="3" t="str">
        <f ca="1">IFERROR(__xludf.UNSUPPORTED("""COMPUTED_VALUE"""),"Normalidade")</f>
        <v>Normalidade</v>
      </c>
      <c r="H186" s="4">
        <f ca="1">IFERROR(__xludf.UNSUPPORTED("""COMPUTED_VALUE"""),45028.5859722222)</f>
        <v>45028.585972222201</v>
      </c>
      <c r="I186" s="3">
        <f ca="1">IFERROR(__xludf.UNSUPPORTED("""COMPUTED_VALUE"""),24)</f>
        <v>24</v>
      </c>
      <c r="J186" s="4">
        <f ca="1">IFERROR(__xludf.UNSUPPORTED("""COMPUTED_VALUE"""),45029.5859722222)</f>
        <v>45029.585972222201</v>
      </c>
      <c r="L186" s="3" t="str">
        <f ca="1">IFERROR(__xludf.UNSUPPORTED("""COMPUTED_VALUE"""),"Normalidade")</f>
        <v>Normalidade</v>
      </c>
    </row>
    <row r="187" spans="1:12" ht="12.75">
      <c r="A187" s="3" t="str">
        <f ca="1">IFERROR(__xludf.UNSUPPORTED("""COMPUTED_VALUE"""),"ff6afef9")</f>
        <v>ff6afef9</v>
      </c>
      <c r="B187" s="4">
        <f ca="1">IFERROR(__xludf.UNSUPPORTED("""COMPUTED_VALUE"""),45030.3939467592)</f>
        <v>45030.393946759199</v>
      </c>
      <c r="C187" s="8" t="str">
        <f ca="1">IFERROR(__xludf.UNSUPPORTED("""COMPUTED_VALUE"""),"Aratu")</f>
        <v>Aratu</v>
      </c>
      <c r="D187" s="3" t="str">
        <f ca="1">IFERROR(__xludf.UNSUPPORTED("""COMPUTED_VALUE"""),"🚢 REGULAR")</f>
        <v>🚢 REGULAR</v>
      </c>
      <c r="E187" s="3" t="str">
        <f ca="1">IFERROR(__xludf.UNSUPPORTED("""COMPUTED_VALUE"""),"🚛 LIBERADO")</f>
        <v>🚛 LIBERADO</v>
      </c>
      <c r="F187" s="5">
        <f ca="1">IFERROR(__xludf.UNSUPPORTED("""COMPUTED_VALUE"""),0)</f>
        <v>0</v>
      </c>
      <c r="G187" s="3" t="str">
        <f ca="1">IFERROR(__xludf.UNSUPPORTED("""COMPUTED_VALUE"""),"Normalidade")</f>
        <v>Normalidade</v>
      </c>
      <c r="H187" s="4">
        <f ca="1">IFERROR(__xludf.UNSUPPORTED("""COMPUTED_VALUE"""),45030.3939467592)</f>
        <v>45030.393946759199</v>
      </c>
      <c r="I187" s="3">
        <f ca="1">IFERROR(__xludf.UNSUPPORTED("""COMPUTED_VALUE"""),24)</f>
        <v>24</v>
      </c>
      <c r="J187" s="4">
        <f ca="1">IFERROR(__xludf.UNSUPPORTED("""COMPUTED_VALUE"""),45031.3939467592)</f>
        <v>45031.393946759199</v>
      </c>
      <c r="L187" s="3" t="str">
        <f ca="1">IFERROR(__xludf.UNSUPPORTED("""COMPUTED_VALUE"""),"Normalidade")</f>
        <v>Normalidade</v>
      </c>
    </row>
    <row r="188" spans="1:12" ht="12.75">
      <c r="A188" s="3" t="str">
        <f ca="1">IFERROR(__xludf.UNSUPPORTED("""COMPUTED_VALUE"""),"11b5b1d0")</f>
        <v>11b5b1d0</v>
      </c>
      <c r="B188" s="4">
        <f ca="1">IFERROR(__xludf.UNSUPPORTED("""COMPUTED_VALUE"""),45031.5416319444)</f>
        <v>45031.541631944398</v>
      </c>
      <c r="C188" s="8" t="str">
        <f ca="1">IFERROR(__xludf.UNSUPPORTED("""COMPUTED_VALUE"""),"Aratu")</f>
        <v>Aratu</v>
      </c>
      <c r="D188" s="3" t="str">
        <f ca="1">IFERROR(__xludf.UNSUPPORTED("""COMPUTED_VALUE"""),"🚢 REGULAR")</f>
        <v>🚢 REGULAR</v>
      </c>
      <c r="E188" s="3" t="str">
        <f ca="1">IFERROR(__xludf.UNSUPPORTED("""COMPUTED_VALUE"""),"🚛 LIBERADO")</f>
        <v>🚛 LIBERADO</v>
      </c>
      <c r="F188" s="5">
        <f ca="1">IFERROR(__xludf.UNSUPPORTED("""COMPUTED_VALUE"""),0)</f>
        <v>0</v>
      </c>
      <c r="G188" s="3" t="str">
        <f ca="1">IFERROR(__xludf.UNSUPPORTED("""COMPUTED_VALUE"""),"Normalidade")</f>
        <v>Normalidade</v>
      </c>
      <c r="H188" s="4">
        <f ca="1">IFERROR(__xludf.UNSUPPORTED("""COMPUTED_VALUE"""),45031.5416319444)</f>
        <v>45031.541631944398</v>
      </c>
      <c r="I188" s="3">
        <f ca="1">IFERROR(__xludf.UNSUPPORTED("""COMPUTED_VALUE"""),24)</f>
        <v>24</v>
      </c>
      <c r="J188" s="4">
        <f ca="1">IFERROR(__xludf.UNSUPPORTED("""COMPUTED_VALUE"""),45032.5416319444)</f>
        <v>45032.541631944398</v>
      </c>
      <c r="L188" s="3" t="str">
        <f ca="1">IFERROR(__xludf.UNSUPPORTED("""COMPUTED_VALUE"""),"Normalidade")</f>
        <v>Normalidade</v>
      </c>
    </row>
    <row r="189" spans="1:12" ht="12.75">
      <c r="A189" s="3" t="str">
        <f ca="1">IFERROR(__xludf.UNSUPPORTED("""COMPUTED_VALUE"""),"4b21bb5c")</f>
        <v>4b21bb5c</v>
      </c>
      <c r="B189" s="4">
        <f ca="1">IFERROR(__xludf.UNSUPPORTED("""COMPUTED_VALUE"""),45032.3947337962)</f>
        <v>45032.394733796202</v>
      </c>
      <c r="C189" s="7" t="str">
        <f ca="1">IFERROR(__xludf.UNSUPPORTED("""COMPUTED_VALUE"""),"Aratu")</f>
        <v>Aratu</v>
      </c>
      <c r="D189" s="3" t="str">
        <f ca="1">IFERROR(__xludf.UNSUPPORTED("""COMPUTED_VALUE"""),"🚢 REGULAR")</f>
        <v>🚢 REGULAR</v>
      </c>
      <c r="E189" s="3" t="str">
        <f ca="1">IFERROR(__xludf.UNSUPPORTED("""COMPUTED_VALUE"""),"🚛 LIBERADO")</f>
        <v>🚛 LIBERADO</v>
      </c>
      <c r="F189" s="5">
        <f ca="1">IFERROR(__xludf.UNSUPPORTED("""COMPUTED_VALUE"""),0)</f>
        <v>0</v>
      </c>
      <c r="G189" s="3" t="str">
        <f ca="1">IFERROR(__xludf.UNSUPPORTED("""COMPUTED_VALUE"""),"Normalidade")</f>
        <v>Normalidade</v>
      </c>
      <c r="H189" s="4">
        <f ca="1">IFERROR(__xludf.UNSUPPORTED("""COMPUTED_VALUE"""),45032.3947337962)</f>
        <v>45032.394733796202</v>
      </c>
      <c r="I189" s="3">
        <f ca="1">IFERROR(__xludf.UNSUPPORTED("""COMPUTED_VALUE"""),24)</f>
        <v>24</v>
      </c>
      <c r="J189" s="4">
        <f ca="1">IFERROR(__xludf.UNSUPPORTED("""COMPUTED_VALUE"""),45033.3947337962)</f>
        <v>45033.394733796202</v>
      </c>
      <c r="L189" s="3" t="str">
        <f ca="1">IFERROR(__xludf.UNSUPPORTED("""COMPUTED_VALUE"""),"Normalidade")</f>
        <v>Normalidade</v>
      </c>
    </row>
    <row r="190" spans="1:12" ht="12.75">
      <c r="A190" s="3" t="str">
        <f ca="1">IFERROR(__xludf.UNSUPPORTED("""COMPUTED_VALUE"""),"bcef443c")</f>
        <v>bcef443c</v>
      </c>
      <c r="B190" s="4">
        <f ca="1">IFERROR(__xludf.UNSUPPORTED("""COMPUTED_VALUE"""),45033.3562847222)</f>
        <v>45033.356284722198</v>
      </c>
      <c r="C190" s="7" t="str">
        <f ca="1">IFERROR(__xludf.UNSUPPORTED("""COMPUTED_VALUE"""),"Aratu")</f>
        <v>Aratu</v>
      </c>
      <c r="D190" s="3" t="str">
        <f ca="1">IFERROR(__xludf.UNSUPPORTED("""COMPUTED_VALUE"""),"🚢 REGULAR")</f>
        <v>🚢 REGULAR</v>
      </c>
      <c r="E190" s="3" t="str">
        <f ca="1">IFERROR(__xludf.UNSUPPORTED("""COMPUTED_VALUE"""),"🚛 LIBERADO")</f>
        <v>🚛 LIBERADO</v>
      </c>
      <c r="F190" s="5">
        <f ca="1">IFERROR(__xludf.UNSUPPORTED("""COMPUTED_VALUE"""),0)</f>
        <v>0</v>
      </c>
      <c r="G190" s="3" t="str">
        <f ca="1">IFERROR(__xludf.UNSUPPORTED("""COMPUTED_VALUE"""),"Normalidade")</f>
        <v>Normalidade</v>
      </c>
      <c r="H190" s="4">
        <f ca="1">IFERROR(__xludf.UNSUPPORTED("""COMPUTED_VALUE"""),45033.3562847222)</f>
        <v>45033.356284722198</v>
      </c>
      <c r="I190" s="3">
        <f ca="1">IFERROR(__xludf.UNSUPPORTED("""COMPUTED_VALUE"""),24)</f>
        <v>24</v>
      </c>
      <c r="J190" s="4">
        <f ca="1">IFERROR(__xludf.UNSUPPORTED("""COMPUTED_VALUE"""),45034.3562847222)</f>
        <v>45034.356284722198</v>
      </c>
      <c r="L190" s="3" t="str">
        <f ca="1">IFERROR(__xludf.UNSUPPORTED("""COMPUTED_VALUE"""),"Normalidade")</f>
        <v>Normalidade</v>
      </c>
    </row>
    <row r="191" spans="1:12" ht="12.75">
      <c r="A191" s="3" t="str">
        <f ca="1">IFERROR(__xludf.UNSUPPORTED("""COMPUTED_VALUE"""),"7c916244")</f>
        <v>7c916244</v>
      </c>
      <c r="B191" s="4">
        <f ca="1">IFERROR(__xludf.UNSUPPORTED("""COMPUTED_VALUE"""),45035.3497106481)</f>
        <v>45035.349710648101</v>
      </c>
      <c r="C191" s="7" t="str">
        <f ca="1">IFERROR(__xludf.UNSUPPORTED("""COMPUTED_VALUE"""),"Aratu")</f>
        <v>Aratu</v>
      </c>
      <c r="D191" s="3" t="str">
        <f ca="1">IFERROR(__xludf.UNSUPPORTED("""COMPUTED_VALUE"""),"🚢 REGULAR")</f>
        <v>🚢 REGULAR</v>
      </c>
      <c r="E191" s="3" t="str">
        <f ca="1">IFERROR(__xludf.UNSUPPORTED("""COMPUTED_VALUE"""),"🚛 LIBERADO")</f>
        <v>🚛 LIBERADO</v>
      </c>
      <c r="F191" s="5">
        <f ca="1">IFERROR(__xludf.UNSUPPORTED("""COMPUTED_VALUE"""),0)</f>
        <v>0</v>
      </c>
      <c r="G191" s="3" t="str">
        <f ca="1">IFERROR(__xludf.UNSUPPORTED("""COMPUTED_VALUE"""),"Normalidade")</f>
        <v>Normalidade</v>
      </c>
      <c r="H191" s="4">
        <f ca="1">IFERROR(__xludf.UNSUPPORTED("""COMPUTED_VALUE"""),45035.3497106481)</f>
        <v>45035.349710648101</v>
      </c>
      <c r="I191" s="3">
        <f ca="1">IFERROR(__xludf.UNSUPPORTED("""COMPUTED_VALUE"""),24)</f>
        <v>24</v>
      </c>
      <c r="J191" s="4">
        <f ca="1">IFERROR(__xludf.UNSUPPORTED("""COMPUTED_VALUE"""),45036.3497106481)</f>
        <v>45036.349710648101</v>
      </c>
      <c r="L191" s="3" t="str">
        <f ca="1">IFERROR(__xludf.UNSUPPORTED("""COMPUTED_VALUE"""),"Normalidade")</f>
        <v>Normalidade</v>
      </c>
    </row>
    <row r="192" spans="1:12" ht="12.75">
      <c r="A192" s="3" t="str">
        <f ca="1">IFERROR(__xludf.UNSUPPORTED("""COMPUTED_VALUE"""),"eeb466b5")</f>
        <v>eeb466b5</v>
      </c>
      <c r="B192" s="4">
        <f ca="1">IFERROR(__xludf.UNSUPPORTED("""COMPUTED_VALUE"""),45037.7188194444)</f>
        <v>45037.718819444402</v>
      </c>
      <c r="C192" s="7" t="str">
        <f ca="1">IFERROR(__xludf.UNSUPPORTED("""COMPUTED_VALUE"""),"Aratu")</f>
        <v>Aratu</v>
      </c>
      <c r="D192" s="3" t="str">
        <f ca="1">IFERROR(__xludf.UNSUPPORTED("""COMPUTED_VALUE"""),"🚢 REGULAR")</f>
        <v>🚢 REGULAR</v>
      </c>
      <c r="E192" s="3" t="str">
        <f ca="1">IFERROR(__xludf.UNSUPPORTED("""COMPUTED_VALUE"""),"🚛 LIBERADO")</f>
        <v>🚛 LIBERADO</v>
      </c>
      <c r="F192" s="5">
        <f ca="1">IFERROR(__xludf.UNSUPPORTED("""COMPUTED_VALUE"""),0)</f>
        <v>0</v>
      </c>
      <c r="G192" s="3" t="str">
        <f ca="1">IFERROR(__xludf.UNSUPPORTED("""COMPUTED_VALUE"""),"Normalidade")</f>
        <v>Normalidade</v>
      </c>
      <c r="H192" s="4">
        <f ca="1">IFERROR(__xludf.UNSUPPORTED("""COMPUTED_VALUE"""),45037.7188194444)</f>
        <v>45037.718819444402</v>
      </c>
      <c r="I192" s="3">
        <f ca="1">IFERROR(__xludf.UNSUPPORTED("""COMPUTED_VALUE"""),24)</f>
        <v>24</v>
      </c>
      <c r="J192" s="4">
        <f ca="1">IFERROR(__xludf.UNSUPPORTED("""COMPUTED_VALUE"""),45038.7188194444)</f>
        <v>45038.718819444402</v>
      </c>
      <c r="L192" s="3" t="str">
        <f ca="1">IFERROR(__xludf.UNSUPPORTED("""COMPUTED_VALUE"""),"Normalidade")</f>
        <v>Normalidade</v>
      </c>
    </row>
    <row r="193" spans="1:12" ht="12.75">
      <c r="A193" s="3" t="str">
        <f ca="1">IFERROR(__xludf.UNSUPPORTED("""COMPUTED_VALUE"""),"93a8e390")</f>
        <v>93a8e390</v>
      </c>
      <c r="B193" s="4">
        <f ca="1">IFERROR(__xludf.UNSUPPORTED("""COMPUTED_VALUE"""),45038.5253703703)</f>
        <v>45038.525370370298</v>
      </c>
      <c r="C193" s="8" t="str">
        <f ca="1">IFERROR(__xludf.UNSUPPORTED("""COMPUTED_VALUE"""),"Aratu")</f>
        <v>Aratu</v>
      </c>
      <c r="D193" s="3" t="str">
        <f ca="1">IFERROR(__xludf.UNSUPPORTED("""COMPUTED_VALUE"""),"🚢 REGULAR")</f>
        <v>🚢 REGULAR</v>
      </c>
      <c r="E193" s="3" t="str">
        <f ca="1">IFERROR(__xludf.UNSUPPORTED("""COMPUTED_VALUE"""),"🚛 LIBERADO")</f>
        <v>🚛 LIBERADO</v>
      </c>
      <c r="F193" s="5">
        <f ca="1">IFERROR(__xludf.UNSUPPORTED("""COMPUTED_VALUE"""),0)</f>
        <v>0</v>
      </c>
      <c r="G193" s="3" t="str">
        <f ca="1">IFERROR(__xludf.UNSUPPORTED("""COMPUTED_VALUE"""),"Normalidade")</f>
        <v>Normalidade</v>
      </c>
      <c r="H193" s="4">
        <f ca="1">IFERROR(__xludf.UNSUPPORTED("""COMPUTED_VALUE"""),45038.5253703703)</f>
        <v>45038.525370370298</v>
      </c>
      <c r="I193" s="3">
        <f ca="1">IFERROR(__xludf.UNSUPPORTED("""COMPUTED_VALUE"""),24)</f>
        <v>24</v>
      </c>
      <c r="J193" s="4">
        <f ca="1">IFERROR(__xludf.UNSUPPORTED("""COMPUTED_VALUE"""),45039.5253703703)</f>
        <v>45039.525370370298</v>
      </c>
      <c r="L193" s="3" t="str">
        <f ca="1">IFERROR(__xludf.UNSUPPORTED("""COMPUTED_VALUE"""),"Normalidade")</f>
        <v>Normalidade</v>
      </c>
    </row>
    <row r="194" spans="1:12" ht="12.75">
      <c r="A194" s="3" t="str">
        <f ca="1">IFERROR(__xludf.UNSUPPORTED("""COMPUTED_VALUE"""),"33133f39")</f>
        <v>33133f39</v>
      </c>
      <c r="B194" s="4">
        <f ca="1">IFERROR(__xludf.UNSUPPORTED("""COMPUTED_VALUE"""),45040.5108333333)</f>
        <v>45040.510833333297</v>
      </c>
      <c r="C194" s="8" t="str">
        <f ca="1">IFERROR(__xludf.UNSUPPORTED("""COMPUTED_VALUE"""),"Aratu")</f>
        <v>Aratu</v>
      </c>
      <c r="D194" s="3" t="str">
        <f ca="1">IFERROR(__xludf.UNSUPPORTED("""COMPUTED_VALUE"""),"🚢 REGULAR")</f>
        <v>🚢 REGULAR</v>
      </c>
      <c r="E194" s="3" t="str">
        <f ca="1">IFERROR(__xludf.UNSUPPORTED("""COMPUTED_VALUE"""),"🚛 LIBERADO")</f>
        <v>🚛 LIBERADO</v>
      </c>
      <c r="F194" s="5">
        <f ca="1">IFERROR(__xludf.UNSUPPORTED("""COMPUTED_VALUE"""),0)</f>
        <v>0</v>
      </c>
      <c r="G194" s="3" t="str">
        <f ca="1">IFERROR(__xludf.UNSUPPORTED("""COMPUTED_VALUE"""),"Normalidade")</f>
        <v>Normalidade</v>
      </c>
      <c r="H194" s="4">
        <f ca="1">IFERROR(__xludf.UNSUPPORTED("""COMPUTED_VALUE"""),45040.5108333333)</f>
        <v>45040.510833333297</v>
      </c>
      <c r="I194" s="3">
        <f ca="1">IFERROR(__xludf.UNSUPPORTED("""COMPUTED_VALUE"""),24)</f>
        <v>24</v>
      </c>
      <c r="J194" s="4">
        <f ca="1">IFERROR(__xludf.UNSUPPORTED("""COMPUTED_VALUE"""),45041.5108333333)</f>
        <v>45041.510833333297</v>
      </c>
      <c r="L194" s="3" t="str">
        <f ca="1">IFERROR(__xludf.UNSUPPORTED("""COMPUTED_VALUE"""),"Normalidade")</f>
        <v>Normalidade</v>
      </c>
    </row>
    <row r="195" spans="1:12" ht="12.75">
      <c r="A195" s="3" t="str">
        <f ca="1">IFERROR(__xludf.UNSUPPORTED("""COMPUTED_VALUE"""),"039a770d")</f>
        <v>039a770d</v>
      </c>
      <c r="B195" s="4">
        <f ca="1">IFERROR(__xludf.UNSUPPORTED("""COMPUTED_VALUE"""),45041.492824074)</f>
        <v>45041.492824073997</v>
      </c>
      <c r="C195" s="8" t="str">
        <f ca="1">IFERROR(__xludf.UNSUPPORTED("""COMPUTED_VALUE"""),"Aratu")</f>
        <v>Aratu</v>
      </c>
      <c r="D195" s="3" t="str">
        <f ca="1">IFERROR(__xludf.UNSUPPORTED("""COMPUTED_VALUE"""),"🚢 REGULAR")</f>
        <v>🚢 REGULAR</v>
      </c>
      <c r="E195" s="3" t="str">
        <f ca="1">IFERROR(__xludf.UNSUPPORTED("""COMPUTED_VALUE"""),"🚛 LIBERADO")</f>
        <v>🚛 LIBERADO</v>
      </c>
      <c r="F195" s="5">
        <f ca="1">IFERROR(__xludf.UNSUPPORTED("""COMPUTED_VALUE"""),0)</f>
        <v>0</v>
      </c>
      <c r="G195" s="3" t="str">
        <f ca="1">IFERROR(__xludf.UNSUPPORTED("""COMPUTED_VALUE"""),"Normalidade")</f>
        <v>Normalidade</v>
      </c>
      <c r="H195" s="4">
        <f ca="1">IFERROR(__xludf.UNSUPPORTED("""COMPUTED_VALUE"""),45041.492824074)</f>
        <v>45041.492824073997</v>
      </c>
      <c r="I195" s="3">
        <f ca="1">IFERROR(__xludf.UNSUPPORTED("""COMPUTED_VALUE"""),24)</f>
        <v>24</v>
      </c>
      <c r="J195" s="4">
        <f ca="1">IFERROR(__xludf.UNSUPPORTED("""COMPUTED_VALUE"""),45042.492824074)</f>
        <v>45042.492824073997</v>
      </c>
      <c r="L195" s="3" t="str">
        <f ca="1">IFERROR(__xludf.UNSUPPORTED("""COMPUTED_VALUE"""),"Normalidade")</f>
        <v>Normalidade</v>
      </c>
    </row>
    <row r="196" spans="1:12" ht="12.75">
      <c r="A196" s="3" t="str">
        <f ca="1">IFERROR(__xludf.UNSUPPORTED("""COMPUTED_VALUE"""),"4123a939")</f>
        <v>4123a939</v>
      </c>
      <c r="B196" s="4">
        <f ca="1">IFERROR(__xludf.UNSUPPORTED("""COMPUTED_VALUE"""),45042.3303472222)</f>
        <v>45042.330347222203</v>
      </c>
      <c r="C196" s="7" t="str">
        <f ca="1">IFERROR(__xludf.UNSUPPORTED("""COMPUTED_VALUE"""),"Aratu")</f>
        <v>Aratu</v>
      </c>
      <c r="D196" s="3" t="str">
        <f ca="1">IFERROR(__xludf.UNSUPPORTED("""COMPUTED_VALUE"""),"🚢 REGULAR")</f>
        <v>🚢 REGULAR</v>
      </c>
      <c r="E196" s="3" t="str">
        <f ca="1">IFERROR(__xludf.UNSUPPORTED("""COMPUTED_VALUE"""),"🚛 LIBERADO")</f>
        <v>🚛 LIBERADO</v>
      </c>
      <c r="F196" s="5">
        <f ca="1">IFERROR(__xludf.UNSUPPORTED("""COMPUTED_VALUE"""),0)</f>
        <v>0</v>
      </c>
      <c r="G196" s="3" t="str">
        <f ca="1">IFERROR(__xludf.UNSUPPORTED("""COMPUTED_VALUE"""),"Normalidade")</f>
        <v>Normalidade</v>
      </c>
      <c r="H196" s="4">
        <f ca="1">IFERROR(__xludf.UNSUPPORTED("""COMPUTED_VALUE"""),45042.3303472222)</f>
        <v>45042.330347222203</v>
      </c>
      <c r="I196" s="3">
        <f ca="1">IFERROR(__xludf.UNSUPPORTED("""COMPUTED_VALUE"""),24)</f>
        <v>24</v>
      </c>
      <c r="J196" s="4">
        <f ca="1">IFERROR(__xludf.UNSUPPORTED("""COMPUTED_VALUE"""),45043.3303472222)</f>
        <v>45043.330347222203</v>
      </c>
      <c r="L196" s="3" t="str">
        <f ca="1">IFERROR(__xludf.UNSUPPORTED("""COMPUTED_VALUE"""),"Normalidade")</f>
        <v>Normalidade</v>
      </c>
    </row>
    <row r="197" spans="1:12" ht="12.75">
      <c r="A197" s="3" t="str">
        <f ca="1">IFERROR(__xludf.UNSUPPORTED("""COMPUTED_VALUE"""),"bf38fe53")</f>
        <v>bf38fe53</v>
      </c>
      <c r="B197" s="4">
        <f ca="1">IFERROR(__xludf.UNSUPPORTED("""COMPUTED_VALUE"""),45044.2465162037)</f>
        <v>45044.246516203697</v>
      </c>
      <c r="C197" s="7" t="str">
        <f ca="1">IFERROR(__xludf.UNSUPPORTED("""COMPUTED_VALUE"""),"Aratu")</f>
        <v>Aratu</v>
      </c>
      <c r="D197" s="3" t="str">
        <f ca="1">IFERROR(__xludf.UNSUPPORTED("""COMPUTED_VALUE"""),"🚢 REGULAR")</f>
        <v>🚢 REGULAR</v>
      </c>
      <c r="E197" s="3" t="str">
        <f ca="1">IFERROR(__xludf.UNSUPPORTED("""COMPUTED_VALUE"""),"🚛 LIBERADO")</f>
        <v>🚛 LIBERADO</v>
      </c>
      <c r="F197" s="5">
        <f ca="1">IFERROR(__xludf.UNSUPPORTED("""COMPUTED_VALUE"""),0)</f>
        <v>0</v>
      </c>
      <c r="G197" s="3" t="str">
        <f ca="1">IFERROR(__xludf.UNSUPPORTED("""COMPUTED_VALUE"""),"Normalidade")</f>
        <v>Normalidade</v>
      </c>
      <c r="H197" s="4">
        <f ca="1">IFERROR(__xludf.UNSUPPORTED("""COMPUTED_VALUE"""),45044.2465162037)</f>
        <v>45044.246516203697</v>
      </c>
      <c r="I197" s="3">
        <f ca="1">IFERROR(__xludf.UNSUPPORTED("""COMPUTED_VALUE"""),24)</f>
        <v>24</v>
      </c>
      <c r="J197" s="4">
        <f ca="1">IFERROR(__xludf.UNSUPPORTED("""COMPUTED_VALUE"""),45045.2465162037)</f>
        <v>45045.246516203697</v>
      </c>
      <c r="L197" s="3" t="str">
        <f ca="1">IFERROR(__xludf.UNSUPPORTED("""COMPUTED_VALUE"""),"Normalidade")</f>
        <v>Normalidade</v>
      </c>
    </row>
    <row r="198" spans="1:12" ht="12.75">
      <c r="A198" s="3" t="str">
        <f ca="1">IFERROR(__xludf.UNSUPPORTED("""COMPUTED_VALUE"""),"4fa4b097")</f>
        <v>4fa4b097</v>
      </c>
      <c r="B198" s="4">
        <f ca="1">IFERROR(__xludf.UNSUPPORTED("""COMPUTED_VALUE"""),45046.3777546296)</f>
        <v>45046.377754629597</v>
      </c>
      <c r="C198" s="7" t="str">
        <f ca="1">IFERROR(__xludf.UNSUPPORTED("""COMPUTED_VALUE"""),"Aratu")</f>
        <v>Aratu</v>
      </c>
      <c r="D198" s="3" t="str">
        <f ca="1">IFERROR(__xludf.UNSUPPORTED("""COMPUTED_VALUE"""),"🚢 REGULAR")</f>
        <v>🚢 REGULAR</v>
      </c>
      <c r="E198" s="3" t="str">
        <f ca="1">IFERROR(__xludf.UNSUPPORTED("""COMPUTED_VALUE"""),"🚛 LIBERADO")</f>
        <v>🚛 LIBERADO</v>
      </c>
      <c r="F198" s="5">
        <f ca="1">IFERROR(__xludf.UNSUPPORTED("""COMPUTED_VALUE"""),0)</f>
        <v>0</v>
      </c>
      <c r="G198" s="3" t="str">
        <f ca="1">IFERROR(__xludf.UNSUPPORTED("""COMPUTED_VALUE"""),"Normalidade")</f>
        <v>Normalidade</v>
      </c>
      <c r="H198" s="4">
        <f ca="1">IFERROR(__xludf.UNSUPPORTED("""COMPUTED_VALUE"""),45046.3777546296)</f>
        <v>45046.377754629597</v>
      </c>
      <c r="I198" s="3">
        <f ca="1">IFERROR(__xludf.UNSUPPORTED("""COMPUTED_VALUE"""),24)</f>
        <v>24</v>
      </c>
      <c r="J198" s="4">
        <f ca="1">IFERROR(__xludf.UNSUPPORTED("""COMPUTED_VALUE"""),45047.3777546296)</f>
        <v>45047.377754629597</v>
      </c>
      <c r="L198" s="3" t="str">
        <f ca="1">IFERROR(__xludf.UNSUPPORTED("""COMPUTED_VALUE"""),"Normalidade")</f>
        <v>Normalidade</v>
      </c>
    </row>
    <row r="199" spans="1:12" ht="12.75">
      <c r="A199" s="3" t="str">
        <f ca="1">IFERROR(__xludf.UNSUPPORTED("""COMPUTED_VALUE"""),"d47c61c2")</f>
        <v>d47c61c2</v>
      </c>
      <c r="B199" s="4">
        <f ca="1">IFERROR(__xludf.UNSUPPORTED("""COMPUTED_VALUE"""),45048.388125)</f>
        <v>45048.388124999998</v>
      </c>
      <c r="C199" s="8" t="str">
        <f ca="1">IFERROR(__xludf.UNSUPPORTED("""COMPUTED_VALUE"""),"Aratu")</f>
        <v>Aratu</v>
      </c>
      <c r="D199" s="3" t="str">
        <f ca="1">IFERROR(__xludf.UNSUPPORTED("""COMPUTED_VALUE"""),"🚢 REGULAR")</f>
        <v>🚢 REGULAR</v>
      </c>
      <c r="E199" s="3" t="str">
        <f ca="1">IFERROR(__xludf.UNSUPPORTED("""COMPUTED_VALUE"""),"🚛 LIBERADO")</f>
        <v>🚛 LIBERADO</v>
      </c>
      <c r="F199" s="5">
        <f ca="1">IFERROR(__xludf.UNSUPPORTED("""COMPUTED_VALUE"""),0)</f>
        <v>0</v>
      </c>
      <c r="G199" s="3" t="str">
        <f ca="1">IFERROR(__xludf.UNSUPPORTED("""COMPUTED_VALUE"""),"Normalidade")</f>
        <v>Normalidade</v>
      </c>
      <c r="H199" s="4">
        <f ca="1">IFERROR(__xludf.UNSUPPORTED("""COMPUTED_VALUE"""),45048.388125)</f>
        <v>45048.388124999998</v>
      </c>
      <c r="I199" s="3">
        <f ca="1">IFERROR(__xludf.UNSUPPORTED("""COMPUTED_VALUE"""),24)</f>
        <v>24</v>
      </c>
      <c r="J199" s="4">
        <f ca="1">IFERROR(__xludf.UNSUPPORTED("""COMPUTED_VALUE"""),45049.388125)</f>
        <v>45049.388124999998</v>
      </c>
      <c r="L199" s="3" t="str">
        <f ca="1">IFERROR(__xludf.UNSUPPORTED("""COMPUTED_VALUE"""),"Normalidade")</f>
        <v>Normalidade</v>
      </c>
    </row>
    <row r="200" spans="1:12" ht="12.75">
      <c r="A200" s="3" t="str">
        <f ca="1">IFERROR(__xludf.UNSUPPORTED("""COMPUTED_VALUE"""),"dad54f8e")</f>
        <v>dad54f8e</v>
      </c>
      <c r="B200" s="4">
        <f ca="1">IFERROR(__xludf.UNSUPPORTED("""COMPUTED_VALUE"""),45049.2584375)</f>
        <v>45049.258437500001</v>
      </c>
      <c r="C200" s="7" t="str">
        <f ca="1">IFERROR(__xludf.UNSUPPORTED("""COMPUTED_VALUE"""),"Aratu")</f>
        <v>Aratu</v>
      </c>
      <c r="D200" s="3" t="str">
        <f ca="1">IFERROR(__xludf.UNSUPPORTED("""COMPUTED_VALUE"""),"🚢 REGULAR")</f>
        <v>🚢 REGULAR</v>
      </c>
      <c r="E200" s="3" t="str">
        <f ca="1">IFERROR(__xludf.UNSUPPORTED("""COMPUTED_VALUE"""),"🚛 LIBERADO")</f>
        <v>🚛 LIBERADO</v>
      </c>
      <c r="F200" s="5">
        <f ca="1">IFERROR(__xludf.UNSUPPORTED("""COMPUTED_VALUE"""),0)</f>
        <v>0</v>
      </c>
      <c r="G200" s="3" t="str">
        <f ca="1">IFERROR(__xludf.UNSUPPORTED("""COMPUTED_VALUE"""),"Normalidade")</f>
        <v>Normalidade</v>
      </c>
      <c r="H200" s="4">
        <f ca="1">IFERROR(__xludf.UNSUPPORTED("""COMPUTED_VALUE"""),45049.2584375)</f>
        <v>45049.258437500001</v>
      </c>
      <c r="I200" s="3">
        <f ca="1">IFERROR(__xludf.UNSUPPORTED("""COMPUTED_VALUE"""),24)</f>
        <v>24</v>
      </c>
      <c r="J200" s="4">
        <f ca="1">IFERROR(__xludf.UNSUPPORTED("""COMPUTED_VALUE"""),45050.2584375)</f>
        <v>45050.258437500001</v>
      </c>
      <c r="L200" s="3" t="str">
        <f ca="1">IFERROR(__xludf.UNSUPPORTED("""COMPUTED_VALUE"""),"Normalidade")</f>
        <v>Normalidade</v>
      </c>
    </row>
    <row r="201" spans="1:12" ht="12.75">
      <c r="A201" s="3" t="str">
        <f ca="1">IFERROR(__xludf.UNSUPPORTED("""COMPUTED_VALUE"""),"7fb9bbf7")</f>
        <v>7fb9bbf7</v>
      </c>
      <c r="B201" s="4">
        <f ca="1">IFERROR(__xludf.UNSUPPORTED("""COMPUTED_VALUE"""),45051.2797569444)</f>
        <v>45051.279756944401</v>
      </c>
      <c r="C201" s="8" t="str">
        <f ca="1">IFERROR(__xludf.UNSUPPORTED("""COMPUTED_VALUE"""),"Aratu")</f>
        <v>Aratu</v>
      </c>
      <c r="D201" s="3" t="str">
        <f ca="1">IFERROR(__xludf.UNSUPPORTED("""COMPUTED_VALUE"""),"🚢 REGULAR")</f>
        <v>🚢 REGULAR</v>
      </c>
      <c r="E201" s="3" t="str">
        <f ca="1">IFERROR(__xludf.UNSUPPORTED("""COMPUTED_VALUE"""),"🚛 LIBERADO")</f>
        <v>🚛 LIBERADO</v>
      </c>
      <c r="F201" s="5">
        <f ca="1">IFERROR(__xludf.UNSUPPORTED("""COMPUTED_VALUE"""),0)</f>
        <v>0</v>
      </c>
      <c r="G201" s="3" t="str">
        <f ca="1">IFERROR(__xludf.UNSUPPORTED("""COMPUTED_VALUE"""),"Normalidade")</f>
        <v>Normalidade</v>
      </c>
      <c r="H201" s="4">
        <f ca="1">IFERROR(__xludf.UNSUPPORTED("""COMPUTED_VALUE"""),45051.2797569444)</f>
        <v>45051.279756944401</v>
      </c>
      <c r="I201" s="3">
        <f ca="1">IFERROR(__xludf.UNSUPPORTED("""COMPUTED_VALUE"""),24)</f>
        <v>24</v>
      </c>
      <c r="J201" s="4">
        <f ca="1">IFERROR(__xludf.UNSUPPORTED("""COMPUTED_VALUE"""),45052.2797569444)</f>
        <v>45052.279756944401</v>
      </c>
      <c r="L201" s="3" t="str">
        <f ca="1">IFERROR(__xludf.UNSUPPORTED("""COMPUTED_VALUE"""),"Normalidade")</f>
        <v>Normalidade</v>
      </c>
    </row>
    <row r="202" spans="1:12" ht="12.75">
      <c r="A202" s="3" t="str">
        <f ca="1">IFERROR(__xludf.UNSUPPORTED("""COMPUTED_VALUE"""),"441517be")</f>
        <v>441517be</v>
      </c>
      <c r="B202" s="4">
        <f ca="1">IFERROR(__xludf.UNSUPPORTED("""COMPUTED_VALUE"""),45053.7202662037)</f>
        <v>45053.720266203702</v>
      </c>
      <c r="C202" s="7" t="str">
        <f ca="1">IFERROR(__xludf.UNSUPPORTED("""COMPUTED_VALUE"""),"Aratu")</f>
        <v>Aratu</v>
      </c>
      <c r="D202" s="3" t="str">
        <f ca="1">IFERROR(__xludf.UNSUPPORTED("""COMPUTED_VALUE"""),"🚢 REGULAR")</f>
        <v>🚢 REGULAR</v>
      </c>
      <c r="E202" s="3" t="str">
        <f ca="1">IFERROR(__xludf.UNSUPPORTED("""COMPUTED_VALUE"""),"🚛 LIBERADO")</f>
        <v>🚛 LIBERADO</v>
      </c>
      <c r="F202" s="5">
        <f ca="1">IFERROR(__xludf.UNSUPPORTED("""COMPUTED_VALUE"""),0)</f>
        <v>0</v>
      </c>
      <c r="G202" s="3" t="str">
        <f ca="1">IFERROR(__xludf.UNSUPPORTED("""COMPUTED_VALUE"""),"Normalidade")</f>
        <v>Normalidade</v>
      </c>
      <c r="H202" s="4">
        <f ca="1">IFERROR(__xludf.UNSUPPORTED("""COMPUTED_VALUE"""),45053.7202662037)</f>
        <v>45053.720266203702</v>
      </c>
      <c r="I202" s="3">
        <f ca="1">IFERROR(__xludf.UNSUPPORTED("""COMPUTED_VALUE"""),24)</f>
        <v>24</v>
      </c>
      <c r="J202" s="4">
        <f ca="1">IFERROR(__xludf.UNSUPPORTED("""COMPUTED_VALUE"""),45054.7202662037)</f>
        <v>45054.720266203702</v>
      </c>
      <c r="L202" s="3" t="str">
        <f ca="1">IFERROR(__xludf.UNSUPPORTED("""COMPUTED_VALUE"""),"Normalidade")</f>
        <v>Normalidade</v>
      </c>
    </row>
    <row r="203" spans="1:12" ht="12.75">
      <c r="A203" s="3" t="str">
        <f ca="1">IFERROR(__xludf.UNSUPPORTED("""COMPUTED_VALUE"""),"dd8ec837")</f>
        <v>dd8ec837</v>
      </c>
      <c r="B203" s="4">
        <f ca="1">IFERROR(__xludf.UNSUPPORTED("""COMPUTED_VALUE"""),45054.4401851851)</f>
        <v>45054.4401851851</v>
      </c>
      <c r="C203" s="8" t="str">
        <f ca="1">IFERROR(__xludf.UNSUPPORTED("""COMPUTED_VALUE"""),"Aratu")</f>
        <v>Aratu</v>
      </c>
      <c r="D203" s="3" t="str">
        <f ca="1">IFERROR(__xludf.UNSUPPORTED("""COMPUTED_VALUE"""),"🚢 REGULAR")</f>
        <v>🚢 REGULAR</v>
      </c>
      <c r="E203" s="3" t="str">
        <f ca="1">IFERROR(__xludf.UNSUPPORTED("""COMPUTED_VALUE"""),"🚛 LIBERADO")</f>
        <v>🚛 LIBERADO</v>
      </c>
      <c r="F203" s="5">
        <f ca="1">IFERROR(__xludf.UNSUPPORTED("""COMPUTED_VALUE"""),0)</f>
        <v>0</v>
      </c>
      <c r="G203" s="3" t="str">
        <f ca="1">IFERROR(__xludf.UNSUPPORTED("""COMPUTED_VALUE"""),"Normalidade")</f>
        <v>Normalidade</v>
      </c>
      <c r="H203" s="4">
        <f ca="1">IFERROR(__xludf.UNSUPPORTED("""COMPUTED_VALUE"""),45054.4401851851)</f>
        <v>45054.4401851851</v>
      </c>
      <c r="I203" s="3">
        <f ca="1">IFERROR(__xludf.UNSUPPORTED("""COMPUTED_VALUE"""),24)</f>
        <v>24</v>
      </c>
      <c r="J203" s="4">
        <f ca="1">IFERROR(__xludf.UNSUPPORTED("""COMPUTED_VALUE"""),45055.4401851851)</f>
        <v>45055.4401851851</v>
      </c>
      <c r="L203" s="3" t="str">
        <f ca="1">IFERROR(__xludf.UNSUPPORTED("""COMPUTED_VALUE"""),"Normalidade")</f>
        <v>Normalidade</v>
      </c>
    </row>
    <row r="204" spans="1:12" ht="12.75">
      <c r="A204" s="3" t="str">
        <f ca="1">IFERROR(__xludf.UNSUPPORTED("""COMPUTED_VALUE"""),"776a1d84")</f>
        <v>776a1d84</v>
      </c>
      <c r="B204" s="4">
        <f ca="1">IFERROR(__xludf.UNSUPPORTED("""COMPUTED_VALUE"""),45055.2875810185)</f>
        <v>45055.2875810185</v>
      </c>
      <c r="C204" s="8" t="str">
        <f ca="1">IFERROR(__xludf.UNSUPPORTED("""COMPUTED_VALUE"""),"Aratu")</f>
        <v>Aratu</v>
      </c>
      <c r="D204" s="3" t="str">
        <f ca="1">IFERROR(__xludf.UNSUPPORTED("""COMPUTED_VALUE"""),"🚢 REGULAR")</f>
        <v>🚢 REGULAR</v>
      </c>
      <c r="E204" s="3" t="str">
        <f ca="1">IFERROR(__xludf.UNSUPPORTED("""COMPUTED_VALUE"""),"🚛 LIBERADO")</f>
        <v>🚛 LIBERADO</v>
      </c>
      <c r="F204" s="5">
        <f ca="1">IFERROR(__xludf.UNSUPPORTED("""COMPUTED_VALUE"""),0)</f>
        <v>0</v>
      </c>
      <c r="G204" s="3" t="str">
        <f ca="1">IFERROR(__xludf.UNSUPPORTED("""COMPUTED_VALUE"""),"Normalidade")</f>
        <v>Normalidade</v>
      </c>
      <c r="H204" s="4">
        <f ca="1">IFERROR(__xludf.UNSUPPORTED("""COMPUTED_VALUE"""),45055.2875810185)</f>
        <v>45055.2875810185</v>
      </c>
      <c r="I204" s="3">
        <f ca="1">IFERROR(__xludf.UNSUPPORTED("""COMPUTED_VALUE"""),24)</f>
        <v>24</v>
      </c>
      <c r="J204" s="4">
        <f ca="1">IFERROR(__xludf.UNSUPPORTED("""COMPUTED_VALUE"""),45056.2875810185)</f>
        <v>45056.2875810185</v>
      </c>
      <c r="L204" s="3" t="str">
        <f ca="1">IFERROR(__xludf.UNSUPPORTED("""COMPUTED_VALUE"""),"Normalidade")</f>
        <v>Normalidade</v>
      </c>
    </row>
    <row r="205" spans="1:12" ht="12.75">
      <c r="A205" s="3" t="str">
        <f ca="1">IFERROR(__xludf.UNSUPPORTED("""COMPUTED_VALUE"""),"bd6a40b4")</f>
        <v>bd6a40b4</v>
      </c>
      <c r="B205" s="4">
        <f ca="1">IFERROR(__xludf.UNSUPPORTED("""COMPUTED_VALUE"""),45058.2723611111)</f>
        <v>45058.2723611111</v>
      </c>
      <c r="C205" s="7" t="str">
        <f ca="1">IFERROR(__xludf.UNSUPPORTED("""COMPUTED_VALUE"""),"Aratu")</f>
        <v>Aratu</v>
      </c>
      <c r="D205" s="3" t="str">
        <f ca="1">IFERROR(__xludf.UNSUPPORTED("""COMPUTED_VALUE"""),"🚢 REGULAR")</f>
        <v>🚢 REGULAR</v>
      </c>
      <c r="E205" s="3" t="str">
        <f ca="1">IFERROR(__xludf.UNSUPPORTED("""COMPUTED_VALUE"""),"🚛 LIBERADO")</f>
        <v>🚛 LIBERADO</v>
      </c>
      <c r="F205" s="5">
        <f ca="1">IFERROR(__xludf.UNSUPPORTED("""COMPUTED_VALUE"""),0)</f>
        <v>0</v>
      </c>
      <c r="G205" s="3" t="str">
        <f ca="1">IFERROR(__xludf.UNSUPPORTED("""COMPUTED_VALUE"""),"Normalidade")</f>
        <v>Normalidade</v>
      </c>
      <c r="H205" s="4">
        <f ca="1">IFERROR(__xludf.UNSUPPORTED("""COMPUTED_VALUE"""),45058.2723611111)</f>
        <v>45058.2723611111</v>
      </c>
      <c r="I205" s="3">
        <f ca="1">IFERROR(__xludf.UNSUPPORTED("""COMPUTED_VALUE"""),24)</f>
        <v>24</v>
      </c>
      <c r="J205" s="4">
        <f ca="1">IFERROR(__xludf.UNSUPPORTED("""COMPUTED_VALUE"""),45059.2723611111)</f>
        <v>45059.2723611111</v>
      </c>
      <c r="L205" s="3" t="str">
        <f ca="1">IFERROR(__xludf.UNSUPPORTED("""COMPUTED_VALUE"""),"Normalidade")</f>
        <v>Normalidade</v>
      </c>
    </row>
    <row r="206" spans="1:12" ht="12.75">
      <c r="A206" s="3" t="str">
        <f ca="1">IFERROR(__xludf.UNSUPPORTED("""COMPUTED_VALUE"""),"326e5f7b")</f>
        <v>326e5f7b</v>
      </c>
      <c r="B206" s="4">
        <f ca="1">IFERROR(__xludf.UNSUPPORTED("""COMPUTED_VALUE"""),45060.3990277777)</f>
        <v>45060.399027777697</v>
      </c>
      <c r="C206" s="8" t="str">
        <f ca="1">IFERROR(__xludf.UNSUPPORTED("""COMPUTED_VALUE"""),"Aratu")</f>
        <v>Aratu</v>
      </c>
      <c r="D206" s="3" t="str">
        <f ca="1">IFERROR(__xludf.UNSUPPORTED("""COMPUTED_VALUE"""),"🚢 REGULAR")</f>
        <v>🚢 REGULAR</v>
      </c>
      <c r="E206" s="3" t="str">
        <f ca="1">IFERROR(__xludf.UNSUPPORTED("""COMPUTED_VALUE"""),"🚛 LIBERADO")</f>
        <v>🚛 LIBERADO</v>
      </c>
      <c r="F206" s="5">
        <f ca="1">IFERROR(__xludf.UNSUPPORTED("""COMPUTED_VALUE"""),0)</f>
        <v>0</v>
      </c>
      <c r="G206" s="3" t="str">
        <f ca="1">IFERROR(__xludf.UNSUPPORTED("""COMPUTED_VALUE"""),"Normalidade")</f>
        <v>Normalidade</v>
      </c>
      <c r="H206" s="4">
        <f ca="1">IFERROR(__xludf.UNSUPPORTED("""COMPUTED_VALUE"""),45060.3990277777)</f>
        <v>45060.399027777697</v>
      </c>
      <c r="I206" s="3">
        <f ca="1">IFERROR(__xludf.UNSUPPORTED("""COMPUTED_VALUE"""),24)</f>
        <v>24</v>
      </c>
      <c r="J206" s="4">
        <f ca="1">IFERROR(__xludf.UNSUPPORTED("""COMPUTED_VALUE"""),45061.3990277777)</f>
        <v>45061.399027777697</v>
      </c>
      <c r="L206" s="3" t="str">
        <f ca="1">IFERROR(__xludf.UNSUPPORTED("""COMPUTED_VALUE"""),"Normalidade")</f>
        <v>Normalidade</v>
      </c>
    </row>
    <row r="207" spans="1:12" ht="12.75">
      <c r="A207" s="3" t="str">
        <f ca="1">IFERROR(__xludf.UNSUPPORTED("""COMPUTED_VALUE"""),"b8ac5be6")</f>
        <v>b8ac5be6</v>
      </c>
      <c r="B207" s="4">
        <f ca="1">IFERROR(__xludf.UNSUPPORTED("""COMPUTED_VALUE"""),45061.3205671296)</f>
        <v>45061.320567129602</v>
      </c>
      <c r="C207" s="8" t="str">
        <f ca="1">IFERROR(__xludf.UNSUPPORTED("""COMPUTED_VALUE"""),"Aratu")</f>
        <v>Aratu</v>
      </c>
      <c r="D207" s="3" t="str">
        <f ca="1">IFERROR(__xludf.UNSUPPORTED("""COMPUTED_VALUE"""),"🚢 REGULAR")</f>
        <v>🚢 REGULAR</v>
      </c>
      <c r="E207" s="3" t="str">
        <f ca="1">IFERROR(__xludf.UNSUPPORTED("""COMPUTED_VALUE"""),"🚛 LIBERADO")</f>
        <v>🚛 LIBERADO</v>
      </c>
      <c r="F207" s="5">
        <f ca="1">IFERROR(__xludf.UNSUPPORTED("""COMPUTED_VALUE"""),0)</f>
        <v>0</v>
      </c>
      <c r="G207" s="3" t="str">
        <f ca="1">IFERROR(__xludf.UNSUPPORTED("""COMPUTED_VALUE"""),"Normalidade")</f>
        <v>Normalidade</v>
      </c>
      <c r="H207" s="4">
        <f ca="1">IFERROR(__xludf.UNSUPPORTED("""COMPUTED_VALUE"""),45061.3205671296)</f>
        <v>45061.320567129602</v>
      </c>
      <c r="I207" s="3">
        <f ca="1">IFERROR(__xludf.UNSUPPORTED("""COMPUTED_VALUE"""),24)</f>
        <v>24</v>
      </c>
      <c r="J207" s="4">
        <f ca="1">IFERROR(__xludf.UNSUPPORTED("""COMPUTED_VALUE"""),45062.3205671296)</f>
        <v>45062.320567129602</v>
      </c>
      <c r="L207" s="3" t="str">
        <f ca="1">IFERROR(__xludf.UNSUPPORTED("""COMPUTED_VALUE"""),"Normalidade")</f>
        <v>Normalidade</v>
      </c>
    </row>
    <row r="208" spans="1:12" ht="12.75">
      <c r="A208" s="3" t="str">
        <f ca="1">IFERROR(__xludf.UNSUPPORTED("""COMPUTED_VALUE"""),"aaf629e4")</f>
        <v>aaf629e4</v>
      </c>
      <c r="B208" s="4">
        <f ca="1">IFERROR(__xludf.UNSUPPORTED("""COMPUTED_VALUE"""),45064.2825810185)</f>
        <v>45064.282581018502</v>
      </c>
      <c r="C208" s="8" t="str">
        <f ca="1">IFERROR(__xludf.UNSUPPORTED("""COMPUTED_VALUE"""),"Aratu")</f>
        <v>Aratu</v>
      </c>
      <c r="D208" s="3" t="str">
        <f ca="1">IFERROR(__xludf.UNSUPPORTED("""COMPUTED_VALUE"""),"🚢 REGULAR")</f>
        <v>🚢 REGULAR</v>
      </c>
      <c r="E208" s="3" t="str">
        <f ca="1">IFERROR(__xludf.UNSUPPORTED("""COMPUTED_VALUE"""),"🚛 LIBERADO")</f>
        <v>🚛 LIBERADO</v>
      </c>
      <c r="F208" s="5">
        <f ca="1">IFERROR(__xludf.UNSUPPORTED("""COMPUTED_VALUE"""),0)</f>
        <v>0</v>
      </c>
      <c r="G208" s="3" t="str">
        <f ca="1">IFERROR(__xludf.UNSUPPORTED("""COMPUTED_VALUE"""),"Normalidade")</f>
        <v>Normalidade</v>
      </c>
      <c r="H208" s="4">
        <f ca="1">IFERROR(__xludf.UNSUPPORTED("""COMPUTED_VALUE"""),45064.2825810185)</f>
        <v>45064.282581018502</v>
      </c>
      <c r="I208" s="3">
        <f ca="1">IFERROR(__xludf.UNSUPPORTED("""COMPUTED_VALUE"""),24)</f>
        <v>24</v>
      </c>
      <c r="J208" s="4">
        <f ca="1">IFERROR(__xludf.UNSUPPORTED("""COMPUTED_VALUE"""),45065.2825810185)</f>
        <v>45065.282581018502</v>
      </c>
      <c r="L208" s="3" t="str">
        <f ca="1">IFERROR(__xludf.UNSUPPORTED("""COMPUTED_VALUE"""),"Normalidade")</f>
        <v>Normalidade</v>
      </c>
    </row>
    <row r="209" spans="1:12" ht="12.75">
      <c r="A209" s="3" t="str">
        <f ca="1">IFERROR(__xludf.UNSUPPORTED("""COMPUTED_VALUE"""),"c2bd7572")</f>
        <v>c2bd7572</v>
      </c>
      <c r="B209" s="4">
        <f ca="1">IFERROR(__xludf.UNSUPPORTED("""COMPUTED_VALUE"""),45066.4645138888)</f>
        <v>45066.464513888801</v>
      </c>
      <c r="C209" s="7" t="str">
        <f ca="1">IFERROR(__xludf.UNSUPPORTED("""COMPUTED_VALUE"""),"Aratu")</f>
        <v>Aratu</v>
      </c>
      <c r="D209" s="3" t="str">
        <f ca="1">IFERROR(__xludf.UNSUPPORTED("""COMPUTED_VALUE"""),"🚢 REGULAR")</f>
        <v>🚢 REGULAR</v>
      </c>
      <c r="E209" s="3" t="str">
        <f ca="1">IFERROR(__xludf.UNSUPPORTED("""COMPUTED_VALUE"""),"🚛 LIBERADO")</f>
        <v>🚛 LIBERADO</v>
      </c>
      <c r="F209" s="5">
        <f ca="1">IFERROR(__xludf.UNSUPPORTED("""COMPUTED_VALUE"""),0)</f>
        <v>0</v>
      </c>
      <c r="G209" s="3" t="str">
        <f ca="1">IFERROR(__xludf.UNSUPPORTED("""COMPUTED_VALUE"""),"Normalidade")</f>
        <v>Normalidade</v>
      </c>
      <c r="H209" s="4">
        <f ca="1">IFERROR(__xludf.UNSUPPORTED("""COMPUTED_VALUE"""),45066.4645138888)</f>
        <v>45066.464513888801</v>
      </c>
      <c r="I209" s="3">
        <f ca="1">IFERROR(__xludf.UNSUPPORTED("""COMPUTED_VALUE"""),24)</f>
        <v>24</v>
      </c>
      <c r="J209" s="4">
        <f ca="1">IFERROR(__xludf.UNSUPPORTED("""COMPUTED_VALUE"""),45067.4645138888)</f>
        <v>45067.464513888801</v>
      </c>
      <c r="L209" s="3" t="str">
        <f ca="1">IFERROR(__xludf.UNSUPPORTED("""COMPUTED_VALUE"""),"Normalidade")</f>
        <v>Normalidade</v>
      </c>
    </row>
    <row r="210" spans="1:12" ht="12.75">
      <c r="A210" s="3" t="str">
        <f ca="1">IFERROR(__xludf.UNSUPPORTED("""COMPUTED_VALUE"""),"e9f001de")</f>
        <v>e9f001de</v>
      </c>
      <c r="B210" s="4">
        <f ca="1">IFERROR(__xludf.UNSUPPORTED("""COMPUTED_VALUE"""),45067.2767129629)</f>
        <v>45067.276712962899</v>
      </c>
      <c r="C210" s="7" t="str">
        <f ca="1">IFERROR(__xludf.UNSUPPORTED("""COMPUTED_VALUE"""),"Aratu")</f>
        <v>Aratu</v>
      </c>
      <c r="D210" s="3" t="str">
        <f ca="1">IFERROR(__xludf.UNSUPPORTED("""COMPUTED_VALUE"""),"🚢 REGULAR")</f>
        <v>🚢 REGULAR</v>
      </c>
      <c r="E210" s="3" t="str">
        <f ca="1">IFERROR(__xludf.UNSUPPORTED("""COMPUTED_VALUE"""),"🚛 LIBERADO")</f>
        <v>🚛 LIBERADO</v>
      </c>
      <c r="F210" s="5">
        <f ca="1">IFERROR(__xludf.UNSUPPORTED("""COMPUTED_VALUE"""),0)</f>
        <v>0</v>
      </c>
      <c r="G210" s="3" t="str">
        <f ca="1">IFERROR(__xludf.UNSUPPORTED("""COMPUTED_VALUE"""),"Normalidade")</f>
        <v>Normalidade</v>
      </c>
      <c r="H210" s="4">
        <f ca="1">IFERROR(__xludf.UNSUPPORTED("""COMPUTED_VALUE"""),45067.2767129629)</f>
        <v>45067.276712962899</v>
      </c>
      <c r="I210" s="3">
        <f ca="1">IFERROR(__xludf.UNSUPPORTED("""COMPUTED_VALUE"""),24)</f>
        <v>24</v>
      </c>
      <c r="J210" s="4">
        <f ca="1">IFERROR(__xludf.UNSUPPORTED("""COMPUTED_VALUE"""),45068.2767129629)</f>
        <v>45068.276712962899</v>
      </c>
      <c r="L210" s="3" t="str">
        <f ca="1">IFERROR(__xludf.UNSUPPORTED("""COMPUTED_VALUE"""),"Normalidade")</f>
        <v>Normalidade</v>
      </c>
    </row>
    <row r="211" spans="1:12" ht="12.75">
      <c r="A211" s="3" t="str">
        <f ca="1">IFERROR(__xludf.UNSUPPORTED("""COMPUTED_VALUE"""),"4a061e75")</f>
        <v>4a061e75</v>
      </c>
      <c r="B211" s="4">
        <f ca="1">IFERROR(__xludf.UNSUPPORTED("""COMPUTED_VALUE"""),45069.2620023148)</f>
        <v>45069.262002314797</v>
      </c>
      <c r="C211" s="8" t="str">
        <f ca="1">IFERROR(__xludf.UNSUPPORTED("""COMPUTED_VALUE"""),"Aratu")</f>
        <v>Aratu</v>
      </c>
      <c r="D211" s="3" t="str">
        <f ca="1">IFERROR(__xludf.UNSUPPORTED("""COMPUTED_VALUE"""),"🚢 REGULAR")</f>
        <v>🚢 REGULAR</v>
      </c>
      <c r="E211" s="3" t="str">
        <f ca="1">IFERROR(__xludf.UNSUPPORTED("""COMPUTED_VALUE"""),"🚛 LIBERADO")</f>
        <v>🚛 LIBERADO</v>
      </c>
      <c r="F211" s="5">
        <f ca="1">IFERROR(__xludf.UNSUPPORTED("""COMPUTED_VALUE"""),0)</f>
        <v>0</v>
      </c>
      <c r="G211" s="3" t="str">
        <f ca="1">IFERROR(__xludf.UNSUPPORTED("""COMPUTED_VALUE"""),"Normalidade")</f>
        <v>Normalidade</v>
      </c>
      <c r="H211" s="4">
        <f ca="1">IFERROR(__xludf.UNSUPPORTED("""COMPUTED_VALUE"""),45069.2620023148)</f>
        <v>45069.262002314797</v>
      </c>
      <c r="I211" s="3">
        <f ca="1">IFERROR(__xludf.UNSUPPORTED("""COMPUTED_VALUE"""),24)</f>
        <v>24</v>
      </c>
      <c r="J211" s="4">
        <f ca="1">IFERROR(__xludf.UNSUPPORTED("""COMPUTED_VALUE"""),45070.2620023148)</f>
        <v>45070.262002314797</v>
      </c>
      <c r="L211" s="3" t="str">
        <f ca="1">IFERROR(__xludf.UNSUPPORTED("""COMPUTED_VALUE"""),"Normalidade")</f>
        <v>Normalidade</v>
      </c>
    </row>
    <row r="212" spans="1:12" ht="12.75">
      <c r="A212" s="3" t="str">
        <f ca="1">IFERROR(__xludf.UNSUPPORTED("""COMPUTED_VALUE"""),"09ebc1f3")</f>
        <v>09ebc1f3</v>
      </c>
      <c r="B212" s="4">
        <f ca="1">IFERROR(__xludf.UNSUPPORTED("""COMPUTED_VALUE"""),45071.2621643518)</f>
        <v>45071.2621643518</v>
      </c>
      <c r="C212" s="8" t="str">
        <f ca="1">IFERROR(__xludf.UNSUPPORTED("""COMPUTED_VALUE"""),"Aratu")</f>
        <v>Aratu</v>
      </c>
      <c r="D212" s="3" t="str">
        <f ca="1">IFERROR(__xludf.UNSUPPORTED("""COMPUTED_VALUE"""),"🚢 REGULAR")</f>
        <v>🚢 REGULAR</v>
      </c>
      <c r="E212" s="3" t="str">
        <f ca="1">IFERROR(__xludf.UNSUPPORTED("""COMPUTED_VALUE"""),"🚛 LIBERADO")</f>
        <v>🚛 LIBERADO</v>
      </c>
      <c r="F212" s="5">
        <f ca="1">IFERROR(__xludf.UNSUPPORTED("""COMPUTED_VALUE"""),0)</f>
        <v>0</v>
      </c>
      <c r="G212" s="3" t="str">
        <f ca="1">IFERROR(__xludf.UNSUPPORTED("""COMPUTED_VALUE"""),"Normalidade")</f>
        <v>Normalidade</v>
      </c>
      <c r="H212" s="4">
        <f ca="1">IFERROR(__xludf.UNSUPPORTED("""COMPUTED_VALUE"""),45071.2621643518)</f>
        <v>45071.2621643518</v>
      </c>
      <c r="I212" s="3">
        <f ca="1">IFERROR(__xludf.UNSUPPORTED("""COMPUTED_VALUE"""),24)</f>
        <v>24</v>
      </c>
      <c r="J212" s="4">
        <f ca="1">IFERROR(__xludf.UNSUPPORTED("""COMPUTED_VALUE"""),45072.2621643518)</f>
        <v>45072.2621643518</v>
      </c>
      <c r="L212" s="3" t="str">
        <f ca="1">IFERROR(__xludf.UNSUPPORTED("""COMPUTED_VALUE"""),"Normalidade")</f>
        <v>Normalidade</v>
      </c>
    </row>
    <row r="213" spans="1:12" ht="12.75">
      <c r="A213" s="3" t="str">
        <f ca="1">IFERROR(__xludf.UNSUPPORTED("""COMPUTED_VALUE"""),"50ab97f6")</f>
        <v>50ab97f6</v>
      </c>
      <c r="B213" s="4">
        <f ca="1">IFERROR(__xludf.UNSUPPORTED("""COMPUTED_VALUE"""),45073.459849537)</f>
        <v>45073.459849537001</v>
      </c>
      <c r="C213" s="7" t="str">
        <f ca="1">IFERROR(__xludf.UNSUPPORTED("""COMPUTED_VALUE"""),"Aratu")</f>
        <v>Aratu</v>
      </c>
      <c r="D213" s="3" t="str">
        <f ca="1">IFERROR(__xludf.UNSUPPORTED("""COMPUTED_VALUE"""),"🚢 REGULAR")</f>
        <v>🚢 REGULAR</v>
      </c>
      <c r="E213" s="3" t="str">
        <f ca="1">IFERROR(__xludf.UNSUPPORTED("""COMPUTED_VALUE"""),"🚛 LIBERADO")</f>
        <v>🚛 LIBERADO</v>
      </c>
      <c r="F213" s="5">
        <f ca="1">IFERROR(__xludf.UNSUPPORTED("""COMPUTED_VALUE"""),0)</f>
        <v>0</v>
      </c>
      <c r="G213" s="3" t="str">
        <f ca="1">IFERROR(__xludf.UNSUPPORTED("""COMPUTED_VALUE"""),"Normalidade")</f>
        <v>Normalidade</v>
      </c>
      <c r="H213" s="4">
        <f ca="1">IFERROR(__xludf.UNSUPPORTED("""COMPUTED_VALUE"""),45073.459849537)</f>
        <v>45073.459849537001</v>
      </c>
      <c r="I213" s="3">
        <f ca="1">IFERROR(__xludf.UNSUPPORTED("""COMPUTED_VALUE"""),24)</f>
        <v>24</v>
      </c>
      <c r="J213" s="4">
        <f ca="1">IFERROR(__xludf.UNSUPPORTED("""COMPUTED_VALUE"""),45074.459849537)</f>
        <v>45074.459849537001</v>
      </c>
      <c r="L213" s="3" t="str">
        <f ca="1">IFERROR(__xludf.UNSUPPORTED("""COMPUTED_VALUE"""),"Normalidade")</f>
        <v>Normalidade</v>
      </c>
    </row>
    <row r="214" spans="1:12" ht="12.75">
      <c r="A214" s="3" t="str">
        <f ca="1">IFERROR(__xludf.UNSUPPORTED("""COMPUTED_VALUE"""),"e5176285")</f>
        <v>e5176285</v>
      </c>
      <c r="B214" s="4">
        <f ca="1">IFERROR(__xludf.UNSUPPORTED("""COMPUTED_VALUE"""),45074.3894675925)</f>
        <v>45074.389467592497</v>
      </c>
      <c r="C214" s="7" t="str">
        <f ca="1">IFERROR(__xludf.UNSUPPORTED("""COMPUTED_VALUE"""),"Aratu")</f>
        <v>Aratu</v>
      </c>
      <c r="D214" s="3" t="str">
        <f ca="1">IFERROR(__xludf.UNSUPPORTED("""COMPUTED_VALUE"""),"🚢 REGULAR")</f>
        <v>🚢 REGULAR</v>
      </c>
      <c r="E214" s="3" t="str">
        <f ca="1">IFERROR(__xludf.UNSUPPORTED("""COMPUTED_VALUE"""),"🚛 LIBERADO")</f>
        <v>🚛 LIBERADO</v>
      </c>
      <c r="F214" s="5">
        <f ca="1">IFERROR(__xludf.UNSUPPORTED("""COMPUTED_VALUE"""),0)</f>
        <v>0</v>
      </c>
      <c r="G214" s="3" t="str">
        <f ca="1">IFERROR(__xludf.UNSUPPORTED("""COMPUTED_VALUE"""),"Normalidade")</f>
        <v>Normalidade</v>
      </c>
      <c r="H214" s="4">
        <f ca="1">IFERROR(__xludf.UNSUPPORTED("""COMPUTED_VALUE"""),45074.3894675925)</f>
        <v>45074.389467592497</v>
      </c>
      <c r="I214" s="3">
        <f ca="1">IFERROR(__xludf.UNSUPPORTED("""COMPUTED_VALUE"""),24)</f>
        <v>24</v>
      </c>
      <c r="J214" s="4">
        <f ca="1">IFERROR(__xludf.UNSUPPORTED("""COMPUTED_VALUE"""),45075.3894675925)</f>
        <v>45075.389467592497</v>
      </c>
      <c r="L214" s="3" t="str">
        <f ca="1">IFERROR(__xludf.UNSUPPORTED("""COMPUTED_VALUE"""),"Normalidade")</f>
        <v>Normalidade</v>
      </c>
    </row>
    <row r="215" spans="1:12" ht="12.75">
      <c r="A215" s="3" t="str">
        <f ca="1">IFERROR(__xludf.UNSUPPORTED("""COMPUTED_VALUE"""),"078aba29")</f>
        <v>078aba29</v>
      </c>
      <c r="B215" s="4">
        <f ca="1">IFERROR(__xludf.UNSUPPORTED("""COMPUTED_VALUE"""),45076.3557175925)</f>
        <v>45076.355717592502</v>
      </c>
      <c r="C215" s="7" t="str">
        <f ca="1">IFERROR(__xludf.UNSUPPORTED("""COMPUTED_VALUE"""),"Aratu")</f>
        <v>Aratu</v>
      </c>
      <c r="D215" s="3" t="str">
        <f ca="1">IFERROR(__xludf.UNSUPPORTED("""COMPUTED_VALUE"""),"🚢 REGULAR")</f>
        <v>🚢 REGULAR</v>
      </c>
      <c r="E215" s="3" t="str">
        <f ca="1">IFERROR(__xludf.UNSUPPORTED("""COMPUTED_VALUE"""),"🚛 LIBERADO")</f>
        <v>🚛 LIBERADO</v>
      </c>
      <c r="F215" s="5">
        <f ca="1">IFERROR(__xludf.UNSUPPORTED("""COMPUTED_VALUE"""),0)</f>
        <v>0</v>
      </c>
      <c r="G215" s="3" t="str">
        <f ca="1">IFERROR(__xludf.UNSUPPORTED("""COMPUTED_VALUE"""),"Normalidade")</f>
        <v>Normalidade</v>
      </c>
      <c r="H215" s="4">
        <f ca="1">IFERROR(__xludf.UNSUPPORTED("""COMPUTED_VALUE"""),45076.3557175925)</f>
        <v>45076.355717592502</v>
      </c>
      <c r="I215" s="3">
        <f ca="1">IFERROR(__xludf.UNSUPPORTED("""COMPUTED_VALUE"""),24)</f>
        <v>24</v>
      </c>
      <c r="J215" s="4">
        <f ca="1">IFERROR(__xludf.UNSUPPORTED("""COMPUTED_VALUE"""),45077.3557175925)</f>
        <v>45077.355717592502</v>
      </c>
      <c r="L215" s="3" t="str">
        <f ca="1">IFERROR(__xludf.UNSUPPORTED("""COMPUTED_VALUE"""),"Normalidade")</f>
        <v>Normalidade</v>
      </c>
    </row>
    <row r="216" spans="1:12" ht="12.75">
      <c r="A216" s="3" t="str">
        <f ca="1">IFERROR(__xludf.UNSUPPORTED("""COMPUTED_VALUE"""),"8433da2e")</f>
        <v>8433da2e</v>
      </c>
      <c r="B216" s="4">
        <f ca="1">IFERROR(__xludf.UNSUPPORTED("""COMPUTED_VALUE"""),45077.2890162037)</f>
        <v>45077.2890162037</v>
      </c>
      <c r="C216" s="8" t="str">
        <f ca="1">IFERROR(__xludf.UNSUPPORTED("""COMPUTED_VALUE"""),"Aratu")</f>
        <v>Aratu</v>
      </c>
      <c r="D216" s="3" t="str">
        <f ca="1">IFERROR(__xludf.UNSUPPORTED("""COMPUTED_VALUE"""),"🚢 REGULAR")</f>
        <v>🚢 REGULAR</v>
      </c>
      <c r="E216" s="3" t="str">
        <f ca="1">IFERROR(__xludf.UNSUPPORTED("""COMPUTED_VALUE"""),"🚛 LIBERADO")</f>
        <v>🚛 LIBERADO</v>
      </c>
      <c r="F216" s="5">
        <f ca="1">IFERROR(__xludf.UNSUPPORTED("""COMPUTED_VALUE"""),0)</f>
        <v>0</v>
      </c>
      <c r="G216" s="3" t="str">
        <f ca="1">IFERROR(__xludf.UNSUPPORTED("""COMPUTED_VALUE"""),"Normalidade")</f>
        <v>Normalidade</v>
      </c>
      <c r="H216" s="4">
        <f ca="1">IFERROR(__xludf.UNSUPPORTED("""COMPUTED_VALUE"""),45077.2890162037)</f>
        <v>45077.2890162037</v>
      </c>
      <c r="I216" s="3">
        <f ca="1">IFERROR(__xludf.UNSUPPORTED("""COMPUTED_VALUE"""),24)</f>
        <v>24</v>
      </c>
      <c r="J216" s="4">
        <f ca="1">IFERROR(__xludf.UNSUPPORTED("""COMPUTED_VALUE"""),45078.2890162037)</f>
        <v>45078.2890162037</v>
      </c>
      <c r="L216" s="3" t="str">
        <f ca="1">IFERROR(__xludf.UNSUPPORTED("""COMPUTED_VALUE"""),"Normalidade")</f>
        <v>Normalidade</v>
      </c>
    </row>
    <row r="217" spans="1:12" ht="12.75">
      <c r="A217" s="3" t="str">
        <f ca="1">IFERROR(__xludf.UNSUPPORTED("""COMPUTED_VALUE"""),"7e57bcff")</f>
        <v>7e57bcff</v>
      </c>
      <c r="B217" s="4">
        <f ca="1">IFERROR(__xludf.UNSUPPORTED("""COMPUTED_VALUE"""),45079.3623611111)</f>
        <v>45079.362361111103</v>
      </c>
      <c r="C217" s="8" t="str">
        <f ca="1">IFERROR(__xludf.UNSUPPORTED("""COMPUTED_VALUE"""),"Aratu")</f>
        <v>Aratu</v>
      </c>
      <c r="D217" s="3" t="str">
        <f ca="1">IFERROR(__xludf.UNSUPPORTED("""COMPUTED_VALUE"""),"🚢 REGULAR")</f>
        <v>🚢 REGULAR</v>
      </c>
      <c r="E217" s="3" t="str">
        <f ca="1">IFERROR(__xludf.UNSUPPORTED("""COMPUTED_VALUE"""),"🚛 LIBERADO")</f>
        <v>🚛 LIBERADO</v>
      </c>
      <c r="F217" s="5">
        <f ca="1">IFERROR(__xludf.UNSUPPORTED("""COMPUTED_VALUE"""),0)</f>
        <v>0</v>
      </c>
      <c r="G217" s="3" t="str">
        <f ca="1">IFERROR(__xludf.UNSUPPORTED("""COMPUTED_VALUE"""),"Normalidade")</f>
        <v>Normalidade</v>
      </c>
      <c r="H217" s="4">
        <f ca="1">IFERROR(__xludf.UNSUPPORTED("""COMPUTED_VALUE"""),45079.3623611111)</f>
        <v>45079.362361111103</v>
      </c>
      <c r="I217" s="3">
        <f ca="1">IFERROR(__xludf.UNSUPPORTED("""COMPUTED_VALUE"""),24)</f>
        <v>24</v>
      </c>
      <c r="J217" s="4">
        <f ca="1">IFERROR(__xludf.UNSUPPORTED("""COMPUTED_VALUE"""),45080.3623611111)</f>
        <v>45080.362361111103</v>
      </c>
      <c r="L217" s="3" t="str">
        <f ca="1">IFERROR(__xludf.UNSUPPORTED("""COMPUTED_VALUE"""),"Normalidade")</f>
        <v>Normalidade</v>
      </c>
    </row>
    <row r="218" spans="1:12" ht="12.75">
      <c r="A218" s="3" t="str">
        <f ca="1">IFERROR(__xludf.UNSUPPORTED("""COMPUTED_VALUE"""),"db0e0da1")</f>
        <v>db0e0da1</v>
      </c>
      <c r="B218" s="4">
        <f ca="1">IFERROR(__xludf.UNSUPPORTED("""COMPUTED_VALUE"""),45080.3611689814)</f>
        <v>45080.361168981399</v>
      </c>
      <c r="C218" s="8" t="str">
        <f ca="1">IFERROR(__xludf.UNSUPPORTED("""COMPUTED_VALUE"""),"Aratu")</f>
        <v>Aratu</v>
      </c>
      <c r="D218" s="3" t="str">
        <f ca="1">IFERROR(__xludf.UNSUPPORTED("""COMPUTED_VALUE"""),"🚢 REGULAR")</f>
        <v>🚢 REGULAR</v>
      </c>
      <c r="E218" s="3" t="str">
        <f ca="1">IFERROR(__xludf.UNSUPPORTED("""COMPUTED_VALUE"""),"🚛 LIBERADO")</f>
        <v>🚛 LIBERADO</v>
      </c>
      <c r="F218" s="5">
        <f ca="1">IFERROR(__xludf.UNSUPPORTED("""COMPUTED_VALUE"""),0)</f>
        <v>0</v>
      </c>
      <c r="G218" s="3" t="str">
        <f ca="1">IFERROR(__xludf.UNSUPPORTED("""COMPUTED_VALUE"""),"Normalidade")</f>
        <v>Normalidade</v>
      </c>
      <c r="H218" s="4">
        <f ca="1">IFERROR(__xludf.UNSUPPORTED("""COMPUTED_VALUE"""),45080.3611689814)</f>
        <v>45080.361168981399</v>
      </c>
      <c r="I218" s="3">
        <f ca="1">IFERROR(__xludf.UNSUPPORTED("""COMPUTED_VALUE"""),24)</f>
        <v>24</v>
      </c>
      <c r="J218" s="4">
        <f ca="1">IFERROR(__xludf.UNSUPPORTED("""COMPUTED_VALUE"""),45081.3611689814)</f>
        <v>45081.361168981399</v>
      </c>
      <c r="L218" s="3" t="str">
        <f ca="1">IFERROR(__xludf.UNSUPPORTED("""COMPUTED_VALUE"""),"Normalidade")</f>
        <v>Normalidade</v>
      </c>
    </row>
    <row r="219" spans="1:12" ht="12.75">
      <c r="A219" s="3" t="str">
        <f ca="1">IFERROR(__xludf.UNSUPPORTED("""COMPUTED_VALUE"""),"85080e6a")</f>
        <v>85080e6a</v>
      </c>
      <c r="B219" s="4">
        <f ca="1">IFERROR(__xludf.UNSUPPORTED("""COMPUTED_VALUE"""),45081.3486342592)</f>
        <v>45081.3486342592</v>
      </c>
      <c r="C219" s="8" t="str">
        <f ca="1">IFERROR(__xludf.UNSUPPORTED("""COMPUTED_VALUE"""),"Aratu")</f>
        <v>Aratu</v>
      </c>
      <c r="D219" s="3" t="str">
        <f ca="1">IFERROR(__xludf.UNSUPPORTED("""COMPUTED_VALUE"""),"🚢 REGULAR")</f>
        <v>🚢 REGULAR</v>
      </c>
      <c r="E219" s="3" t="str">
        <f ca="1">IFERROR(__xludf.UNSUPPORTED("""COMPUTED_VALUE"""),"🚛 LIBERADO")</f>
        <v>🚛 LIBERADO</v>
      </c>
      <c r="F219" s="5">
        <f ca="1">IFERROR(__xludf.UNSUPPORTED("""COMPUTED_VALUE"""),0)</f>
        <v>0</v>
      </c>
      <c r="G219" s="3" t="str">
        <f ca="1">IFERROR(__xludf.UNSUPPORTED("""COMPUTED_VALUE"""),"Normalidade")</f>
        <v>Normalidade</v>
      </c>
      <c r="H219" s="4">
        <f ca="1">IFERROR(__xludf.UNSUPPORTED("""COMPUTED_VALUE"""),45081.3486342592)</f>
        <v>45081.3486342592</v>
      </c>
      <c r="I219" s="3">
        <f ca="1">IFERROR(__xludf.UNSUPPORTED("""COMPUTED_VALUE"""),24)</f>
        <v>24</v>
      </c>
      <c r="J219" s="4">
        <f ca="1">IFERROR(__xludf.UNSUPPORTED("""COMPUTED_VALUE"""),45082.3486342592)</f>
        <v>45082.3486342592</v>
      </c>
      <c r="L219" s="3" t="str">
        <f ca="1">IFERROR(__xludf.UNSUPPORTED("""COMPUTED_VALUE"""),"Normalidade")</f>
        <v>Normalidade</v>
      </c>
    </row>
    <row r="220" spans="1:12" ht="12.75">
      <c r="A220" s="3" t="str">
        <f ca="1">IFERROR(__xludf.UNSUPPORTED("""COMPUTED_VALUE"""),"19bd49df")</f>
        <v>19bd49df</v>
      </c>
      <c r="B220" s="4">
        <f ca="1">IFERROR(__xludf.UNSUPPORTED("""COMPUTED_VALUE"""),45083.2571296296)</f>
        <v>45083.257129629601</v>
      </c>
      <c r="C220" s="7" t="str">
        <f ca="1">IFERROR(__xludf.UNSUPPORTED("""COMPUTED_VALUE"""),"Aratu")</f>
        <v>Aratu</v>
      </c>
      <c r="D220" s="3" t="str">
        <f ca="1">IFERROR(__xludf.UNSUPPORTED("""COMPUTED_VALUE"""),"🚢 REGULAR")</f>
        <v>🚢 REGULAR</v>
      </c>
      <c r="E220" s="3" t="str">
        <f ca="1">IFERROR(__xludf.UNSUPPORTED("""COMPUTED_VALUE"""),"🚛 LIBERADO")</f>
        <v>🚛 LIBERADO</v>
      </c>
      <c r="F220" s="5">
        <f ca="1">IFERROR(__xludf.UNSUPPORTED("""COMPUTED_VALUE"""),0)</f>
        <v>0</v>
      </c>
      <c r="G220" s="3" t="str">
        <f ca="1">IFERROR(__xludf.UNSUPPORTED("""COMPUTED_VALUE"""),"Normalidade")</f>
        <v>Normalidade</v>
      </c>
      <c r="H220" s="4">
        <f ca="1">IFERROR(__xludf.UNSUPPORTED("""COMPUTED_VALUE"""),45083.2571296296)</f>
        <v>45083.257129629601</v>
      </c>
      <c r="I220" s="3">
        <f ca="1">IFERROR(__xludf.UNSUPPORTED("""COMPUTED_VALUE"""),24)</f>
        <v>24</v>
      </c>
      <c r="J220" s="4">
        <f ca="1">IFERROR(__xludf.UNSUPPORTED("""COMPUTED_VALUE"""),45084.2571296296)</f>
        <v>45084.257129629601</v>
      </c>
      <c r="L220" s="3" t="str">
        <f ca="1">IFERROR(__xludf.UNSUPPORTED("""COMPUTED_VALUE"""),"Normalidade")</f>
        <v>Normalidade</v>
      </c>
    </row>
    <row r="221" spans="1:12" ht="12.75">
      <c r="A221" s="3" t="str">
        <f ca="1">IFERROR(__xludf.UNSUPPORTED("""COMPUTED_VALUE"""),"fc90b7b3")</f>
        <v>fc90b7b3</v>
      </c>
      <c r="B221" s="4">
        <f ca="1">IFERROR(__xludf.UNSUPPORTED("""COMPUTED_VALUE"""),45085.3084259259)</f>
        <v>45085.308425925898</v>
      </c>
      <c r="C221" s="7" t="str">
        <f ca="1">IFERROR(__xludf.UNSUPPORTED("""COMPUTED_VALUE"""),"Aratu")</f>
        <v>Aratu</v>
      </c>
      <c r="D221" s="3" t="str">
        <f ca="1">IFERROR(__xludf.UNSUPPORTED("""COMPUTED_VALUE"""),"🚢 REGULAR")</f>
        <v>🚢 REGULAR</v>
      </c>
      <c r="E221" s="3" t="str">
        <f ca="1">IFERROR(__xludf.UNSUPPORTED("""COMPUTED_VALUE"""),"🚛 LIBERADO")</f>
        <v>🚛 LIBERADO</v>
      </c>
      <c r="F221" s="5">
        <f ca="1">IFERROR(__xludf.UNSUPPORTED("""COMPUTED_VALUE"""),0)</f>
        <v>0</v>
      </c>
      <c r="G221" s="3" t="str">
        <f ca="1">IFERROR(__xludf.UNSUPPORTED("""COMPUTED_VALUE"""),"Normalidade")</f>
        <v>Normalidade</v>
      </c>
      <c r="H221" s="4">
        <f ca="1">IFERROR(__xludf.UNSUPPORTED("""COMPUTED_VALUE"""),45085.3084259259)</f>
        <v>45085.308425925898</v>
      </c>
      <c r="I221" s="3">
        <f ca="1">IFERROR(__xludf.UNSUPPORTED("""COMPUTED_VALUE"""),24)</f>
        <v>24</v>
      </c>
      <c r="J221" s="4">
        <f ca="1">IFERROR(__xludf.UNSUPPORTED("""COMPUTED_VALUE"""),45086.3084259259)</f>
        <v>45086.308425925898</v>
      </c>
      <c r="L221" s="3" t="str">
        <f ca="1">IFERROR(__xludf.UNSUPPORTED("""COMPUTED_VALUE"""),"Normalidade")</f>
        <v>Normalidade</v>
      </c>
    </row>
    <row r="222" spans="1:12" ht="12.75">
      <c r="A222" s="3" t="str">
        <f ca="1">IFERROR(__xludf.UNSUPPORTED("""COMPUTED_VALUE"""),"dea3b55b")</f>
        <v>dea3b55b</v>
      </c>
      <c r="B222" s="4">
        <f ca="1">IFERROR(__xludf.UNSUPPORTED("""COMPUTED_VALUE"""),45087.3693634259)</f>
        <v>45087.369363425903</v>
      </c>
      <c r="C222" s="8" t="str">
        <f ca="1">IFERROR(__xludf.UNSUPPORTED("""COMPUTED_VALUE"""),"Aratu")</f>
        <v>Aratu</v>
      </c>
      <c r="D222" s="3" t="str">
        <f ca="1">IFERROR(__xludf.UNSUPPORTED("""COMPUTED_VALUE"""),"🚢 REGULAR")</f>
        <v>🚢 REGULAR</v>
      </c>
      <c r="E222" s="3" t="str">
        <f ca="1">IFERROR(__xludf.UNSUPPORTED("""COMPUTED_VALUE"""),"🚛 LIBERADO")</f>
        <v>🚛 LIBERADO</v>
      </c>
      <c r="F222" s="5">
        <f ca="1">IFERROR(__xludf.UNSUPPORTED("""COMPUTED_VALUE"""),0)</f>
        <v>0</v>
      </c>
      <c r="G222" s="3" t="str">
        <f ca="1">IFERROR(__xludf.UNSUPPORTED("""COMPUTED_VALUE"""),"Normalidade")</f>
        <v>Normalidade</v>
      </c>
      <c r="H222" s="4">
        <f ca="1">IFERROR(__xludf.UNSUPPORTED("""COMPUTED_VALUE"""),45087.3693634259)</f>
        <v>45087.369363425903</v>
      </c>
      <c r="I222" s="3">
        <f ca="1">IFERROR(__xludf.UNSUPPORTED("""COMPUTED_VALUE"""),24)</f>
        <v>24</v>
      </c>
      <c r="J222" s="4">
        <f ca="1">IFERROR(__xludf.UNSUPPORTED("""COMPUTED_VALUE"""),45088.3693634259)</f>
        <v>45088.369363425903</v>
      </c>
      <c r="L222" s="3" t="str">
        <f ca="1">IFERROR(__xludf.UNSUPPORTED("""COMPUTED_VALUE"""),"Normalidade")</f>
        <v>Normalidade</v>
      </c>
    </row>
    <row r="223" spans="1:12" ht="12.75">
      <c r="A223" s="3" t="str">
        <f ca="1">IFERROR(__xludf.UNSUPPORTED("""COMPUTED_VALUE"""),"69cbc29c")</f>
        <v>69cbc29c</v>
      </c>
      <c r="B223" s="4">
        <f ca="1">IFERROR(__xludf.UNSUPPORTED("""COMPUTED_VALUE"""),45103.4766550925)</f>
        <v>45103.476655092498</v>
      </c>
      <c r="C223" s="7" t="str">
        <f ca="1">IFERROR(__xludf.UNSUPPORTED("""COMPUTED_VALUE"""),"Aratu")</f>
        <v>Aratu</v>
      </c>
      <c r="D223" s="3" t="str">
        <f ca="1">IFERROR(__xludf.UNSUPPORTED("""COMPUTED_VALUE"""),"🚢 REGULAR")</f>
        <v>🚢 REGULAR</v>
      </c>
      <c r="E223" s="3" t="str">
        <f ca="1">IFERROR(__xludf.UNSUPPORTED("""COMPUTED_VALUE"""),"🚛 LIBERADO")</f>
        <v>🚛 LIBERADO</v>
      </c>
      <c r="F223" s="5">
        <f ca="1">IFERROR(__xludf.UNSUPPORTED("""COMPUTED_VALUE"""),0)</f>
        <v>0</v>
      </c>
      <c r="G223" s="3" t="str">
        <f ca="1">IFERROR(__xludf.UNSUPPORTED("""COMPUTED_VALUE"""),"Normalidade")</f>
        <v>Normalidade</v>
      </c>
      <c r="H223" s="4">
        <f ca="1">IFERROR(__xludf.UNSUPPORTED("""COMPUTED_VALUE"""),45103.4766550925)</f>
        <v>45103.476655092498</v>
      </c>
      <c r="I223" s="3">
        <f ca="1">IFERROR(__xludf.UNSUPPORTED("""COMPUTED_VALUE"""),24)</f>
        <v>24</v>
      </c>
      <c r="J223" s="4">
        <f ca="1">IFERROR(__xludf.UNSUPPORTED("""COMPUTED_VALUE"""),45104.4766550925)</f>
        <v>45104.476655092498</v>
      </c>
      <c r="L223" s="3" t="str">
        <f ca="1">IFERROR(__xludf.UNSUPPORTED("""COMPUTED_VALUE"""),"Normalidade")</f>
        <v>Normalidade</v>
      </c>
    </row>
    <row r="224" spans="1:12" ht="12.75">
      <c r="A224" s="3" t="str">
        <f ca="1">IFERROR(__xludf.UNSUPPORTED("""COMPUTED_VALUE"""),"d41e7349")</f>
        <v>d41e7349</v>
      </c>
      <c r="B224" s="4">
        <f ca="1">IFERROR(__xludf.UNSUPPORTED("""COMPUTED_VALUE"""),45106.2667592592)</f>
        <v>45106.266759259197</v>
      </c>
      <c r="C224" s="8" t="str">
        <f ca="1">IFERROR(__xludf.UNSUPPORTED("""COMPUTED_VALUE"""),"Aratu")</f>
        <v>Aratu</v>
      </c>
      <c r="D224" s="3" t="str">
        <f ca="1">IFERROR(__xludf.UNSUPPORTED("""COMPUTED_VALUE"""),"🚢 REGULAR")</f>
        <v>🚢 REGULAR</v>
      </c>
      <c r="E224" s="3" t="str">
        <f ca="1">IFERROR(__xludf.UNSUPPORTED("""COMPUTED_VALUE"""),"🚛 LIBERADO")</f>
        <v>🚛 LIBERADO</v>
      </c>
      <c r="F224" s="5">
        <f ca="1">IFERROR(__xludf.UNSUPPORTED("""COMPUTED_VALUE"""),0)</f>
        <v>0</v>
      </c>
      <c r="G224" s="3" t="str">
        <f ca="1">IFERROR(__xludf.UNSUPPORTED("""COMPUTED_VALUE"""),"Normalidade")</f>
        <v>Normalidade</v>
      </c>
      <c r="H224" s="4">
        <f ca="1">IFERROR(__xludf.UNSUPPORTED("""COMPUTED_VALUE"""),45106.2667592592)</f>
        <v>45106.266759259197</v>
      </c>
      <c r="I224" s="3">
        <f ca="1">IFERROR(__xludf.UNSUPPORTED("""COMPUTED_VALUE"""),24)</f>
        <v>24</v>
      </c>
      <c r="J224" s="4">
        <f ca="1">IFERROR(__xludf.UNSUPPORTED("""COMPUTED_VALUE"""),45107.2667592592)</f>
        <v>45107.266759259197</v>
      </c>
      <c r="L224" s="3" t="str">
        <f ca="1">IFERROR(__xludf.UNSUPPORTED("""COMPUTED_VALUE"""),"Normalidade")</f>
        <v>Normalidade</v>
      </c>
    </row>
    <row r="225" spans="1:12" ht="12.75">
      <c r="A225" s="3" t="str">
        <f ca="1">IFERROR(__xludf.UNSUPPORTED("""COMPUTED_VALUE"""),"26465934")</f>
        <v>26465934</v>
      </c>
      <c r="B225" s="4">
        <f ca="1">IFERROR(__xludf.UNSUPPORTED("""COMPUTED_VALUE"""),45109.3286111111)</f>
        <v>45109.328611111101</v>
      </c>
      <c r="C225" s="7" t="str">
        <f ca="1">IFERROR(__xludf.UNSUPPORTED("""COMPUTED_VALUE"""),"Aratu")</f>
        <v>Aratu</v>
      </c>
      <c r="D225" s="3" t="str">
        <f ca="1">IFERROR(__xludf.UNSUPPORTED("""COMPUTED_VALUE"""),"🚢 REGULAR")</f>
        <v>🚢 REGULAR</v>
      </c>
      <c r="E225" s="3" t="str">
        <f ca="1">IFERROR(__xludf.UNSUPPORTED("""COMPUTED_VALUE"""),"🚛 LIBERADO")</f>
        <v>🚛 LIBERADO</v>
      </c>
      <c r="F225" s="5">
        <f ca="1">IFERROR(__xludf.UNSUPPORTED("""COMPUTED_VALUE"""),0)</f>
        <v>0</v>
      </c>
      <c r="G225" s="3" t="str">
        <f ca="1">IFERROR(__xludf.UNSUPPORTED("""COMPUTED_VALUE"""),"Normalidade")</f>
        <v>Normalidade</v>
      </c>
      <c r="H225" s="4">
        <f ca="1">IFERROR(__xludf.UNSUPPORTED("""COMPUTED_VALUE"""),45109.3286111111)</f>
        <v>45109.328611111101</v>
      </c>
      <c r="I225" s="3">
        <f ca="1">IFERROR(__xludf.UNSUPPORTED("""COMPUTED_VALUE"""),24)</f>
        <v>24</v>
      </c>
      <c r="J225" s="4">
        <f ca="1">IFERROR(__xludf.UNSUPPORTED("""COMPUTED_VALUE"""),45110.3286111111)</f>
        <v>45110.328611111101</v>
      </c>
      <c r="L225" s="3" t="str">
        <f ca="1">IFERROR(__xludf.UNSUPPORTED("""COMPUTED_VALUE"""),"Normalidade")</f>
        <v>Normalidade</v>
      </c>
    </row>
    <row r="226" spans="1:12" ht="12.75">
      <c r="A226" s="3" t="str">
        <f ca="1">IFERROR(__xludf.UNSUPPORTED("""COMPUTED_VALUE"""),"1da6d960")</f>
        <v>1da6d960</v>
      </c>
      <c r="B226" s="4">
        <f ca="1">IFERROR(__xludf.UNSUPPORTED("""COMPUTED_VALUE"""),45111.6850347222)</f>
        <v>45111.685034722199</v>
      </c>
      <c r="C226" s="8" t="str">
        <f ca="1">IFERROR(__xludf.UNSUPPORTED("""COMPUTED_VALUE"""),"Aratu")</f>
        <v>Aratu</v>
      </c>
      <c r="D226" s="3" t="str">
        <f ca="1">IFERROR(__xludf.UNSUPPORTED("""COMPUTED_VALUE"""),"🚢 REGULAR")</f>
        <v>🚢 REGULAR</v>
      </c>
      <c r="E226" s="3" t="str">
        <f ca="1">IFERROR(__xludf.UNSUPPORTED("""COMPUTED_VALUE"""),"🚛 LIBERADO")</f>
        <v>🚛 LIBERADO</v>
      </c>
      <c r="F226" s="5">
        <f ca="1">IFERROR(__xludf.UNSUPPORTED("""COMPUTED_VALUE"""),0)</f>
        <v>0</v>
      </c>
      <c r="G226" s="3" t="str">
        <f ca="1">IFERROR(__xludf.UNSUPPORTED("""COMPUTED_VALUE"""),"Normalidade")</f>
        <v>Normalidade</v>
      </c>
      <c r="H226" s="4">
        <f ca="1">IFERROR(__xludf.UNSUPPORTED("""COMPUTED_VALUE"""),45111.6850462963)</f>
        <v>45111.685046296298</v>
      </c>
      <c r="I226" s="3">
        <f ca="1">IFERROR(__xludf.UNSUPPORTED("""COMPUTED_VALUE"""),24)</f>
        <v>24</v>
      </c>
      <c r="J226" s="4">
        <f ca="1">IFERROR(__xludf.UNSUPPORTED("""COMPUTED_VALUE"""),45112.6850462963)</f>
        <v>45112.685046296298</v>
      </c>
      <c r="L226" s="3" t="str">
        <f ca="1">IFERROR(__xludf.UNSUPPORTED("""COMPUTED_VALUE"""),"Normalidade")</f>
        <v>Normalidade</v>
      </c>
    </row>
    <row r="227" spans="1:12" ht="12.75">
      <c r="A227" s="3" t="str">
        <f ca="1">IFERROR(__xludf.UNSUPPORTED("""COMPUTED_VALUE"""),"14cdfe9e")</f>
        <v>14cdfe9e</v>
      </c>
      <c r="B227" s="4">
        <f ca="1">IFERROR(__xludf.UNSUPPORTED("""COMPUTED_VALUE"""),45113.5991782407)</f>
        <v>45113.5991782407</v>
      </c>
      <c r="C227" s="8" t="str">
        <f ca="1">IFERROR(__xludf.UNSUPPORTED("""COMPUTED_VALUE"""),"Aratu")</f>
        <v>Aratu</v>
      </c>
      <c r="D227" s="3" t="str">
        <f ca="1">IFERROR(__xludf.UNSUPPORTED("""COMPUTED_VALUE"""),"🚢 REGULAR")</f>
        <v>🚢 REGULAR</v>
      </c>
      <c r="E227" s="3" t="str">
        <f ca="1">IFERROR(__xludf.UNSUPPORTED("""COMPUTED_VALUE"""),"🚛 LIBERADO")</f>
        <v>🚛 LIBERADO</v>
      </c>
      <c r="F227" s="5">
        <f ca="1">IFERROR(__xludf.UNSUPPORTED("""COMPUTED_VALUE"""),0)</f>
        <v>0</v>
      </c>
      <c r="G227" s="3" t="str">
        <f ca="1">IFERROR(__xludf.UNSUPPORTED("""COMPUTED_VALUE"""),"Normalidade")</f>
        <v>Normalidade</v>
      </c>
      <c r="H227" s="4">
        <f ca="1">IFERROR(__xludf.UNSUPPORTED("""COMPUTED_VALUE"""),45113.5991782407)</f>
        <v>45113.5991782407</v>
      </c>
      <c r="I227" s="3">
        <f ca="1">IFERROR(__xludf.UNSUPPORTED("""COMPUTED_VALUE"""),24)</f>
        <v>24</v>
      </c>
      <c r="J227" s="4">
        <f ca="1">IFERROR(__xludf.UNSUPPORTED("""COMPUTED_VALUE"""),45114.5991782407)</f>
        <v>45114.5991782407</v>
      </c>
      <c r="L227" s="3" t="str">
        <f ca="1">IFERROR(__xludf.UNSUPPORTED("""COMPUTED_VALUE"""),"Normalidade")</f>
        <v>Normalidade</v>
      </c>
    </row>
    <row r="228" spans="1:12" ht="12.75">
      <c r="A228" s="3" t="str">
        <f ca="1">IFERROR(__xludf.UNSUPPORTED("""COMPUTED_VALUE"""),"10c52b21")</f>
        <v>10c52b21</v>
      </c>
      <c r="B228" s="4">
        <f ca="1">IFERROR(__xludf.UNSUPPORTED("""COMPUTED_VALUE"""),45115.7475925926)</f>
        <v>45115.747592592597</v>
      </c>
      <c r="C228" s="8" t="str">
        <f ca="1">IFERROR(__xludf.UNSUPPORTED("""COMPUTED_VALUE"""),"Aratu")</f>
        <v>Aratu</v>
      </c>
      <c r="D228" s="3" t="str">
        <f ca="1">IFERROR(__xludf.UNSUPPORTED("""COMPUTED_VALUE"""),"🚢 REGULAR")</f>
        <v>🚢 REGULAR</v>
      </c>
      <c r="E228" s="3" t="str">
        <f ca="1">IFERROR(__xludf.UNSUPPORTED("""COMPUTED_VALUE"""),"🚛 LIBERADO")</f>
        <v>🚛 LIBERADO</v>
      </c>
      <c r="F228" s="5">
        <f ca="1">IFERROR(__xludf.UNSUPPORTED("""COMPUTED_VALUE"""),0)</f>
        <v>0</v>
      </c>
      <c r="G228" s="3" t="str">
        <f ca="1">IFERROR(__xludf.UNSUPPORTED("""COMPUTED_VALUE"""),"Normalidade")</f>
        <v>Normalidade</v>
      </c>
      <c r="H228" s="4">
        <f ca="1">IFERROR(__xludf.UNSUPPORTED("""COMPUTED_VALUE"""),45115.7475925926)</f>
        <v>45115.747592592597</v>
      </c>
      <c r="I228" s="3">
        <f ca="1">IFERROR(__xludf.UNSUPPORTED("""COMPUTED_VALUE"""),24)</f>
        <v>24</v>
      </c>
      <c r="J228" s="4">
        <f ca="1">IFERROR(__xludf.UNSUPPORTED("""COMPUTED_VALUE"""),45116.7475925926)</f>
        <v>45116.747592592597</v>
      </c>
      <c r="L228" s="3" t="str">
        <f ca="1">IFERROR(__xludf.UNSUPPORTED("""COMPUTED_VALUE"""),"Normalidade")</f>
        <v>Normalidade</v>
      </c>
    </row>
    <row r="229" spans="1:12" ht="12.75">
      <c r="A229" s="3" t="str">
        <f ca="1">IFERROR(__xludf.UNSUPPORTED("""COMPUTED_VALUE"""),"98b1c18a")</f>
        <v>98b1c18a</v>
      </c>
      <c r="B229" s="4">
        <f ca="1">IFERROR(__xludf.UNSUPPORTED("""COMPUTED_VALUE"""),45116.476099537)</f>
        <v>45116.476099537002</v>
      </c>
      <c r="C229" s="7" t="str">
        <f ca="1">IFERROR(__xludf.UNSUPPORTED("""COMPUTED_VALUE"""),"Aratu")</f>
        <v>Aratu</v>
      </c>
      <c r="D229" s="3" t="str">
        <f ca="1">IFERROR(__xludf.UNSUPPORTED("""COMPUTED_VALUE"""),"🚢 REGULAR")</f>
        <v>🚢 REGULAR</v>
      </c>
      <c r="E229" s="3" t="str">
        <f ca="1">IFERROR(__xludf.UNSUPPORTED("""COMPUTED_VALUE"""),"🚛 LIBERADO")</f>
        <v>🚛 LIBERADO</v>
      </c>
      <c r="F229" s="5">
        <f ca="1">IFERROR(__xludf.UNSUPPORTED("""COMPUTED_VALUE"""),0)</f>
        <v>0</v>
      </c>
      <c r="G229" s="3" t="str">
        <f ca="1">IFERROR(__xludf.UNSUPPORTED("""COMPUTED_VALUE"""),"Normalidade")</f>
        <v>Normalidade</v>
      </c>
      <c r="H229" s="4">
        <f ca="1">IFERROR(__xludf.UNSUPPORTED("""COMPUTED_VALUE"""),45116.476099537)</f>
        <v>45116.476099537002</v>
      </c>
      <c r="I229" s="3">
        <f ca="1">IFERROR(__xludf.UNSUPPORTED("""COMPUTED_VALUE"""),24)</f>
        <v>24</v>
      </c>
      <c r="J229" s="4">
        <f ca="1">IFERROR(__xludf.UNSUPPORTED("""COMPUTED_VALUE"""),45117.476099537)</f>
        <v>45117.476099537002</v>
      </c>
      <c r="L229" s="3" t="str">
        <f ca="1">IFERROR(__xludf.UNSUPPORTED("""COMPUTED_VALUE"""),"Normalidade")</f>
        <v>Normalidade</v>
      </c>
    </row>
    <row r="230" spans="1:12" ht="12.75">
      <c r="A230" s="3" t="str">
        <f ca="1">IFERROR(__xludf.UNSUPPORTED("""COMPUTED_VALUE"""),"281fe624")</f>
        <v>281fe624</v>
      </c>
      <c r="B230" s="4">
        <f ca="1">IFERROR(__xludf.UNSUPPORTED("""COMPUTED_VALUE"""),45117.4722916666)</f>
        <v>45117.4722916666</v>
      </c>
      <c r="C230" s="8" t="str">
        <f ca="1">IFERROR(__xludf.UNSUPPORTED("""COMPUTED_VALUE"""),"Aratu")</f>
        <v>Aratu</v>
      </c>
      <c r="D230" s="3" t="str">
        <f ca="1">IFERROR(__xludf.UNSUPPORTED("""COMPUTED_VALUE"""),"🚢 REGULAR")</f>
        <v>🚢 REGULAR</v>
      </c>
      <c r="E230" s="3" t="str">
        <f ca="1">IFERROR(__xludf.UNSUPPORTED("""COMPUTED_VALUE"""),"🚛 LIBERADO")</f>
        <v>🚛 LIBERADO</v>
      </c>
      <c r="F230" s="5">
        <f ca="1">IFERROR(__xludf.UNSUPPORTED("""COMPUTED_VALUE"""),0)</f>
        <v>0</v>
      </c>
      <c r="G230" s="3" t="str">
        <f ca="1">IFERROR(__xludf.UNSUPPORTED("""COMPUTED_VALUE"""),"Normalidade")</f>
        <v>Normalidade</v>
      </c>
      <c r="H230" s="4">
        <f ca="1">IFERROR(__xludf.UNSUPPORTED("""COMPUTED_VALUE"""),45117.4722916666)</f>
        <v>45117.4722916666</v>
      </c>
      <c r="I230" s="3">
        <f ca="1">IFERROR(__xludf.UNSUPPORTED("""COMPUTED_VALUE"""),24)</f>
        <v>24</v>
      </c>
      <c r="J230" s="4">
        <f ca="1">IFERROR(__xludf.UNSUPPORTED("""COMPUTED_VALUE"""),45118.4722916666)</f>
        <v>45118.4722916666</v>
      </c>
      <c r="L230" s="3" t="str">
        <f ca="1">IFERROR(__xludf.UNSUPPORTED("""COMPUTED_VALUE"""),"Normalidade")</f>
        <v>Normalidade</v>
      </c>
    </row>
    <row r="231" spans="1:12" ht="12.75">
      <c r="A231" s="3" t="str">
        <f ca="1">IFERROR(__xludf.UNSUPPORTED("""COMPUTED_VALUE"""),"44bd0c05")</f>
        <v>44bd0c05</v>
      </c>
      <c r="B231" s="4">
        <f ca="1">IFERROR(__xludf.UNSUPPORTED("""COMPUTED_VALUE"""),45119.5890509259)</f>
        <v>45119.589050925897</v>
      </c>
      <c r="C231" s="7" t="str">
        <f ca="1">IFERROR(__xludf.UNSUPPORTED("""COMPUTED_VALUE"""),"Aratu")</f>
        <v>Aratu</v>
      </c>
      <c r="D231" s="3" t="str">
        <f ca="1">IFERROR(__xludf.UNSUPPORTED("""COMPUTED_VALUE"""),"🚢 REGULAR")</f>
        <v>🚢 REGULAR</v>
      </c>
      <c r="E231" s="3" t="str">
        <f ca="1">IFERROR(__xludf.UNSUPPORTED("""COMPUTED_VALUE"""),"🚛 LIBERADO")</f>
        <v>🚛 LIBERADO</v>
      </c>
      <c r="F231" s="5">
        <f ca="1">IFERROR(__xludf.UNSUPPORTED("""COMPUTED_VALUE"""),0)</f>
        <v>0</v>
      </c>
      <c r="G231" s="3" t="str">
        <f ca="1">IFERROR(__xludf.UNSUPPORTED("""COMPUTED_VALUE"""),"Normalidade")</f>
        <v>Normalidade</v>
      </c>
      <c r="H231" s="4">
        <f ca="1">IFERROR(__xludf.UNSUPPORTED("""COMPUTED_VALUE"""),45119.5890509259)</f>
        <v>45119.589050925897</v>
      </c>
      <c r="I231" s="3">
        <f ca="1">IFERROR(__xludf.UNSUPPORTED("""COMPUTED_VALUE"""),24)</f>
        <v>24</v>
      </c>
      <c r="J231" s="4">
        <f ca="1">IFERROR(__xludf.UNSUPPORTED("""COMPUTED_VALUE"""),45120.5890509259)</f>
        <v>45120.589050925897</v>
      </c>
      <c r="L231" s="3" t="str">
        <f ca="1">IFERROR(__xludf.UNSUPPORTED("""COMPUTED_VALUE"""),"Normalidade")</f>
        <v>Normalidade</v>
      </c>
    </row>
    <row r="232" spans="1:12" ht="12.75">
      <c r="A232" s="3" t="str">
        <f ca="1">IFERROR(__xludf.UNSUPPORTED("""COMPUTED_VALUE"""),"7254f2b4")</f>
        <v>7254f2b4</v>
      </c>
      <c r="B232" s="4">
        <f ca="1">IFERROR(__xludf.UNSUPPORTED("""COMPUTED_VALUE"""),45121.2999421296)</f>
        <v>45121.299942129597</v>
      </c>
      <c r="C232" s="8" t="str">
        <f ca="1">IFERROR(__xludf.UNSUPPORTED("""COMPUTED_VALUE"""),"Aratu")</f>
        <v>Aratu</v>
      </c>
      <c r="D232" s="3" t="str">
        <f ca="1">IFERROR(__xludf.UNSUPPORTED("""COMPUTED_VALUE"""),"🚢 REGULAR")</f>
        <v>🚢 REGULAR</v>
      </c>
      <c r="E232" s="3" t="str">
        <f ca="1">IFERROR(__xludf.UNSUPPORTED("""COMPUTED_VALUE"""),"🚛 LIBERADO")</f>
        <v>🚛 LIBERADO</v>
      </c>
      <c r="F232" s="5">
        <f ca="1">IFERROR(__xludf.UNSUPPORTED("""COMPUTED_VALUE"""),0)</f>
        <v>0</v>
      </c>
      <c r="G232" s="3" t="str">
        <f ca="1">IFERROR(__xludf.UNSUPPORTED("""COMPUTED_VALUE"""),"Normalidade")</f>
        <v>Normalidade</v>
      </c>
      <c r="H232" s="4">
        <f ca="1">IFERROR(__xludf.UNSUPPORTED("""COMPUTED_VALUE"""),45121.2999421296)</f>
        <v>45121.299942129597</v>
      </c>
      <c r="I232" s="3">
        <f ca="1">IFERROR(__xludf.UNSUPPORTED("""COMPUTED_VALUE"""),24)</f>
        <v>24</v>
      </c>
      <c r="J232" s="4">
        <f ca="1">IFERROR(__xludf.UNSUPPORTED("""COMPUTED_VALUE"""),45122.2999421296)</f>
        <v>45122.299942129597</v>
      </c>
      <c r="L232" s="3" t="str">
        <f ca="1">IFERROR(__xludf.UNSUPPORTED("""COMPUTED_VALUE"""),"Normalidade")</f>
        <v>Normalidade</v>
      </c>
    </row>
    <row r="233" spans="1:12" ht="12.75">
      <c r="A233" s="3" t="str">
        <f ca="1">IFERROR(__xludf.UNSUPPORTED("""COMPUTED_VALUE"""),"d0d9b3ae")</f>
        <v>d0d9b3ae</v>
      </c>
      <c r="B233" s="4">
        <f ca="1">IFERROR(__xludf.UNSUPPORTED("""COMPUTED_VALUE"""),45124.727662037)</f>
        <v>45124.727662037003</v>
      </c>
      <c r="C233" s="8" t="str">
        <f ca="1">IFERROR(__xludf.UNSUPPORTED("""COMPUTED_VALUE"""),"Aratu")</f>
        <v>Aratu</v>
      </c>
      <c r="D233" s="3" t="str">
        <f ca="1">IFERROR(__xludf.UNSUPPORTED("""COMPUTED_VALUE"""),"🚢 REGULAR")</f>
        <v>🚢 REGULAR</v>
      </c>
      <c r="E233" s="3" t="str">
        <f ca="1">IFERROR(__xludf.UNSUPPORTED("""COMPUTED_VALUE"""),"🚛 LIBERADO")</f>
        <v>🚛 LIBERADO</v>
      </c>
      <c r="F233" s="5">
        <f ca="1">IFERROR(__xludf.UNSUPPORTED("""COMPUTED_VALUE"""),0)</f>
        <v>0</v>
      </c>
      <c r="G233" s="3" t="str">
        <f ca="1">IFERROR(__xludf.UNSUPPORTED("""COMPUTED_VALUE"""),"Normalidade")</f>
        <v>Normalidade</v>
      </c>
      <c r="H233" s="4">
        <f ca="1">IFERROR(__xludf.UNSUPPORTED("""COMPUTED_VALUE"""),45124.727662037)</f>
        <v>45124.727662037003</v>
      </c>
      <c r="I233" s="3">
        <f ca="1">IFERROR(__xludf.UNSUPPORTED("""COMPUTED_VALUE"""),24)</f>
        <v>24</v>
      </c>
      <c r="J233" s="4">
        <f ca="1">IFERROR(__xludf.UNSUPPORTED("""COMPUTED_VALUE"""),45125.727662037)</f>
        <v>45125.727662037003</v>
      </c>
      <c r="L233" s="3" t="str">
        <f ca="1">IFERROR(__xludf.UNSUPPORTED("""COMPUTED_VALUE"""),"Normalidade")</f>
        <v>Normalidade</v>
      </c>
    </row>
    <row r="234" spans="1:12" ht="12.75">
      <c r="A234" s="3" t="str">
        <f ca="1">IFERROR(__xludf.UNSUPPORTED("""COMPUTED_VALUE"""),"f24f0b58")</f>
        <v>f24f0b58</v>
      </c>
      <c r="B234" s="4">
        <f ca="1">IFERROR(__xludf.UNSUPPORTED("""COMPUTED_VALUE"""),45126.4323263888)</f>
        <v>45126.4323263888</v>
      </c>
      <c r="C234" s="8" t="str">
        <f ca="1">IFERROR(__xludf.UNSUPPORTED("""COMPUTED_VALUE"""),"Aratu")</f>
        <v>Aratu</v>
      </c>
      <c r="D234" s="3" t="str">
        <f ca="1">IFERROR(__xludf.UNSUPPORTED("""COMPUTED_VALUE"""),"🚢 REGULAR")</f>
        <v>🚢 REGULAR</v>
      </c>
      <c r="E234" s="3" t="str">
        <f ca="1">IFERROR(__xludf.UNSUPPORTED("""COMPUTED_VALUE"""),"🚛 LIBERADO")</f>
        <v>🚛 LIBERADO</v>
      </c>
      <c r="F234" s="5">
        <f ca="1">IFERROR(__xludf.UNSUPPORTED("""COMPUTED_VALUE"""),0)</f>
        <v>0</v>
      </c>
      <c r="G234" s="3" t="str">
        <f ca="1">IFERROR(__xludf.UNSUPPORTED("""COMPUTED_VALUE"""),"Normalidade")</f>
        <v>Normalidade</v>
      </c>
      <c r="H234" s="4">
        <f ca="1">IFERROR(__xludf.UNSUPPORTED("""COMPUTED_VALUE"""),45126.4323263888)</f>
        <v>45126.4323263888</v>
      </c>
      <c r="I234" s="3">
        <f ca="1">IFERROR(__xludf.UNSUPPORTED("""COMPUTED_VALUE"""),24)</f>
        <v>24</v>
      </c>
      <c r="J234" s="4">
        <f ca="1">IFERROR(__xludf.UNSUPPORTED("""COMPUTED_VALUE"""),45127.4323263888)</f>
        <v>45127.4323263888</v>
      </c>
      <c r="L234" s="3" t="str">
        <f ca="1">IFERROR(__xludf.UNSUPPORTED("""COMPUTED_VALUE"""),"Normalidade")</f>
        <v>Normalidade</v>
      </c>
    </row>
    <row r="235" spans="1:12" ht="12.75">
      <c r="A235" s="3" t="str">
        <f ca="1">IFERROR(__xludf.UNSUPPORTED("""COMPUTED_VALUE"""),"76513fc1")</f>
        <v>76513fc1</v>
      </c>
      <c r="B235" s="4">
        <f ca="1">IFERROR(__xludf.UNSUPPORTED("""COMPUTED_VALUE"""),45128.3891898148)</f>
        <v>45128.389189814799</v>
      </c>
      <c r="C235" s="7" t="str">
        <f ca="1">IFERROR(__xludf.UNSUPPORTED("""COMPUTED_VALUE"""),"Aratu")</f>
        <v>Aratu</v>
      </c>
      <c r="D235" s="3" t="str">
        <f ca="1">IFERROR(__xludf.UNSUPPORTED("""COMPUTED_VALUE"""),"🚢 REGULAR")</f>
        <v>🚢 REGULAR</v>
      </c>
      <c r="E235" s="3" t="str">
        <f ca="1">IFERROR(__xludf.UNSUPPORTED("""COMPUTED_VALUE"""),"🚛 LIBERADO")</f>
        <v>🚛 LIBERADO</v>
      </c>
      <c r="F235" s="5">
        <f ca="1">IFERROR(__xludf.UNSUPPORTED("""COMPUTED_VALUE"""),0)</f>
        <v>0</v>
      </c>
      <c r="G235" s="3" t="str">
        <f ca="1">IFERROR(__xludf.UNSUPPORTED("""COMPUTED_VALUE"""),"Normalidade")</f>
        <v>Normalidade</v>
      </c>
      <c r="H235" s="4">
        <f ca="1">IFERROR(__xludf.UNSUPPORTED("""COMPUTED_VALUE"""),45128.3891898148)</f>
        <v>45128.389189814799</v>
      </c>
      <c r="I235" s="3">
        <f ca="1">IFERROR(__xludf.UNSUPPORTED("""COMPUTED_VALUE"""),24)</f>
        <v>24</v>
      </c>
      <c r="J235" s="4">
        <f ca="1">IFERROR(__xludf.UNSUPPORTED("""COMPUTED_VALUE"""),45129.3891898148)</f>
        <v>45129.389189814799</v>
      </c>
      <c r="L235" s="3" t="str">
        <f ca="1">IFERROR(__xludf.UNSUPPORTED("""COMPUTED_VALUE"""),"Normalidade")</f>
        <v>Normalidade</v>
      </c>
    </row>
    <row r="236" spans="1:12" ht="12.75">
      <c r="A236" s="3" t="str">
        <f ca="1">IFERROR(__xludf.UNSUPPORTED("""COMPUTED_VALUE"""),"5b5c71a4")</f>
        <v>5b5c71a4</v>
      </c>
      <c r="B236" s="4">
        <f ca="1">IFERROR(__xludf.UNSUPPORTED("""COMPUTED_VALUE"""),45131.5267708333)</f>
        <v>45131.526770833298</v>
      </c>
      <c r="C236" s="7" t="str">
        <f ca="1">IFERROR(__xludf.UNSUPPORTED("""COMPUTED_VALUE"""),"Aratu")</f>
        <v>Aratu</v>
      </c>
      <c r="D236" s="3" t="str">
        <f ca="1">IFERROR(__xludf.UNSUPPORTED("""COMPUTED_VALUE"""),"🚢 REGULAR")</f>
        <v>🚢 REGULAR</v>
      </c>
      <c r="E236" s="3" t="str">
        <f ca="1">IFERROR(__xludf.UNSUPPORTED("""COMPUTED_VALUE"""),"🚛 LIBERADO")</f>
        <v>🚛 LIBERADO</v>
      </c>
      <c r="F236" s="5">
        <f ca="1">IFERROR(__xludf.UNSUPPORTED("""COMPUTED_VALUE"""),0)</f>
        <v>0</v>
      </c>
      <c r="G236" s="3" t="str">
        <f ca="1">IFERROR(__xludf.UNSUPPORTED("""COMPUTED_VALUE"""),"Normalidade")</f>
        <v>Normalidade</v>
      </c>
      <c r="H236" s="4">
        <f ca="1">IFERROR(__xludf.UNSUPPORTED("""COMPUTED_VALUE"""),45131.5267708333)</f>
        <v>45131.526770833298</v>
      </c>
      <c r="I236" s="3">
        <f ca="1">IFERROR(__xludf.UNSUPPORTED("""COMPUTED_VALUE"""),24)</f>
        <v>24</v>
      </c>
      <c r="J236" s="4">
        <f ca="1">IFERROR(__xludf.UNSUPPORTED("""COMPUTED_VALUE"""),45132.5267708333)</f>
        <v>45132.526770833298</v>
      </c>
      <c r="L236" s="3" t="str">
        <f ca="1">IFERROR(__xludf.UNSUPPORTED("""COMPUTED_VALUE"""),"Normalidade")</f>
        <v>Normalidade</v>
      </c>
    </row>
    <row r="237" spans="1:12" ht="12.75">
      <c r="A237" s="3" t="str">
        <f ca="1">IFERROR(__xludf.UNSUPPORTED("""COMPUTED_VALUE"""),"e7ce592b")</f>
        <v>e7ce592b</v>
      </c>
      <c r="B237" s="4">
        <f ca="1">IFERROR(__xludf.UNSUPPORTED("""COMPUTED_VALUE"""),45133.6799652777)</f>
        <v>45133.679965277697</v>
      </c>
      <c r="C237" s="7" t="str">
        <f ca="1">IFERROR(__xludf.UNSUPPORTED("""COMPUTED_VALUE"""),"Aratu")</f>
        <v>Aratu</v>
      </c>
      <c r="D237" s="3" t="str">
        <f ca="1">IFERROR(__xludf.UNSUPPORTED("""COMPUTED_VALUE"""),"🚢 REGULAR")</f>
        <v>🚢 REGULAR</v>
      </c>
      <c r="E237" s="3" t="str">
        <f ca="1">IFERROR(__xludf.UNSUPPORTED("""COMPUTED_VALUE"""),"🚛 LIBERADO")</f>
        <v>🚛 LIBERADO</v>
      </c>
      <c r="F237" s="5">
        <f ca="1">IFERROR(__xludf.UNSUPPORTED("""COMPUTED_VALUE"""),0)</f>
        <v>0</v>
      </c>
      <c r="G237" s="3" t="str">
        <f ca="1">IFERROR(__xludf.UNSUPPORTED("""COMPUTED_VALUE"""),"Normalidade")</f>
        <v>Normalidade</v>
      </c>
      <c r="H237" s="4">
        <f ca="1">IFERROR(__xludf.UNSUPPORTED("""COMPUTED_VALUE"""),45133.6799652777)</f>
        <v>45133.679965277697</v>
      </c>
      <c r="I237" s="3">
        <f ca="1">IFERROR(__xludf.UNSUPPORTED("""COMPUTED_VALUE"""),24)</f>
        <v>24</v>
      </c>
      <c r="J237" s="4">
        <f ca="1">IFERROR(__xludf.UNSUPPORTED("""COMPUTED_VALUE"""),45134.6799652777)</f>
        <v>45134.679965277697</v>
      </c>
      <c r="L237" s="3" t="str">
        <f ca="1">IFERROR(__xludf.UNSUPPORTED("""COMPUTED_VALUE"""),"Normalidade")</f>
        <v>Normalidade</v>
      </c>
    </row>
    <row r="238" spans="1:12" ht="12.75">
      <c r="A238" s="3" t="str">
        <f ca="1">IFERROR(__xludf.UNSUPPORTED("""COMPUTED_VALUE"""),"c36167b1")</f>
        <v>c36167b1</v>
      </c>
      <c r="B238" s="4">
        <f ca="1">IFERROR(__xludf.UNSUPPORTED("""COMPUTED_VALUE"""),45134.7214583333)</f>
        <v>45134.721458333297</v>
      </c>
      <c r="C238" s="8" t="str">
        <f ca="1">IFERROR(__xludf.UNSUPPORTED("""COMPUTED_VALUE"""),"Aratu")</f>
        <v>Aratu</v>
      </c>
      <c r="D238" s="3" t="str">
        <f ca="1">IFERROR(__xludf.UNSUPPORTED("""COMPUTED_VALUE"""),"🚢 REGULAR")</f>
        <v>🚢 REGULAR</v>
      </c>
      <c r="E238" s="3" t="str">
        <f ca="1">IFERROR(__xludf.UNSUPPORTED("""COMPUTED_VALUE"""),"🚛 LIBERADO")</f>
        <v>🚛 LIBERADO</v>
      </c>
      <c r="F238" s="5">
        <f ca="1">IFERROR(__xludf.UNSUPPORTED("""COMPUTED_VALUE"""),0)</f>
        <v>0</v>
      </c>
      <c r="G238" s="3" t="str">
        <f ca="1">IFERROR(__xludf.UNSUPPORTED("""COMPUTED_VALUE"""),"Normalidade")</f>
        <v>Normalidade</v>
      </c>
      <c r="H238" s="4">
        <f ca="1">IFERROR(__xludf.UNSUPPORTED("""COMPUTED_VALUE"""),45134.7214583333)</f>
        <v>45134.721458333297</v>
      </c>
      <c r="I238" s="3">
        <f ca="1">IFERROR(__xludf.UNSUPPORTED("""COMPUTED_VALUE"""),24)</f>
        <v>24</v>
      </c>
      <c r="J238" s="4">
        <f ca="1">IFERROR(__xludf.UNSUPPORTED("""COMPUTED_VALUE"""),45135.7214583333)</f>
        <v>45135.721458333297</v>
      </c>
      <c r="L238" s="3" t="str">
        <f ca="1">IFERROR(__xludf.UNSUPPORTED("""COMPUTED_VALUE"""),"Normalidade")</f>
        <v>Normalidade</v>
      </c>
    </row>
    <row r="239" spans="1:12" ht="12.75">
      <c r="A239" s="3" t="str">
        <f ca="1">IFERROR(__xludf.UNSUPPORTED("""COMPUTED_VALUE"""),"a5c04235")</f>
        <v>a5c04235</v>
      </c>
      <c r="B239" s="4">
        <f ca="1">IFERROR(__xludf.UNSUPPORTED("""COMPUTED_VALUE"""),45138.2747800925)</f>
        <v>45138.274780092499</v>
      </c>
      <c r="C239" s="8" t="str">
        <f ca="1">IFERROR(__xludf.UNSUPPORTED("""COMPUTED_VALUE"""),"Aratu")</f>
        <v>Aratu</v>
      </c>
      <c r="D239" s="3" t="str">
        <f ca="1">IFERROR(__xludf.UNSUPPORTED("""COMPUTED_VALUE"""),"🚢 REGULAR")</f>
        <v>🚢 REGULAR</v>
      </c>
      <c r="E239" s="3" t="str">
        <f ca="1">IFERROR(__xludf.UNSUPPORTED("""COMPUTED_VALUE"""),"🚛 LIBERADO")</f>
        <v>🚛 LIBERADO</v>
      </c>
      <c r="F239" s="5">
        <f ca="1">IFERROR(__xludf.UNSUPPORTED("""COMPUTED_VALUE"""),0)</f>
        <v>0</v>
      </c>
      <c r="G239" s="3" t="str">
        <f ca="1">IFERROR(__xludf.UNSUPPORTED("""COMPUTED_VALUE"""),"Normalidade")</f>
        <v>Normalidade</v>
      </c>
      <c r="H239" s="4">
        <f ca="1">IFERROR(__xludf.UNSUPPORTED("""COMPUTED_VALUE"""),45138.2747800925)</f>
        <v>45138.274780092499</v>
      </c>
      <c r="I239" s="3">
        <f ca="1">IFERROR(__xludf.UNSUPPORTED("""COMPUTED_VALUE"""),24)</f>
        <v>24</v>
      </c>
      <c r="J239" s="4">
        <f ca="1">IFERROR(__xludf.UNSUPPORTED("""COMPUTED_VALUE"""),45139.2747800925)</f>
        <v>45139.274780092499</v>
      </c>
      <c r="L239" s="3" t="str">
        <f ca="1">IFERROR(__xludf.UNSUPPORTED("""COMPUTED_VALUE"""),"Normalidade")</f>
        <v>Normalidade</v>
      </c>
    </row>
    <row r="240" spans="1:12" ht="12.75">
      <c r="A240" s="3" t="str">
        <f ca="1">IFERROR(__xludf.UNSUPPORTED("""COMPUTED_VALUE"""),"4a4dddbb")</f>
        <v>4a4dddbb</v>
      </c>
      <c r="B240" s="4">
        <f ca="1">IFERROR(__xludf.UNSUPPORTED("""COMPUTED_VALUE"""),45140.344224537)</f>
        <v>45140.344224537002</v>
      </c>
      <c r="C240" s="7" t="str">
        <f ca="1">IFERROR(__xludf.UNSUPPORTED("""COMPUTED_VALUE"""),"Aratu")</f>
        <v>Aratu</v>
      </c>
      <c r="D240" s="3" t="str">
        <f ca="1">IFERROR(__xludf.UNSUPPORTED("""COMPUTED_VALUE"""),"🚢 REGULAR")</f>
        <v>🚢 REGULAR</v>
      </c>
      <c r="E240" s="3" t="str">
        <f ca="1">IFERROR(__xludf.UNSUPPORTED("""COMPUTED_VALUE"""),"🚛 LIBERADO")</f>
        <v>🚛 LIBERADO</v>
      </c>
      <c r="F240" s="5">
        <f ca="1">IFERROR(__xludf.UNSUPPORTED("""COMPUTED_VALUE"""),0)</f>
        <v>0</v>
      </c>
      <c r="G240" s="3" t="str">
        <f ca="1">IFERROR(__xludf.UNSUPPORTED("""COMPUTED_VALUE"""),"Normalidade")</f>
        <v>Normalidade</v>
      </c>
      <c r="H240" s="4">
        <f ca="1">IFERROR(__xludf.UNSUPPORTED("""COMPUTED_VALUE"""),45140.344224537)</f>
        <v>45140.344224537002</v>
      </c>
      <c r="I240" s="3">
        <f ca="1">IFERROR(__xludf.UNSUPPORTED("""COMPUTED_VALUE"""),24)</f>
        <v>24</v>
      </c>
      <c r="J240" s="4">
        <f ca="1">IFERROR(__xludf.UNSUPPORTED("""COMPUTED_VALUE"""),45141.344224537)</f>
        <v>45141.344224537002</v>
      </c>
      <c r="L240" s="3" t="str">
        <f ca="1">IFERROR(__xludf.UNSUPPORTED("""COMPUTED_VALUE"""),"Normalidade")</f>
        <v>Normalidade</v>
      </c>
    </row>
    <row r="241" spans="1:12" ht="12.75">
      <c r="A241" s="3" t="str">
        <f ca="1">IFERROR(__xludf.UNSUPPORTED("""COMPUTED_VALUE"""),"f1896ed2")</f>
        <v>f1896ed2</v>
      </c>
      <c r="B241" s="4">
        <f ca="1">IFERROR(__xludf.UNSUPPORTED("""COMPUTED_VALUE"""),45141.2965972222)</f>
        <v>45141.296597222201</v>
      </c>
      <c r="C241" s="8" t="str">
        <f ca="1">IFERROR(__xludf.UNSUPPORTED("""COMPUTED_VALUE"""),"Aratu")</f>
        <v>Aratu</v>
      </c>
      <c r="D241" s="3" t="str">
        <f ca="1">IFERROR(__xludf.UNSUPPORTED("""COMPUTED_VALUE"""),"🚢 REGULAR")</f>
        <v>🚢 REGULAR</v>
      </c>
      <c r="E241" s="3" t="str">
        <f ca="1">IFERROR(__xludf.UNSUPPORTED("""COMPUTED_VALUE"""),"🚛 LIBERADO")</f>
        <v>🚛 LIBERADO</v>
      </c>
      <c r="F241" s="5">
        <f ca="1">IFERROR(__xludf.UNSUPPORTED("""COMPUTED_VALUE"""),0)</f>
        <v>0</v>
      </c>
      <c r="G241" s="3" t="str">
        <f ca="1">IFERROR(__xludf.UNSUPPORTED("""COMPUTED_VALUE"""),"Normalidade")</f>
        <v>Normalidade</v>
      </c>
      <c r="H241" s="4">
        <f ca="1">IFERROR(__xludf.UNSUPPORTED("""COMPUTED_VALUE"""),45141.2965972222)</f>
        <v>45141.296597222201</v>
      </c>
      <c r="I241" s="3">
        <f ca="1">IFERROR(__xludf.UNSUPPORTED("""COMPUTED_VALUE"""),24)</f>
        <v>24</v>
      </c>
      <c r="J241" s="4">
        <f ca="1">IFERROR(__xludf.UNSUPPORTED("""COMPUTED_VALUE"""),45142.2965972222)</f>
        <v>45142.296597222201</v>
      </c>
      <c r="L241" s="3" t="str">
        <f ca="1">IFERROR(__xludf.UNSUPPORTED("""COMPUTED_VALUE"""),"Normalidade")</f>
        <v>Normalidade</v>
      </c>
    </row>
    <row r="242" spans="1:12" ht="12.75">
      <c r="A242" s="3" t="str">
        <f ca="1">IFERROR(__xludf.UNSUPPORTED("""COMPUTED_VALUE"""),"2f19c6b2")</f>
        <v>2f19c6b2</v>
      </c>
      <c r="B242" s="4">
        <f ca="1">IFERROR(__xludf.UNSUPPORTED("""COMPUTED_VALUE"""),45145.582662037)</f>
        <v>45145.582662036999</v>
      </c>
      <c r="C242" s="7" t="str">
        <f ca="1">IFERROR(__xludf.UNSUPPORTED("""COMPUTED_VALUE"""),"Aratu")</f>
        <v>Aratu</v>
      </c>
      <c r="D242" s="3" t="str">
        <f ca="1">IFERROR(__xludf.UNSUPPORTED("""COMPUTED_VALUE"""),"🚢 REGULAR")</f>
        <v>🚢 REGULAR</v>
      </c>
      <c r="E242" s="3" t="str">
        <f ca="1">IFERROR(__xludf.UNSUPPORTED("""COMPUTED_VALUE"""),"🚛 LIBERADO")</f>
        <v>🚛 LIBERADO</v>
      </c>
      <c r="F242" s="5">
        <f ca="1">IFERROR(__xludf.UNSUPPORTED("""COMPUTED_VALUE"""),0)</f>
        <v>0</v>
      </c>
      <c r="G242" s="3" t="str">
        <f ca="1">IFERROR(__xludf.UNSUPPORTED("""COMPUTED_VALUE"""),"Normalidade")</f>
        <v>Normalidade</v>
      </c>
      <c r="H242" s="4">
        <f ca="1">IFERROR(__xludf.UNSUPPORTED("""COMPUTED_VALUE"""),45145.582662037)</f>
        <v>45145.582662036999</v>
      </c>
      <c r="I242" s="3">
        <f ca="1">IFERROR(__xludf.UNSUPPORTED("""COMPUTED_VALUE"""),24)</f>
        <v>24</v>
      </c>
      <c r="J242" s="4">
        <f ca="1">IFERROR(__xludf.UNSUPPORTED("""COMPUTED_VALUE"""),45146.582662037)</f>
        <v>45146.582662036999</v>
      </c>
      <c r="L242" s="3" t="str">
        <f ca="1">IFERROR(__xludf.UNSUPPORTED("""COMPUTED_VALUE"""),"Normalidade")</f>
        <v>Normalidade</v>
      </c>
    </row>
    <row r="243" spans="1:12" ht="12.75">
      <c r="A243" s="3" t="str">
        <f ca="1">IFERROR(__xludf.UNSUPPORTED("""COMPUTED_VALUE"""),"6d72f1f6")</f>
        <v>6d72f1f6</v>
      </c>
      <c r="B243" s="4">
        <f ca="1">IFERROR(__xludf.UNSUPPORTED("""COMPUTED_VALUE"""),45146.2318287037)</f>
        <v>45146.231828703698</v>
      </c>
      <c r="C243" s="7" t="str">
        <f ca="1">IFERROR(__xludf.UNSUPPORTED("""COMPUTED_VALUE"""),"Aratu")</f>
        <v>Aratu</v>
      </c>
      <c r="D243" s="3" t="str">
        <f ca="1">IFERROR(__xludf.UNSUPPORTED("""COMPUTED_VALUE"""),"🚢 REGULAR")</f>
        <v>🚢 REGULAR</v>
      </c>
      <c r="E243" s="3" t="str">
        <f ca="1">IFERROR(__xludf.UNSUPPORTED("""COMPUTED_VALUE"""),"🚛 LIBERADO")</f>
        <v>🚛 LIBERADO</v>
      </c>
      <c r="F243" s="5">
        <f ca="1">IFERROR(__xludf.UNSUPPORTED("""COMPUTED_VALUE"""),0)</f>
        <v>0</v>
      </c>
      <c r="G243" s="3" t="str">
        <f ca="1">IFERROR(__xludf.UNSUPPORTED("""COMPUTED_VALUE"""),"Normalidade")</f>
        <v>Normalidade</v>
      </c>
      <c r="H243" s="4">
        <f ca="1">IFERROR(__xludf.UNSUPPORTED("""COMPUTED_VALUE"""),45146.2318287037)</f>
        <v>45146.231828703698</v>
      </c>
      <c r="I243" s="3">
        <f ca="1">IFERROR(__xludf.UNSUPPORTED("""COMPUTED_VALUE"""),24)</f>
        <v>24</v>
      </c>
      <c r="J243" s="4">
        <f ca="1">IFERROR(__xludf.UNSUPPORTED("""COMPUTED_VALUE"""),45147.2318287037)</f>
        <v>45147.231828703698</v>
      </c>
      <c r="L243" s="3" t="str">
        <f ca="1">IFERROR(__xludf.UNSUPPORTED("""COMPUTED_VALUE"""),"Normalidade")</f>
        <v>Normalidade</v>
      </c>
    </row>
    <row r="244" spans="1:12" ht="12.75">
      <c r="A244" s="3" t="str">
        <f ca="1">IFERROR(__xludf.UNSUPPORTED("""COMPUTED_VALUE"""),"04f54dbb")</f>
        <v>04f54dbb</v>
      </c>
      <c r="B244" s="4">
        <f ca="1">IFERROR(__xludf.UNSUPPORTED("""COMPUTED_VALUE"""),45148.490625)</f>
        <v>45148.490624999999</v>
      </c>
      <c r="C244" s="7" t="str">
        <f ca="1">IFERROR(__xludf.UNSUPPORTED("""COMPUTED_VALUE"""),"Aratu")</f>
        <v>Aratu</v>
      </c>
      <c r="D244" s="3" t="str">
        <f ca="1">IFERROR(__xludf.UNSUPPORTED("""COMPUTED_VALUE"""),"🚢 REGULAR")</f>
        <v>🚢 REGULAR</v>
      </c>
      <c r="E244" s="3" t="str">
        <f ca="1">IFERROR(__xludf.UNSUPPORTED("""COMPUTED_VALUE"""),"🚛 LIBERADO")</f>
        <v>🚛 LIBERADO</v>
      </c>
      <c r="F244" s="5">
        <f ca="1">IFERROR(__xludf.UNSUPPORTED("""COMPUTED_VALUE"""),0)</f>
        <v>0</v>
      </c>
      <c r="G244" s="3" t="str">
        <f ca="1">IFERROR(__xludf.UNSUPPORTED("""COMPUTED_VALUE"""),"Normalidade")</f>
        <v>Normalidade</v>
      </c>
      <c r="H244" s="4">
        <f ca="1">IFERROR(__xludf.UNSUPPORTED("""COMPUTED_VALUE"""),45148.490625)</f>
        <v>45148.490624999999</v>
      </c>
      <c r="I244" s="3">
        <f ca="1">IFERROR(__xludf.UNSUPPORTED("""COMPUTED_VALUE"""),24)</f>
        <v>24</v>
      </c>
      <c r="J244" s="4">
        <f ca="1">IFERROR(__xludf.UNSUPPORTED("""COMPUTED_VALUE"""),45149.490625)</f>
        <v>45149.490624999999</v>
      </c>
      <c r="L244" s="3" t="str">
        <f ca="1">IFERROR(__xludf.UNSUPPORTED("""COMPUTED_VALUE"""),"Normalidade")</f>
        <v>Normalidade</v>
      </c>
    </row>
    <row r="245" spans="1:12" ht="12.75">
      <c r="A245" s="3" t="str">
        <f ca="1">IFERROR(__xludf.UNSUPPORTED("""COMPUTED_VALUE"""),"4cf59eee")</f>
        <v>4cf59eee</v>
      </c>
      <c r="B245" s="4">
        <f ca="1">IFERROR(__xludf.UNSUPPORTED("""COMPUTED_VALUE"""),45152.503761574)</f>
        <v>45152.503761574</v>
      </c>
      <c r="C245" s="8" t="str">
        <f ca="1">IFERROR(__xludf.UNSUPPORTED("""COMPUTED_VALUE"""),"Aratu")</f>
        <v>Aratu</v>
      </c>
      <c r="D245" s="3" t="str">
        <f ca="1">IFERROR(__xludf.UNSUPPORTED("""COMPUTED_VALUE"""),"🚢 REGULAR")</f>
        <v>🚢 REGULAR</v>
      </c>
      <c r="E245" s="3" t="str">
        <f ca="1">IFERROR(__xludf.UNSUPPORTED("""COMPUTED_VALUE"""),"🚛 LIBERADO")</f>
        <v>🚛 LIBERADO</v>
      </c>
      <c r="F245" s="5">
        <f ca="1">IFERROR(__xludf.UNSUPPORTED("""COMPUTED_VALUE"""),0)</f>
        <v>0</v>
      </c>
      <c r="G245" s="3" t="str">
        <f ca="1">IFERROR(__xludf.UNSUPPORTED("""COMPUTED_VALUE"""),"Normalidade")</f>
        <v>Normalidade</v>
      </c>
      <c r="H245" s="4">
        <f ca="1">IFERROR(__xludf.UNSUPPORTED("""COMPUTED_VALUE"""),45152.503761574)</f>
        <v>45152.503761574</v>
      </c>
      <c r="I245" s="3">
        <f ca="1">IFERROR(__xludf.UNSUPPORTED("""COMPUTED_VALUE"""),24)</f>
        <v>24</v>
      </c>
      <c r="J245" s="4">
        <f ca="1">IFERROR(__xludf.UNSUPPORTED("""COMPUTED_VALUE"""),45153.503761574)</f>
        <v>45153.503761574</v>
      </c>
      <c r="L245" s="3" t="str">
        <f ca="1">IFERROR(__xludf.UNSUPPORTED("""COMPUTED_VALUE"""),"Normalidade")</f>
        <v>Normalidade</v>
      </c>
    </row>
    <row r="246" spans="1:12" ht="12.75">
      <c r="A246" s="3" t="str">
        <f ca="1">IFERROR(__xludf.UNSUPPORTED("""COMPUTED_VALUE"""),"72611943")</f>
        <v>72611943</v>
      </c>
      <c r="B246" s="4">
        <f ca="1">IFERROR(__xludf.UNSUPPORTED("""COMPUTED_VALUE"""),45155.6839814814)</f>
        <v>45155.683981481401</v>
      </c>
      <c r="C246" s="8" t="str">
        <f ca="1">IFERROR(__xludf.UNSUPPORTED("""COMPUTED_VALUE"""),"Aratu")</f>
        <v>Aratu</v>
      </c>
      <c r="D246" s="3" t="str">
        <f ca="1">IFERROR(__xludf.UNSUPPORTED("""COMPUTED_VALUE"""),"🚢 REGULAR")</f>
        <v>🚢 REGULAR</v>
      </c>
      <c r="E246" s="3" t="str">
        <f ca="1">IFERROR(__xludf.UNSUPPORTED("""COMPUTED_VALUE"""),"🚛 LIBERADO")</f>
        <v>🚛 LIBERADO</v>
      </c>
      <c r="F246" s="5">
        <f ca="1">IFERROR(__xludf.UNSUPPORTED("""COMPUTED_VALUE"""),0)</f>
        <v>0</v>
      </c>
      <c r="G246" s="3" t="str">
        <f ca="1">IFERROR(__xludf.UNSUPPORTED("""COMPUTED_VALUE"""),"Normalidade")</f>
        <v>Normalidade</v>
      </c>
      <c r="H246" s="4">
        <f ca="1">IFERROR(__xludf.UNSUPPORTED("""COMPUTED_VALUE"""),45155.6839814814)</f>
        <v>45155.683981481401</v>
      </c>
      <c r="I246" s="3">
        <f ca="1">IFERROR(__xludf.UNSUPPORTED("""COMPUTED_VALUE"""),24)</f>
        <v>24</v>
      </c>
      <c r="J246" s="4">
        <f ca="1">IFERROR(__xludf.UNSUPPORTED("""COMPUTED_VALUE"""),45156.6839814814)</f>
        <v>45156.683981481401</v>
      </c>
      <c r="L246" s="3" t="str">
        <f ca="1">IFERROR(__xludf.UNSUPPORTED("""COMPUTED_VALUE"""),"Normalidade")</f>
        <v>Normalidade</v>
      </c>
    </row>
    <row r="247" spans="1:12" ht="12.75">
      <c r="A247" s="3" t="str">
        <f ca="1">IFERROR(__xludf.UNSUPPORTED("""COMPUTED_VALUE"""),"ad5eed58")</f>
        <v>ad5eed58</v>
      </c>
      <c r="B247" s="4">
        <f ca="1">IFERROR(__xludf.UNSUPPORTED("""COMPUTED_VALUE"""),45159.3575694444)</f>
        <v>45159.357569444401</v>
      </c>
      <c r="C247" s="8" t="str">
        <f ca="1">IFERROR(__xludf.UNSUPPORTED("""COMPUTED_VALUE"""),"Aratu")</f>
        <v>Aratu</v>
      </c>
      <c r="D247" s="3" t="str">
        <f ca="1">IFERROR(__xludf.UNSUPPORTED("""COMPUTED_VALUE"""),"🚢 REGULAR")</f>
        <v>🚢 REGULAR</v>
      </c>
      <c r="E247" s="3" t="str">
        <f ca="1">IFERROR(__xludf.UNSUPPORTED("""COMPUTED_VALUE"""),"🚛 LIBERADO")</f>
        <v>🚛 LIBERADO</v>
      </c>
      <c r="F247" s="5">
        <f ca="1">IFERROR(__xludf.UNSUPPORTED("""COMPUTED_VALUE"""),0)</f>
        <v>0</v>
      </c>
      <c r="G247" s="3" t="str">
        <f ca="1">IFERROR(__xludf.UNSUPPORTED("""COMPUTED_VALUE"""),"Normalidade")</f>
        <v>Normalidade</v>
      </c>
      <c r="H247" s="4">
        <f ca="1">IFERROR(__xludf.UNSUPPORTED("""COMPUTED_VALUE"""),45159.3575694444)</f>
        <v>45159.357569444401</v>
      </c>
      <c r="I247" s="3">
        <f ca="1">IFERROR(__xludf.UNSUPPORTED("""COMPUTED_VALUE"""),24)</f>
        <v>24</v>
      </c>
      <c r="J247" s="4">
        <f ca="1">IFERROR(__xludf.UNSUPPORTED("""COMPUTED_VALUE"""),45160.3575694444)</f>
        <v>45160.357569444401</v>
      </c>
      <c r="L247" s="3" t="str">
        <f ca="1">IFERROR(__xludf.UNSUPPORTED("""COMPUTED_VALUE"""),"Normalidade")</f>
        <v>Normalidade</v>
      </c>
    </row>
    <row r="248" spans="1:12" ht="12.75">
      <c r="A248" s="3" t="str">
        <f ca="1">IFERROR(__xludf.UNSUPPORTED("""COMPUTED_VALUE"""),"c38f4ca9")</f>
        <v>c38f4ca9</v>
      </c>
      <c r="B248" s="4">
        <f ca="1">IFERROR(__xludf.UNSUPPORTED("""COMPUTED_VALUE"""),45161.6298263888)</f>
        <v>45161.629826388802</v>
      </c>
      <c r="C248" s="8" t="str">
        <f ca="1">IFERROR(__xludf.UNSUPPORTED("""COMPUTED_VALUE"""),"Aratu")</f>
        <v>Aratu</v>
      </c>
      <c r="D248" s="3" t="str">
        <f ca="1">IFERROR(__xludf.UNSUPPORTED("""COMPUTED_VALUE"""),"🚢 REGULAR")</f>
        <v>🚢 REGULAR</v>
      </c>
      <c r="E248" s="3" t="str">
        <f ca="1">IFERROR(__xludf.UNSUPPORTED("""COMPUTED_VALUE"""),"🚛 LIBERADO")</f>
        <v>🚛 LIBERADO</v>
      </c>
      <c r="F248" s="5">
        <f ca="1">IFERROR(__xludf.UNSUPPORTED("""COMPUTED_VALUE"""),0)</f>
        <v>0</v>
      </c>
      <c r="G248" s="3" t="str">
        <f ca="1">IFERROR(__xludf.UNSUPPORTED("""COMPUTED_VALUE"""),"Normalidade")</f>
        <v>Normalidade</v>
      </c>
      <c r="H248" s="4">
        <f ca="1">IFERROR(__xludf.UNSUPPORTED("""COMPUTED_VALUE"""),45161.6298263888)</f>
        <v>45161.629826388802</v>
      </c>
      <c r="I248" s="3">
        <f ca="1">IFERROR(__xludf.UNSUPPORTED("""COMPUTED_VALUE"""),24)</f>
        <v>24</v>
      </c>
      <c r="J248" s="4">
        <f ca="1">IFERROR(__xludf.UNSUPPORTED("""COMPUTED_VALUE"""),45162.6298263888)</f>
        <v>45162.629826388802</v>
      </c>
      <c r="L248" s="3" t="str">
        <f ca="1">IFERROR(__xludf.UNSUPPORTED("""COMPUTED_VALUE"""),"Normalidade")</f>
        <v>Normalidade</v>
      </c>
    </row>
    <row r="249" spans="1:12" ht="12.75">
      <c r="A249" s="3" t="str">
        <f ca="1">IFERROR(__xludf.UNSUPPORTED("""COMPUTED_VALUE"""),"b4ecc424")</f>
        <v>b4ecc424</v>
      </c>
      <c r="B249" s="4">
        <f ca="1">IFERROR(__xludf.UNSUPPORTED("""COMPUTED_VALUE"""),45166.5376967592)</f>
        <v>45166.537696759202</v>
      </c>
      <c r="C249" s="8" t="str">
        <f ca="1">IFERROR(__xludf.UNSUPPORTED("""COMPUTED_VALUE"""),"Aratu")</f>
        <v>Aratu</v>
      </c>
      <c r="D249" s="3" t="str">
        <f ca="1">IFERROR(__xludf.UNSUPPORTED("""COMPUTED_VALUE"""),"🚢 REGULAR")</f>
        <v>🚢 REGULAR</v>
      </c>
      <c r="E249" s="3" t="str">
        <f ca="1">IFERROR(__xludf.UNSUPPORTED("""COMPUTED_VALUE"""),"🚛 LIBERADO")</f>
        <v>🚛 LIBERADO</v>
      </c>
      <c r="F249" s="5">
        <f ca="1">IFERROR(__xludf.UNSUPPORTED("""COMPUTED_VALUE"""),0)</f>
        <v>0</v>
      </c>
      <c r="G249" s="3" t="str">
        <f ca="1">IFERROR(__xludf.UNSUPPORTED("""COMPUTED_VALUE"""),"Normalidade")</f>
        <v>Normalidade</v>
      </c>
      <c r="H249" s="4">
        <f ca="1">IFERROR(__xludf.UNSUPPORTED("""COMPUTED_VALUE"""),45166.5376967592)</f>
        <v>45166.537696759202</v>
      </c>
      <c r="I249" s="3">
        <f ca="1">IFERROR(__xludf.UNSUPPORTED("""COMPUTED_VALUE"""),24)</f>
        <v>24</v>
      </c>
      <c r="J249" s="4">
        <f ca="1">IFERROR(__xludf.UNSUPPORTED("""COMPUTED_VALUE"""),45167.5376967592)</f>
        <v>45167.537696759202</v>
      </c>
      <c r="L249" s="3" t="str">
        <f ca="1">IFERROR(__xludf.UNSUPPORTED("""COMPUTED_VALUE"""),"Normalidade")</f>
        <v>Normalidade</v>
      </c>
    </row>
    <row r="250" spans="1:12" ht="12.75">
      <c r="A250" s="3" t="str">
        <f ca="1">IFERROR(__xludf.UNSUPPORTED("""COMPUTED_VALUE"""),"74d97d1e")</f>
        <v>74d97d1e</v>
      </c>
      <c r="B250" s="4">
        <f ca="1">IFERROR(__xludf.UNSUPPORTED("""COMPUTED_VALUE"""),45181.539386574)</f>
        <v>45181.539386573997</v>
      </c>
      <c r="C250" s="8" t="str">
        <f ca="1">IFERROR(__xludf.UNSUPPORTED("""COMPUTED_VALUE"""),"Aratu")</f>
        <v>Aratu</v>
      </c>
      <c r="D250" s="3" t="str">
        <f ca="1">IFERROR(__xludf.UNSUPPORTED("""COMPUTED_VALUE"""),"🚢 REGULAR")</f>
        <v>🚢 REGULAR</v>
      </c>
      <c r="E250" s="3" t="str">
        <f ca="1">IFERROR(__xludf.UNSUPPORTED("""COMPUTED_VALUE"""),"🚛 LIBERADO")</f>
        <v>🚛 LIBERADO</v>
      </c>
      <c r="F250" s="5">
        <f ca="1">IFERROR(__xludf.UNSUPPORTED("""COMPUTED_VALUE"""),0)</f>
        <v>0</v>
      </c>
      <c r="G250" s="3" t="str">
        <f ca="1">IFERROR(__xludf.UNSUPPORTED("""COMPUTED_VALUE"""),"Normalidade")</f>
        <v>Normalidade</v>
      </c>
      <c r="H250" s="4">
        <f ca="1">IFERROR(__xludf.UNSUPPORTED("""COMPUTED_VALUE"""),45181.539386574)</f>
        <v>45181.539386573997</v>
      </c>
      <c r="I250" s="3">
        <f ca="1">IFERROR(__xludf.UNSUPPORTED("""COMPUTED_VALUE"""),24)</f>
        <v>24</v>
      </c>
      <c r="J250" s="4">
        <f ca="1">IFERROR(__xludf.UNSUPPORTED("""COMPUTED_VALUE"""),45182.539386574)</f>
        <v>45182.539386573997</v>
      </c>
      <c r="L250" s="3" t="str">
        <f ca="1">IFERROR(__xludf.UNSUPPORTED("""COMPUTED_VALUE"""),"Normalidade")</f>
        <v>Normalidade</v>
      </c>
    </row>
    <row r="251" spans="1:12" ht="12.75">
      <c r="A251" s="3" t="str">
        <f ca="1">IFERROR(__xludf.UNSUPPORTED("""COMPUTED_VALUE"""),"2c187aaa")</f>
        <v>2c187aaa</v>
      </c>
      <c r="B251" s="4">
        <f ca="1">IFERROR(__xludf.UNSUPPORTED("""COMPUTED_VALUE"""),45182.356412037)</f>
        <v>45182.356412036999</v>
      </c>
      <c r="C251" s="7" t="str">
        <f ca="1">IFERROR(__xludf.UNSUPPORTED("""COMPUTED_VALUE"""),"Aratu")</f>
        <v>Aratu</v>
      </c>
      <c r="D251" s="3" t="str">
        <f ca="1">IFERROR(__xludf.UNSUPPORTED("""COMPUTED_VALUE"""),"🚢 REGULAR")</f>
        <v>🚢 REGULAR</v>
      </c>
      <c r="E251" s="3" t="str">
        <f ca="1">IFERROR(__xludf.UNSUPPORTED("""COMPUTED_VALUE"""),"🚛 LIBERADO")</f>
        <v>🚛 LIBERADO</v>
      </c>
      <c r="F251" s="5">
        <f ca="1">IFERROR(__xludf.UNSUPPORTED("""COMPUTED_VALUE"""),0)</f>
        <v>0</v>
      </c>
      <c r="G251" s="3" t="str">
        <f ca="1">IFERROR(__xludf.UNSUPPORTED("""COMPUTED_VALUE"""),"Normalidade")</f>
        <v>Normalidade</v>
      </c>
      <c r="H251" s="4">
        <f ca="1">IFERROR(__xludf.UNSUPPORTED("""COMPUTED_VALUE"""),45182.356412037)</f>
        <v>45182.356412036999</v>
      </c>
      <c r="I251" s="3">
        <f ca="1">IFERROR(__xludf.UNSUPPORTED("""COMPUTED_VALUE"""),24)</f>
        <v>24</v>
      </c>
      <c r="J251" s="4">
        <f ca="1">IFERROR(__xludf.UNSUPPORTED("""COMPUTED_VALUE"""),45183.356412037)</f>
        <v>45183.356412036999</v>
      </c>
      <c r="L251" s="3" t="str">
        <f ca="1">IFERROR(__xludf.UNSUPPORTED("""COMPUTED_VALUE"""),"Normalidade")</f>
        <v>Normalidade</v>
      </c>
    </row>
    <row r="252" spans="1:12" ht="12.75">
      <c r="A252" s="3" t="str">
        <f ca="1">IFERROR(__xludf.UNSUPPORTED("""COMPUTED_VALUE"""),"6ceb8fa7")</f>
        <v>6ceb8fa7</v>
      </c>
      <c r="B252" s="4">
        <f ca="1">IFERROR(__xludf.UNSUPPORTED("""COMPUTED_VALUE"""),45183.5653819444)</f>
        <v>45183.565381944398</v>
      </c>
      <c r="C252" s="8" t="str">
        <f ca="1">IFERROR(__xludf.UNSUPPORTED("""COMPUTED_VALUE"""),"Aratu")</f>
        <v>Aratu</v>
      </c>
      <c r="D252" s="3" t="str">
        <f ca="1">IFERROR(__xludf.UNSUPPORTED("""COMPUTED_VALUE"""),"🚢 REGULAR")</f>
        <v>🚢 REGULAR</v>
      </c>
      <c r="E252" s="3" t="str">
        <f ca="1">IFERROR(__xludf.UNSUPPORTED("""COMPUTED_VALUE"""),"🚛 LIBERADO")</f>
        <v>🚛 LIBERADO</v>
      </c>
      <c r="F252" s="5">
        <f ca="1">IFERROR(__xludf.UNSUPPORTED("""COMPUTED_VALUE"""),0)</f>
        <v>0</v>
      </c>
      <c r="G252" s="3" t="str">
        <f ca="1">IFERROR(__xludf.UNSUPPORTED("""COMPUTED_VALUE"""),"Normalidade")</f>
        <v>Normalidade</v>
      </c>
      <c r="H252" s="4">
        <f ca="1">IFERROR(__xludf.UNSUPPORTED("""COMPUTED_VALUE"""),45183.5653819444)</f>
        <v>45183.565381944398</v>
      </c>
      <c r="I252" s="3">
        <f ca="1">IFERROR(__xludf.UNSUPPORTED("""COMPUTED_VALUE"""),24)</f>
        <v>24</v>
      </c>
      <c r="J252" s="4">
        <f ca="1">IFERROR(__xludf.UNSUPPORTED("""COMPUTED_VALUE"""),45184.5653819444)</f>
        <v>45184.565381944398</v>
      </c>
      <c r="L252" s="3" t="str">
        <f ca="1">IFERROR(__xludf.UNSUPPORTED("""COMPUTED_VALUE"""),"Normalidade")</f>
        <v>Normalidade</v>
      </c>
    </row>
    <row r="253" spans="1:12" ht="12.75">
      <c r="A253" s="3" t="str">
        <f ca="1">IFERROR(__xludf.UNSUPPORTED("""COMPUTED_VALUE"""),"f39bdd1f")</f>
        <v>f39bdd1f</v>
      </c>
      <c r="B253" s="4">
        <f ca="1">IFERROR(__xludf.UNSUPPORTED("""COMPUTED_VALUE"""),45184.3460648148)</f>
        <v>45184.346064814803</v>
      </c>
      <c r="C253" s="7" t="str">
        <f ca="1">IFERROR(__xludf.UNSUPPORTED("""COMPUTED_VALUE"""),"Aratu")</f>
        <v>Aratu</v>
      </c>
      <c r="D253" s="3" t="str">
        <f ca="1">IFERROR(__xludf.UNSUPPORTED("""COMPUTED_VALUE"""),"🚢 REGULAR")</f>
        <v>🚢 REGULAR</v>
      </c>
      <c r="E253" s="3" t="str">
        <f ca="1">IFERROR(__xludf.UNSUPPORTED("""COMPUTED_VALUE"""),"🚛 LIBERADO")</f>
        <v>🚛 LIBERADO</v>
      </c>
      <c r="F253" s="5">
        <f ca="1">IFERROR(__xludf.UNSUPPORTED("""COMPUTED_VALUE"""),0)</f>
        <v>0</v>
      </c>
      <c r="G253" s="3" t="str">
        <f ca="1">IFERROR(__xludf.UNSUPPORTED("""COMPUTED_VALUE"""),"Normalidade")</f>
        <v>Normalidade</v>
      </c>
      <c r="H253" s="4">
        <f ca="1">IFERROR(__xludf.UNSUPPORTED("""COMPUTED_VALUE"""),45184.3460648148)</f>
        <v>45184.346064814803</v>
      </c>
      <c r="I253" s="3">
        <f ca="1">IFERROR(__xludf.UNSUPPORTED("""COMPUTED_VALUE"""),24)</f>
        <v>24</v>
      </c>
      <c r="J253" s="4">
        <f ca="1">IFERROR(__xludf.UNSUPPORTED("""COMPUTED_VALUE"""),45185.3460648148)</f>
        <v>45185.346064814803</v>
      </c>
      <c r="L253" s="3" t="str">
        <f ca="1">IFERROR(__xludf.UNSUPPORTED("""COMPUTED_VALUE"""),"Normalidade")</f>
        <v>Normalidade</v>
      </c>
    </row>
    <row r="254" spans="1:12" ht="12.75">
      <c r="A254" s="3" t="str">
        <f ca="1">IFERROR(__xludf.UNSUPPORTED("""COMPUTED_VALUE"""),"81a5793a")</f>
        <v>81a5793a</v>
      </c>
      <c r="B254" s="4">
        <f ca="1">IFERROR(__xludf.UNSUPPORTED("""COMPUTED_VALUE"""),45187.263136574)</f>
        <v>45187.263136574002</v>
      </c>
      <c r="C254" s="7" t="str">
        <f ca="1">IFERROR(__xludf.UNSUPPORTED("""COMPUTED_VALUE"""),"Aratu")</f>
        <v>Aratu</v>
      </c>
      <c r="D254" s="3" t="str">
        <f ca="1">IFERROR(__xludf.UNSUPPORTED("""COMPUTED_VALUE"""),"🚢 REGULAR")</f>
        <v>🚢 REGULAR</v>
      </c>
      <c r="E254" s="3" t="str">
        <f ca="1">IFERROR(__xludf.UNSUPPORTED("""COMPUTED_VALUE"""),"🚛 LIBERADO")</f>
        <v>🚛 LIBERADO</v>
      </c>
      <c r="F254" s="5">
        <f ca="1">IFERROR(__xludf.UNSUPPORTED("""COMPUTED_VALUE"""),0)</f>
        <v>0</v>
      </c>
      <c r="G254" s="3" t="str">
        <f ca="1">IFERROR(__xludf.UNSUPPORTED("""COMPUTED_VALUE"""),"Normalidade")</f>
        <v>Normalidade</v>
      </c>
      <c r="H254" s="4">
        <f ca="1">IFERROR(__xludf.UNSUPPORTED("""COMPUTED_VALUE"""),45187.263136574)</f>
        <v>45187.263136574002</v>
      </c>
      <c r="I254" s="3">
        <f ca="1">IFERROR(__xludf.UNSUPPORTED("""COMPUTED_VALUE"""),24)</f>
        <v>24</v>
      </c>
      <c r="J254" s="4">
        <f ca="1">IFERROR(__xludf.UNSUPPORTED("""COMPUTED_VALUE"""),45188.263136574)</f>
        <v>45188.263136574002</v>
      </c>
      <c r="L254" s="3" t="str">
        <f ca="1">IFERROR(__xludf.UNSUPPORTED("""COMPUTED_VALUE"""),"Normalidade")</f>
        <v>Normalidade</v>
      </c>
    </row>
    <row r="255" spans="1:12" ht="12.75">
      <c r="A255" s="3" t="str">
        <f ca="1">IFERROR(__xludf.UNSUPPORTED("""COMPUTED_VALUE"""),"fbffac3e")</f>
        <v>fbffac3e</v>
      </c>
      <c r="B255" s="4">
        <f ca="1">IFERROR(__xludf.UNSUPPORTED("""COMPUTED_VALUE"""),45188.2860069444)</f>
        <v>45188.2860069444</v>
      </c>
      <c r="C255" s="8" t="str">
        <f ca="1">IFERROR(__xludf.UNSUPPORTED("""COMPUTED_VALUE"""),"Aratu")</f>
        <v>Aratu</v>
      </c>
      <c r="D255" s="3" t="str">
        <f ca="1">IFERROR(__xludf.UNSUPPORTED("""COMPUTED_VALUE"""),"🚢 REGULAR")</f>
        <v>🚢 REGULAR</v>
      </c>
      <c r="E255" s="3" t="str">
        <f ca="1">IFERROR(__xludf.UNSUPPORTED("""COMPUTED_VALUE"""),"🚛 LIBERADO")</f>
        <v>🚛 LIBERADO</v>
      </c>
      <c r="F255" s="5">
        <f ca="1">IFERROR(__xludf.UNSUPPORTED("""COMPUTED_VALUE"""),0)</f>
        <v>0</v>
      </c>
      <c r="G255" s="3" t="str">
        <f ca="1">IFERROR(__xludf.UNSUPPORTED("""COMPUTED_VALUE"""),"Normalidade")</f>
        <v>Normalidade</v>
      </c>
      <c r="H255" s="4">
        <f ca="1">IFERROR(__xludf.UNSUPPORTED("""COMPUTED_VALUE"""),45188.2860069444)</f>
        <v>45188.2860069444</v>
      </c>
      <c r="I255" s="3">
        <f ca="1">IFERROR(__xludf.UNSUPPORTED("""COMPUTED_VALUE"""),24)</f>
        <v>24</v>
      </c>
      <c r="J255" s="4">
        <f ca="1">IFERROR(__xludf.UNSUPPORTED("""COMPUTED_VALUE"""),45189.2860069444)</f>
        <v>45189.2860069444</v>
      </c>
      <c r="L255" s="3" t="str">
        <f ca="1">IFERROR(__xludf.UNSUPPORTED("""COMPUTED_VALUE"""),"Normalidade")</f>
        <v>Normalidade</v>
      </c>
    </row>
    <row r="256" spans="1:12" ht="12.75">
      <c r="A256" s="3" t="str">
        <f ca="1">IFERROR(__xludf.UNSUPPORTED("""COMPUTED_VALUE"""),"75ae7e3d")</f>
        <v>75ae7e3d</v>
      </c>
      <c r="B256" s="4">
        <f ca="1">IFERROR(__xludf.UNSUPPORTED("""COMPUTED_VALUE"""),45190.3310532407)</f>
        <v>45190.331053240698</v>
      </c>
      <c r="C256" s="8" t="str">
        <f ca="1">IFERROR(__xludf.UNSUPPORTED("""COMPUTED_VALUE"""),"Aratu")</f>
        <v>Aratu</v>
      </c>
      <c r="D256" s="3" t="str">
        <f ca="1">IFERROR(__xludf.UNSUPPORTED("""COMPUTED_VALUE"""),"🚢 REGULAR")</f>
        <v>🚢 REGULAR</v>
      </c>
      <c r="E256" s="3" t="str">
        <f ca="1">IFERROR(__xludf.UNSUPPORTED("""COMPUTED_VALUE"""),"🚛 LIBERADO")</f>
        <v>🚛 LIBERADO</v>
      </c>
      <c r="F256" s="5">
        <f ca="1">IFERROR(__xludf.UNSUPPORTED("""COMPUTED_VALUE"""),0)</f>
        <v>0</v>
      </c>
      <c r="G256" s="3" t="str">
        <f ca="1">IFERROR(__xludf.UNSUPPORTED("""COMPUTED_VALUE"""),"Normalidade")</f>
        <v>Normalidade</v>
      </c>
      <c r="H256" s="4">
        <f ca="1">IFERROR(__xludf.UNSUPPORTED("""COMPUTED_VALUE"""),45190.3310532407)</f>
        <v>45190.331053240698</v>
      </c>
      <c r="I256" s="3">
        <f ca="1">IFERROR(__xludf.UNSUPPORTED("""COMPUTED_VALUE"""),24)</f>
        <v>24</v>
      </c>
      <c r="J256" s="4">
        <f ca="1">IFERROR(__xludf.UNSUPPORTED("""COMPUTED_VALUE"""),45191.3310532407)</f>
        <v>45191.331053240698</v>
      </c>
      <c r="L256" s="3" t="str">
        <f ca="1">IFERROR(__xludf.UNSUPPORTED("""COMPUTED_VALUE"""),"Normalidade")</f>
        <v>Normalidade</v>
      </c>
    </row>
    <row r="257" spans="1:12" ht="12.75">
      <c r="A257" s="3" t="str">
        <f ca="1">IFERROR(__xludf.UNSUPPORTED("""COMPUTED_VALUE"""),"1ec8a018")</f>
        <v>1ec8a018</v>
      </c>
      <c r="B257" s="4">
        <f ca="1">IFERROR(__xludf.UNSUPPORTED("""COMPUTED_VALUE"""),45191.2863888888)</f>
        <v>45191.286388888802</v>
      </c>
      <c r="C257" s="8" t="str">
        <f ca="1">IFERROR(__xludf.UNSUPPORTED("""COMPUTED_VALUE"""),"Aratu")</f>
        <v>Aratu</v>
      </c>
      <c r="D257" s="3" t="str">
        <f ca="1">IFERROR(__xludf.UNSUPPORTED("""COMPUTED_VALUE"""),"🚢 REGULAR")</f>
        <v>🚢 REGULAR</v>
      </c>
      <c r="E257" s="3" t="str">
        <f ca="1">IFERROR(__xludf.UNSUPPORTED("""COMPUTED_VALUE"""),"🚛 LIBERADO")</f>
        <v>🚛 LIBERADO</v>
      </c>
      <c r="F257" s="5">
        <f ca="1">IFERROR(__xludf.UNSUPPORTED("""COMPUTED_VALUE"""),0)</f>
        <v>0</v>
      </c>
      <c r="G257" s="3" t="str">
        <f ca="1">IFERROR(__xludf.UNSUPPORTED("""COMPUTED_VALUE"""),"Normalidade")</f>
        <v>Normalidade</v>
      </c>
      <c r="H257" s="4">
        <f ca="1">IFERROR(__xludf.UNSUPPORTED("""COMPUTED_VALUE"""),45191.2863888888)</f>
        <v>45191.286388888802</v>
      </c>
      <c r="I257" s="3">
        <f ca="1">IFERROR(__xludf.UNSUPPORTED("""COMPUTED_VALUE"""),24)</f>
        <v>24</v>
      </c>
      <c r="J257" s="4">
        <f ca="1">IFERROR(__xludf.UNSUPPORTED("""COMPUTED_VALUE"""),45192.2863888888)</f>
        <v>45192.286388888802</v>
      </c>
      <c r="L257" s="3" t="str">
        <f ca="1">IFERROR(__xludf.UNSUPPORTED("""COMPUTED_VALUE"""),"Normalidade")</f>
        <v>Normalidade</v>
      </c>
    </row>
    <row r="258" spans="1:12" ht="12.75">
      <c r="A258" s="3" t="str">
        <f ca="1">IFERROR(__xludf.UNSUPPORTED("""COMPUTED_VALUE"""),"abed0a26")</f>
        <v>abed0a26</v>
      </c>
      <c r="B258" s="4">
        <f ca="1">IFERROR(__xludf.UNSUPPORTED("""COMPUTED_VALUE"""),45194.240949074)</f>
        <v>45194.240949074003</v>
      </c>
      <c r="C258" s="7" t="str">
        <f ca="1">IFERROR(__xludf.UNSUPPORTED("""COMPUTED_VALUE"""),"Aratu")</f>
        <v>Aratu</v>
      </c>
      <c r="D258" s="3" t="str">
        <f ca="1">IFERROR(__xludf.UNSUPPORTED("""COMPUTED_VALUE"""),"🚢 REGULAR")</f>
        <v>🚢 REGULAR</v>
      </c>
      <c r="E258" s="3" t="str">
        <f ca="1">IFERROR(__xludf.UNSUPPORTED("""COMPUTED_VALUE"""),"🚛 LIBERADO")</f>
        <v>🚛 LIBERADO</v>
      </c>
      <c r="F258" s="5">
        <f ca="1">IFERROR(__xludf.UNSUPPORTED("""COMPUTED_VALUE"""),0)</f>
        <v>0</v>
      </c>
      <c r="G258" s="3" t="str">
        <f ca="1">IFERROR(__xludf.UNSUPPORTED("""COMPUTED_VALUE"""),"Normalidade")</f>
        <v>Normalidade</v>
      </c>
      <c r="H258" s="4">
        <f ca="1">IFERROR(__xludf.UNSUPPORTED("""COMPUTED_VALUE"""),45194.240949074)</f>
        <v>45194.240949074003</v>
      </c>
      <c r="I258" s="3">
        <f ca="1">IFERROR(__xludf.UNSUPPORTED("""COMPUTED_VALUE"""),24)</f>
        <v>24</v>
      </c>
      <c r="J258" s="4">
        <f ca="1">IFERROR(__xludf.UNSUPPORTED("""COMPUTED_VALUE"""),45195.240949074)</f>
        <v>45195.240949074003</v>
      </c>
      <c r="L258" s="3" t="str">
        <f ca="1">IFERROR(__xludf.UNSUPPORTED("""COMPUTED_VALUE"""),"Normalidade")</f>
        <v>Normalidade</v>
      </c>
    </row>
    <row r="259" spans="1:12" ht="12.75">
      <c r="A259" s="3" t="str">
        <f ca="1">IFERROR(__xludf.UNSUPPORTED("""COMPUTED_VALUE"""),"f06c987d")</f>
        <v>f06c987d</v>
      </c>
      <c r="B259" s="4">
        <f ca="1">IFERROR(__xludf.UNSUPPORTED("""COMPUTED_VALUE"""),45196.501875)</f>
        <v>45196.501875000002</v>
      </c>
      <c r="C259" s="8" t="str">
        <f ca="1">IFERROR(__xludf.UNSUPPORTED("""COMPUTED_VALUE"""),"Aratu")</f>
        <v>Aratu</v>
      </c>
      <c r="D259" s="3" t="str">
        <f ca="1">IFERROR(__xludf.UNSUPPORTED("""COMPUTED_VALUE"""),"🚢 REGULAR")</f>
        <v>🚢 REGULAR</v>
      </c>
      <c r="E259" s="3" t="str">
        <f ca="1">IFERROR(__xludf.UNSUPPORTED("""COMPUTED_VALUE"""),"🚛 LIBERADO")</f>
        <v>🚛 LIBERADO</v>
      </c>
      <c r="F259" s="5">
        <f ca="1">IFERROR(__xludf.UNSUPPORTED("""COMPUTED_VALUE"""),0)</f>
        <v>0</v>
      </c>
      <c r="G259" s="3" t="str">
        <f ca="1">IFERROR(__xludf.UNSUPPORTED("""COMPUTED_VALUE"""),"Normalidade")</f>
        <v>Normalidade</v>
      </c>
      <c r="H259" s="4">
        <f ca="1">IFERROR(__xludf.UNSUPPORTED("""COMPUTED_VALUE"""),45196.501875)</f>
        <v>45196.501875000002</v>
      </c>
      <c r="I259" s="3">
        <f ca="1">IFERROR(__xludf.UNSUPPORTED("""COMPUTED_VALUE"""),24)</f>
        <v>24</v>
      </c>
      <c r="J259" s="4">
        <f ca="1">IFERROR(__xludf.UNSUPPORTED("""COMPUTED_VALUE"""),45197.501875)</f>
        <v>45197.501875000002</v>
      </c>
      <c r="L259" s="3" t="str">
        <f ca="1">IFERROR(__xludf.UNSUPPORTED("""COMPUTED_VALUE"""),"Normalidade")</f>
        <v>Normalidade</v>
      </c>
    </row>
    <row r="260" spans="1:12" ht="12.75">
      <c r="A260" s="3" t="str">
        <f ca="1">IFERROR(__xludf.UNSUPPORTED("""COMPUTED_VALUE"""),"c5fa081a")</f>
        <v>c5fa081a</v>
      </c>
      <c r="B260" s="4">
        <f ca="1">IFERROR(__xludf.UNSUPPORTED("""COMPUTED_VALUE"""),45197.2793171296)</f>
        <v>45197.2793171296</v>
      </c>
      <c r="C260" s="8" t="str">
        <f ca="1">IFERROR(__xludf.UNSUPPORTED("""COMPUTED_VALUE"""),"Aratu")</f>
        <v>Aratu</v>
      </c>
      <c r="D260" s="3" t="str">
        <f ca="1">IFERROR(__xludf.UNSUPPORTED("""COMPUTED_VALUE"""),"🚢 REGULAR")</f>
        <v>🚢 REGULAR</v>
      </c>
      <c r="E260" s="3" t="str">
        <f ca="1">IFERROR(__xludf.UNSUPPORTED("""COMPUTED_VALUE"""),"🚛 LIBERADO")</f>
        <v>🚛 LIBERADO</v>
      </c>
      <c r="F260" s="5">
        <f ca="1">IFERROR(__xludf.UNSUPPORTED("""COMPUTED_VALUE"""),0)</f>
        <v>0</v>
      </c>
      <c r="G260" s="3" t="str">
        <f ca="1">IFERROR(__xludf.UNSUPPORTED("""COMPUTED_VALUE"""),"Normalidade")</f>
        <v>Normalidade</v>
      </c>
      <c r="H260" s="4">
        <f ca="1">IFERROR(__xludf.UNSUPPORTED("""COMPUTED_VALUE"""),45197.2793171296)</f>
        <v>45197.2793171296</v>
      </c>
      <c r="I260" s="3">
        <f ca="1">IFERROR(__xludf.UNSUPPORTED("""COMPUTED_VALUE"""),24)</f>
        <v>24</v>
      </c>
      <c r="J260" s="4">
        <f ca="1">IFERROR(__xludf.UNSUPPORTED("""COMPUTED_VALUE"""),45198.2793171296)</f>
        <v>45198.2793171296</v>
      </c>
      <c r="L260" s="3" t="str">
        <f ca="1">IFERROR(__xludf.UNSUPPORTED("""COMPUTED_VALUE"""),"Normalidade")</f>
        <v>Normalidade</v>
      </c>
    </row>
    <row r="261" spans="1:12" ht="12.75">
      <c r="A261" s="3" t="str">
        <f ca="1">IFERROR(__xludf.UNSUPPORTED("""COMPUTED_VALUE"""),"aa19f45e")</f>
        <v>aa19f45e</v>
      </c>
      <c r="B261" s="4">
        <f ca="1">IFERROR(__xludf.UNSUPPORTED("""COMPUTED_VALUE"""),45198.4502083333)</f>
        <v>45198.450208333299</v>
      </c>
      <c r="C261" s="8" t="str">
        <f ca="1">IFERROR(__xludf.UNSUPPORTED("""COMPUTED_VALUE"""),"Aratu")</f>
        <v>Aratu</v>
      </c>
      <c r="D261" s="3" t="str">
        <f ca="1">IFERROR(__xludf.UNSUPPORTED("""COMPUTED_VALUE"""),"🚢 REGULAR")</f>
        <v>🚢 REGULAR</v>
      </c>
      <c r="E261" s="3" t="str">
        <f ca="1">IFERROR(__xludf.UNSUPPORTED("""COMPUTED_VALUE"""),"🚛 LIBERADO")</f>
        <v>🚛 LIBERADO</v>
      </c>
      <c r="F261" s="5">
        <f ca="1">IFERROR(__xludf.UNSUPPORTED("""COMPUTED_VALUE"""),0)</f>
        <v>0</v>
      </c>
      <c r="G261" s="3" t="str">
        <f ca="1">IFERROR(__xludf.UNSUPPORTED("""COMPUTED_VALUE"""),"Normalidade")</f>
        <v>Normalidade</v>
      </c>
      <c r="H261" s="4">
        <f ca="1">IFERROR(__xludf.UNSUPPORTED("""COMPUTED_VALUE"""),45198.4502083333)</f>
        <v>45198.450208333299</v>
      </c>
      <c r="I261" s="3">
        <f ca="1">IFERROR(__xludf.UNSUPPORTED("""COMPUTED_VALUE"""),24)</f>
        <v>24</v>
      </c>
      <c r="J261" s="4">
        <f ca="1">IFERROR(__xludf.UNSUPPORTED("""COMPUTED_VALUE"""),45199.4502083333)</f>
        <v>45199.450208333299</v>
      </c>
      <c r="L261" s="3" t="str">
        <f ca="1">IFERROR(__xludf.UNSUPPORTED("""COMPUTED_VALUE"""),"Normalidade")</f>
        <v>Normalidade</v>
      </c>
    </row>
    <row r="262" spans="1:12" ht="12.75">
      <c r="A262" s="3" t="str">
        <f ca="1">IFERROR(__xludf.UNSUPPORTED("""COMPUTED_VALUE"""),"8ea391e0")</f>
        <v>8ea391e0</v>
      </c>
      <c r="B262" s="4">
        <f ca="1">IFERROR(__xludf.UNSUPPORTED("""COMPUTED_VALUE"""),45201.6205092592)</f>
        <v>45201.620509259199</v>
      </c>
      <c r="C262" s="7" t="str">
        <f ca="1">IFERROR(__xludf.UNSUPPORTED("""COMPUTED_VALUE"""),"Aratu")</f>
        <v>Aratu</v>
      </c>
      <c r="D262" s="3" t="str">
        <f ca="1">IFERROR(__xludf.UNSUPPORTED("""COMPUTED_VALUE"""),"🚢 REGULAR")</f>
        <v>🚢 REGULAR</v>
      </c>
      <c r="E262" s="3" t="str">
        <f ca="1">IFERROR(__xludf.UNSUPPORTED("""COMPUTED_VALUE"""),"🚛 LIBERADO")</f>
        <v>🚛 LIBERADO</v>
      </c>
      <c r="F262" s="5">
        <f ca="1">IFERROR(__xludf.UNSUPPORTED("""COMPUTED_VALUE"""),0)</f>
        <v>0</v>
      </c>
      <c r="G262" s="3" t="str">
        <f ca="1">IFERROR(__xludf.UNSUPPORTED("""COMPUTED_VALUE"""),"Normalidade")</f>
        <v>Normalidade</v>
      </c>
      <c r="H262" s="4">
        <f ca="1">IFERROR(__xludf.UNSUPPORTED("""COMPUTED_VALUE"""),45201.6205092592)</f>
        <v>45201.620509259199</v>
      </c>
      <c r="I262" s="3">
        <f ca="1">IFERROR(__xludf.UNSUPPORTED("""COMPUTED_VALUE"""),24)</f>
        <v>24</v>
      </c>
      <c r="J262" s="4">
        <f ca="1">IFERROR(__xludf.UNSUPPORTED("""COMPUTED_VALUE"""),45202.6205092592)</f>
        <v>45202.620509259199</v>
      </c>
      <c r="L262" s="3" t="str">
        <f ca="1">IFERROR(__xludf.UNSUPPORTED("""COMPUTED_VALUE"""),"Normalidade")</f>
        <v>Normalidade</v>
      </c>
    </row>
    <row r="263" spans="1:12" ht="12.75">
      <c r="A263" s="3" t="str">
        <f ca="1">IFERROR(__xludf.UNSUPPORTED("""COMPUTED_VALUE"""),"15361bf1")</f>
        <v>15361bf1</v>
      </c>
      <c r="B263" s="4">
        <f ca="1">IFERROR(__xludf.UNSUPPORTED("""COMPUTED_VALUE"""),45202.3308449074)</f>
        <v>45202.330844907403</v>
      </c>
      <c r="C263" s="7" t="str">
        <f ca="1">IFERROR(__xludf.UNSUPPORTED("""COMPUTED_VALUE"""),"Aratu")</f>
        <v>Aratu</v>
      </c>
      <c r="D263" s="3" t="str">
        <f ca="1">IFERROR(__xludf.UNSUPPORTED("""COMPUTED_VALUE"""),"🚢 REGULAR")</f>
        <v>🚢 REGULAR</v>
      </c>
      <c r="E263" s="3" t="str">
        <f ca="1">IFERROR(__xludf.UNSUPPORTED("""COMPUTED_VALUE"""),"🚛 LIBERADO")</f>
        <v>🚛 LIBERADO</v>
      </c>
      <c r="F263" s="5">
        <f ca="1">IFERROR(__xludf.UNSUPPORTED("""COMPUTED_VALUE"""),0)</f>
        <v>0</v>
      </c>
      <c r="G263" s="3" t="str">
        <f ca="1">IFERROR(__xludf.UNSUPPORTED("""COMPUTED_VALUE"""),"Normalidade")</f>
        <v>Normalidade</v>
      </c>
      <c r="H263" s="4">
        <f ca="1">IFERROR(__xludf.UNSUPPORTED("""COMPUTED_VALUE"""),45202.3308449074)</f>
        <v>45202.330844907403</v>
      </c>
      <c r="I263" s="3">
        <f ca="1">IFERROR(__xludf.UNSUPPORTED("""COMPUTED_VALUE"""),24)</f>
        <v>24</v>
      </c>
      <c r="J263" s="4">
        <f ca="1">IFERROR(__xludf.UNSUPPORTED("""COMPUTED_VALUE"""),45203.3308449074)</f>
        <v>45203.330844907403</v>
      </c>
      <c r="L263" s="3" t="str">
        <f ca="1">IFERROR(__xludf.UNSUPPORTED("""COMPUTED_VALUE"""),"Normalidade")</f>
        <v>Normalidade</v>
      </c>
    </row>
    <row r="264" spans="1:12" ht="12.75">
      <c r="A264" s="3" t="str">
        <f ca="1">IFERROR(__xludf.UNSUPPORTED("""COMPUTED_VALUE"""),"fcc646f1")</f>
        <v>fcc646f1</v>
      </c>
      <c r="B264" s="4">
        <f ca="1">IFERROR(__xludf.UNSUPPORTED("""COMPUTED_VALUE"""),45203.3841319444)</f>
        <v>45203.384131944404</v>
      </c>
      <c r="C264" s="8" t="str">
        <f ca="1">IFERROR(__xludf.UNSUPPORTED("""COMPUTED_VALUE"""),"Aratu")</f>
        <v>Aratu</v>
      </c>
      <c r="D264" s="3" t="str">
        <f ca="1">IFERROR(__xludf.UNSUPPORTED("""COMPUTED_VALUE"""),"🚢 REGULAR")</f>
        <v>🚢 REGULAR</v>
      </c>
      <c r="E264" s="3" t="str">
        <f ca="1">IFERROR(__xludf.UNSUPPORTED("""COMPUTED_VALUE"""),"🚛 LIBERADO")</f>
        <v>🚛 LIBERADO</v>
      </c>
      <c r="F264" s="5">
        <f ca="1">IFERROR(__xludf.UNSUPPORTED("""COMPUTED_VALUE"""),0)</f>
        <v>0</v>
      </c>
      <c r="G264" s="3" t="str">
        <f ca="1">IFERROR(__xludf.UNSUPPORTED("""COMPUTED_VALUE"""),"Normalidade")</f>
        <v>Normalidade</v>
      </c>
      <c r="H264" s="4">
        <f ca="1">IFERROR(__xludf.UNSUPPORTED("""COMPUTED_VALUE"""),45203.3841319444)</f>
        <v>45203.384131944404</v>
      </c>
      <c r="I264" s="3">
        <f ca="1">IFERROR(__xludf.UNSUPPORTED("""COMPUTED_VALUE"""),24)</f>
        <v>24</v>
      </c>
      <c r="J264" s="4">
        <f ca="1">IFERROR(__xludf.UNSUPPORTED("""COMPUTED_VALUE"""),45204.3841319444)</f>
        <v>45204.384131944404</v>
      </c>
      <c r="L264" s="3" t="str">
        <f ca="1">IFERROR(__xludf.UNSUPPORTED("""COMPUTED_VALUE"""),"Normalidade")</f>
        <v>Normalidade</v>
      </c>
    </row>
    <row r="265" spans="1:12" ht="12.75">
      <c r="A265" s="3" t="str">
        <f ca="1">IFERROR(__xludf.UNSUPPORTED("""COMPUTED_VALUE"""),"435ffc16")</f>
        <v>435ffc16</v>
      </c>
      <c r="B265" s="4">
        <f ca="1">IFERROR(__xludf.UNSUPPORTED("""COMPUTED_VALUE"""),45204.4946527777)</f>
        <v>45204.494652777699</v>
      </c>
      <c r="C265" s="8" t="str">
        <f ca="1">IFERROR(__xludf.UNSUPPORTED("""COMPUTED_VALUE"""),"Aratu")</f>
        <v>Aratu</v>
      </c>
      <c r="D265" s="3" t="str">
        <f ca="1">IFERROR(__xludf.UNSUPPORTED("""COMPUTED_VALUE"""),"🚢 REGULAR")</f>
        <v>🚢 REGULAR</v>
      </c>
      <c r="E265" s="3" t="str">
        <f ca="1">IFERROR(__xludf.UNSUPPORTED("""COMPUTED_VALUE"""),"🚛 LIBERADO")</f>
        <v>🚛 LIBERADO</v>
      </c>
      <c r="F265" s="5">
        <f ca="1">IFERROR(__xludf.UNSUPPORTED("""COMPUTED_VALUE"""),0)</f>
        <v>0</v>
      </c>
      <c r="G265" s="3" t="str">
        <f ca="1">IFERROR(__xludf.UNSUPPORTED("""COMPUTED_VALUE"""),"Normalidade")</f>
        <v>Normalidade</v>
      </c>
      <c r="H265" s="4">
        <f ca="1">IFERROR(__xludf.UNSUPPORTED("""COMPUTED_VALUE"""),45204.4946527777)</f>
        <v>45204.494652777699</v>
      </c>
      <c r="I265" s="3">
        <f ca="1">IFERROR(__xludf.UNSUPPORTED("""COMPUTED_VALUE"""),24)</f>
        <v>24</v>
      </c>
      <c r="J265" s="4">
        <f ca="1">IFERROR(__xludf.UNSUPPORTED("""COMPUTED_VALUE"""),45205.4946527777)</f>
        <v>45205.494652777699</v>
      </c>
      <c r="L265" s="3" t="str">
        <f ca="1">IFERROR(__xludf.UNSUPPORTED("""COMPUTED_VALUE"""),"Normalidade")</f>
        <v>Normalidade</v>
      </c>
    </row>
    <row r="266" spans="1:12" ht="12.75">
      <c r="A266" s="3" t="str">
        <f ca="1">IFERROR(__xludf.UNSUPPORTED("""COMPUTED_VALUE"""),"a05525f4")</f>
        <v>a05525f4</v>
      </c>
      <c r="B266" s="4">
        <f ca="1">IFERROR(__xludf.UNSUPPORTED("""COMPUTED_VALUE"""),45205.3802546296)</f>
        <v>45205.380254629599</v>
      </c>
      <c r="C266" s="8" t="str">
        <f ca="1">IFERROR(__xludf.UNSUPPORTED("""COMPUTED_VALUE"""),"Aratu")</f>
        <v>Aratu</v>
      </c>
      <c r="D266" s="3" t="str">
        <f ca="1">IFERROR(__xludf.UNSUPPORTED("""COMPUTED_VALUE"""),"🚢 REGULAR")</f>
        <v>🚢 REGULAR</v>
      </c>
      <c r="E266" s="3" t="str">
        <f ca="1">IFERROR(__xludf.UNSUPPORTED("""COMPUTED_VALUE"""),"🚛 LIBERADO")</f>
        <v>🚛 LIBERADO</v>
      </c>
      <c r="F266" s="5">
        <f ca="1">IFERROR(__xludf.UNSUPPORTED("""COMPUTED_VALUE"""),0)</f>
        <v>0</v>
      </c>
      <c r="G266" s="3" t="str">
        <f ca="1">IFERROR(__xludf.UNSUPPORTED("""COMPUTED_VALUE"""),"Normalidade")</f>
        <v>Normalidade</v>
      </c>
      <c r="H266" s="4">
        <f ca="1">IFERROR(__xludf.UNSUPPORTED("""COMPUTED_VALUE"""),45205.3802546296)</f>
        <v>45205.380254629599</v>
      </c>
      <c r="I266" s="3">
        <f ca="1">IFERROR(__xludf.UNSUPPORTED("""COMPUTED_VALUE"""),24)</f>
        <v>24</v>
      </c>
      <c r="J266" s="4">
        <f ca="1">IFERROR(__xludf.UNSUPPORTED("""COMPUTED_VALUE"""),45206.3802546296)</f>
        <v>45206.380254629599</v>
      </c>
      <c r="L266" s="3" t="str">
        <f ca="1">IFERROR(__xludf.UNSUPPORTED("""COMPUTED_VALUE"""),"Normalidade")</f>
        <v>Normalidade</v>
      </c>
    </row>
    <row r="267" spans="1:12" ht="12.75">
      <c r="A267" s="3" t="str">
        <f ca="1">IFERROR(__xludf.UNSUPPORTED("""COMPUTED_VALUE"""),"4bead6ec")</f>
        <v>4bead6ec</v>
      </c>
      <c r="B267" s="4">
        <f ca="1">IFERROR(__xludf.UNSUPPORTED("""COMPUTED_VALUE"""),45208.5164467592)</f>
        <v>45208.516446759197</v>
      </c>
      <c r="C267" s="8" t="str">
        <f ca="1">IFERROR(__xludf.UNSUPPORTED("""COMPUTED_VALUE"""),"Aratu")</f>
        <v>Aratu</v>
      </c>
      <c r="D267" s="3" t="str">
        <f ca="1">IFERROR(__xludf.UNSUPPORTED("""COMPUTED_VALUE"""),"🚢 REGULAR")</f>
        <v>🚢 REGULAR</v>
      </c>
      <c r="E267" s="3" t="str">
        <f ca="1">IFERROR(__xludf.UNSUPPORTED("""COMPUTED_VALUE"""),"🚛 LIBERADO")</f>
        <v>🚛 LIBERADO</v>
      </c>
      <c r="F267" s="5">
        <f ca="1">IFERROR(__xludf.UNSUPPORTED("""COMPUTED_VALUE"""),0)</f>
        <v>0</v>
      </c>
      <c r="G267" s="3" t="str">
        <f ca="1">IFERROR(__xludf.UNSUPPORTED("""COMPUTED_VALUE"""),"Normalidade")</f>
        <v>Normalidade</v>
      </c>
      <c r="H267" s="4">
        <f ca="1">IFERROR(__xludf.UNSUPPORTED("""COMPUTED_VALUE"""),45208.5164467592)</f>
        <v>45208.516446759197</v>
      </c>
      <c r="I267" s="3">
        <f ca="1">IFERROR(__xludf.UNSUPPORTED("""COMPUTED_VALUE"""),24)</f>
        <v>24</v>
      </c>
      <c r="J267" s="4">
        <f ca="1">IFERROR(__xludf.UNSUPPORTED("""COMPUTED_VALUE"""),45209.5164467592)</f>
        <v>45209.516446759197</v>
      </c>
      <c r="L267" s="3" t="str">
        <f ca="1">IFERROR(__xludf.UNSUPPORTED("""COMPUTED_VALUE"""),"Normalidade")</f>
        <v>Normalidade</v>
      </c>
    </row>
    <row r="268" spans="1:12" ht="12.75">
      <c r="A268" s="3" t="str">
        <f ca="1">IFERROR(__xludf.UNSUPPORTED("""COMPUTED_VALUE"""),"58777146")</f>
        <v>58777146</v>
      </c>
      <c r="B268" s="4">
        <f ca="1">IFERROR(__xludf.UNSUPPORTED("""COMPUTED_VALUE"""),45209.4355092592)</f>
        <v>45209.435509259201</v>
      </c>
      <c r="C268" s="8" t="str">
        <f ca="1">IFERROR(__xludf.UNSUPPORTED("""COMPUTED_VALUE"""),"Aratu")</f>
        <v>Aratu</v>
      </c>
      <c r="D268" s="3" t="str">
        <f ca="1">IFERROR(__xludf.UNSUPPORTED("""COMPUTED_VALUE"""),"🚢 REGULAR")</f>
        <v>🚢 REGULAR</v>
      </c>
      <c r="E268" s="3" t="str">
        <f ca="1">IFERROR(__xludf.UNSUPPORTED("""COMPUTED_VALUE"""),"🚛 LIBERADO")</f>
        <v>🚛 LIBERADO</v>
      </c>
      <c r="F268" s="5">
        <f ca="1">IFERROR(__xludf.UNSUPPORTED("""COMPUTED_VALUE"""),0)</f>
        <v>0</v>
      </c>
      <c r="G268" s="3" t="str">
        <f ca="1">IFERROR(__xludf.UNSUPPORTED("""COMPUTED_VALUE"""),"Normalidade")</f>
        <v>Normalidade</v>
      </c>
      <c r="H268" s="4">
        <f ca="1">IFERROR(__xludf.UNSUPPORTED("""COMPUTED_VALUE"""),45209.4355092592)</f>
        <v>45209.435509259201</v>
      </c>
      <c r="I268" s="3">
        <f ca="1">IFERROR(__xludf.UNSUPPORTED("""COMPUTED_VALUE"""),24)</f>
        <v>24</v>
      </c>
      <c r="J268" s="4">
        <f ca="1">IFERROR(__xludf.UNSUPPORTED("""COMPUTED_VALUE"""),45210.4355092592)</f>
        <v>45210.435509259201</v>
      </c>
      <c r="L268" s="3" t="str">
        <f ca="1">IFERROR(__xludf.UNSUPPORTED("""COMPUTED_VALUE"""),"Normalidade")</f>
        <v>Normalidade</v>
      </c>
    </row>
    <row r="269" spans="1:12" ht="12.75">
      <c r="A269" s="3" t="str">
        <f ca="1">IFERROR(__xludf.UNSUPPORTED("""COMPUTED_VALUE"""),"ed214137")</f>
        <v>ed214137</v>
      </c>
      <c r="B269" s="4">
        <f ca="1">IFERROR(__xludf.UNSUPPORTED("""COMPUTED_VALUE"""),45212.4493055555)</f>
        <v>45212.449305555499</v>
      </c>
      <c r="C269" s="7" t="str">
        <f ca="1">IFERROR(__xludf.UNSUPPORTED("""COMPUTED_VALUE"""),"Aratu")</f>
        <v>Aratu</v>
      </c>
      <c r="D269" s="3" t="str">
        <f ca="1">IFERROR(__xludf.UNSUPPORTED("""COMPUTED_VALUE"""),"🚢 REGULAR")</f>
        <v>🚢 REGULAR</v>
      </c>
      <c r="E269" s="3" t="str">
        <f ca="1">IFERROR(__xludf.UNSUPPORTED("""COMPUTED_VALUE"""),"🚛 LIBERADO")</f>
        <v>🚛 LIBERADO</v>
      </c>
      <c r="F269" s="5">
        <f ca="1">IFERROR(__xludf.UNSUPPORTED("""COMPUTED_VALUE"""),0)</f>
        <v>0</v>
      </c>
      <c r="G269" s="3" t="str">
        <f ca="1">IFERROR(__xludf.UNSUPPORTED("""COMPUTED_VALUE"""),"Normalidade")</f>
        <v>Normalidade</v>
      </c>
      <c r="H269" s="4">
        <f ca="1">IFERROR(__xludf.UNSUPPORTED("""COMPUTED_VALUE"""),45212.4493055555)</f>
        <v>45212.449305555499</v>
      </c>
      <c r="I269" s="3">
        <f ca="1">IFERROR(__xludf.UNSUPPORTED("""COMPUTED_VALUE"""),24)</f>
        <v>24</v>
      </c>
      <c r="J269" s="4">
        <f ca="1">IFERROR(__xludf.UNSUPPORTED("""COMPUTED_VALUE"""),45213.4493055555)</f>
        <v>45213.449305555499</v>
      </c>
      <c r="L269" s="3" t="str">
        <f ca="1">IFERROR(__xludf.UNSUPPORTED("""COMPUTED_VALUE"""),"Normalidade")</f>
        <v>Normalidade</v>
      </c>
    </row>
    <row r="270" spans="1:12" ht="12.75">
      <c r="A270" s="3" t="str">
        <f ca="1">IFERROR(__xludf.UNSUPPORTED("""COMPUTED_VALUE"""),"e9567a90")</f>
        <v>e9567a90</v>
      </c>
      <c r="B270" s="4">
        <f ca="1">IFERROR(__xludf.UNSUPPORTED("""COMPUTED_VALUE"""),45215.2761805555)</f>
        <v>45215.276180555498</v>
      </c>
      <c r="C270" s="7" t="str">
        <f ca="1">IFERROR(__xludf.UNSUPPORTED("""COMPUTED_VALUE"""),"Aratu")</f>
        <v>Aratu</v>
      </c>
      <c r="D270" s="3" t="str">
        <f ca="1">IFERROR(__xludf.UNSUPPORTED("""COMPUTED_VALUE"""),"🚢 REGULAR")</f>
        <v>🚢 REGULAR</v>
      </c>
      <c r="E270" s="3" t="str">
        <f ca="1">IFERROR(__xludf.UNSUPPORTED("""COMPUTED_VALUE"""),"🚛 LIBERADO")</f>
        <v>🚛 LIBERADO</v>
      </c>
      <c r="F270" s="5">
        <f ca="1">IFERROR(__xludf.UNSUPPORTED("""COMPUTED_VALUE"""),0)</f>
        <v>0</v>
      </c>
      <c r="G270" s="3" t="str">
        <f ca="1">IFERROR(__xludf.UNSUPPORTED("""COMPUTED_VALUE"""),"Normalidade")</f>
        <v>Normalidade</v>
      </c>
      <c r="H270" s="4">
        <f ca="1">IFERROR(__xludf.UNSUPPORTED("""COMPUTED_VALUE"""),45215.2761805555)</f>
        <v>45215.276180555498</v>
      </c>
      <c r="I270" s="3">
        <f ca="1">IFERROR(__xludf.UNSUPPORTED("""COMPUTED_VALUE"""),24)</f>
        <v>24</v>
      </c>
      <c r="J270" s="4">
        <f ca="1">IFERROR(__xludf.UNSUPPORTED("""COMPUTED_VALUE"""),45216.2761805555)</f>
        <v>45216.276180555498</v>
      </c>
      <c r="L270" s="3" t="str">
        <f ca="1">IFERROR(__xludf.UNSUPPORTED("""COMPUTED_VALUE"""),"Normalidade")</f>
        <v>Normalidade</v>
      </c>
    </row>
    <row r="271" spans="1:12" ht="12.75">
      <c r="A271" s="3" t="str">
        <f ca="1">IFERROR(__xludf.UNSUPPORTED("""COMPUTED_VALUE"""),"c5cb1bc1")</f>
        <v>c5cb1bc1</v>
      </c>
      <c r="B271" s="4">
        <f ca="1">IFERROR(__xludf.UNSUPPORTED("""COMPUTED_VALUE"""),45216.3319444444)</f>
        <v>45216.331944444399</v>
      </c>
      <c r="C271" s="7" t="str">
        <f ca="1">IFERROR(__xludf.UNSUPPORTED("""COMPUTED_VALUE"""),"Aratu")</f>
        <v>Aratu</v>
      </c>
      <c r="D271" s="3" t="str">
        <f ca="1">IFERROR(__xludf.UNSUPPORTED("""COMPUTED_VALUE"""),"🚢 REGULAR")</f>
        <v>🚢 REGULAR</v>
      </c>
      <c r="E271" s="3" t="str">
        <f ca="1">IFERROR(__xludf.UNSUPPORTED("""COMPUTED_VALUE"""),"🚛 LIBERADO")</f>
        <v>🚛 LIBERADO</v>
      </c>
      <c r="F271" s="5">
        <f ca="1">IFERROR(__xludf.UNSUPPORTED("""COMPUTED_VALUE"""),0)</f>
        <v>0</v>
      </c>
      <c r="G271" s="3" t="str">
        <f ca="1">IFERROR(__xludf.UNSUPPORTED("""COMPUTED_VALUE"""),"Normalidade")</f>
        <v>Normalidade</v>
      </c>
      <c r="H271" s="4">
        <f ca="1">IFERROR(__xludf.UNSUPPORTED("""COMPUTED_VALUE"""),45216.3319444444)</f>
        <v>45216.331944444399</v>
      </c>
      <c r="I271" s="3">
        <f ca="1">IFERROR(__xludf.UNSUPPORTED("""COMPUTED_VALUE"""),24)</f>
        <v>24</v>
      </c>
      <c r="J271" s="4">
        <f ca="1">IFERROR(__xludf.UNSUPPORTED("""COMPUTED_VALUE"""),45217.3319444444)</f>
        <v>45217.331944444399</v>
      </c>
      <c r="L271" s="3" t="str">
        <f ca="1">IFERROR(__xludf.UNSUPPORTED("""COMPUTED_VALUE"""),"Normalidade")</f>
        <v>Normalidade</v>
      </c>
    </row>
    <row r="272" spans="1:12" ht="12.75">
      <c r="A272" s="3" t="str">
        <f ca="1">IFERROR(__xludf.UNSUPPORTED("""COMPUTED_VALUE"""),"a5421480")</f>
        <v>a5421480</v>
      </c>
      <c r="B272" s="4">
        <f ca="1">IFERROR(__xludf.UNSUPPORTED("""COMPUTED_VALUE"""),45217.3595833333)</f>
        <v>45217.359583333302</v>
      </c>
      <c r="C272" s="7" t="str">
        <f ca="1">IFERROR(__xludf.UNSUPPORTED("""COMPUTED_VALUE"""),"Aratu")</f>
        <v>Aratu</v>
      </c>
      <c r="D272" s="3" t="str">
        <f ca="1">IFERROR(__xludf.UNSUPPORTED("""COMPUTED_VALUE"""),"🚢 REGULAR")</f>
        <v>🚢 REGULAR</v>
      </c>
      <c r="E272" s="3" t="str">
        <f ca="1">IFERROR(__xludf.UNSUPPORTED("""COMPUTED_VALUE"""),"🚛 LIBERADO")</f>
        <v>🚛 LIBERADO</v>
      </c>
      <c r="F272" s="5">
        <f ca="1">IFERROR(__xludf.UNSUPPORTED("""COMPUTED_VALUE"""),0)</f>
        <v>0</v>
      </c>
      <c r="G272" s="3" t="str">
        <f ca="1">IFERROR(__xludf.UNSUPPORTED("""COMPUTED_VALUE"""),"Normalidade")</f>
        <v>Normalidade</v>
      </c>
      <c r="H272" s="4">
        <f ca="1">IFERROR(__xludf.UNSUPPORTED("""COMPUTED_VALUE"""),45217.3595833333)</f>
        <v>45217.359583333302</v>
      </c>
      <c r="I272" s="3">
        <f ca="1">IFERROR(__xludf.UNSUPPORTED("""COMPUTED_VALUE"""),24)</f>
        <v>24</v>
      </c>
      <c r="J272" s="4">
        <f ca="1">IFERROR(__xludf.UNSUPPORTED("""COMPUTED_VALUE"""),45218.3595833333)</f>
        <v>45218.359583333302</v>
      </c>
      <c r="L272" s="3" t="str">
        <f ca="1">IFERROR(__xludf.UNSUPPORTED("""COMPUTED_VALUE"""),"Normalidade")</f>
        <v>Normalidade</v>
      </c>
    </row>
    <row r="273" spans="1:12" ht="12.75">
      <c r="A273" s="3" t="str">
        <f ca="1">IFERROR(__xludf.UNSUPPORTED("""COMPUTED_VALUE"""),"0272bf2a")</f>
        <v>0272bf2a</v>
      </c>
      <c r="B273" s="4">
        <f ca="1">IFERROR(__xludf.UNSUPPORTED("""COMPUTED_VALUE"""),45218.4140046296)</f>
        <v>45218.414004629602</v>
      </c>
      <c r="C273" s="7" t="str">
        <f ca="1">IFERROR(__xludf.UNSUPPORTED("""COMPUTED_VALUE"""),"Aratu")</f>
        <v>Aratu</v>
      </c>
      <c r="D273" s="3" t="str">
        <f ca="1">IFERROR(__xludf.UNSUPPORTED("""COMPUTED_VALUE"""),"🚢 REGULAR")</f>
        <v>🚢 REGULAR</v>
      </c>
      <c r="E273" s="3" t="str">
        <f ca="1">IFERROR(__xludf.UNSUPPORTED("""COMPUTED_VALUE"""),"🚛 LIBERADO")</f>
        <v>🚛 LIBERADO</v>
      </c>
      <c r="F273" s="5">
        <f ca="1">IFERROR(__xludf.UNSUPPORTED("""COMPUTED_VALUE"""),0)</f>
        <v>0</v>
      </c>
      <c r="G273" s="3" t="str">
        <f ca="1">IFERROR(__xludf.UNSUPPORTED("""COMPUTED_VALUE"""),"Normalidade")</f>
        <v>Normalidade</v>
      </c>
      <c r="H273" s="4">
        <f ca="1">IFERROR(__xludf.UNSUPPORTED("""COMPUTED_VALUE"""),45218.4140046296)</f>
        <v>45218.414004629602</v>
      </c>
      <c r="I273" s="3">
        <f ca="1">IFERROR(__xludf.UNSUPPORTED("""COMPUTED_VALUE"""),24)</f>
        <v>24</v>
      </c>
      <c r="J273" s="4">
        <f ca="1">IFERROR(__xludf.UNSUPPORTED("""COMPUTED_VALUE"""),45219.4140046296)</f>
        <v>45219.414004629602</v>
      </c>
      <c r="L273" s="3" t="str">
        <f ca="1">IFERROR(__xludf.UNSUPPORTED("""COMPUTED_VALUE"""),"Normalidade")</f>
        <v>Normalidade</v>
      </c>
    </row>
    <row r="274" spans="1:12" ht="12.75">
      <c r="A274" s="3" t="str">
        <f ca="1">IFERROR(__xludf.UNSUPPORTED("""COMPUTED_VALUE"""),"c1f0af84")</f>
        <v>c1f0af84</v>
      </c>
      <c r="B274" s="4">
        <f ca="1">IFERROR(__xludf.UNSUPPORTED("""COMPUTED_VALUE"""),45222.3970949074)</f>
        <v>45222.397094907399</v>
      </c>
      <c r="C274" s="7" t="str">
        <f ca="1">IFERROR(__xludf.UNSUPPORTED("""COMPUTED_VALUE"""),"Aratu")</f>
        <v>Aratu</v>
      </c>
      <c r="D274" s="3" t="str">
        <f ca="1">IFERROR(__xludf.UNSUPPORTED("""COMPUTED_VALUE"""),"🚢 REGULAR")</f>
        <v>🚢 REGULAR</v>
      </c>
      <c r="E274" s="3" t="str">
        <f ca="1">IFERROR(__xludf.UNSUPPORTED("""COMPUTED_VALUE"""),"🚛 LIBERADO")</f>
        <v>🚛 LIBERADO</v>
      </c>
      <c r="F274" s="5">
        <f ca="1">IFERROR(__xludf.UNSUPPORTED("""COMPUTED_VALUE"""),0)</f>
        <v>0</v>
      </c>
      <c r="G274" s="3" t="str">
        <f ca="1">IFERROR(__xludf.UNSUPPORTED("""COMPUTED_VALUE"""),"Normalidade")</f>
        <v>Normalidade</v>
      </c>
      <c r="H274" s="4">
        <f ca="1">IFERROR(__xludf.UNSUPPORTED("""COMPUTED_VALUE"""),45222.3970949074)</f>
        <v>45222.397094907399</v>
      </c>
      <c r="I274" s="3">
        <f ca="1">IFERROR(__xludf.UNSUPPORTED("""COMPUTED_VALUE"""),24)</f>
        <v>24</v>
      </c>
      <c r="J274" s="4">
        <f ca="1">IFERROR(__xludf.UNSUPPORTED("""COMPUTED_VALUE"""),45223.3970949074)</f>
        <v>45223.397094907399</v>
      </c>
      <c r="L274" s="3" t="str">
        <f ca="1">IFERROR(__xludf.UNSUPPORTED("""COMPUTED_VALUE"""),"Normalidade")</f>
        <v>Normalidade</v>
      </c>
    </row>
    <row r="275" spans="1:12" ht="12.75">
      <c r="A275" s="3" t="str">
        <f ca="1">IFERROR(__xludf.UNSUPPORTED("""COMPUTED_VALUE"""),"d09fac8d")</f>
        <v>d09fac8d</v>
      </c>
      <c r="B275" s="4">
        <f ca="1">IFERROR(__xludf.UNSUPPORTED("""COMPUTED_VALUE"""),45224.510636574)</f>
        <v>45224.510636573999</v>
      </c>
      <c r="C275" s="8" t="str">
        <f ca="1">IFERROR(__xludf.UNSUPPORTED("""COMPUTED_VALUE"""),"Aratu")</f>
        <v>Aratu</v>
      </c>
      <c r="D275" s="3" t="str">
        <f ca="1">IFERROR(__xludf.UNSUPPORTED("""COMPUTED_VALUE"""),"🚢 REGULAR")</f>
        <v>🚢 REGULAR</v>
      </c>
      <c r="E275" s="3" t="str">
        <f ca="1">IFERROR(__xludf.UNSUPPORTED("""COMPUTED_VALUE"""),"🚛 LIBERADO")</f>
        <v>🚛 LIBERADO</v>
      </c>
      <c r="F275" s="5">
        <f ca="1">IFERROR(__xludf.UNSUPPORTED("""COMPUTED_VALUE"""),0)</f>
        <v>0</v>
      </c>
      <c r="G275" s="3" t="str">
        <f ca="1">IFERROR(__xludf.UNSUPPORTED("""COMPUTED_VALUE"""),"Normalidade")</f>
        <v>Normalidade</v>
      </c>
      <c r="H275" s="4">
        <f ca="1">IFERROR(__xludf.UNSUPPORTED("""COMPUTED_VALUE"""),45224.510636574)</f>
        <v>45224.510636573999</v>
      </c>
      <c r="I275" s="3">
        <f ca="1">IFERROR(__xludf.UNSUPPORTED("""COMPUTED_VALUE"""),24)</f>
        <v>24</v>
      </c>
      <c r="J275" s="4">
        <f ca="1">IFERROR(__xludf.UNSUPPORTED("""COMPUTED_VALUE"""),45225.510636574)</f>
        <v>45225.510636573999</v>
      </c>
      <c r="L275" s="3" t="str">
        <f ca="1">IFERROR(__xludf.UNSUPPORTED("""COMPUTED_VALUE"""),"Normalidade")</f>
        <v>Normalidade</v>
      </c>
    </row>
    <row r="276" spans="1:12" ht="12.75">
      <c r="A276" s="3" t="str">
        <f ca="1">IFERROR(__xludf.UNSUPPORTED("""COMPUTED_VALUE"""),"6c11ccc6")</f>
        <v>6c11ccc6</v>
      </c>
      <c r="B276" s="4">
        <f ca="1">IFERROR(__xludf.UNSUPPORTED("""COMPUTED_VALUE"""),45225.5097685185)</f>
        <v>45225.509768518503</v>
      </c>
      <c r="C276" s="8" t="str">
        <f ca="1">IFERROR(__xludf.UNSUPPORTED("""COMPUTED_VALUE"""),"Aratu")</f>
        <v>Aratu</v>
      </c>
      <c r="D276" s="3" t="str">
        <f ca="1">IFERROR(__xludf.UNSUPPORTED("""COMPUTED_VALUE"""),"🚢 REGULAR")</f>
        <v>🚢 REGULAR</v>
      </c>
      <c r="E276" s="3" t="str">
        <f ca="1">IFERROR(__xludf.UNSUPPORTED("""COMPUTED_VALUE"""),"🚛 LIBERADO")</f>
        <v>🚛 LIBERADO</v>
      </c>
      <c r="F276" s="5">
        <f ca="1">IFERROR(__xludf.UNSUPPORTED("""COMPUTED_VALUE"""),0)</f>
        <v>0</v>
      </c>
      <c r="G276" s="3" t="str">
        <f ca="1">IFERROR(__xludf.UNSUPPORTED("""COMPUTED_VALUE"""),"Normalidade")</f>
        <v>Normalidade</v>
      </c>
      <c r="H276" s="4">
        <f ca="1">IFERROR(__xludf.UNSUPPORTED("""COMPUTED_VALUE"""),45225.5097685185)</f>
        <v>45225.509768518503</v>
      </c>
      <c r="I276" s="3">
        <f ca="1">IFERROR(__xludf.UNSUPPORTED("""COMPUTED_VALUE"""),24)</f>
        <v>24</v>
      </c>
      <c r="J276" s="4">
        <f ca="1">IFERROR(__xludf.UNSUPPORTED("""COMPUTED_VALUE"""),45226.5097685185)</f>
        <v>45226.509768518503</v>
      </c>
      <c r="L276" s="3" t="str">
        <f ca="1">IFERROR(__xludf.UNSUPPORTED("""COMPUTED_VALUE"""),"Normalidade")</f>
        <v>Normalidade</v>
      </c>
    </row>
    <row r="277" spans="1:12" ht="12.75">
      <c r="A277" s="3" t="str">
        <f ca="1">IFERROR(__xludf.UNSUPPORTED("""COMPUTED_VALUE"""),"4707256f")</f>
        <v>4707256f</v>
      </c>
      <c r="B277" s="4">
        <f ca="1">IFERROR(__xludf.UNSUPPORTED("""COMPUTED_VALUE"""),45226.267523148)</f>
        <v>45226.267523148003</v>
      </c>
      <c r="C277" s="7" t="str">
        <f ca="1">IFERROR(__xludf.UNSUPPORTED("""COMPUTED_VALUE"""),"Aratu")</f>
        <v>Aratu</v>
      </c>
      <c r="D277" s="3" t="str">
        <f ca="1">IFERROR(__xludf.UNSUPPORTED("""COMPUTED_VALUE"""),"🚢 REGULAR")</f>
        <v>🚢 REGULAR</v>
      </c>
      <c r="E277" s="3" t="str">
        <f ca="1">IFERROR(__xludf.UNSUPPORTED("""COMPUTED_VALUE"""),"🚛 LIBERADO")</f>
        <v>🚛 LIBERADO</v>
      </c>
      <c r="F277" s="5">
        <f ca="1">IFERROR(__xludf.UNSUPPORTED("""COMPUTED_VALUE"""),0)</f>
        <v>0</v>
      </c>
      <c r="G277" s="3" t="str">
        <f ca="1">IFERROR(__xludf.UNSUPPORTED("""COMPUTED_VALUE"""),"Normalidade")</f>
        <v>Normalidade</v>
      </c>
      <c r="H277" s="4">
        <f ca="1">IFERROR(__xludf.UNSUPPORTED("""COMPUTED_VALUE"""),45226.267523148)</f>
        <v>45226.267523148003</v>
      </c>
      <c r="I277" s="3">
        <f ca="1">IFERROR(__xludf.UNSUPPORTED("""COMPUTED_VALUE"""),24)</f>
        <v>24</v>
      </c>
      <c r="J277" s="4">
        <f ca="1">IFERROR(__xludf.UNSUPPORTED("""COMPUTED_VALUE"""),45227.267523148)</f>
        <v>45227.267523148003</v>
      </c>
      <c r="L277" s="3" t="str">
        <f ca="1">IFERROR(__xludf.UNSUPPORTED("""COMPUTED_VALUE"""),"Normalidade")</f>
        <v>Normalidade</v>
      </c>
    </row>
    <row r="278" spans="1:12" ht="12.75">
      <c r="A278" s="3" t="str">
        <f ca="1">IFERROR(__xludf.UNSUPPORTED("""COMPUTED_VALUE"""),"6fc21ff2")</f>
        <v>6fc21ff2</v>
      </c>
      <c r="B278" s="4">
        <f ca="1">IFERROR(__xludf.UNSUPPORTED("""COMPUTED_VALUE"""),45229.7433796296)</f>
        <v>45229.743379629603</v>
      </c>
      <c r="C278" s="8" t="str">
        <f ca="1">IFERROR(__xludf.UNSUPPORTED("""COMPUTED_VALUE"""),"Aratu")</f>
        <v>Aratu</v>
      </c>
      <c r="D278" s="3" t="str">
        <f ca="1">IFERROR(__xludf.UNSUPPORTED("""COMPUTED_VALUE"""),"🚢 REGULAR")</f>
        <v>🚢 REGULAR</v>
      </c>
      <c r="E278" s="3" t="str">
        <f ca="1">IFERROR(__xludf.UNSUPPORTED("""COMPUTED_VALUE"""),"🚛 LIBERADO")</f>
        <v>🚛 LIBERADO</v>
      </c>
      <c r="F278" s="5">
        <f ca="1">IFERROR(__xludf.UNSUPPORTED("""COMPUTED_VALUE"""),0)</f>
        <v>0</v>
      </c>
      <c r="G278" s="3" t="str">
        <f ca="1">IFERROR(__xludf.UNSUPPORTED("""COMPUTED_VALUE"""),"Normalidade")</f>
        <v>Normalidade</v>
      </c>
      <c r="H278" s="4">
        <f ca="1">IFERROR(__xludf.UNSUPPORTED("""COMPUTED_VALUE"""),45229.7433796296)</f>
        <v>45229.743379629603</v>
      </c>
      <c r="I278" s="3">
        <f ca="1">IFERROR(__xludf.UNSUPPORTED("""COMPUTED_VALUE"""),24)</f>
        <v>24</v>
      </c>
      <c r="J278" s="4">
        <f ca="1">IFERROR(__xludf.UNSUPPORTED("""COMPUTED_VALUE"""),45230.7433796296)</f>
        <v>45230.743379629603</v>
      </c>
      <c r="L278" s="3" t="str">
        <f ca="1">IFERROR(__xludf.UNSUPPORTED("""COMPUTED_VALUE"""),"Normalidade")</f>
        <v>Normalidade</v>
      </c>
    </row>
    <row r="279" spans="1:12" ht="12.75">
      <c r="A279" s="3" t="str">
        <f ca="1">IFERROR(__xludf.UNSUPPORTED("""COMPUTED_VALUE"""),"4be0ca8a")</f>
        <v>4be0ca8a</v>
      </c>
      <c r="B279" s="4">
        <f ca="1">IFERROR(__xludf.UNSUPPORTED("""COMPUTED_VALUE"""),45231.4848726851)</f>
        <v>45231.484872685098</v>
      </c>
      <c r="C279" s="7" t="str">
        <f ca="1">IFERROR(__xludf.UNSUPPORTED("""COMPUTED_VALUE"""),"Aratu")</f>
        <v>Aratu</v>
      </c>
      <c r="D279" s="3" t="str">
        <f ca="1">IFERROR(__xludf.UNSUPPORTED("""COMPUTED_VALUE"""),"🚢 REGULAR")</f>
        <v>🚢 REGULAR</v>
      </c>
      <c r="E279" s="3" t="str">
        <f ca="1">IFERROR(__xludf.UNSUPPORTED("""COMPUTED_VALUE"""),"🚛 LIBERADO")</f>
        <v>🚛 LIBERADO</v>
      </c>
      <c r="F279" s="5">
        <f ca="1">IFERROR(__xludf.UNSUPPORTED("""COMPUTED_VALUE"""),0)</f>
        <v>0</v>
      </c>
      <c r="G279" s="3" t="str">
        <f ca="1">IFERROR(__xludf.UNSUPPORTED("""COMPUTED_VALUE"""),"Normalidade")</f>
        <v>Normalidade</v>
      </c>
      <c r="H279" s="4">
        <f ca="1">IFERROR(__xludf.UNSUPPORTED("""COMPUTED_VALUE"""),45231.4848726851)</f>
        <v>45231.484872685098</v>
      </c>
      <c r="I279" s="3">
        <f ca="1">IFERROR(__xludf.UNSUPPORTED("""COMPUTED_VALUE"""),24)</f>
        <v>24</v>
      </c>
      <c r="J279" s="4">
        <f ca="1">IFERROR(__xludf.UNSUPPORTED("""COMPUTED_VALUE"""),45232.4848726851)</f>
        <v>45232.484872685098</v>
      </c>
      <c r="L279" s="3" t="str">
        <f ca="1">IFERROR(__xludf.UNSUPPORTED("""COMPUTED_VALUE"""),"Normalidade")</f>
        <v>Normalidade</v>
      </c>
    </row>
    <row r="280" spans="1:12" ht="12.75">
      <c r="A280" s="3" t="str">
        <f ca="1">IFERROR(__xludf.UNSUPPORTED("""COMPUTED_VALUE"""),"9c1cfbe1")</f>
        <v>9c1cfbe1</v>
      </c>
      <c r="B280" s="4">
        <f ca="1">IFERROR(__xludf.UNSUPPORTED("""COMPUTED_VALUE"""),45233.696875)</f>
        <v>45233.696875000001</v>
      </c>
      <c r="C280" s="7" t="str">
        <f ca="1">IFERROR(__xludf.UNSUPPORTED("""COMPUTED_VALUE"""),"Aratu")</f>
        <v>Aratu</v>
      </c>
      <c r="D280" s="3" t="str">
        <f ca="1">IFERROR(__xludf.UNSUPPORTED("""COMPUTED_VALUE"""),"🚢 REGULAR")</f>
        <v>🚢 REGULAR</v>
      </c>
      <c r="E280" s="3" t="str">
        <f ca="1">IFERROR(__xludf.UNSUPPORTED("""COMPUTED_VALUE"""),"🚛 LIBERADO")</f>
        <v>🚛 LIBERADO</v>
      </c>
      <c r="F280" s="5">
        <f ca="1">IFERROR(__xludf.UNSUPPORTED("""COMPUTED_VALUE"""),0)</f>
        <v>0</v>
      </c>
      <c r="G280" s="3" t="str">
        <f ca="1">IFERROR(__xludf.UNSUPPORTED("""COMPUTED_VALUE"""),"Normalidade")</f>
        <v>Normalidade</v>
      </c>
      <c r="H280" s="4">
        <f ca="1">IFERROR(__xludf.UNSUPPORTED("""COMPUTED_VALUE"""),45233.696875)</f>
        <v>45233.696875000001</v>
      </c>
      <c r="I280" s="3">
        <f ca="1">IFERROR(__xludf.UNSUPPORTED("""COMPUTED_VALUE"""),24)</f>
        <v>24</v>
      </c>
      <c r="J280" s="4">
        <f ca="1">IFERROR(__xludf.UNSUPPORTED("""COMPUTED_VALUE"""),45234.696875)</f>
        <v>45234.696875000001</v>
      </c>
      <c r="L280" s="3" t="str">
        <f ca="1">IFERROR(__xludf.UNSUPPORTED("""COMPUTED_VALUE"""),"Normalidade")</f>
        <v>Normalidade</v>
      </c>
    </row>
    <row r="281" spans="1:12" ht="12.75">
      <c r="A281" s="3" t="str">
        <f ca="1">IFERROR(__xludf.UNSUPPORTED("""COMPUTED_VALUE"""),"900c68cd")</f>
        <v>900c68cd</v>
      </c>
      <c r="B281" s="4">
        <f ca="1">IFERROR(__xludf.UNSUPPORTED("""COMPUTED_VALUE"""),45236.3691550925)</f>
        <v>45236.3691550925</v>
      </c>
      <c r="C281" s="7" t="str">
        <f ca="1">IFERROR(__xludf.UNSUPPORTED("""COMPUTED_VALUE"""),"Aratu")</f>
        <v>Aratu</v>
      </c>
      <c r="D281" s="3" t="str">
        <f ca="1">IFERROR(__xludf.UNSUPPORTED("""COMPUTED_VALUE"""),"🚢 REGULAR")</f>
        <v>🚢 REGULAR</v>
      </c>
      <c r="E281" s="3" t="str">
        <f ca="1">IFERROR(__xludf.UNSUPPORTED("""COMPUTED_VALUE"""),"🚛 LIBERADO")</f>
        <v>🚛 LIBERADO</v>
      </c>
      <c r="F281" s="5">
        <f ca="1">IFERROR(__xludf.UNSUPPORTED("""COMPUTED_VALUE"""),0)</f>
        <v>0</v>
      </c>
      <c r="G281" s="3" t="str">
        <f ca="1">IFERROR(__xludf.UNSUPPORTED("""COMPUTED_VALUE"""),"Normalidade")</f>
        <v>Normalidade</v>
      </c>
      <c r="H281" s="4">
        <f ca="1">IFERROR(__xludf.UNSUPPORTED("""COMPUTED_VALUE"""),45236.3691550925)</f>
        <v>45236.3691550925</v>
      </c>
      <c r="I281" s="3">
        <f ca="1">IFERROR(__xludf.UNSUPPORTED("""COMPUTED_VALUE"""),24)</f>
        <v>24</v>
      </c>
      <c r="J281" s="4">
        <f ca="1">IFERROR(__xludf.UNSUPPORTED("""COMPUTED_VALUE"""),45237.3691550925)</f>
        <v>45237.3691550925</v>
      </c>
      <c r="L281" s="3" t="str">
        <f ca="1">IFERROR(__xludf.UNSUPPORTED("""COMPUTED_VALUE"""),"Normalidade")</f>
        <v>Normalidade</v>
      </c>
    </row>
    <row r="282" spans="1:12" ht="12.75">
      <c r="A282" s="3" t="str">
        <f ca="1">IFERROR(__xludf.UNSUPPORTED("""COMPUTED_VALUE"""),"3cb759be")</f>
        <v>3cb759be</v>
      </c>
      <c r="B282" s="4">
        <f ca="1">IFERROR(__xludf.UNSUPPORTED("""COMPUTED_VALUE"""),45237.3262847222)</f>
        <v>45237.326284722199</v>
      </c>
      <c r="C282" s="8" t="str">
        <f ca="1">IFERROR(__xludf.UNSUPPORTED("""COMPUTED_VALUE"""),"Aratu")</f>
        <v>Aratu</v>
      </c>
      <c r="D282" s="3" t="str">
        <f ca="1">IFERROR(__xludf.UNSUPPORTED("""COMPUTED_VALUE"""),"🚢 REGULAR")</f>
        <v>🚢 REGULAR</v>
      </c>
      <c r="E282" s="3" t="str">
        <f ca="1">IFERROR(__xludf.UNSUPPORTED("""COMPUTED_VALUE"""),"🚛 LIBERADO")</f>
        <v>🚛 LIBERADO</v>
      </c>
      <c r="F282" s="5">
        <f ca="1">IFERROR(__xludf.UNSUPPORTED("""COMPUTED_VALUE"""),0)</f>
        <v>0</v>
      </c>
      <c r="G282" s="3" t="str">
        <f ca="1">IFERROR(__xludf.UNSUPPORTED("""COMPUTED_VALUE"""),"Normalidade")</f>
        <v>Normalidade</v>
      </c>
      <c r="H282" s="4">
        <f ca="1">IFERROR(__xludf.UNSUPPORTED("""COMPUTED_VALUE"""),45237.3262847222)</f>
        <v>45237.326284722199</v>
      </c>
      <c r="I282" s="3">
        <f ca="1">IFERROR(__xludf.UNSUPPORTED("""COMPUTED_VALUE"""),24)</f>
        <v>24</v>
      </c>
      <c r="J282" s="4">
        <f ca="1">IFERROR(__xludf.UNSUPPORTED("""COMPUTED_VALUE"""),45238.3262847222)</f>
        <v>45238.326284722199</v>
      </c>
      <c r="L282" s="3" t="str">
        <f ca="1">IFERROR(__xludf.UNSUPPORTED("""COMPUTED_VALUE"""),"Normalidade")</f>
        <v>Normalidade</v>
      </c>
    </row>
    <row r="283" spans="1:12" ht="12.75">
      <c r="A283" s="3" t="str">
        <f ca="1">IFERROR(__xludf.UNSUPPORTED("""COMPUTED_VALUE"""),"7e9b0a58")</f>
        <v>7e9b0a58</v>
      </c>
      <c r="B283" s="4">
        <f ca="1">IFERROR(__xludf.UNSUPPORTED("""COMPUTED_VALUE"""),45239.8227430555)</f>
        <v>45239.822743055498</v>
      </c>
      <c r="C283" s="7" t="str">
        <f ca="1">IFERROR(__xludf.UNSUPPORTED("""COMPUTED_VALUE"""),"Aratu")</f>
        <v>Aratu</v>
      </c>
      <c r="D283" s="3" t="str">
        <f ca="1">IFERROR(__xludf.UNSUPPORTED("""COMPUTED_VALUE"""),"🚢 REGULAR")</f>
        <v>🚢 REGULAR</v>
      </c>
      <c r="E283" s="3" t="str">
        <f ca="1">IFERROR(__xludf.UNSUPPORTED("""COMPUTED_VALUE"""),"🚛 LIBERADO")</f>
        <v>🚛 LIBERADO</v>
      </c>
      <c r="F283" s="5">
        <f ca="1">IFERROR(__xludf.UNSUPPORTED("""COMPUTED_VALUE"""),0)</f>
        <v>0</v>
      </c>
      <c r="G283" s="3" t="str">
        <f ca="1">IFERROR(__xludf.UNSUPPORTED("""COMPUTED_VALUE"""),"Normalidade")</f>
        <v>Normalidade</v>
      </c>
      <c r="H283" s="4">
        <f ca="1">IFERROR(__xludf.UNSUPPORTED("""COMPUTED_VALUE"""),45239.8227430555)</f>
        <v>45239.822743055498</v>
      </c>
      <c r="I283" s="3">
        <f ca="1">IFERROR(__xludf.UNSUPPORTED("""COMPUTED_VALUE"""),24)</f>
        <v>24</v>
      </c>
      <c r="J283" s="4">
        <f ca="1">IFERROR(__xludf.UNSUPPORTED("""COMPUTED_VALUE"""),45240.8227430555)</f>
        <v>45240.822743055498</v>
      </c>
      <c r="L283" s="3" t="str">
        <f ca="1">IFERROR(__xludf.UNSUPPORTED("""COMPUTED_VALUE"""),"Normalidade")</f>
        <v>Normalidade</v>
      </c>
    </row>
    <row r="284" spans="1:12" ht="12.75">
      <c r="A284" s="3" t="str">
        <f ca="1">IFERROR(__xludf.UNSUPPORTED("""COMPUTED_VALUE"""),"7589be43")</f>
        <v>7589be43</v>
      </c>
      <c r="B284" s="4">
        <f ca="1">IFERROR(__xludf.UNSUPPORTED("""COMPUTED_VALUE"""),45240.5961111111)</f>
        <v>45240.596111111103</v>
      </c>
      <c r="C284" s="8" t="str">
        <f ca="1">IFERROR(__xludf.UNSUPPORTED("""COMPUTED_VALUE"""),"Aratu")</f>
        <v>Aratu</v>
      </c>
      <c r="D284" s="3" t="str">
        <f ca="1">IFERROR(__xludf.UNSUPPORTED("""COMPUTED_VALUE"""),"🚢 REGULAR")</f>
        <v>🚢 REGULAR</v>
      </c>
      <c r="E284" s="3" t="str">
        <f ca="1">IFERROR(__xludf.UNSUPPORTED("""COMPUTED_VALUE"""),"🚛 LIBERADO")</f>
        <v>🚛 LIBERADO</v>
      </c>
      <c r="F284" s="5">
        <f ca="1">IFERROR(__xludf.UNSUPPORTED("""COMPUTED_VALUE"""),0)</f>
        <v>0</v>
      </c>
      <c r="G284" s="3" t="str">
        <f ca="1">IFERROR(__xludf.UNSUPPORTED("""COMPUTED_VALUE"""),"Normalidade")</f>
        <v>Normalidade</v>
      </c>
      <c r="H284" s="4">
        <f ca="1">IFERROR(__xludf.UNSUPPORTED("""COMPUTED_VALUE"""),45240.5961111111)</f>
        <v>45240.596111111103</v>
      </c>
      <c r="I284" s="3">
        <f ca="1">IFERROR(__xludf.UNSUPPORTED("""COMPUTED_VALUE"""),24)</f>
        <v>24</v>
      </c>
      <c r="J284" s="4">
        <f ca="1">IFERROR(__xludf.UNSUPPORTED("""COMPUTED_VALUE"""),45241.5961111111)</f>
        <v>45241.596111111103</v>
      </c>
      <c r="L284" s="3" t="str">
        <f ca="1">IFERROR(__xludf.UNSUPPORTED("""COMPUTED_VALUE"""),"Normalidade")</f>
        <v>Normalidade</v>
      </c>
    </row>
    <row r="285" spans="1:12" ht="12.75">
      <c r="A285" s="3" t="str">
        <f ca="1">IFERROR(__xludf.UNSUPPORTED("""COMPUTED_VALUE"""),"65c7a3b4")</f>
        <v>65c7a3b4</v>
      </c>
      <c r="B285" s="4">
        <f ca="1">IFERROR(__xludf.UNSUPPORTED("""COMPUTED_VALUE"""),45243.3112847222)</f>
        <v>45243.3112847222</v>
      </c>
      <c r="C285" s="8" t="str">
        <f ca="1">IFERROR(__xludf.UNSUPPORTED("""COMPUTED_VALUE"""),"Aratu")</f>
        <v>Aratu</v>
      </c>
      <c r="D285" s="3" t="str">
        <f ca="1">IFERROR(__xludf.UNSUPPORTED("""COMPUTED_VALUE"""),"🚢 REGULAR")</f>
        <v>🚢 REGULAR</v>
      </c>
      <c r="E285" s="3" t="str">
        <f ca="1">IFERROR(__xludf.UNSUPPORTED("""COMPUTED_VALUE"""),"🚛 LIBERADO")</f>
        <v>🚛 LIBERADO</v>
      </c>
      <c r="F285" s="5">
        <f ca="1">IFERROR(__xludf.UNSUPPORTED("""COMPUTED_VALUE"""),0)</f>
        <v>0</v>
      </c>
      <c r="G285" s="3" t="str">
        <f ca="1">IFERROR(__xludf.UNSUPPORTED("""COMPUTED_VALUE"""),"Normalidade")</f>
        <v>Normalidade</v>
      </c>
      <c r="H285" s="4">
        <f ca="1">IFERROR(__xludf.UNSUPPORTED("""COMPUTED_VALUE"""),45243.3112847222)</f>
        <v>45243.3112847222</v>
      </c>
      <c r="I285" s="3">
        <f ca="1">IFERROR(__xludf.UNSUPPORTED("""COMPUTED_VALUE"""),24)</f>
        <v>24</v>
      </c>
      <c r="J285" s="4">
        <f ca="1">IFERROR(__xludf.UNSUPPORTED("""COMPUTED_VALUE"""),45244.3112847222)</f>
        <v>45244.3112847222</v>
      </c>
      <c r="L285" s="3" t="str">
        <f ca="1">IFERROR(__xludf.UNSUPPORTED("""COMPUTED_VALUE"""),"Normalidade")</f>
        <v>Normalidade</v>
      </c>
    </row>
    <row r="286" spans="1:12" ht="12.75">
      <c r="A286" s="3" t="str">
        <f ca="1">IFERROR(__xludf.UNSUPPORTED("""COMPUTED_VALUE"""),"66e2d76b")</f>
        <v>66e2d76b</v>
      </c>
      <c r="B286" s="4">
        <f ca="1">IFERROR(__xludf.UNSUPPORTED("""COMPUTED_VALUE"""),45247.2978125)</f>
        <v>45247.297812500001</v>
      </c>
      <c r="C286" s="7" t="str">
        <f ca="1">IFERROR(__xludf.UNSUPPORTED("""COMPUTED_VALUE"""),"Aratu")</f>
        <v>Aratu</v>
      </c>
      <c r="D286" s="3" t="str">
        <f ca="1">IFERROR(__xludf.UNSUPPORTED("""COMPUTED_VALUE"""),"🚢 REGULAR")</f>
        <v>🚢 REGULAR</v>
      </c>
      <c r="E286" s="3" t="str">
        <f ca="1">IFERROR(__xludf.UNSUPPORTED("""COMPUTED_VALUE"""),"🚛 LIBERADO")</f>
        <v>🚛 LIBERADO</v>
      </c>
      <c r="F286" s="5">
        <f ca="1">IFERROR(__xludf.UNSUPPORTED("""COMPUTED_VALUE"""),0)</f>
        <v>0</v>
      </c>
      <c r="G286" s="3" t="str">
        <f ca="1">IFERROR(__xludf.UNSUPPORTED("""COMPUTED_VALUE"""),"Normalidade")</f>
        <v>Normalidade</v>
      </c>
      <c r="H286" s="4">
        <f ca="1">IFERROR(__xludf.UNSUPPORTED("""COMPUTED_VALUE"""),45247.2978125)</f>
        <v>45247.297812500001</v>
      </c>
      <c r="I286" s="3">
        <f ca="1">IFERROR(__xludf.UNSUPPORTED("""COMPUTED_VALUE"""),24)</f>
        <v>24</v>
      </c>
      <c r="J286" s="4">
        <f ca="1">IFERROR(__xludf.UNSUPPORTED("""COMPUTED_VALUE"""),45248.2978125)</f>
        <v>45248.297812500001</v>
      </c>
      <c r="L286" s="3" t="str">
        <f ca="1">IFERROR(__xludf.UNSUPPORTED("""COMPUTED_VALUE"""),"Normalidade")</f>
        <v>Normalidade</v>
      </c>
    </row>
    <row r="287" spans="1:12" ht="12.75">
      <c r="A287" s="3" t="str">
        <f ca="1">IFERROR(__xludf.UNSUPPORTED("""COMPUTED_VALUE"""),"bc168536")</f>
        <v>bc168536</v>
      </c>
      <c r="B287" s="4">
        <f ca="1">IFERROR(__xludf.UNSUPPORTED("""COMPUTED_VALUE"""),45252.3400810185)</f>
        <v>45252.340081018498</v>
      </c>
      <c r="C287" s="8" t="str">
        <f ca="1">IFERROR(__xludf.UNSUPPORTED("""COMPUTED_VALUE"""),"Aratu")</f>
        <v>Aratu</v>
      </c>
      <c r="D287" s="3" t="str">
        <f ca="1">IFERROR(__xludf.UNSUPPORTED("""COMPUTED_VALUE"""),"🚢 REGULAR")</f>
        <v>🚢 REGULAR</v>
      </c>
      <c r="E287" s="3" t="str">
        <f ca="1">IFERROR(__xludf.UNSUPPORTED("""COMPUTED_VALUE"""),"🚛 LIBERADO")</f>
        <v>🚛 LIBERADO</v>
      </c>
      <c r="F287" s="5">
        <f ca="1">IFERROR(__xludf.UNSUPPORTED("""COMPUTED_VALUE"""),0)</f>
        <v>0</v>
      </c>
      <c r="G287" s="3" t="str">
        <f ca="1">IFERROR(__xludf.UNSUPPORTED("""COMPUTED_VALUE"""),"Normalidade")</f>
        <v>Normalidade</v>
      </c>
      <c r="H287" s="4">
        <f ca="1">IFERROR(__xludf.UNSUPPORTED("""COMPUTED_VALUE"""),45252.3400810185)</f>
        <v>45252.340081018498</v>
      </c>
      <c r="I287" s="3">
        <f ca="1">IFERROR(__xludf.UNSUPPORTED("""COMPUTED_VALUE"""),24)</f>
        <v>24</v>
      </c>
      <c r="J287" s="4">
        <f ca="1">IFERROR(__xludf.UNSUPPORTED("""COMPUTED_VALUE"""),45253.3400810185)</f>
        <v>45253.340081018498</v>
      </c>
      <c r="L287" s="3" t="str">
        <f ca="1">IFERROR(__xludf.UNSUPPORTED("""COMPUTED_VALUE"""),"Normalidade")</f>
        <v>Normalidade</v>
      </c>
    </row>
    <row r="288" spans="1:12" ht="12.75">
      <c r="A288" s="3" t="str">
        <f ca="1">IFERROR(__xludf.UNSUPPORTED("""COMPUTED_VALUE"""),"6825db9c")</f>
        <v>6825db9c</v>
      </c>
      <c r="B288" s="4">
        <f ca="1">IFERROR(__xludf.UNSUPPORTED("""COMPUTED_VALUE"""),45253.5722916666)</f>
        <v>45253.572291666598</v>
      </c>
      <c r="C288" s="8" t="str">
        <f ca="1">IFERROR(__xludf.UNSUPPORTED("""COMPUTED_VALUE"""),"Aratu")</f>
        <v>Aratu</v>
      </c>
      <c r="D288" s="3" t="str">
        <f ca="1">IFERROR(__xludf.UNSUPPORTED("""COMPUTED_VALUE"""),"🚢 REGULAR")</f>
        <v>🚢 REGULAR</v>
      </c>
      <c r="E288" s="3" t="str">
        <f ca="1">IFERROR(__xludf.UNSUPPORTED("""COMPUTED_VALUE"""),"🚛 LIBERADO")</f>
        <v>🚛 LIBERADO</v>
      </c>
      <c r="F288" s="5">
        <f ca="1">IFERROR(__xludf.UNSUPPORTED("""COMPUTED_VALUE"""),0)</f>
        <v>0</v>
      </c>
      <c r="G288" s="3" t="str">
        <f ca="1">IFERROR(__xludf.UNSUPPORTED("""COMPUTED_VALUE"""),"Normalidade")</f>
        <v>Normalidade</v>
      </c>
      <c r="H288" s="4">
        <f ca="1">IFERROR(__xludf.UNSUPPORTED("""COMPUTED_VALUE"""),45253.5722916666)</f>
        <v>45253.572291666598</v>
      </c>
      <c r="I288" s="3">
        <f ca="1">IFERROR(__xludf.UNSUPPORTED("""COMPUTED_VALUE"""),24)</f>
        <v>24</v>
      </c>
      <c r="J288" s="4">
        <f ca="1">IFERROR(__xludf.UNSUPPORTED("""COMPUTED_VALUE"""),45254.5722916666)</f>
        <v>45254.572291666598</v>
      </c>
      <c r="L288" s="3" t="str">
        <f ca="1">IFERROR(__xludf.UNSUPPORTED("""COMPUTED_VALUE"""),"Normalidade")</f>
        <v>Normalidade</v>
      </c>
    </row>
    <row r="289" spans="1:12" ht="12.75">
      <c r="A289" s="3" t="str">
        <f ca="1">IFERROR(__xludf.UNSUPPORTED("""COMPUTED_VALUE"""),"5a31b506")</f>
        <v>5a31b506</v>
      </c>
      <c r="B289" s="4">
        <f ca="1">IFERROR(__xludf.UNSUPPORTED("""COMPUTED_VALUE"""),45254.3776736111)</f>
        <v>45254.377673611103</v>
      </c>
      <c r="C289" s="7" t="str">
        <f ca="1">IFERROR(__xludf.UNSUPPORTED("""COMPUTED_VALUE"""),"Aratu")</f>
        <v>Aratu</v>
      </c>
      <c r="D289" s="3" t="str">
        <f ca="1">IFERROR(__xludf.UNSUPPORTED("""COMPUTED_VALUE"""),"🚢 REGULAR")</f>
        <v>🚢 REGULAR</v>
      </c>
      <c r="E289" s="3" t="str">
        <f ca="1">IFERROR(__xludf.UNSUPPORTED("""COMPUTED_VALUE"""),"🚛 LIBERADO")</f>
        <v>🚛 LIBERADO</v>
      </c>
      <c r="F289" s="5">
        <f ca="1">IFERROR(__xludf.UNSUPPORTED("""COMPUTED_VALUE"""),0)</f>
        <v>0</v>
      </c>
      <c r="G289" s="3" t="str">
        <f ca="1">IFERROR(__xludf.UNSUPPORTED("""COMPUTED_VALUE"""),"Normalidade")</f>
        <v>Normalidade</v>
      </c>
      <c r="H289" s="4">
        <f ca="1">IFERROR(__xludf.UNSUPPORTED("""COMPUTED_VALUE"""),45254.3776736111)</f>
        <v>45254.377673611103</v>
      </c>
      <c r="I289" s="3">
        <f ca="1">IFERROR(__xludf.UNSUPPORTED("""COMPUTED_VALUE"""),24)</f>
        <v>24</v>
      </c>
      <c r="J289" s="4">
        <f ca="1">IFERROR(__xludf.UNSUPPORTED("""COMPUTED_VALUE"""),45255.3776736111)</f>
        <v>45255.377673611103</v>
      </c>
      <c r="L289" s="3" t="str">
        <f ca="1">IFERROR(__xludf.UNSUPPORTED("""COMPUTED_VALUE"""),"Normalidade")</f>
        <v>Normalidade</v>
      </c>
    </row>
    <row r="290" spans="1:12" ht="12.75">
      <c r="A290" s="3" t="str">
        <f ca="1">IFERROR(__xludf.UNSUPPORTED("""COMPUTED_VALUE"""),"42739934")</f>
        <v>42739934</v>
      </c>
      <c r="B290" s="4">
        <f ca="1">IFERROR(__xludf.UNSUPPORTED("""COMPUTED_VALUE"""),45257.5453009259)</f>
        <v>45257.5453009259</v>
      </c>
      <c r="C290" s="7" t="str">
        <f ca="1">IFERROR(__xludf.UNSUPPORTED("""COMPUTED_VALUE"""),"Aratu")</f>
        <v>Aratu</v>
      </c>
      <c r="D290" s="3" t="str">
        <f ca="1">IFERROR(__xludf.UNSUPPORTED("""COMPUTED_VALUE"""),"🚢 REGULAR")</f>
        <v>🚢 REGULAR</v>
      </c>
      <c r="E290" s="3" t="str">
        <f ca="1">IFERROR(__xludf.UNSUPPORTED("""COMPUTED_VALUE"""),"🚛 LIBERADO")</f>
        <v>🚛 LIBERADO</v>
      </c>
      <c r="F290" s="5">
        <f ca="1">IFERROR(__xludf.UNSUPPORTED("""COMPUTED_VALUE"""),0)</f>
        <v>0</v>
      </c>
      <c r="G290" s="3" t="str">
        <f ca="1">IFERROR(__xludf.UNSUPPORTED("""COMPUTED_VALUE"""),"Normalidade")</f>
        <v>Normalidade</v>
      </c>
      <c r="H290" s="4">
        <f ca="1">IFERROR(__xludf.UNSUPPORTED("""COMPUTED_VALUE"""),45257.5453009259)</f>
        <v>45257.5453009259</v>
      </c>
      <c r="I290" s="3">
        <f ca="1">IFERROR(__xludf.UNSUPPORTED("""COMPUTED_VALUE"""),24)</f>
        <v>24</v>
      </c>
      <c r="J290" s="4">
        <f ca="1">IFERROR(__xludf.UNSUPPORTED("""COMPUTED_VALUE"""),45258.5453009259)</f>
        <v>45258.5453009259</v>
      </c>
      <c r="L290" s="3" t="str">
        <f ca="1">IFERROR(__xludf.UNSUPPORTED("""COMPUTED_VALUE"""),"Normalidade")</f>
        <v>Normalidade</v>
      </c>
    </row>
    <row r="291" spans="1:12" ht="12.75">
      <c r="A291" s="3" t="str">
        <f ca="1">IFERROR(__xludf.UNSUPPORTED("""COMPUTED_VALUE"""),"cd59f036")</f>
        <v>cd59f036</v>
      </c>
      <c r="B291" s="4">
        <f ca="1">IFERROR(__xludf.UNSUPPORTED("""COMPUTED_VALUE"""),45258.4332986111)</f>
        <v>45258.433298611097</v>
      </c>
      <c r="C291" s="7" t="str">
        <f ca="1">IFERROR(__xludf.UNSUPPORTED("""COMPUTED_VALUE"""),"Aratu")</f>
        <v>Aratu</v>
      </c>
      <c r="D291" s="3" t="str">
        <f ca="1">IFERROR(__xludf.UNSUPPORTED("""COMPUTED_VALUE"""),"🚢 REGULAR")</f>
        <v>🚢 REGULAR</v>
      </c>
      <c r="E291" s="3" t="str">
        <f ca="1">IFERROR(__xludf.UNSUPPORTED("""COMPUTED_VALUE"""),"🚛 LIBERADO")</f>
        <v>🚛 LIBERADO</v>
      </c>
      <c r="F291" s="5">
        <f ca="1">IFERROR(__xludf.UNSUPPORTED("""COMPUTED_VALUE"""),0)</f>
        <v>0</v>
      </c>
      <c r="G291" s="3" t="str">
        <f ca="1">IFERROR(__xludf.UNSUPPORTED("""COMPUTED_VALUE"""),"Normalidade")</f>
        <v>Normalidade</v>
      </c>
      <c r="H291" s="4">
        <f ca="1">IFERROR(__xludf.UNSUPPORTED("""COMPUTED_VALUE"""),45258.4332986111)</f>
        <v>45258.433298611097</v>
      </c>
      <c r="I291" s="3">
        <f ca="1">IFERROR(__xludf.UNSUPPORTED("""COMPUTED_VALUE"""),24)</f>
        <v>24</v>
      </c>
      <c r="J291" s="4">
        <f ca="1">IFERROR(__xludf.UNSUPPORTED("""COMPUTED_VALUE"""),45259.4332986111)</f>
        <v>45259.433298611097</v>
      </c>
      <c r="L291" s="3" t="str">
        <f ca="1">IFERROR(__xludf.UNSUPPORTED("""COMPUTED_VALUE"""),"Normalidade")</f>
        <v>Normalidade</v>
      </c>
    </row>
    <row r="292" spans="1:12" ht="12.75">
      <c r="A292" s="3" t="str">
        <f ca="1">IFERROR(__xludf.UNSUPPORTED("""COMPUTED_VALUE"""),"725ba26b")</f>
        <v>725ba26b</v>
      </c>
      <c r="B292" s="4">
        <f ca="1">IFERROR(__xludf.UNSUPPORTED("""COMPUTED_VALUE"""),45260.4100462962)</f>
        <v>45260.410046296201</v>
      </c>
      <c r="C292" s="7" t="str">
        <f ca="1">IFERROR(__xludf.UNSUPPORTED("""COMPUTED_VALUE"""),"Aratu")</f>
        <v>Aratu</v>
      </c>
      <c r="D292" s="3" t="str">
        <f ca="1">IFERROR(__xludf.UNSUPPORTED("""COMPUTED_VALUE"""),"🚢 REGULAR")</f>
        <v>🚢 REGULAR</v>
      </c>
      <c r="E292" s="3" t="str">
        <f ca="1">IFERROR(__xludf.UNSUPPORTED("""COMPUTED_VALUE"""),"🚛 LIBERADO")</f>
        <v>🚛 LIBERADO</v>
      </c>
      <c r="F292" s="5">
        <f ca="1">IFERROR(__xludf.UNSUPPORTED("""COMPUTED_VALUE"""),0)</f>
        <v>0</v>
      </c>
      <c r="G292" s="3" t="str">
        <f ca="1">IFERROR(__xludf.UNSUPPORTED("""COMPUTED_VALUE"""),"Normalidade")</f>
        <v>Normalidade</v>
      </c>
      <c r="H292" s="4">
        <f ca="1">IFERROR(__xludf.UNSUPPORTED("""COMPUTED_VALUE"""),45260.4100462962)</f>
        <v>45260.410046296201</v>
      </c>
      <c r="I292" s="3">
        <f ca="1">IFERROR(__xludf.UNSUPPORTED("""COMPUTED_VALUE"""),24)</f>
        <v>24</v>
      </c>
      <c r="J292" s="4">
        <f ca="1">IFERROR(__xludf.UNSUPPORTED("""COMPUTED_VALUE"""),45261.4100462962)</f>
        <v>45261.410046296201</v>
      </c>
      <c r="L292" s="3" t="str">
        <f ca="1">IFERROR(__xludf.UNSUPPORTED("""COMPUTED_VALUE"""),"Normalidade")</f>
        <v>Normalidade</v>
      </c>
    </row>
    <row r="293" spans="1:12" ht="12.75">
      <c r="A293" s="3" t="str">
        <f ca="1">IFERROR(__xludf.UNSUPPORTED("""COMPUTED_VALUE"""),"45e78b5a")</f>
        <v>45e78b5a</v>
      </c>
      <c r="B293" s="4">
        <f ca="1">IFERROR(__xludf.UNSUPPORTED("""COMPUTED_VALUE"""),45261.6149421296)</f>
        <v>45261.6149421296</v>
      </c>
      <c r="C293" s="8" t="str">
        <f ca="1">IFERROR(__xludf.UNSUPPORTED("""COMPUTED_VALUE"""),"Aratu")</f>
        <v>Aratu</v>
      </c>
      <c r="D293" s="3" t="str">
        <f ca="1">IFERROR(__xludf.UNSUPPORTED("""COMPUTED_VALUE"""),"🚢 REGULAR")</f>
        <v>🚢 REGULAR</v>
      </c>
      <c r="E293" s="3" t="str">
        <f ca="1">IFERROR(__xludf.UNSUPPORTED("""COMPUTED_VALUE"""),"🚛 LIBERADO")</f>
        <v>🚛 LIBERADO</v>
      </c>
      <c r="F293" s="5">
        <f ca="1">IFERROR(__xludf.UNSUPPORTED("""COMPUTED_VALUE"""),0)</f>
        <v>0</v>
      </c>
      <c r="G293" s="3" t="str">
        <f ca="1">IFERROR(__xludf.UNSUPPORTED("""COMPUTED_VALUE"""),"Normalidade")</f>
        <v>Normalidade</v>
      </c>
      <c r="H293" s="4">
        <f ca="1">IFERROR(__xludf.UNSUPPORTED("""COMPUTED_VALUE"""),45261.6149421296)</f>
        <v>45261.6149421296</v>
      </c>
      <c r="I293" s="3">
        <f ca="1">IFERROR(__xludf.UNSUPPORTED("""COMPUTED_VALUE"""),24)</f>
        <v>24</v>
      </c>
      <c r="J293" s="4">
        <f ca="1">IFERROR(__xludf.UNSUPPORTED("""COMPUTED_VALUE"""),45262.6149421296)</f>
        <v>45262.6149421296</v>
      </c>
      <c r="L293" s="3" t="str">
        <f ca="1">IFERROR(__xludf.UNSUPPORTED("""COMPUTED_VALUE"""),"Normalidade")</f>
        <v>Normalidade</v>
      </c>
    </row>
    <row r="294" spans="1:12" ht="12.75">
      <c r="A294" s="3" t="str">
        <f ca="1">IFERROR(__xludf.UNSUPPORTED("""COMPUTED_VALUE"""),"5c8483cd")</f>
        <v>5c8483cd</v>
      </c>
      <c r="B294" s="4">
        <f ca="1">IFERROR(__xludf.UNSUPPORTED("""COMPUTED_VALUE"""),45264.5680787037)</f>
        <v>45264.568078703698</v>
      </c>
      <c r="C294" s="8" t="str">
        <f ca="1">IFERROR(__xludf.UNSUPPORTED("""COMPUTED_VALUE"""),"Aratu")</f>
        <v>Aratu</v>
      </c>
      <c r="D294" s="3" t="str">
        <f ca="1">IFERROR(__xludf.UNSUPPORTED("""COMPUTED_VALUE"""),"🚢 REGULAR")</f>
        <v>🚢 REGULAR</v>
      </c>
      <c r="E294" s="3" t="str">
        <f ca="1">IFERROR(__xludf.UNSUPPORTED("""COMPUTED_VALUE"""),"🚛 LIBERADO")</f>
        <v>🚛 LIBERADO</v>
      </c>
      <c r="F294" s="5">
        <f ca="1">IFERROR(__xludf.UNSUPPORTED("""COMPUTED_VALUE"""),0)</f>
        <v>0</v>
      </c>
      <c r="G294" s="3" t="str">
        <f ca="1">IFERROR(__xludf.UNSUPPORTED("""COMPUTED_VALUE"""),"Normalidade")</f>
        <v>Normalidade</v>
      </c>
      <c r="H294" s="4">
        <f ca="1">IFERROR(__xludf.UNSUPPORTED("""COMPUTED_VALUE"""),45264.5680787037)</f>
        <v>45264.568078703698</v>
      </c>
      <c r="I294" s="3">
        <f ca="1">IFERROR(__xludf.UNSUPPORTED("""COMPUTED_VALUE"""),24)</f>
        <v>24</v>
      </c>
      <c r="J294" s="4">
        <f ca="1">IFERROR(__xludf.UNSUPPORTED("""COMPUTED_VALUE"""),45265.5680787037)</f>
        <v>45265.568078703698</v>
      </c>
      <c r="L294" s="3" t="str">
        <f ca="1">IFERROR(__xludf.UNSUPPORTED("""COMPUTED_VALUE"""),"Normalidade")</f>
        <v>Normalidade</v>
      </c>
    </row>
    <row r="295" spans="1:12" ht="12.75">
      <c r="A295" s="3" t="str">
        <f ca="1">IFERROR(__xludf.UNSUPPORTED("""COMPUTED_VALUE"""),"620d0828")</f>
        <v>620d0828</v>
      </c>
      <c r="B295" s="4">
        <f ca="1">IFERROR(__xludf.UNSUPPORTED("""COMPUTED_VALUE"""),45267.2586111111)</f>
        <v>45267.258611111101</v>
      </c>
      <c r="C295" s="7" t="str">
        <f ca="1">IFERROR(__xludf.UNSUPPORTED("""COMPUTED_VALUE"""),"Aratu")</f>
        <v>Aratu</v>
      </c>
      <c r="D295" s="3" t="str">
        <f ca="1">IFERROR(__xludf.UNSUPPORTED("""COMPUTED_VALUE"""),"🚢 REGULAR")</f>
        <v>🚢 REGULAR</v>
      </c>
      <c r="E295" s="3" t="str">
        <f ca="1">IFERROR(__xludf.UNSUPPORTED("""COMPUTED_VALUE"""),"🚛 LIBERADO")</f>
        <v>🚛 LIBERADO</v>
      </c>
      <c r="F295" s="5">
        <f ca="1">IFERROR(__xludf.UNSUPPORTED("""COMPUTED_VALUE"""),0)</f>
        <v>0</v>
      </c>
      <c r="G295" s="3" t="str">
        <f ca="1">IFERROR(__xludf.UNSUPPORTED("""COMPUTED_VALUE"""),"Normalidade")</f>
        <v>Normalidade</v>
      </c>
      <c r="H295" s="4">
        <f ca="1">IFERROR(__xludf.UNSUPPORTED("""COMPUTED_VALUE"""),45267.2586111111)</f>
        <v>45267.258611111101</v>
      </c>
      <c r="I295" s="3">
        <f ca="1">IFERROR(__xludf.UNSUPPORTED("""COMPUTED_VALUE"""),24)</f>
        <v>24</v>
      </c>
      <c r="J295" s="4">
        <f ca="1">IFERROR(__xludf.UNSUPPORTED("""COMPUTED_VALUE"""),45268.2586111111)</f>
        <v>45268.258611111101</v>
      </c>
      <c r="L295" s="3" t="str">
        <f ca="1">IFERROR(__xludf.UNSUPPORTED("""COMPUTED_VALUE"""),"Normalidade")</f>
        <v>Normalidade</v>
      </c>
    </row>
    <row r="296" spans="1:12" ht="12.75">
      <c r="A296" s="3" t="str">
        <f ca="1">IFERROR(__xludf.UNSUPPORTED("""COMPUTED_VALUE"""),"159b294a")</f>
        <v>159b294a</v>
      </c>
      <c r="B296" s="4">
        <f ca="1">IFERROR(__xludf.UNSUPPORTED("""COMPUTED_VALUE"""),45293.2395486111)</f>
        <v>45293.239548611098</v>
      </c>
      <c r="C296" s="8" t="str">
        <f ca="1">IFERROR(__xludf.UNSUPPORTED("""COMPUTED_VALUE"""),"Aratu")</f>
        <v>Aratu</v>
      </c>
      <c r="D296" s="3" t="str">
        <f ca="1">IFERROR(__xludf.UNSUPPORTED("""COMPUTED_VALUE"""),"🚢 REGULAR")</f>
        <v>🚢 REGULAR</v>
      </c>
      <c r="E296" s="3" t="str">
        <f ca="1">IFERROR(__xludf.UNSUPPORTED("""COMPUTED_VALUE"""),"🚛 LIBERADO")</f>
        <v>🚛 LIBERADO</v>
      </c>
      <c r="F296" s="5">
        <f ca="1">IFERROR(__xludf.UNSUPPORTED("""COMPUTED_VALUE"""),0)</f>
        <v>0</v>
      </c>
      <c r="G296" s="3" t="str">
        <f ca="1">IFERROR(__xludf.UNSUPPORTED("""COMPUTED_VALUE"""),"Normalidade")</f>
        <v>Normalidade</v>
      </c>
      <c r="H296" s="4">
        <f ca="1">IFERROR(__xludf.UNSUPPORTED("""COMPUTED_VALUE"""),45293.2395486111)</f>
        <v>45293.239548611098</v>
      </c>
      <c r="I296" s="3">
        <f ca="1">IFERROR(__xludf.UNSUPPORTED("""COMPUTED_VALUE"""),24)</f>
        <v>24</v>
      </c>
      <c r="J296" s="4">
        <f ca="1">IFERROR(__xludf.UNSUPPORTED("""COMPUTED_VALUE"""),45294.2395486111)</f>
        <v>45294.239548611098</v>
      </c>
      <c r="L296" s="3" t="str">
        <f ca="1">IFERROR(__xludf.UNSUPPORTED("""COMPUTED_VALUE"""),"Normalidade")</f>
        <v>Normalidade</v>
      </c>
    </row>
    <row r="297" spans="1:12" ht="12.75">
      <c r="A297" s="3" t="str">
        <f ca="1">IFERROR(__xludf.UNSUPPORTED("""COMPUTED_VALUE"""),"8c7f8d11")</f>
        <v>8c7f8d11</v>
      </c>
      <c r="B297" s="4">
        <f ca="1">IFERROR(__xludf.UNSUPPORTED("""COMPUTED_VALUE"""),45296.7075462962)</f>
        <v>45296.707546296202</v>
      </c>
      <c r="C297" s="7" t="str">
        <f ca="1">IFERROR(__xludf.UNSUPPORTED("""COMPUTED_VALUE"""),"Aratu")</f>
        <v>Aratu</v>
      </c>
      <c r="D297" s="3" t="str">
        <f ca="1">IFERROR(__xludf.UNSUPPORTED("""COMPUTED_VALUE"""),"🚢 REGULAR")</f>
        <v>🚢 REGULAR</v>
      </c>
      <c r="E297" s="3" t="str">
        <f ca="1">IFERROR(__xludf.UNSUPPORTED("""COMPUTED_VALUE"""),"🚛 LIBERADO")</f>
        <v>🚛 LIBERADO</v>
      </c>
      <c r="F297" s="5">
        <f ca="1">IFERROR(__xludf.UNSUPPORTED("""COMPUTED_VALUE"""),0)</f>
        <v>0</v>
      </c>
      <c r="G297" s="3" t="str">
        <f ca="1">IFERROR(__xludf.UNSUPPORTED("""COMPUTED_VALUE"""),"Normalidade")</f>
        <v>Normalidade</v>
      </c>
      <c r="H297" s="4">
        <f ca="1">IFERROR(__xludf.UNSUPPORTED("""COMPUTED_VALUE"""),45296.7075462962)</f>
        <v>45296.707546296202</v>
      </c>
      <c r="I297" s="3">
        <f ca="1">IFERROR(__xludf.UNSUPPORTED("""COMPUTED_VALUE"""),24)</f>
        <v>24</v>
      </c>
      <c r="J297" s="4">
        <f ca="1">IFERROR(__xludf.UNSUPPORTED("""COMPUTED_VALUE"""),45297.7075462962)</f>
        <v>45297.707546296202</v>
      </c>
      <c r="L297" s="3" t="str">
        <f ca="1">IFERROR(__xludf.UNSUPPORTED("""COMPUTED_VALUE"""),"Normalidade")</f>
        <v>Normalidade</v>
      </c>
    </row>
    <row r="298" spans="1:12" ht="12.75">
      <c r="A298" s="3" t="str">
        <f ca="1">IFERROR(__xludf.UNSUPPORTED("""COMPUTED_VALUE"""),"3798f90c")</f>
        <v>3798f90c</v>
      </c>
      <c r="B298" s="4">
        <f ca="1">IFERROR(__xludf.UNSUPPORTED("""COMPUTED_VALUE"""),45302.7977893518)</f>
        <v>45302.797789351796</v>
      </c>
      <c r="C298" s="7" t="str">
        <f ca="1">IFERROR(__xludf.UNSUPPORTED("""COMPUTED_VALUE"""),"Aratu")</f>
        <v>Aratu</v>
      </c>
      <c r="D298" s="3" t="str">
        <f ca="1">IFERROR(__xludf.UNSUPPORTED("""COMPUTED_VALUE"""),"🚢 REGULAR")</f>
        <v>🚢 REGULAR</v>
      </c>
      <c r="E298" s="3" t="str">
        <f ca="1">IFERROR(__xludf.UNSUPPORTED("""COMPUTED_VALUE"""),"🚛 LIBERADO")</f>
        <v>🚛 LIBERADO</v>
      </c>
      <c r="F298" s="5">
        <f ca="1">IFERROR(__xludf.UNSUPPORTED("""COMPUTED_VALUE"""),0)</f>
        <v>0</v>
      </c>
      <c r="G298" s="3" t="str">
        <f ca="1">IFERROR(__xludf.UNSUPPORTED("""COMPUTED_VALUE"""),"Normalidade")</f>
        <v>Normalidade</v>
      </c>
      <c r="H298" s="4">
        <f ca="1">IFERROR(__xludf.UNSUPPORTED("""COMPUTED_VALUE"""),45302.7977893518)</f>
        <v>45302.797789351796</v>
      </c>
      <c r="I298" s="3">
        <f ca="1">IFERROR(__xludf.UNSUPPORTED("""COMPUTED_VALUE"""),24)</f>
        <v>24</v>
      </c>
      <c r="J298" s="4">
        <f ca="1">IFERROR(__xludf.UNSUPPORTED("""COMPUTED_VALUE"""),45303.7977893518)</f>
        <v>45303.797789351796</v>
      </c>
      <c r="L298" s="3" t="str">
        <f ca="1">IFERROR(__xludf.UNSUPPORTED("""COMPUTED_VALUE"""),"Normalidade")</f>
        <v>Normalidade</v>
      </c>
    </row>
    <row r="299" spans="1:12" ht="12.75">
      <c r="A299" s="3" t="str">
        <f ca="1">IFERROR(__xludf.UNSUPPORTED("""COMPUTED_VALUE"""),"0e9d59d4")</f>
        <v>0e9d59d4</v>
      </c>
      <c r="B299" s="4">
        <f ca="1">IFERROR(__xludf.UNSUPPORTED("""COMPUTED_VALUE"""),45313.6764236111)</f>
        <v>45313.676423611098</v>
      </c>
      <c r="C299" s="7" t="str">
        <f ca="1">IFERROR(__xludf.UNSUPPORTED("""COMPUTED_VALUE"""),"Aratu")</f>
        <v>Aratu</v>
      </c>
      <c r="D299" s="3" t="str">
        <f ca="1">IFERROR(__xludf.UNSUPPORTED("""COMPUTED_VALUE"""),"🚢 REGULAR")</f>
        <v>🚢 REGULAR</v>
      </c>
      <c r="E299" s="3" t="str">
        <f ca="1">IFERROR(__xludf.UNSUPPORTED("""COMPUTED_VALUE"""),"🚛 LIBERADO")</f>
        <v>🚛 LIBERADO</v>
      </c>
      <c r="F299" s="5">
        <f ca="1">IFERROR(__xludf.UNSUPPORTED("""COMPUTED_VALUE"""),0)</f>
        <v>0</v>
      </c>
      <c r="G299" s="3" t="str">
        <f ca="1">IFERROR(__xludf.UNSUPPORTED("""COMPUTED_VALUE"""),"Normalidade")</f>
        <v>Normalidade</v>
      </c>
      <c r="H299" s="4">
        <f ca="1">IFERROR(__xludf.UNSUPPORTED("""COMPUTED_VALUE"""),45313.6764236111)</f>
        <v>45313.676423611098</v>
      </c>
      <c r="I299" s="3">
        <f ca="1">IFERROR(__xludf.UNSUPPORTED("""COMPUTED_VALUE"""),24)</f>
        <v>24</v>
      </c>
      <c r="J299" s="4">
        <f ca="1">IFERROR(__xludf.UNSUPPORTED("""COMPUTED_VALUE"""),45314.6764236111)</f>
        <v>45314.676423611098</v>
      </c>
      <c r="L299" s="3" t="str">
        <f ca="1">IFERROR(__xludf.UNSUPPORTED("""COMPUTED_VALUE"""),"Normalidade")</f>
        <v>Normalidade</v>
      </c>
    </row>
    <row r="300" spans="1:12" ht="12.75">
      <c r="A300" s="3" t="str">
        <f ca="1">IFERROR(__xludf.UNSUPPORTED("""COMPUTED_VALUE"""),"79646553")</f>
        <v>79646553</v>
      </c>
      <c r="B300" s="4">
        <f ca="1">IFERROR(__xludf.UNSUPPORTED("""COMPUTED_VALUE"""),45316.6726736111)</f>
        <v>45316.672673611101</v>
      </c>
      <c r="C300" s="7" t="str">
        <f ca="1">IFERROR(__xludf.UNSUPPORTED("""COMPUTED_VALUE"""),"Aratu")</f>
        <v>Aratu</v>
      </c>
      <c r="D300" s="3" t="str">
        <f ca="1">IFERROR(__xludf.UNSUPPORTED("""COMPUTED_VALUE"""),"🚢 REGULAR")</f>
        <v>🚢 REGULAR</v>
      </c>
      <c r="E300" s="3" t="str">
        <f ca="1">IFERROR(__xludf.UNSUPPORTED("""COMPUTED_VALUE"""),"🚛 LIBERADO")</f>
        <v>🚛 LIBERADO</v>
      </c>
      <c r="F300" s="5">
        <f ca="1">IFERROR(__xludf.UNSUPPORTED("""COMPUTED_VALUE"""),0)</f>
        <v>0</v>
      </c>
      <c r="G300" s="3" t="str">
        <f ca="1">IFERROR(__xludf.UNSUPPORTED("""COMPUTED_VALUE"""),"Normalidade")</f>
        <v>Normalidade</v>
      </c>
      <c r="H300" s="4">
        <f ca="1">IFERROR(__xludf.UNSUPPORTED("""COMPUTED_VALUE"""),45316.6726736111)</f>
        <v>45316.672673611101</v>
      </c>
      <c r="I300" s="3">
        <f ca="1">IFERROR(__xludf.UNSUPPORTED("""COMPUTED_VALUE"""),24)</f>
        <v>24</v>
      </c>
      <c r="J300" s="4">
        <f ca="1">IFERROR(__xludf.UNSUPPORTED("""COMPUTED_VALUE"""),45317.6726736111)</f>
        <v>45317.672673611101</v>
      </c>
      <c r="L300" s="3" t="str">
        <f ca="1">IFERROR(__xludf.UNSUPPORTED("""COMPUTED_VALUE"""),"Normalidade")</f>
        <v>Normalidade</v>
      </c>
    </row>
    <row r="301" spans="1:12" ht="12.75">
      <c r="A301" s="3" t="str">
        <f ca="1">IFERROR(__xludf.UNSUPPORTED("""COMPUTED_VALUE"""),"8bf74f92")</f>
        <v>8bf74f92</v>
      </c>
      <c r="B301" s="4">
        <f ca="1">IFERROR(__xludf.UNSUPPORTED("""COMPUTED_VALUE"""),45320.7481481481)</f>
        <v>45320.748148148101</v>
      </c>
      <c r="C301" s="8" t="str">
        <f ca="1">IFERROR(__xludf.UNSUPPORTED("""COMPUTED_VALUE"""),"Aratu")</f>
        <v>Aratu</v>
      </c>
      <c r="D301" s="3" t="str">
        <f ca="1">IFERROR(__xludf.UNSUPPORTED("""COMPUTED_VALUE"""),"🚢 REGULAR")</f>
        <v>🚢 REGULAR</v>
      </c>
      <c r="E301" s="3" t="str">
        <f ca="1">IFERROR(__xludf.UNSUPPORTED("""COMPUTED_VALUE"""),"🚛 LIBERADO")</f>
        <v>🚛 LIBERADO</v>
      </c>
      <c r="F301" s="5">
        <f ca="1">IFERROR(__xludf.UNSUPPORTED("""COMPUTED_VALUE"""),0)</f>
        <v>0</v>
      </c>
      <c r="G301" s="3" t="str">
        <f ca="1">IFERROR(__xludf.UNSUPPORTED("""COMPUTED_VALUE"""),"Normalidade")</f>
        <v>Normalidade</v>
      </c>
      <c r="H301" s="4">
        <f ca="1">IFERROR(__xludf.UNSUPPORTED("""COMPUTED_VALUE"""),45320.7481481481)</f>
        <v>45320.748148148101</v>
      </c>
      <c r="I301" s="3">
        <f ca="1">IFERROR(__xludf.UNSUPPORTED("""COMPUTED_VALUE"""),24)</f>
        <v>24</v>
      </c>
      <c r="J301" s="4">
        <f ca="1">IFERROR(__xludf.UNSUPPORTED("""COMPUTED_VALUE"""),45321.7481481481)</f>
        <v>45321.748148148101</v>
      </c>
      <c r="L301" s="3" t="str">
        <f ca="1">IFERROR(__xludf.UNSUPPORTED("""COMPUTED_VALUE"""),"Normalidade")</f>
        <v>Normalidade</v>
      </c>
    </row>
    <row r="302" spans="1:12" ht="12.75">
      <c r="A302" s="3" t="str">
        <f ca="1">IFERROR(__xludf.UNSUPPORTED("""COMPUTED_VALUE"""),"5e0d1b44")</f>
        <v>5e0d1b44</v>
      </c>
      <c r="B302" s="4">
        <f ca="1">IFERROR(__xludf.UNSUPPORTED("""COMPUTED_VALUE"""),45322.4709606481)</f>
        <v>45322.470960648097</v>
      </c>
      <c r="C302" s="7" t="str">
        <f ca="1">IFERROR(__xludf.UNSUPPORTED("""COMPUTED_VALUE"""),"Aratu")</f>
        <v>Aratu</v>
      </c>
      <c r="D302" s="3" t="str">
        <f ca="1">IFERROR(__xludf.UNSUPPORTED("""COMPUTED_VALUE"""),"🚢 REGULAR")</f>
        <v>🚢 REGULAR</v>
      </c>
      <c r="E302" s="3" t="str">
        <f ca="1">IFERROR(__xludf.UNSUPPORTED("""COMPUTED_VALUE"""),"🚛 LIBERADO")</f>
        <v>🚛 LIBERADO</v>
      </c>
      <c r="F302" s="5">
        <f ca="1">IFERROR(__xludf.UNSUPPORTED("""COMPUTED_VALUE"""),0)</f>
        <v>0</v>
      </c>
      <c r="G302" s="3" t="str">
        <f ca="1">IFERROR(__xludf.UNSUPPORTED("""COMPUTED_VALUE"""),"Normalidade")</f>
        <v>Normalidade</v>
      </c>
      <c r="H302" s="4">
        <f ca="1">IFERROR(__xludf.UNSUPPORTED("""COMPUTED_VALUE"""),45322.4709606481)</f>
        <v>45322.470960648097</v>
      </c>
      <c r="I302" s="3">
        <f ca="1">IFERROR(__xludf.UNSUPPORTED("""COMPUTED_VALUE"""),24)</f>
        <v>24</v>
      </c>
      <c r="J302" s="4">
        <f ca="1">IFERROR(__xludf.UNSUPPORTED("""COMPUTED_VALUE"""),45323.4709606481)</f>
        <v>45323.470960648097</v>
      </c>
      <c r="L302" s="3" t="str">
        <f ca="1">IFERROR(__xludf.UNSUPPORTED("""COMPUTED_VALUE"""),"Normalidade")</f>
        <v>Normalidade</v>
      </c>
    </row>
    <row r="303" spans="1:12" ht="12.75">
      <c r="A303" s="3" t="str">
        <f ca="1">IFERROR(__xludf.UNSUPPORTED("""COMPUTED_VALUE"""),"52097de9")</f>
        <v>52097de9</v>
      </c>
      <c r="B303" s="4">
        <f ca="1">IFERROR(__xludf.UNSUPPORTED("""COMPUTED_VALUE"""),45323.7137268518)</f>
        <v>45323.713726851798</v>
      </c>
      <c r="C303" s="7" t="str">
        <f ca="1">IFERROR(__xludf.UNSUPPORTED("""COMPUTED_VALUE"""),"Aratu")</f>
        <v>Aratu</v>
      </c>
      <c r="D303" s="3" t="str">
        <f ca="1">IFERROR(__xludf.UNSUPPORTED("""COMPUTED_VALUE"""),"🚢 REGULAR")</f>
        <v>🚢 REGULAR</v>
      </c>
      <c r="E303" s="3" t="str">
        <f ca="1">IFERROR(__xludf.UNSUPPORTED("""COMPUTED_VALUE"""),"🚛 LIBERADO")</f>
        <v>🚛 LIBERADO</v>
      </c>
      <c r="F303" s="5">
        <f ca="1">IFERROR(__xludf.UNSUPPORTED("""COMPUTED_VALUE"""),0)</f>
        <v>0</v>
      </c>
      <c r="G303" s="3" t="str">
        <f ca="1">IFERROR(__xludf.UNSUPPORTED("""COMPUTED_VALUE"""),"Normalidade")</f>
        <v>Normalidade</v>
      </c>
      <c r="H303" s="4">
        <f ca="1">IFERROR(__xludf.UNSUPPORTED("""COMPUTED_VALUE"""),45323.7137268518)</f>
        <v>45323.713726851798</v>
      </c>
      <c r="I303" s="3">
        <f ca="1">IFERROR(__xludf.UNSUPPORTED("""COMPUTED_VALUE"""),24)</f>
        <v>24</v>
      </c>
      <c r="J303" s="4">
        <f ca="1">IFERROR(__xludf.UNSUPPORTED("""COMPUTED_VALUE"""),45324.7137268518)</f>
        <v>45324.713726851798</v>
      </c>
      <c r="L303" s="3" t="str">
        <f ca="1">IFERROR(__xludf.UNSUPPORTED("""COMPUTED_VALUE"""),"Normalidade")</f>
        <v>Normalidade</v>
      </c>
    </row>
    <row r="304" spans="1:12" ht="12.75">
      <c r="A304" s="3" t="str">
        <f ca="1">IFERROR(__xludf.UNSUPPORTED("""COMPUTED_VALUE"""),"0357dcc0")</f>
        <v>0357dcc0</v>
      </c>
      <c r="B304" s="4">
        <f ca="1">IFERROR(__xludf.UNSUPPORTED("""COMPUTED_VALUE"""),45328.4755092592)</f>
        <v>45328.475509259202</v>
      </c>
      <c r="C304" s="7" t="str">
        <f ca="1">IFERROR(__xludf.UNSUPPORTED("""COMPUTED_VALUE"""),"Aratu")</f>
        <v>Aratu</v>
      </c>
      <c r="D304" s="3" t="str">
        <f ca="1">IFERROR(__xludf.UNSUPPORTED("""COMPUTED_VALUE"""),"🚢 REGULAR")</f>
        <v>🚢 REGULAR</v>
      </c>
      <c r="E304" s="3" t="str">
        <f ca="1">IFERROR(__xludf.UNSUPPORTED("""COMPUTED_VALUE"""),"🚛 LIBERADO")</f>
        <v>🚛 LIBERADO</v>
      </c>
      <c r="F304" s="5">
        <f ca="1">IFERROR(__xludf.UNSUPPORTED("""COMPUTED_VALUE"""),0)</f>
        <v>0</v>
      </c>
      <c r="G304" s="3" t="str">
        <f ca="1">IFERROR(__xludf.UNSUPPORTED("""COMPUTED_VALUE"""),"Normalidade")</f>
        <v>Normalidade</v>
      </c>
      <c r="H304" s="4">
        <f ca="1">IFERROR(__xludf.UNSUPPORTED("""COMPUTED_VALUE"""),45328.4755092592)</f>
        <v>45328.475509259202</v>
      </c>
      <c r="I304" s="3">
        <f ca="1">IFERROR(__xludf.UNSUPPORTED("""COMPUTED_VALUE"""),24)</f>
        <v>24</v>
      </c>
      <c r="J304" s="4">
        <f ca="1">IFERROR(__xludf.UNSUPPORTED("""COMPUTED_VALUE"""),45329.4755092592)</f>
        <v>45329.475509259202</v>
      </c>
      <c r="L304" s="3" t="str">
        <f ca="1">IFERROR(__xludf.UNSUPPORTED("""COMPUTED_VALUE"""),"Normalidade")</f>
        <v>Normalidade</v>
      </c>
    </row>
    <row r="305" spans="1:12" ht="12.75">
      <c r="A305" s="3" t="str">
        <f ca="1">IFERROR(__xludf.UNSUPPORTED("""COMPUTED_VALUE"""),"3599bf9d")</f>
        <v>3599bf9d</v>
      </c>
      <c r="B305" s="4">
        <f ca="1">IFERROR(__xludf.UNSUPPORTED("""COMPUTED_VALUE"""),45329.3096180555)</f>
        <v>45329.3096180555</v>
      </c>
      <c r="C305" s="7" t="str">
        <f ca="1">IFERROR(__xludf.UNSUPPORTED("""COMPUTED_VALUE"""),"Aratu")</f>
        <v>Aratu</v>
      </c>
      <c r="D305" s="3" t="str">
        <f ca="1">IFERROR(__xludf.UNSUPPORTED("""COMPUTED_VALUE"""),"🚢 REGULAR")</f>
        <v>🚢 REGULAR</v>
      </c>
      <c r="E305" s="3" t="str">
        <f ca="1">IFERROR(__xludf.UNSUPPORTED("""COMPUTED_VALUE"""),"🚛 LIBERADO")</f>
        <v>🚛 LIBERADO</v>
      </c>
      <c r="F305" s="5">
        <f ca="1">IFERROR(__xludf.UNSUPPORTED("""COMPUTED_VALUE"""),0)</f>
        <v>0</v>
      </c>
      <c r="G305" s="3" t="str">
        <f ca="1">IFERROR(__xludf.UNSUPPORTED("""COMPUTED_VALUE"""),"Normalidade")</f>
        <v>Normalidade</v>
      </c>
      <c r="H305" s="4">
        <f ca="1">IFERROR(__xludf.UNSUPPORTED("""COMPUTED_VALUE"""),45329.3096180555)</f>
        <v>45329.3096180555</v>
      </c>
      <c r="I305" s="3">
        <f ca="1">IFERROR(__xludf.UNSUPPORTED("""COMPUTED_VALUE"""),24)</f>
        <v>24</v>
      </c>
      <c r="J305" s="4">
        <f ca="1">IFERROR(__xludf.UNSUPPORTED("""COMPUTED_VALUE"""),45330.3096180555)</f>
        <v>45330.3096180555</v>
      </c>
      <c r="L305" s="3" t="str">
        <f ca="1">IFERROR(__xludf.UNSUPPORTED("""COMPUTED_VALUE"""),"Normalidade")</f>
        <v>Normalidade</v>
      </c>
    </row>
    <row r="306" spans="1:12" ht="12.75">
      <c r="A306" s="3" t="str">
        <f ca="1">IFERROR(__xludf.UNSUPPORTED("""COMPUTED_VALUE"""),"0ff99de1")</f>
        <v>0ff99de1</v>
      </c>
      <c r="B306" s="4">
        <f ca="1">IFERROR(__xludf.UNSUPPORTED("""COMPUTED_VALUE"""),45330.4751851851)</f>
        <v>45330.475185185103</v>
      </c>
      <c r="C306" s="8" t="str">
        <f ca="1">IFERROR(__xludf.UNSUPPORTED("""COMPUTED_VALUE"""),"Aratu")</f>
        <v>Aratu</v>
      </c>
      <c r="D306" s="3" t="str">
        <f ca="1">IFERROR(__xludf.UNSUPPORTED("""COMPUTED_VALUE"""),"🚢 REGULAR")</f>
        <v>🚢 REGULAR</v>
      </c>
      <c r="E306" s="3" t="str">
        <f ca="1">IFERROR(__xludf.UNSUPPORTED("""COMPUTED_VALUE"""),"🚛 LIBERADO")</f>
        <v>🚛 LIBERADO</v>
      </c>
      <c r="F306" s="5">
        <f ca="1">IFERROR(__xludf.UNSUPPORTED("""COMPUTED_VALUE"""),0)</f>
        <v>0</v>
      </c>
      <c r="G306" s="3" t="str">
        <f ca="1">IFERROR(__xludf.UNSUPPORTED("""COMPUTED_VALUE"""),"Normalidade")</f>
        <v>Normalidade</v>
      </c>
      <c r="H306" s="4">
        <f ca="1">IFERROR(__xludf.UNSUPPORTED("""COMPUTED_VALUE"""),45330.4751851851)</f>
        <v>45330.475185185103</v>
      </c>
      <c r="I306" s="3">
        <f ca="1">IFERROR(__xludf.UNSUPPORTED("""COMPUTED_VALUE"""),24)</f>
        <v>24</v>
      </c>
      <c r="J306" s="4">
        <f ca="1">IFERROR(__xludf.UNSUPPORTED("""COMPUTED_VALUE"""),45331.4751851851)</f>
        <v>45331.475185185103</v>
      </c>
      <c r="L306" s="3" t="str">
        <f ca="1">IFERROR(__xludf.UNSUPPORTED("""COMPUTED_VALUE"""),"Normalidade")</f>
        <v>Normalidade</v>
      </c>
    </row>
    <row r="307" spans="1:12" ht="12.75">
      <c r="A307" s="3" t="str">
        <f ca="1">IFERROR(__xludf.UNSUPPORTED("""COMPUTED_VALUE"""),"d4adc5cb")</f>
        <v>d4adc5cb</v>
      </c>
      <c r="B307" s="4">
        <f ca="1">IFERROR(__xludf.UNSUPPORTED("""COMPUTED_VALUE"""),45338.5314467592)</f>
        <v>45338.531446759203</v>
      </c>
      <c r="C307" s="7" t="str">
        <f ca="1">IFERROR(__xludf.UNSUPPORTED("""COMPUTED_VALUE"""),"Aratu")</f>
        <v>Aratu</v>
      </c>
      <c r="D307" s="3" t="str">
        <f ca="1">IFERROR(__xludf.UNSUPPORTED("""COMPUTED_VALUE"""),"🚢 REGULAR")</f>
        <v>🚢 REGULAR</v>
      </c>
      <c r="E307" s="3" t="str">
        <f ca="1">IFERROR(__xludf.UNSUPPORTED("""COMPUTED_VALUE"""),"🚛 LIBERADO")</f>
        <v>🚛 LIBERADO</v>
      </c>
      <c r="F307" s="5">
        <f ca="1">IFERROR(__xludf.UNSUPPORTED("""COMPUTED_VALUE"""),0)</f>
        <v>0</v>
      </c>
      <c r="G307" s="3" t="str">
        <f ca="1">IFERROR(__xludf.UNSUPPORTED("""COMPUTED_VALUE"""),"Normalidade")</f>
        <v>Normalidade</v>
      </c>
      <c r="H307" s="4">
        <f ca="1">IFERROR(__xludf.UNSUPPORTED("""COMPUTED_VALUE"""),45338.5314467592)</f>
        <v>45338.531446759203</v>
      </c>
      <c r="I307" s="3">
        <f ca="1">IFERROR(__xludf.UNSUPPORTED("""COMPUTED_VALUE"""),24)</f>
        <v>24</v>
      </c>
      <c r="J307" s="4">
        <f ca="1">IFERROR(__xludf.UNSUPPORTED("""COMPUTED_VALUE"""),45339.5314467592)</f>
        <v>45339.531446759203</v>
      </c>
      <c r="L307" s="3" t="str">
        <f ca="1">IFERROR(__xludf.UNSUPPORTED("""COMPUTED_VALUE"""),"Normalidade")</f>
        <v>Normalidade</v>
      </c>
    </row>
    <row r="308" spans="1:12" ht="12.75">
      <c r="A308" s="3" t="str">
        <f ca="1">IFERROR(__xludf.UNSUPPORTED("""COMPUTED_VALUE"""),"8f95a4ca")</f>
        <v>8f95a4ca</v>
      </c>
      <c r="B308" s="4">
        <f ca="1">IFERROR(__xludf.UNSUPPORTED("""COMPUTED_VALUE"""),45341.3149421296)</f>
        <v>45341.314942129597</v>
      </c>
      <c r="C308" s="7" t="str">
        <f ca="1">IFERROR(__xludf.UNSUPPORTED("""COMPUTED_VALUE"""),"Aratu")</f>
        <v>Aratu</v>
      </c>
      <c r="D308" s="3" t="str">
        <f ca="1">IFERROR(__xludf.UNSUPPORTED("""COMPUTED_VALUE"""),"🚢 REGULAR")</f>
        <v>🚢 REGULAR</v>
      </c>
      <c r="E308" s="3" t="str">
        <f ca="1">IFERROR(__xludf.UNSUPPORTED("""COMPUTED_VALUE"""),"🚛 LIBERADO")</f>
        <v>🚛 LIBERADO</v>
      </c>
      <c r="F308" s="5">
        <f ca="1">IFERROR(__xludf.UNSUPPORTED("""COMPUTED_VALUE"""),0)</f>
        <v>0</v>
      </c>
      <c r="G308" s="3" t="str">
        <f ca="1">IFERROR(__xludf.UNSUPPORTED("""COMPUTED_VALUE"""),"Normalidade")</f>
        <v>Normalidade</v>
      </c>
      <c r="H308" s="4">
        <f ca="1">IFERROR(__xludf.UNSUPPORTED("""COMPUTED_VALUE"""),45341.3149421296)</f>
        <v>45341.314942129597</v>
      </c>
      <c r="I308" s="3">
        <f ca="1">IFERROR(__xludf.UNSUPPORTED("""COMPUTED_VALUE"""),24)</f>
        <v>24</v>
      </c>
      <c r="J308" s="4">
        <f ca="1">IFERROR(__xludf.UNSUPPORTED("""COMPUTED_VALUE"""),45342.3149421296)</f>
        <v>45342.314942129597</v>
      </c>
      <c r="L308" s="3" t="str">
        <f ca="1">IFERROR(__xludf.UNSUPPORTED("""COMPUTED_VALUE"""),"Normalidade")</f>
        <v>Normalidade</v>
      </c>
    </row>
    <row r="309" spans="1:12" ht="12.75">
      <c r="A309" s="3" t="str">
        <f ca="1">IFERROR(__xludf.UNSUPPORTED("""COMPUTED_VALUE"""),"2a314de7")</f>
        <v>2a314de7</v>
      </c>
      <c r="B309" s="4">
        <f ca="1">IFERROR(__xludf.UNSUPPORTED("""COMPUTED_VALUE"""),45355.8195254629)</f>
        <v>45355.819525462903</v>
      </c>
      <c r="C309" s="8" t="str">
        <f ca="1">IFERROR(__xludf.UNSUPPORTED("""COMPUTED_VALUE"""),"Aratu")</f>
        <v>Aratu</v>
      </c>
      <c r="D309" s="3" t="str">
        <f ca="1">IFERROR(__xludf.UNSUPPORTED("""COMPUTED_VALUE"""),"🚢 REGULAR")</f>
        <v>🚢 REGULAR</v>
      </c>
      <c r="E309" s="3" t="str">
        <f ca="1">IFERROR(__xludf.UNSUPPORTED("""COMPUTED_VALUE"""),"🚛 LIBERADO")</f>
        <v>🚛 LIBERADO</v>
      </c>
      <c r="F309" s="5">
        <f ca="1">IFERROR(__xludf.UNSUPPORTED("""COMPUTED_VALUE"""),0)</f>
        <v>0</v>
      </c>
      <c r="G309" s="3" t="str">
        <f ca="1">IFERROR(__xludf.UNSUPPORTED("""COMPUTED_VALUE"""),"Normalidade")</f>
        <v>Normalidade</v>
      </c>
      <c r="H309" s="4">
        <f ca="1">IFERROR(__xludf.UNSUPPORTED("""COMPUTED_VALUE"""),45355.8195254629)</f>
        <v>45355.819525462903</v>
      </c>
      <c r="I309" s="3">
        <f ca="1">IFERROR(__xludf.UNSUPPORTED("""COMPUTED_VALUE"""),24)</f>
        <v>24</v>
      </c>
      <c r="J309" s="4">
        <f ca="1">IFERROR(__xludf.UNSUPPORTED("""COMPUTED_VALUE"""),45356.8195254629)</f>
        <v>45356.819525462903</v>
      </c>
      <c r="L309" s="3" t="str">
        <f ca="1">IFERROR(__xludf.UNSUPPORTED("""COMPUTED_VALUE"""),"Normalidade")</f>
        <v>Normalidade</v>
      </c>
    </row>
    <row r="310" spans="1:12" ht="12.75">
      <c r="A310" s="3" t="str">
        <f ca="1">IFERROR(__xludf.UNSUPPORTED("""COMPUTED_VALUE"""),"33973d4f")</f>
        <v>33973d4f</v>
      </c>
      <c r="B310" s="4">
        <f ca="1">IFERROR(__xludf.UNSUPPORTED("""COMPUTED_VALUE"""),45359.6499305555)</f>
        <v>45359.649930555497</v>
      </c>
      <c r="C310" s="7" t="str">
        <f ca="1">IFERROR(__xludf.UNSUPPORTED("""COMPUTED_VALUE"""),"Aratu")</f>
        <v>Aratu</v>
      </c>
      <c r="D310" s="3" t="str">
        <f ca="1">IFERROR(__xludf.UNSUPPORTED("""COMPUTED_VALUE"""),"🚢 REGULAR")</f>
        <v>🚢 REGULAR</v>
      </c>
      <c r="E310" s="3" t="str">
        <f ca="1">IFERROR(__xludf.UNSUPPORTED("""COMPUTED_VALUE"""),"🚛 LIBERADO")</f>
        <v>🚛 LIBERADO</v>
      </c>
      <c r="F310" s="5">
        <f ca="1">IFERROR(__xludf.UNSUPPORTED("""COMPUTED_VALUE"""),0)</f>
        <v>0</v>
      </c>
      <c r="G310" s="3" t="str">
        <f ca="1">IFERROR(__xludf.UNSUPPORTED("""COMPUTED_VALUE"""),"Normalidade")</f>
        <v>Normalidade</v>
      </c>
      <c r="H310" s="4">
        <f ca="1">IFERROR(__xludf.UNSUPPORTED("""COMPUTED_VALUE"""),45359.6499305555)</f>
        <v>45359.649930555497</v>
      </c>
      <c r="I310" s="3">
        <f ca="1">IFERROR(__xludf.UNSUPPORTED("""COMPUTED_VALUE"""),24)</f>
        <v>24</v>
      </c>
      <c r="J310" s="4">
        <f ca="1">IFERROR(__xludf.UNSUPPORTED("""COMPUTED_VALUE"""),45360.6499305555)</f>
        <v>45360.649930555497</v>
      </c>
      <c r="L310" s="3" t="str">
        <f ca="1">IFERROR(__xludf.UNSUPPORTED("""COMPUTED_VALUE"""),"Normalidade")</f>
        <v>Normalidade</v>
      </c>
    </row>
    <row r="311" spans="1:12" ht="12.75">
      <c r="A311" s="3" t="str">
        <f ca="1">IFERROR(__xludf.UNSUPPORTED("""COMPUTED_VALUE"""),"de249ca0")</f>
        <v>de249ca0</v>
      </c>
      <c r="B311" s="4">
        <f ca="1">IFERROR(__xludf.UNSUPPORTED("""COMPUTED_VALUE"""),45363.5746180555)</f>
        <v>45363.5746180555</v>
      </c>
      <c r="C311" s="8" t="str">
        <f ca="1">IFERROR(__xludf.UNSUPPORTED("""COMPUTED_VALUE"""),"Aratu")</f>
        <v>Aratu</v>
      </c>
      <c r="D311" s="3" t="str">
        <f ca="1">IFERROR(__xludf.UNSUPPORTED("""COMPUTED_VALUE"""),"🚢 REGULAR")</f>
        <v>🚢 REGULAR</v>
      </c>
      <c r="E311" s="3" t="str">
        <f ca="1">IFERROR(__xludf.UNSUPPORTED("""COMPUTED_VALUE"""),"🚛 LIBERADO")</f>
        <v>🚛 LIBERADO</v>
      </c>
      <c r="F311" s="5">
        <f ca="1">IFERROR(__xludf.UNSUPPORTED("""COMPUTED_VALUE"""),0)</f>
        <v>0</v>
      </c>
      <c r="G311" s="3" t="str">
        <f ca="1">IFERROR(__xludf.UNSUPPORTED("""COMPUTED_VALUE"""),"Normalidade")</f>
        <v>Normalidade</v>
      </c>
      <c r="H311" s="4">
        <f ca="1">IFERROR(__xludf.UNSUPPORTED("""COMPUTED_VALUE"""),45363.5746180555)</f>
        <v>45363.5746180555</v>
      </c>
      <c r="I311" s="3">
        <f ca="1">IFERROR(__xludf.UNSUPPORTED("""COMPUTED_VALUE"""),24)</f>
        <v>24</v>
      </c>
      <c r="J311" s="4">
        <f ca="1">IFERROR(__xludf.UNSUPPORTED("""COMPUTED_VALUE"""),45364.5746180555)</f>
        <v>45364.5746180555</v>
      </c>
      <c r="L311" s="3" t="str">
        <f ca="1">IFERROR(__xludf.UNSUPPORTED("""COMPUTED_VALUE"""),"Normalidade")</f>
        <v>Normalidade</v>
      </c>
    </row>
    <row r="312" spans="1:12" ht="12.75">
      <c r="A312" s="3" t="str">
        <f ca="1">IFERROR(__xludf.UNSUPPORTED("""COMPUTED_VALUE"""),"4ebc09d7")</f>
        <v>4ebc09d7</v>
      </c>
      <c r="B312" s="4">
        <f ca="1">IFERROR(__xludf.UNSUPPORTED("""COMPUTED_VALUE"""),45365.3953125)</f>
        <v>45365.395312499997</v>
      </c>
      <c r="C312" s="7" t="str">
        <f ca="1">IFERROR(__xludf.UNSUPPORTED("""COMPUTED_VALUE"""),"Aratu")</f>
        <v>Aratu</v>
      </c>
      <c r="D312" s="3" t="str">
        <f ca="1">IFERROR(__xludf.UNSUPPORTED("""COMPUTED_VALUE"""),"🚢 REGULAR")</f>
        <v>🚢 REGULAR</v>
      </c>
      <c r="E312" s="3" t="str">
        <f ca="1">IFERROR(__xludf.UNSUPPORTED("""COMPUTED_VALUE"""),"🚛 LIBERADO")</f>
        <v>🚛 LIBERADO</v>
      </c>
      <c r="F312" s="5">
        <f ca="1">IFERROR(__xludf.UNSUPPORTED("""COMPUTED_VALUE"""),0)</f>
        <v>0</v>
      </c>
      <c r="G312" s="3" t="str">
        <f ca="1">IFERROR(__xludf.UNSUPPORTED("""COMPUTED_VALUE"""),"Normalidade")</f>
        <v>Normalidade</v>
      </c>
      <c r="H312" s="4">
        <f ca="1">IFERROR(__xludf.UNSUPPORTED("""COMPUTED_VALUE"""),45365.3953125)</f>
        <v>45365.395312499997</v>
      </c>
      <c r="I312" s="3">
        <f ca="1">IFERROR(__xludf.UNSUPPORTED("""COMPUTED_VALUE"""),24)</f>
        <v>24</v>
      </c>
      <c r="J312" s="4">
        <f ca="1">IFERROR(__xludf.UNSUPPORTED("""COMPUTED_VALUE"""),45366.3953125)</f>
        <v>45366.395312499997</v>
      </c>
      <c r="L312" s="3" t="str">
        <f ca="1">IFERROR(__xludf.UNSUPPORTED("""COMPUTED_VALUE"""),"Normalidade")</f>
        <v>Normalidade</v>
      </c>
    </row>
    <row r="313" spans="1:12" ht="12.75">
      <c r="A313" s="3" t="str">
        <f ca="1">IFERROR(__xludf.UNSUPPORTED("""COMPUTED_VALUE"""),"701abf50")</f>
        <v>701abf50</v>
      </c>
      <c r="B313" s="4">
        <f ca="1">IFERROR(__xludf.UNSUPPORTED("""COMPUTED_VALUE"""),45371.5320601851)</f>
        <v>45371.532060185098</v>
      </c>
      <c r="C313" s="7" t="str">
        <f ca="1">IFERROR(__xludf.UNSUPPORTED("""COMPUTED_VALUE"""),"Aratu")</f>
        <v>Aratu</v>
      </c>
      <c r="D313" s="3" t="str">
        <f ca="1">IFERROR(__xludf.UNSUPPORTED("""COMPUTED_VALUE"""),"🚢 REGULAR")</f>
        <v>🚢 REGULAR</v>
      </c>
      <c r="E313" s="3" t="str">
        <f ca="1">IFERROR(__xludf.UNSUPPORTED("""COMPUTED_VALUE"""),"🚛 LIBERADO")</f>
        <v>🚛 LIBERADO</v>
      </c>
      <c r="F313" s="5">
        <f ca="1">IFERROR(__xludf.UNSUPPORTED("""COMPUTED_VALUE"""),0)</f>
        <v>0</v>
      </c>
      <c r="G313" s="3" t="str">
        <f ca="1">IFERROR(__xludf.UNSUPPORTED("""COMPUTED_VALUE"""),"Normalidade")</f>
        <v>Normalidade</v>
      </c>
      <c r="H313" s="4">
        <f ca="1">IFERROR(__xludf.UNSUPPORTED("""COMPUTED_VALUE"""),45371.5320601851)</f>
        <v>45371.532060185098</v>
      </c>
      <c r="I313" s="3">
        <f ca="1">IFERROR(__xludf.UNSUPPORTED("""COMPUTED_VALUE"""),24)</f>
        <v>24</v>
      </c>
      <c r="J313" s="4">
        <f ca="1">IFERROR(__xludf.UNSUPPORTED("""COMPUTED_VALUE"""),45372.5320601851)</f>
        <v>45372.532060185098</v>
      </c>
      <c r="L313" s="3" t="str">
        <f ca="1">IFERROR(__xludf.UNSUPPORTED("""COMPUTED_VALUE"""),"Normalidade")</f>
        <v>Normalidade</v>
      </c>
    </row>
    <row r="314" spans="1:12" ht="12.75">
      <c r="A314" s="3" t="str">
        <f ca="1">IFERROR(__xludf.UNSUPPORTED("""COMPUTED_VALUE"""),"13b9ac0d")</f>
        <v>13b9ac0d</v>
      </c>
      <c r="B314" s="4">
        <f ca="1">IFERROR(__xludf.UNSUPPORTED("""COMPUTED_VALUE"""),45372.7507523148)</f>
        <v>45372.750752314802</v>
      </c>
      <c r="C314" s="7" t="str">
        <f ca="1">IFERROR(__xludf.UNSUPPORTED("""COMPUTED_VALUE"""),"Aratu")</f>
        <v>Aratu</v>
      </c>
      <c r="D314" s="3" t="str">
        <f ca="1">IFERROR(__xludf.UNSUPPORTED("""COMPUTED_VALUE"""),"🚢 REGULAR")</f>
        <v>🚢 REGULAR</v>
      </c>
      <c r="E314" s="3" t="str">
        <f ca="1">IFERROR(__xludf.UNSUPPORTED("""COMPUTED_VALUE"""),"🚛 LIBERADO")</f>
        <v>🚛 LIBERADO</v>
      </c>
      <c r="F314" s="5">
        <f ca="1">IFERROR(__xludf.UNSUPPORTED("""COMPUTED_VALUE"""),0)</f>
        <v>0</v>
      </c>
      <c r="G314" s="3" t="str">
        <f ca="1">IFERROR(__xludf.UNSUPPORTED("""COMPUTED_VALUE"""),"Normalidade")</f>
        <v>Normalidade</v>
      </c>
      <c r="H314" s="4">
        <f ca="1">IFERROR(__xludf.UNSUPPORTED("""COMPUTED_VALUE"""),45372.7507523148)</f>
        <v>45372.750752314802</v>
      </c>
      <c r="I314" s="3">
        <f ca="1">IFERROR(__xludf.UNSUPPORTED("""COMPUTED_VALUE"""),24)</f>
        <v>24</v>
      </c>
      <c r="J314" s="4">
        <f ca="1">IFERROR(__xludf.UNSUPPORTED("""COMPUTED_VALUE"""),45373.7507523148)</f>
        <v>45373.750752314802</v>
      </c>
      <c r="L314" s="3" t="str">
        <f ca="1">IFERROR(__xludf.UNSUPPORTED("""COMPUTED_VALUE"""),"Normalidade")</f>
        <v>Normalidade</v>
      </c>
    </row>
    <row r="315" spans="1:12" ht="12.75">
      <c r="A315" s="3" t="str">
        <f ca="1">IFERROR(__xludf.UNSUPPORTED("""COMPUTED_VALUE"""),"61384579")</f>
        <v>61384579</v>
      </c>
      <c r="B315" s="4">
        <f ca="1">IFERROR(__xludf.UNSUPPORTED("""COMPUTED_VALUE"""),45376.5035069444)</f>
        <v>45376.503506944398</v>
      </c>
      <c r="C315" s="7" t="str">
        <f ca="1">IFERROR(__xludf.UNSUPPORTED("""COMPUTED_VALUE"""),"Aratu")</f>
        <v>Aratu</v>
      </c>
      <c r="D315" s="3" t="str">
        <f ca="1">IFERROR(__xludf.UNSUPPORTED("""COMPUTED_VALUE"""),"🚢 REGULAR")</f>
        <v>🚢 REGULAR</v>
      </c>
      <c r="E315" s="3" t="str">
        <f ca="1">IFERROR(__xludf.UNSUPPORTED("""COMPUTED_VALUE"""),"🚛 LIBERADO")</f>
        <v>🚛 LIBERADO</v>
      </c>
      <c r="F315" s="5">
        <f ca="1">IFERROR(__xludf.UNSUPPORTED("""COMPUTED_VALUE"""),0)</f>
        <v>0</v>
      </c>
      <c r="G315" s="3" t="str">
        <f ca="1">IFERROR(__xludf.UNSUPPORTED("""COMPUTED_VALUE"""),"Normalidade")</f>
        <v>Normalidade</v>
      </c>
      <c r="H315" s="4">
        <f ca="1">IFERROR(__xludf.UNSUPPORTED("""COMPUTED_VALUE"""),45376.5035069444)</f>
        <v>45376.503506944398</v>
      </c>
      <c r="I315" s="3">
        <f ca="1">IFERROR(__xludf.UNSUPPORTED("""COMPUTED_VALUE"""),24)</f>
        <v>24</v>
      </c>
      <c r="J315" s="4">
        <f ca="1">IFERROR(__xludf.UNSUPPORTED("""COMPUTED_VALUE"""),45377.5035069444)</f>
        <v>45377.503506944398</v>
      </c>
      <c r="L315" s="3" t="str">
        <f ca="1">IFERROR(__xludf.UNSUPPORTED("""COMPUTED_VALUE"""),"Normalidade")</f>
        <v>Normalidade</v>
      </c>
    </row>
    <row r="316" spans="1:12" ht="12.75">
      <c r="A316" s="3" t="str">
        <f ca="1">IFERROR(__xludf.UNSUPPORTED("""COMPUTED_VALUE"""),"bb94c876")</f>
        <v>bb94c876</v>
      </c>
      <c r="B316" s="4">
        <f ca="1">IFERROR(__xludf.UNSUPPORTED("""COMPUTED_VALUE"""),45378.5034259259)</f>
        <v>45378.503425925897</v>
      </c>
      <c r="C316" s="7" t="str">
        <f ca="1">IFERROR(__xludf.UNSUPPORTED("""COMPUTED_VALUE"""),"Aratu")</f>
        <v>Aratu</v>
      </c>
      <c r="D316" s="3" t="str">
        <f ca="1">IFERROR(__xludf.UNSUPPORTED("""COMPUTED_VALUE"""),"🚢 REGULAR")</f>
        <v>🚢 REGULAR</v>
      </c>
      <c r="E316" s="3" t="str">
        <f ca="1">IFERROR(__xludf.UNSUPPORTED("""COMPUTED_VALUE"""),"🚛 LIBERADO")</f>
        <v>🚛 LIBERADO</v>
      </c>
      <c r="F316" s="5">
        <f ca="1">IFERROR(__xludf.UNSUPPORTED("""COMPUTED_VALUE"""),0)</f>
        <v>0</v>
      </c>
      <c r="G316" s="3" t="str">
        <f ca="1">IFERROR(__xludf.UNSUPPORTED("""COMPUTED_VALUE"""),"Normalidade")</f>
        <v>Normalidade</v>
      </c>
      <c r="H316" s="4">
        <f ca="1">IFERROR(__xludf.UNSUPPORTED("""COMPUTED_VALUE"""),45378.5034259259)</f>
        <v>45378.503425925897</v>
      </c>
      <c r="I316" s="3">
        <f ca="1">IFERROR(__xludf.UNSUPPORTED("""COMPUTED_VALUE"""),24)</f>
        <v>24</v>
      </c>
      <c r="J316" s="4">
        <f ca="1">IFERROR(__xludf.UNSUPPORTED("""COMPUTED_VALUE"""),45379.5034259259)</f>
        <v>45379.503425925897</v>
      </c>
      <c r="L316" s="3" t="str">
        <f ca="1">IFERROR(__xludf.UNSUPPORTED("""COMPUTED_VALUE"""),"Normalidade")</f>
        <v>Normalidade</v>
      </c>
    </row>
    <row r="317" spans="1:12" ht="12.75">
      <c r="A317" s="3" t="str">
        <f ca="1">IFERROR(__xludf.UNSUPPORTED("""COMPUTED_VALUE"""),"f1f505db")</f>
        <v>f1f505db</v>
      </c>
      <c r="B317" s="4">
        <f ca="1">IFERROR(__xludf.UNSUPPORTED("""COMPUTED_VALUE"""),45399.49875)</f>
        <v>45399.498749999999</v>
      </c>
      <c r="C317" s="7" t="str">
        <f ca="1">IFERROR(__xludf.UNSUPPORTED("""COMPUTED_VALUE"""),"Aratu")</f>
        <v>Aratu</v>
      </c>
      <c r="D317" s="3" t="str">
        <f ca="1">IFERROR(__xludf.UNSUPPORTED("""COMPUTED_VALUE"""),"🚢 REGULAR")</f>
        <v>🚢 REGULAR</v>
      </c>
      <c r="E317" s="3" t="str">
        <f ca="1">IFERROR(__xludf.UNSUPPORTED("""COMPUTED_VALUE"""),"🚛 LIBERADO")</f>
        <v>🚛 LIBERADO</v>
      </c>
      <c r="F317" s="5">
        <f ca="1">IFERROR(__xludf.UNSUPPORTED("""COMPUTED_VALUE"""),0)</f>
        <v>0</v>
      </c>
      <c r="G317" s="3" t="str">
        <f ca="1">IFERROR(__xludf.UNSUPPORTED("""COMPUTED_VALUE"""),"Normalidade")</f>
        <v>Normalidade</v>
      </c>
      <c r="H317" s="4">
        <f ca="1">IFERROR(__xludf.UNSUPPORTED("""COMPUTED_VALUE"""),45399.49875)</f>
        <v>45399.498749999999</v>
      </c>
      <c r="I317" s="3">
        <f ca="1">IFERROR(__xludf.UNSUPPORTED("""COMPUTED_VALUE"""),24)</f>
        <v>24</v>
      </c>
      <c r="J317" s="4">
        <f ca="1">IFERROR(__xludf.UNSUPPORTED("""COMPUTED_VALUE"""),45400.49875)</f>
        <v>45400.498749999999</v>
      </c>
      <c r="L317" s="3" t="str">
        <f ca="1">IFERROR(__xludf.UNSUPPORTED("""COMPUTED_VALUE"""),"Normalidade")</f>
        <v>Normalidade</v>
      </c>
    </row>
    <row r="318" spans="1:12" ht="12.75">
      <c r="A318" s="3" t="str">
        <f ca="1">IFERROR(__xludf.UNSUPPORTED("""COMPUTED_VALUE"""),"e37af19a")</f>
        <v>e37af19a</v>
      </c>
      <c r="B318" s="4">
        <f ca="1">IFERROR(__xludf.UNSUPPORTED("""COMPUTED_VALUE"""),45400.3727430555)</f>
        <v>45400.372743055501</v>
      </c>
      <c r="C318" s="7" t="str">
        <f ca="1">IFERROR(__xludf.UNSUPPORTED("""COMPUTED_VALUE"""),"Aratu")</f>
        <v>Aratu</v>
      </c>
      <c r="D318" s="3" t="str">
        <f ca="1">IFERROR(__xludf.UNSUPPORTED("""COMPUTED_VALUE"""),"❗️ PARALISADA")</f>
        <v>❗️ PARALISADA</v>
      </c>
      <c r="E318" s="3" t="str">
        <f ca="1">IFERROR(__xludf.UNSUPPORTED("""COMPUTED_VALUE"""),"⛔️ BLOQUEADO")</f>
        <v>⛔️ BLOQUEADO</v>
      </c>
      <c r="F318" s="5">
        <f ca="1">IFERROR(__xludf.UNSUPPORTED("""COMPUTED_VALUE"""),1)</f>
        <v>1</v>
      </c>
      <c r="G318" s="3" t="str">
        <f ca="1">IFERROR(__xludf.UNSUPPORTED("""COMPUTED_VALUE"""),"Paralisação dos portuários")</f>
        <v>Paralisação dos portuários</v>
      </c>
      <c r="H318" s="4">
        <f ca="1">IFERROR(__xludf.UNSUPPORTED("""COMPUTED_VALUE"""),45400.2916666666)</f>
        <v>45400.291666666599</v>
      </c>
      <c r="I318" s="3">
        <f ca="1">IFERROR(__xludf.UNSUPPORTED("""COMPUTED_VALUE"""),6)</f>
        <v>6</v>
      </c>
      <c r="J318" s="4">
        <f ca="1">IFERROR(__xludf.UNSUPPORTED("""COMPUTED_VALUE"""),45400.5416666666)</f>
        <v>45400.541666666599</v>
      </c>
      <c r="K318" s="3" t="str">
        <f ca="1">IFERROR(__xludf.UNSUPPORTED("""COMPUTED_VALUE"""),"No local")</f>
        <v>No local</v>
      </c>
      <c r="L318" s="3" t="str">
        <f ca="1">IFERROR(__xludf.UNSUPPORTED("""COMPUTED_VALUE"""),"Crítico")</f>
        <v>Crítico</v>
      </c>
    </row>
    <row r="319" spans="1:12" ht="12.75">
      <c r="A319" s="3" t="str">
        <f ca="1">IFERROR(__xludf.UNSUPPORTED("""COMPUTED_VALUE"""),"7c95f564")</f>
        <v>7c95f564</v>
      </c>
      <c r="B319" s="4">
        <f ca="1">IFERROR(__xludf.UNSUPPORTED("""COMPUTED_VALUE"""),45404.790787037)</f>
        <v>45404.790787037004</v>
      </c>
      <c r="C319" s="7" t="str">
        <f ca="1">IFERROR(__xludf.UNSUPPORTED("""COMPUTED_VALUE"""),"Aratu")</f>
        <v>Aratu</v>
      </c>
      <c r="D319" s="3" t="str">
        <f ca="1">IFERROR(__xludf.UNSUPPORTED("""COMPUTED_VALUE"""),"🚢 REGULAR")</f>
        <v>🚢 REGULAR</v>
      </c>
      <c r="E319" s="3" t="str">
        <f ca="1">IFERROR(__xludf.UNSUPPORTED("""COMPUTED_VALUE"""),"🚛 LIBERADO")</f>
        <v>🚛 LIBERADO</v>
      </c>
      <c r="F319" s="5">
        <f ca="1">IFERROR(__xludf.UNSUPPORTED("""COMPUTED_VALUE"""),0)</f>
        <v>0</v>
      </c>
      <c r="G319" s="3" t="str">
        <f ca="1">IFERROR(__xludf.UNSUPPORTED("""COMPUTED_VALUE"""),"Normalidade")</f>
        <v>Normalidade</v>
      </c>
      <c r="H319" s="4">
        <f ca="1">IFERROR(__xludf.UNSUPPORTED("""COMPUTED_VALUE"""),45404.790787037)</f>
        <v>45404.790787037004</v>
      </c>
      <c r="I319" s="3">
        <f ca="1">IFERROR(__xludf.UNSUPPORTED("""COMPUTED_VALUE"""),24)</f>
        <v>24</v>
      </c>
      <c r="J319" s="4">
        <f ca="1">IFERROR(__xludf.UNSUPPORTED("""COMPUTED_VALUE"""),45405.790787037)</f>
        <v>45405.790787037004</v>
      </c>
      <c r="L319" s="3" t="str">
        <f ca="1">IFERROR(__xludf.UNSUPPORTED("""COMPUTED_VALUE"""),"Normalidade")</f>
        <v>Normalidade</v>
      </c>
    </row>
    <row r="320" spans="1:12" ht="12.75">
      <c r="A320" s="3" t="str">
        <f ca="1">IFERROR(__xludf.UNSUPPORTED("""COMPUTED_VALUE"""),"620702c8")</f>
        <v>620702c8</v>
      </c>
      <c r="B320" s="4">
        <f ca="1">IFERROR(__xludf.UNSUPPORTED("""COMPUTED_VALUE"""),45405.5742592592)</f>
        <v>45405.5742592592</v>
      </c>
      <c r="C320" s="8" t="str">
        <f ca="1">IFERROR(__xludf.UNSUPPORTED("""COMPUTED_VALUE"""),"Aratu")</f>
        <v>Aratu</v>
      </c>
      <c r="D320" s="3" t="str">
        <f ca="1">IFERROR(__xludf.UNSUPPORTED("""COMPUTED_VALUE"""),"🚢 REGULAR")</f>
        <v>🚢 REGULAR</v>
      </c>
      <c r="E320" s="3" t="str">
        <f ca="1">IFERROR(__xludf.UNSUPPORTED("""COMPUTED_VALUE"""),"🚛 LIBERADO")</f>
        <v>🚛 LIBERADO</v>
      </c>
      <c r="F320" s="5">
        <f ca="1">IFERROR(__xludf.UNSUPPORTED("""COMPUTED_VALUE"""),0)</f>
        <v>0</v>
      </c>
      <c r="G320" s="3" t="str">
        <f ca="1">IFERROR(__xludf.UNSUPPORTED("""COMPUTED_VALUE"""),"Normalidade")</f>
        <v>Normalidade</v>
      </c>
      <c r="H320" s="4">
        <f ca="1">IFERROR(__xludf.UNSUPPORTED("""COMPUTED_VALUE"""),45405.5742592592)</f>
        <v>45405.5742592592</v>
      </c>
      <c r="I320" s="3">
        <f ca="1">IFERROR(__xludf.UNSUPPORTED("""COMPUTED_VALUE"""),24)</f>
        <v>24</v>
      </c>
      <c r="J320" s="4">
        <f ca="1">IFERROR(__xludf.UNSUPPORTED("""COMPUTED_VALUE"""),45406.5742592592)</f>
        <v>45406.5742592592</v>
      </c>
      <c r="L320" s="3" t="str">
        <f ca="1">IFERROR(__xludf.UNSUPPORTED("""COMPUTED_VALUE"""),"Normalidade")</f>
        <v>Normalidade</v>
      </c>
    </row>
    <row r="321" spans="1:12" ht="12.75">
      <c r="A321" s="3" t="str">
        <f ca="1">IFERROR(__xludf.UNSUPPORTED("""COMPUTED_VALUE"""),"64e3aae6")</f>
        <v>64e3aae6</v>
      </c>
      <c r="B321" s="4">
        <f ca="1">IFERROR(__xludf.UNSUPPORTED("""COMPUTED_VALUE"""),45414.6252662037)</f>
        <v>45414.6252662037</v>
      </c>
      <c r="C321" s="7" t="str">
        <f ca="1">IFERROR(__xludf.UNSUPPORTED("""COMPUTED_VALUE"""),"Aratu")</f>
        <v>Aratu</v>
      </c>
      <c r="D321" s="3" t="str">
        <f ca="1">IFERROR(__xludf.UNSUPPORTED("""COMPUTED_VALUE"""),"🚢 REGULAR")</f>
        <v>🚢 REGULAR</v>
      </c>
      <c r="E321" s="3" t="str">
        <f ca="1">IFERROR(__xludf.UNSUPPORTED("""COMPUTED_VALUE"""),"🚛 LIBERADO")</f>
        <v>🚛 LIBERADO</v>
      </c>
      <c r="F321" s="5">
        <f ca="1">IFERROR(__xludf.UNSUPPORTED("""COMPUTED_VALUE"""),0)</f>
        <v>0</v>
      </c>
      <c r="G321" s="3" t="str">
        <f ca="1">IFERROR(__xludf.UNSUPPORTED("""COMPUTED_VALUE"""),"Normalidade")</f>
        <v>Normalidade</v>
      </c>
      <c r="H321" s="4">
        <f ca="1">IFERROR(__xludf.UNSUPPORTED("""COMPUTED_VALUE"""),45414.6252662037)</f>
        <v>45414.6252662037</v>
      </c>
      <c r="I321" s="3">
        <f ca="1">IFERROR(__xludf.UNSUPPORTED("""COMPUTED_VALUE"""),24)</f>
        <v>24</v>
      </c>
      <c r="J321" s="4">
        <f ca="1">IFERROR(__xludf.UNSUPPORTED("""COMPUTED_VALUE"""),45415.6252662037)</f>
        <v>45415.6252662037</v>
      </c>
      <c r="L321" s="3" t="str">
        <f ca="1">IFERROR(__xludf.UNSUPPORTED("""COMPUTED_VALUE"""),"Normalidade")</f>
        <v>Normalidade</v>
      </c>
    </row>
    <row r="322" spans="1:12" ht="12.75">
      <c r="A322" s="3" t="str">
        <f ca="1">IFERROR(__xludf.UNSUPPORTED("""COMPUTED_VALUE"""),"8a97935d")</f>
        <v>8a97935d</v>
      </c>
      <c r="B322" s="4">
        <f ca="1">IFERROR(__xludf.UNSUPPORTED("""COMPUTED_VALUE"""),45425.6678356481)</f>
        <v>45425.667835648099</v>
      </c>
      <c r="C322" s="7" t="str">
        <f ca="1">IFERROR(__xludf.UNSUPPORTED("""COMPUTED_VALUE"""),"Aratu")</f>
        <v>Aratu</v>
      </c>
      <c r="D322" s="3" t="str">
        <f ca="1">IFERROR(__xludf.UNSUPPORTED("""COMPUTED_VALUE"""),"🚢 REGULAR")</f>
        <v>🚢 REGULAR</v>
      </c>
      <c r="E322" s="3" t="str">
        <f ca="1">IFERROR(__xludf.UNSUPPORTED("""COMPUTED_VALUE"""),"🚛 LIBERADO")</f>
        <v>🚛 LIBERADO</v>
      </c>
      <c r="F322" s="5">
        <f ca="1">IFERROR(__xludf.UNSUPPORTED("""COMPUTED_VALUE"""),0)</f>
        <v>0</v>
      </c>
      <c r="G322" s="3" t="str">
        <f ca="1">IFERROR(__xludf.UNSUPPORTED("""COMPUTED_VALUE"""),"Normalidade")</f>
        <v>Normalidade</v>
      </c>
      <c r="H322" s="4">
        <f ca="1">IFERROR(__xludf.UNSUPPORTED("""COMPUTED_VALUE"""),45425.6678356481)</f>
        <v>45425.667835648099</v>
      </c>
      <c r="I322" s="3">
        <f ca="1">IFERROR(__xludf.UNSUPPORTED("""COMPUTED_VALUE"""),24)</f>
        <v>24</v>
      </c>
      <c r="J322" s="4">
        <f ca="1">IFERROR(__xludf.UNSUPPORTED("""COMPUTED_VALUE"""),45426.6678356481)</f>
        <v>45426.667835648099</v>
      </c>
      <c r="L322" s="3" t="str">
        <f ca="1">IFERROR(__xludf.UNSUPPORTED("""COMPUTED_VALUE"""),"Normalidade")</f>
        <v>Normalidade</v>
      </c>
    </row>
    <row r="323" spans="1:12" ht="12.75">
      <c r="A323" s="3" t="str">
        <f ca="1">IFERROR(__xludf.UNSUPPORTED("""COMPUTED_VALUE"""),"6a0b4584")</f>
        <v>6a0b4584</v>
      </c>
      <c r="B323" s="4">
        <f ca="1">IFERROR(__xludf.UNSUPPORTED("""COMPUTED_VALUE"""),45426.3603935185)</f>
        <v>45426.360393518502</v>
      </c>
      <c r="C323" s="7" t="str">
        <f ca="1">IFERROR(__xludf.UNSUPPORTED("""COMPUTED_VALUE"""),"Aratu")</f>
        <v>Aratu</v>
      </c>
      <c r="D323" s="3" t="str">
        <f ca="1">IFERROR(__xludf.UNSUPPORTED("""COMPUTED_VALUE"""),"🚢 REGULAR")</f>
        <v>🚢 REGULAR</v>
      </c>
      <c r="E323" s="3" t="str">
        <f ca="1">IFERROR(__xludf.UNSUPPORTED("""COMPUTED_VALUE"""),"🚛 LIBERADO")</f>
        <v>🚛 LIBERADO</v>
      </c>
      <c r="F323" s="5">
        <f ca="1">IFERROR(__xludf.UNSUPPORTED("""COMPUTED_VALUE"""),0)</f>
        <v>0</v>
      </c>
      <c r="G323" s="3" t="str">
        <f ca="1">IFERROR(__xludf.UNSUPPORTED("""COMPUTED_VALUE"""),"Normalidade")</f>
        <v>Normalidade</v>
      </c>
      <c r="H323" s="4">
        <f ca="1">IFERROR(__xludf.UNSUPPORTED("""COMPUTED_VALUE"""),45426.3603935185)</f>
        <v>45426.360393518502</v>
      </c>
      <c r="I323" s="3">
        <f ca="1">IFERROR(__xludf.UNSUPPORTED("""COMPUTED_VALUE"""),24)</f>
        <v>24</v>
      </c>
      <c r="J323" s="4">
        <f ca="1">IFERROR(__xludf.UNSUPPORTED("""COMPUTED_VALUE"""),45427.3603935185)</f>
        <v>45427.360393518502</v>
      </c>
      <c r="L323" s="3" t="str">
        <f ca="1">IFERROR(__xludf.UNSUPPORTED("""COMPUTED_VALUE"""),"Normalidade")</f>
        <v>Normalidade</v>
      </c>
    </row>
    <row r="324" spans="1:12" ht="12.75">
      <c r="A324" s="3" t="str">
        <f ca="1">IFERROR(__xludf.UNSUPPORTED("""COMPUTED_VALUE"""),"28bd4651")</f>
        <v>28bd4651</v>
      </c>
      <c r="B324" s="4">
        <f ca="1">IFERROR(__xludf.UNSUPPORTED("""COMPUTED_VALUE"""),45427.6565046296)</f>
        <v>45427.656504629602</v>
      </c>
      <c r="C324" s="7" t="str">
        <f ca="1">IFERROR(__xludf.UNSUPPORTED("""COMPUTED_VALUE"""),"Aratu")</f>
        <v>Aratu</v>
      </c>
      <c r="D324" s="3" t="str">
        <f ca="1">IFERROR(__xludf.UNSUPPORTED("""COMPUTED_VALUE"""),"🚢 REGULAR")</f>
        <v>🚢 REGULAR</v>
      </c>
      <c r="E324" s="3" t="str">
        <f ca="1">IFERROR(__xludf.UNSUPPORTED("""COMPUTED_VALUE"""),"🚛 LIBERADO")</f>
        <v>🚛 LIBERADO</v>
      </c>
      <c r="F324" s="5">
        <f ca="1">IFERROR(__xludf.UNSUPPORTED("""COMPUTED_VALUE"""),0)</f>
        <v>0</v>
      </c>
      <c r="G324" s="3" t="str">
        <f ca="1">IFERROR(__xludf.UNSUPPORTED("""COMPUTED_VALUE"""),"Normalidade")</f>
        <v>Normalidade</v>
      </c>
      <c r="H324" s="4">
        <f ca="1">IFERROR(__xludf.UNSUPPORTED("""COMPUTED_VALUE"""),45427.6565046296)</f>
        <v>45427.656504629602</v>
      </c>
      <c r="I324" s="3">
        <f ca="1">IFERROR(__xludf.UNSUPPORTED("""COMPUTED_VALUE"""),24)</f>
        <v>24</v>
      </c>
      <c r="J324" s="4">
        <f ca="1">IFERROR(__xludf.UNSUPPORTED("""COMPUTED_VALUE"""),45428.6565046296)</f>
        <v>45428.656504629602</v>
      </c>
      <c r="L324" s="3" t="str">
        <f ca="1">IFERROR(__xludf.UNSUPPORTED("""COMPUTED_VALUE"""),"Normalidade")</f>
        <v>Normalidade</v>
      </c>
    </row>
    <row r="325" spans="1:12" ht="12.75">
      <c r="A325" s="3" t="str">
        <f ca="1">IFERROR(__xludf.UNSUPPORTED("""COMPUTED_VALUE"""),"24925024")</f>
        <v>24925024</v>
      </c>
      <c r="B325" s="4">
        <f ca="1">IFERROR(__xludf.UNSUPPORTED("""COMPUTED_VALUE"""),45433.5734722222)</f>
        <v>45433.573472222197</v>
      </c>
      <c r="C325" s="7" t="str">
        <f ca="1">IFERROR(__xludf.UNSUPPORTED("""COMPUTED_VALUE"""),"Aratu")</f>
        <v>Aratu</v>
      </c>
      <c r="D325" s="3" t="str">
        <f ca="1">IFERROR(__xludf.UNSUPPORTED("""COMPUTED_VALUE"""),"🚢 REGULAR")</f>
        <v>🚢 REGULAR</v>
      </c>
      <c r="E325" s="3" t="str">
        <f ca="1">IFERROR(__xludf.UNSUPPORTED("""COMPUTED_VALUE"""),"🚛 LIBERADO")</f>
        <v>🚛 LIBERADO</v>
      </c>
      <c r="F325" s="5">
        <f ca="1">IFERROR(__xludf.UNSUPPORTED("""COMPUTED_VALUE"""),0)</f>
        <v>0</v>
      </c>
      <c r="G325" s="3" t="str">
        <f ca="1">IFERROR(__xludf.UNSUPPORTED("""COMPUTED_VALUE"""),"Normalidade")</f>
        <v>Normalidade</v>
      </c>
      <c r="H325" s="4">
        <f ca="1">IFERROR(__xludf.UNSUPPORTED("""COMPUTED_VALUE"""),45433.5734722222)</f>
        <v>45433.573472222197</v>
      </c>
      <c r="I325" s="3">
        <f ca="1">IFERROR(__xludf.UNSUPPORTED("""COMPUTED_VALUE"""),24)</f>
        <v>24</v>
      </c>
      <c r="J325" s="4">
        <f ca="1">IFERROR(__xludf.UNSUPPORTED("""COMPUTED_VALUE"""),45434.5734722222)</f>
        <v>45434.573472222197</v>
      </c>
      <c r="L325" s="3" t="str">
        <f ca="1">IFERROR(__xludf.UNSUPPORTED("""COMPUTED_VALUE"""),"Normalidade")</f>
        <v>Normalidade</v>
      </c>
    </row>
    <row r="326" spans="1:12" ht="12.75">
      <c r="A326" s="3" t="str">
        <f ca="1">IFERROR(__xludf.UNSUPPORTED("""COMPUTED_VALUE"""),"f42066b8")</f>
        <v>f42066b8</v>
      </c>
      <c r="B326" s="4">
        <f ca="1">IFERROR(__xludf.UNSUPPORTED("""COMPUTED_VALUE"""),45439.5883101851)</f>
        <v>45439.5883101851</v>
      </c>
      <c r="C326" s="7" t="str">
        <f ca="1">IFERROR(__xludf.UNSUPPORTED("""COMPUTED_VALUE"""),"Aratu")</f>
        <v>Aratu</v>
      </c>
      <c r="D326" s="3" t="str">
        <f ca="1">IFERROR(__xludf.UNSUPPORTED("""COMPUTED_VALUE"""),"🚢 REGULAR")</f>
        <v>🚢 REGULAR</v>
      </c>
      <c r="E326" s="3" t="str">
        <f ca="1">IFERROR(__xludf.UNSUPPORTED("""COMPUTED_VALUE"""),"🚛 LIBERADO")</f>
        <v>🚛 LIBERADO</v>
      </c>
      <c r="F326" s="5">
        <f ca="1">IFERROR(__xludf.UNSUPPORTED("""COMPUTED_VALUE"""),0)</f>
        <v>0</v>
      </c>
      <c r="G326" s="3" t="str">
        <f ca="1">IFERROR(__xludf.UNSUPPORTED("""COMPUTED_VALUE"""),"Normalidade")</f>
        <v>Normalidade</v>
      </c>
      <c r="H326" s="4">
        <f ca="1">IFERROR(__xludf.UNSUPPORTED("""COMPUTED_VALUE"""),45439.5883101851)</f>
        <v>45439.5883101851</v>
      </c>
      <c r="I326" s="3">
        <f ca="1">IFERROR(__xludf.UNSUPPORTED("""COMPUTED_VALUE"""),24)</f>
        <v>24</v>
      </c>
      <c r="J326" s="4">
        <f ca="1">IFERROR(__xludf.UNSUPPORTED("""COMPUTED_VALUE"""),45440.5883101851)</f>
        <v>45440.5883101851</v>
      </c>
      <c r="L326" s="3" t="str">
        <f ca="1">IFERROR(__xludf.UNSUPPORTED("""COMPUTED_VALUE"""),"Normalidade")</f>
        <v>Normalidade</v>
      </c>
    </row>
    <row r="327" spans="1:12" ht="12.75">
      <c r="A327" s="3" t="str">
        <f ca="1">IFERROR(__xludf.UNSUPPORTED("""COMPUTED_VALUE"""),"ecd24d4e")</f>
        <v>ecd24d4e</v>
      </c>
      <c r="B327" s="4">
        <f ca="1">IFERROR(__xludf.UNSUPPORTED("""COMPUTED_VALUE"""),45441.4564583333)</f>
        <v>45441.456458333298</v>
      </c>
      <c r="C327" s="7" t="str">
        <f ca="1">IFERROR(__xludf.UNSUPPORTED("""COMPUTED_VALUE"""),"Aratu")</f>
        <v>Aratu</v>
      </c>
      <c r="D327" s="3" t="str">
        <f ca="1">IFERROR(__xludf.UNSUPPORTED("""COMPUTED_VALUE"""),"🚢 REGULAR")</f>
        <v>🚢 REGULAR</v>
      </c>
      <c r="E327" s="3" t="str">
        <f ca="1">IFERROR(__xludf.UNSUPPORTED("""COMPUTED_VALUE"""),"🚛 LIBERADO")</f>
        <v>🚛 LIBERADO</v>
      </c>
      <c r="F327" s="5">
        <f ca="1">IFERROR(__xludf.UNSUPPORTED("""COMPUTED_VALUE"""),0)</f>
        <v>0</v>
      </c>
      <c r="G327" s="3" t="str">
        <f ca="1">IFERROR(__xludf.UNSUPPORTED("""COMPUTED_VALUE"""),"Normalidade")</f>
        <v>Normalidade</v>
      </c>
      <c r="H327" s="4">
        <f ca="1">IFERROR(__xludf.UNSUPPORTED("""COMPUTED_VALUE"""),45441.4564583333)</f>
        <v>45441.456458333298</v>
      </c>
      <c r="I327" s="3">
        <f ca="1">IFERROR(__xludf.UNSUPPORTED("""COMPUTED_VALUE"""),24)</f>
        <v>24</v>
      </c>
      <c r="J327" s="4">
        <f ca="1">IFERROR(__xludf.UNSUPPORTED("""COMPUTED_VALUE"""),45442.4564583333)</f>
        <v>45442.456458333298</v>
      </c>
      <c r="L327" s="3" t="str">
        <f ca="1">IFERROR(__xludf.UNSUPPORTED("""COMPUTED_VALUE"""),"Normalidade")</f>
        <v>Normalidade</v>
      </c>
    </row>
    <row r="328" spans="1:12" ht="12.75">
      <c r="A328" s="3" t="str">
        <f ca="1">IFERROR(__xludf.UNSUPPORTED("""COMPUTED_VALUE"""),"80008dac")</f>
        <v>80008dac</v>
      </c>
      <c r="B328" s="4">
        <f ca="1">IFERROR(__xludf.UNSUPPORTED("""COMPUTED_VALUE"""),45443.5650810185)</f>
        <v>45443.565081018503</v>
      </c>
      <c r="C328" s="7" t="str">
        <f ca="1">IFERROR(__xludf.UNSUPPORTED("""COMPUTED_VALUE"""),"Aratu")</f>
        <v>Aratu</v>
      </c>
      <c r="D328" s="3" t="str">
        <f ca="1">IFERROR(__xludf.UNSUPPORTED("""COMPUTED_VALUE"""),"🚢 REGULAR")</f>
        <v>🚢 REGULAR</v>
      </c>
      <c r="E328" s="3" t="str">
        <f ca="1">IFERROR(__xludf.UNSUPPORTED("""COMPUTED_VALUE"""),"🚛 LIBERADO")</f>
        <v>🚛 LIBERADO</v>
      </c>
      <c r="F328" s="5">
        <f ca="1">IFERROR(__xludf.UNSUPPORTED("""COMPUTED_VALUE"""),0)</f>
        <v>0</v>
      </c>
      <c r="G328" s="3" t="str">
        <f ca="1">IFERROR(__xludf.UNSUPPORTED("""COMPUTED_VALUE"""),"Normalidade")</f>
        <v>Normalidade</v>
      </c>
      <c r="H328" s="4">
        <f ca="1">IFERROR(__xludf.UNSUPPORTED("""COMPUTED_VALUE"""),45443.5650810185)</f>
        <v>45443.565081018503</v>
      </c>
      <c r="I328" s="3">
        <f ca="1">IFERROR(__xludf.UNSUPPORTED("""COMPUTED_VALUE"""),24)</f>
        <v>24</v>
      </c>
      <c r="J328" s="4">
        <f ca="1">IFERROR(__xludf.UNSUPPORTED("""COMPUTED_VALUE"""),45444.5650810185)</f>
        <v>45444.565081018503</v>
      </c>
      <c r="L328" s="3" t="str">
        <f ca="1">IFERROR(__xludf.UNSUPPORTED("""COMPUTED_VALUE"""),"Normalidade")</f>
        <v>Normalidade</v>
      </c>
    </row>
    <row r="329" spans="1:12" ht="12.75">
      <c r="A329" s="3" t="str">
        <f ca="1">IFERROR(__xludf.UNSUPPORTED("""COMPUTED_VALUE"""),"ec9f35b4")</f>
        <v>ec9f35b4</v>
      </c>
      <c r="B329" s="4">
        <f ca="1">IFERROR(__xludf.UNSUPPORTED("""COMPUTED_VALUE"""),45447.4502662037)</f>
        <v>45447.450266203698</v>
      </c>
      <c r="C329" s="8" t="str">
        <f ca="1">IFERROR(__xludf.UNSUPPORTED("""COMPUTED_VALUE"""),"Aratu")</f>
        <v>Aratu</v>
      </c>
      <c r="D329" s="3" t="str">
        <f ca="1">IFERROR(__xludf.UNSUPPORTED("""COMPUTED_VALUE"""),"🚢 REGULAR")</f>
        <v>🚢 REGULAR</v>
      </c>
      <c r="E329" s="3" t="str">
        <f ca="1">IFERROR(__xludf.UNSUPPORTED("""COMPUTED_VALUE"""),"🚛 LIBERADO")</f>
        <v>🚛 LIBERADO</v>
      </c>
      <c r="F329" s="5">
        <f ca="1">IFERROR(__xludf.UNSUPPORTED("""COMPUTED_VALUE"""),0)</f>
        <v>0</v>
      </c>
      <c r="G329" s="3" t="str">
        <f ca="1">IFERROR(__xludf.UNSUPPORTED("""COMPUTED_VALUE"""),"Normalidade")</f>
        <v>Normalidade</v>
      </c>
      <c r="H329" s="4">
        <f ca="1">IFERROR(__xludf.UNSUPPORTED("""COMPUTED_VALUE"""),45447.4502662037)</f>
        <v>45447.450266203698</v>
      </c>
      <c r="I329" s="3">
        <f ca="1">IFERROR(__xludf.UNSUPPORTED("""COMPUTED_VALUE"""),24)</f>
        <v>24</v>
      </c>
      <c r="J329" s="4">
        <f ca="1">IFERROR(__xludf.UNSUPPORTED("""COMPUTED_VALUE"""),45448.4502662037)</f>
        <v>45448.450266203698</v>
      </c>
      <c r="L329" s="3" t="str">
        <f ca="1">IFERROR(__xludf.UNSUPPORTED("""COMPUTED_VALUE"""),"Normalidade")</f>
        <v>Normalidade</v>
      </c>
    </row>
    <row r="330" spans="1:12" ht="12.75">
      <c r="A330" s="3" t="str">
        <f ca="1">IFERROR(__xludf.UNSUPPORTED("""COMPUTED_VALUE"""),"730f1cfd")</f>
        <v>730f1cfd</v>
      </c>
      <c r="B330" s="4">
        <f ca="1">IFERROR(__xludf.UNSUPPORTED("""COMPUTED_VALUE"""),45448.5682754629)</f>
        <v>45448.568275462902</v>
      </c>
      <c r="C330" s="7" t="str">
        <f ca="1">IFERROR(__xludf.UNSUPPORTED("""COMPUTED_VALUE"""),"Aratu")</f>
        <v>Aratu</v>
      </c>
      <c r="D330" s="3" t="str">
        <f ca="1">IFERROR(__xludf.UNSUPPORTED("""COMPUTED_VALUE"""),"🚢 REGULAR")</f>
        <v>🚢 REGULAR</v>
      </c>
      <c r="E330" s="3" t="str">
        <f ca="1">IFERROR(__xludf.UNSUPPORTED("""COMPUTED_VALUE"""),"🚛 LIBERADO")</f>
        <v>🚛 LIBERADO</v>
      </c>
      <c r="F330" s="5">
        <f ca="1">IFERROR(__xludf.UNSUPPORTED("""COMPUTED_VALUE"""),0)</f>
        <v>0</v>
      </c>
      <c r="G330" s="3" t="str">
        <f ca="1">IFERROR(__xludf.UNSUPPORTED("""COMPUTED_VALUE"""),"Normalidade")</f>
        <v>Normalidade</v>
      </c>
      <c r="H330" s="4">
        <f ca="1">IFERROR(__xludf.UNSUPPORTED("""COMPUTED_VALUE"""),45448.5682754629)</f>
        <v>45448.568275462902</v>
      </c>
      <c r="I330" s="3">
        <f ca="1">IFERROR(__xludf.UNSUPPORTED("""COMPUTED_VALUE"""),24)</f>
        <v>24</v>
      </c>
      <c r="J330" s="4">
        <f ca="1">IFERROR(__xludf.UNSUPPORTED("""COMPUTED_VALUE"""),45449.5682754629)</f>
        <v>45449.568275462902</v>
      </c>
      <c r="L330" s="3" t="str">
        <f ca="1">IFERROR(__xludf.UNSUPPORTED("""COMPUTED_VALUE"""),"Normalidade")</f>
        <v>Normalidade</v>
      </c>
    </row>
    <row r="331" spans="1:12" ht="12.75">
      <c r="A331" s="3" t="str">
        <f ca="1">IFERROR(__xludf.UNSUPPORTED("""COMPUTED_VALUE"""),"5a196a6c")</f>
        <v>5a196a6c</v>
      </c>
      <c r="B331" s="4">
        <f ca="1">IFERROR(__xludf.UNSUPPORTED("""COMPUTED_VALUE"""),45454.3280902777)</f>
        <v>45454.328090277697</v>
      </c>
      <c r="C331" s="8" t="str">
        <f ca="1">IFERROR(__xludf.UNSUPPORTED("""COMPUTED_VALUE"""),"Aratu")</f>
        <v>Aratu</v>
      </c>
      <c r="D331" s="3" t="str">
        <f ca="1">IFERROR(__xludf.UNSUPPORTED("""COMPUTED_VALUE"""),"🚢 REGULAR")</f>
        <v>🚢 REGULAR</v>
      </c>
      <c r="E331" s="3" t="str">
        <f ca="1">IFERROR(__xludf.UNSUPPORTED("""COMPUTED_VALUE"""),"🚛 LIBERADO")</f>
        <v>🚛 LIBERADO</v>
      </c>
      <c r="F331" s="5">
        <f ca="1">IFERROR(__xludf.UNSUPPORTED("""COMPUTED_VALUE"""),0)</f>
        <v>0</v>
      </c>
      <c r="G331" s="3" t="str">
        <f ca="1">IFERROR(__xludf.UNSUPPORTED("""COMPUTED_VALUE"""),"Normalidade")</f>
        <v>Normalidade</v>
      </c>
      <c r="H331" s="4">
        <f ca="1">IFERROR(__xludf.UNSUPPORTED("""COMPUTED_VALUE"""),45454.3280902777)</f>
        <v>45454.328090277697</v>
      </c>
      <c r="I331" s="3">
        <f ca="1">IFERROR(__xludf.UNSUPPORTED("""COMPUTED_VALUE"""),24)</f>
        <v>24</v>
      </c>
      <c r="J331" s="4">
        <f ca="1">IFERROR(__xludf.UNSUPPORTED("""COMPUTED_VALUE"""),45455.3280902777)</f>
        <v>45455.328090277697</v>
      </c>
      <c r="L331" s="3" t="str">
        <f ca="1">IFERROR(__xludf.UNSUPPORTED("""COMPUTED_VALUE"""),"Normalidade")</f>
        <v>Normalidade</v>
      </c>
    </row>
    <row r="332" spans="1:12" ht="12.75">
      <c r="A332" s="3" t="str">
        <f ca="1">IFERROR(__xludf.UNSUPPORTED("""COMPUTED_VALUE"""),"84c86304")</f>
        <v>84c86304</v>
      </c>
      <c r="B332" s="4">
        <f ca="1">IFERROR(__xludf.UNSUPPORTED("""COMPUTED_VALUE"""),45464.5557638888)</f>
        <v>45464.555763888799</v>
      </c>
      <c r="C332" s="7" t="str">
        <f ca="1">IFERROR(__xludf.UNSUPPORTED("""COMPUTED_VALUE"""),"Aratu")</f>
        <v>Aratu</v>
      </c>
      <c r="D332" s="3" t="str">
        <f ca="1">IFERROR(__xludf.UNSUPPORTED("""COMPUTED_VALUE"""),"🚢 REGULAR")</f>
        <v>🚢 REGULAR</v>
      </c>
      <c r="E332" s="3" t="str">
        <f ca="1">IFERROR(__xludf.UNSUPPORTED("""COMPUTED_VALUE"""),"🚛 LIBERADO")</f>
        <v>🚛 LIBERADO</v>
      </c>
      <c r="F332" s="5">
        <f ca="1">IFERROR(__xludf.UNSUPPORTED("""COMPUTED_VALUE"""),0)</f>
        <v>0</v>
      </c>
      <c r="G332" s="3" t="str">
        <f ca="1">IFERROR(__xludf.UNSUPPORTED("""COMPUTED_VALUE"""),"Normalidade")</f>
        <v>Normalidade</v>
      </c>
      <c r="H332" s="4">
        <f ca="1">IFERROR(__xludf.UNSUPPORTED("""COMPUTED_VALUE"""),45464.5557638888)</f>
        <v>45464.555763888799</v>
      </c>
      <c r="I332" s="3">
        <f ca="1">IFERROR(__xludf.UNSUPPORTED("""COMPUTED_VALUE"""),24)</f>
        <v>24</v>
      </c>
      <c r="J332" s="4">
        <f ca="1">IFERROR(__xludf.UNSUPPORTED("""COMPUTED_VALUE"""),45465.5557638888)</f>
        <v>45465.555763888799</v>
      </c>
      <c r="L332" s="3" t="str">
        <f ca="1">IFERROR(__xludf.UNSUPPORTED("""COMPUTED_VALUE"""),"Normalidade")</f>
        <v>Normalidade</v>
      </c>
    </row>
    <row r="333" spans="1:12" ht="12.75">
      <c r="A333" s="3" t="str">
        <f ca="1">IFERROR(__xludf.UNSUPPORTED("""COMPUTED_VALUE"""),"46d0093e")</f>
        <v>46d0093e</v>
      </c>
      <c r="B333" s="4">
        <f ca="1">IFERROR(__xludf.UNSUPPORTED("""COMPUTED_VALUE"""),45468.7344444444)</f>
        <v>45468.734444444402</v>
      </c>
      <c r="C333" s="8" t="str">
        <f ca="1">IFERROR(__xludf.UNSUPPORTED("""COMPUTED_VALUE"""),"Aratu")</f>
        <v>Aratu</v>
      </c>
      <c r="D333" s="3" t="str">
        <f ca="1">IFERROR(__xludf.UNSUPPORTED("""COMPUTED_VALUE"""),"🚢 REGULAR")</f>
        <v>🚢 REGULAR</v>
      </c>
      <c r="E333" s="3" t="str">
        <f ca="1">IFERROR(__xludf.UNSUPPORTED("""COMPUTED_VALUE"""),"🚛 LIBERADO")</f>
        <v>🚛 LIBERADO</v>
      </c>
      <c r="F333" s="5">
        <f ca="1">IFERROR(__xludf.UNSUPPORTED("""COMPUTED_VALUE"""),0)</f>
        <v>0</v>
      </c>
      <c r="G333" s="3" t="str">
        <f ca="1">IFERROR(__xludf.UNSUPPORTED("""COMPUTED_VALUE"""),"Normalidade")</f>
        <v>Normalidade</v>
      </c>
      <c r="H333" s="4">
        <f ca="1">IFERROR(__xludf.UNSUPPORTED("""COMPUTED_VALUE"""),45468.7344444444)</f>
        <v>45468.734444444402</v>
      </c>
      <c r="I333" s="3">
        <f ca="1">IFERROR(__xludf.UNSUPPORTED("""COMPUTED_VALUE"""),24)</f>
        <v>24</v>
      </c>
      <c r="J333" s="4">
        <f ca="1">IFERROR(__xludf.UNSUPPORTED("""COMPUTED_VALUE"""),45469.7344444444)</f>
        <v>45469.734444444402</v>
      </c>
      <c r="L333" s="3" t="str">
        <f ca="1">IFERROR(__xludf.UNSUPPORTED("""COMPUTED_VALUE"""),"Normalidade")</f>
        <v>Normalidade</v>
      </c>
    </row>
    <row r="334" spans="1:12" ht="12.75">
      <c r="A334" s="3" t="str">
        <f ca="1">IFERROR(__xludf.UNSUPPORTED("""COMPUTED_VALUE"""),"9cd24a57")</f>
        <v>9cd24a57</v>
      </c>
      <c r="B334" s="4">
        <f ca="1">IFERROR(__xludf.UNSUPPORTED("""COMPUTED_VALUE"""),45470.6539467592)</f>
        <v>45470.653946759201</v>
      </c>
      <c r="C334" s="8" t="str">
        <f ca="1">IFERROR(__xludf.UNSUPPORTED("""COMPUTED_VALUE"""),"Aratu")</f>
        <v>Aratu</v>
      </c>
      <c r="D334" s="3" t="str">
        <f ca="1">IFERROR(__xludf.UNSUPPORTED("""COMPUTED_VALUE"""),"🚢 REGULAR")</f>
        <v>🚢 REGULAR</v>
      </c>
      <c r="E334" s="3" t="str">
        <f ca="1">IFERROR(__xludf.UNSUPPORTED("""COMPUTED_VALUE"""),"🚛 LIBERADO")</f>
        <v>🚛 LIBERADO</v>
      </c>
      <c r="F334" s="5">
        <f ca="1">IFERROR(__xludf.UNSUPPORTED("""COMPUTED_VALUE"""),0)</f>
        <v>0</v>
      </c>
      <c r="G334" s="3" t="str">
        <f ca="1">IFERROR(__xludf.UNSUPPORTED("""COMPUTED_VALUE"""),"Normalidade")</f>
        <v>Normalidade</v>
      </c>
      <c r="H334" s="4">
        <f ca="1">IFERROR(__xludf.UNSUPPORTED("""COMPUTED_VALUE"""),45470.6539467592)</f>
        <v>45470.653946759201</v>
      </c>
      <c r="I334" s="3">
        <f ca="1">IFERROR(__xludf.UNSUPPORTED("""COMPUTED_VALUE"""),24)</f>
        <v>24</v>
      </c>
      <c r="J334" s="4">
        <f ca="1">IFERROR(__xludf.UNSUPPORTED("""COMPUTED_VALUE"""),45471.6539467592)</f>
        <v>45471.653946759201</v>
      </c>
      <c r="L334" s="3" t="str">
        <f ca="1">IFERROR(__xludf.UNSUPPORTED("""COMPUTED_VALUE"""),"Normalidade")</f>
        <v>Normalidade</v>
      </c>
    </row>
    <row r="335" spans="1:12" ht="12.75">
      <c r="A335" s="3" t="str">
        <f ca="1">IFERROR(__xludf.UNSUPPORTED("""COMPUTED_VALUE"""),"9d1a7ee2")</f>
        <v>9d1a7ee2</v>
      </c>
      <c r="B335" s="4">
        <f ca="1">IFERROR(__xludf.UNSUPPORTED("""COMPUTED_VALUE"""),45474.5781018518)</f>
        <v>45474.578101851803</v>
      </c>
      <c r="C335" s="8" t="str">
        <f ca="1">IFERROR(__xludf.UNSUPPORTED("""COMPUTED_VALUE"""),"Aratu")</f>
        <v>Aratu</v>
      </c>
      <c r="D335" s="3" t="str">
        <f ca="1">IFERROR(__xludf.UNSUPPORTED("""COMPUTED_VALUE"""),"🚢 REGULAR")</f>
        <v>🚢 REGULAR</v>
      </c>
      <c r="E335" s="3" t="str">
        <f ca="1">IFERROR(__xludf.UNSUPPORTED("""COMPUTED_VALUE"""),"🚛 LIBERADO")</f>
        <v>🚛 LIBERADO</v>
      </c>
      <c r="F335" s="5">
        <f ca="1">IFERROR(__xludf.UNSUPPORTED("""COMPUTED_VALUE"""),0)</f>
        <v>0</v>
      </c>
      <c r="G335" s="3" t="str">
        <f ca="1">IFERROR(__xludf.UNSUPPORTED("""COMPUTED_VALUE"""),"Normalidade")</f>
        <v>Normalidade</v>
      </c>
      <c r="H335" s="4">
        <f ca="1">IFERROR(__xludf.UNSUPPORTED("""COMPUTED_VALUE"""),45474.5781018518)</f>
        <v>45474.578101851803</v>
      </c>
      <c r="I335" s="3">
        <f ca="1">IFERROR(__xludf.UNSUPPORTED("""COMPUTED_VALUE"""),24)</f>
        <v>24</v>
      </c>
      <c r="J335" s="4">
        <f ca="1">IFERROR(__xludf.UNSUPPORTED("""COMPUTED_VALUE"""),45475.5781018518)</f>
        <v>45475.578101851803</v>
      </c>
      <c r="L335" s="3" t="str">
        <f ca="1">IFERROR(__xludf.UNSUPPORTED("""COMPUTED_VALUE"""),"Normalidade")</f>
        <v>Normalidade</v>
      </c>
    </row>
    <row r="336" spans="1:12" ht="12.75">
      <c r="A336" s="3" t="str">
        <f ca="1">IFERROR(__xludf.UNSUPPORTED("""COMPUTED_VALUE"""),"0bba12ff")</f>
        <v>0bba12ff</v>
      </c>
      <c r="B336" s="4">
        <f ca="1">IFERROR(__xludf.UNSUPPORTED("""COMPUTED_VALUE"""),45476.431261574)</f>
        <v>45476.431261573998</v>
      </c>
      <c r="C336" s="8" t="str">
        <f ca="1">IFERROR(__xludf.UNSUPPORTED("""COMPUTED_VALUE"""),"Aratu")</f>
        <v>Aratu</v>
      </c>
      <c r="D336" s="3" t="str">
        <f ca="1">IFERROR(__xludf.UNSUPPORTED("""COMPUTED_VALUE"""),"🚢 REGULAR")</f>
        <v>🚢 REGULAR</v>
      </c>
      <c r="E336" s="3" t="str">
        <f ca="1">IFERROR(__xludf.UNSUPPORTED("""COMPUTED_VALUE"""),"🚛 LIBERADO")</f>
        <v>🚛 LIBERADO</v>
      </c>
      <c r="F336" s="5">
        <f ca="1">IFERROR(__xludf.UNSUPPORTED("""COMPUTED_VALUE"""),0)</f>
        <v>0</v>
      </c>
      <c r="G336" s="3" t="str">
        <f ca="1">IFERROR(__xludf.UNSUPPORTED("""COMPUTED_VALUE"""),"Normalidade")</f>
        <v>Normalidade</v>
      </c>
      <c r="H336" s="4">
        <f ca="1">IFERROR(__xludf.UNSUPPORTED("""COMPUTED_VALUE"""),45476.431261574)</f>
        <v>45476.431261573998</v>
      </c>
      <c r="I336" s="3">
        <f ca="1">IFERROR(__xludf.UNSUPPORTED("""COMPUTED_VALUE"""),24)</f>
        <v>24</v>
      </c>
      <c r="J336" s="4">
        <f ca="1">IFERROR(__xludf.UNSUPPORTED("""COMPUTED_VALUE"""),45477.431261574)</f>
        <v>45477.431261573998</v>
      </c>
      <c r="L336" s="3" t="str">
        <f ca="1">IFERROR(__xludf.UNSUPPORTED("""COMPUTED_VALUE"""),"Normalidade")</f>
        <v>Normalidade</v>
      </c>
    </row>
    <row r="337" spans="1:12" ht="12.75">
      <c r="A337" s="3" t="str">
        <f ca="1">IFERROR(__xludf.UNSUPPORTED("""COMPUTED_VALUE"""),"5d67450a")</f>
        <v>5d67450a</v>
      </c>
      <c r="B337" s="4">
        <f ca="1">IFERROR(__xludf.UNSUPPORTED("""COMPUTED_VALUE"""),45482.5467129629)</f>
        <v>45482.546712962903</v>
      </c>
      <c r="C337" s="7" t="str">
        <f ca="1">IFERROR(__xludf.UNSUPPORTED("""COMPUTED_VALUE"""),"Aratu")</f>
        <v>Aratu</v>
      </c>
      <c r="D337" s="3" t="str">
        <f ca="1">IFERROR(__xludf.UNSUPPORTED("""COMPUTED_VALUE"""),"🚢 REGULAR")</f>
        <v>🚢 REGULAR</v>
      </c>
      <c r="E337" s="3" t="str">
        <f ca="1">IFERROR(__xludf.UNSUPPORTED("""COMPUTED_VALUE"""),"🚛 LIBERADO")</f>
        <v>🚛 LIBERADO</v>
      </c>
      <c r="F337" s="5">
        <f ca="1">IFERROR(__xludf.UNSUPPORTED("""COMPUTED_VALUE"""),0)</f>
        <v>0</v>
      </c>
      <c r="G337" s="3" t="str">
        <f ca="1">IFERROR(__xludf.UNSUPPORTED("""COMPUTED_VALUE"""),"Normalidade")</f>
        <v>Normalidade</v>
      </c>
      <c r="H337" s="4">
        <f ca="1">IFERROR(__xludf.UNSUPPORTED("""COMPUTED_VALUE"""),45482.5467129629)</f>
        <v>45482.546712962903</v>
      </c>
      <c r="I337" s="3">
        <f ca="1">IFERROR(__xludf.UNSUPPORTED("""COMPUTED_VALUE"""),24)</f>
        <v>24</v>
      </c>
      <c r="J337" s="4">
        <f ca="1">IFERROR(__xludf.UNSUPPORTED("""COMPUTED_VALUE"""),45483.5467129629)</f>
        <v>45483.546712962903</v>
      </c>
      <c r="L337" s="3" t="str">
        <f ca="1">IFERROR(__xludf.UNSUPPORTED("""COMPUTED_VALUE"""),"Normalidade")</f>
        <v>Normalidade</v>
      </c>
    </row>
    <row r="338" spans="1:12" ht="12.75">
      <c r="A338" s="3" t="str">
        <f ca="1">IFERROR(__xludf.UNSUPPORTED("""COMPUTED_VALUE"""),"7cb36973")</f>
        <v>7cb36973</v>
      </c>
      <c r="B338" s="4">
        <f ca="1">IFERROR(__xludf.UNSUPPORTED("""COMPUTED_VALUE"""),45488.7022453703)</f>
        <v>45488.702245370303</v>
      </c>
      <c r="C338" s="8" t="str">
        <f ca="1">IFERROR(__xludf.UNSUPPORTED("""COMPUTED_VALUE"""),"Aratu")</f>
        <v>Aratu</v>
      </c>
      <c r="D338" s="3" t="str">
        <f ca="1">IFERROR(__xludf.UNSUPPORTED("""COMPUTED_VALUE"""),"🚢 REGULAR")</f>
        <v>🚢 REGULAR</v>
      </c>
      <c r="E338" s="3" t="str">
        <f ca="1">IFERROR(__xludf.UNSUPPORTED("""COMPUTED_VALUE"""),"🚛 LIBERADO")</f>
        <v>🚛 LIBERADO</v>
      </c>
      <c r="F338" s="5">
        <f ca="1">IFERROR(__xludf.UNSUPPORTED("""COMPUTED_VALUE"""),0)</f>
        <v>0</v>
      </c>
      <c r="G338" s="3" t="str">
        <f ca="1">IFERROR(__xludf.UNSUPPORTED("""COMPUTED_VALUE"""),"Normalidade")</f>
        <v>Normalidade</v>
      </c>
      <c r="H338" s="4">
        <f ca="1">IFERROR(__xludf.UNSUPPORTED("""COMPUTED_VALUE"""),45488.7022453703)</f>
        <v>45488.702245370303</v>
      </c>
      <c r="I338" s="3">
        <f ca="1">IFERROR(__xludf.UNSUPPORTED("""COMPUTED_VALUE"""),24)</f>
        <v>24</v>
      </c>
      <c r="J338" s="4">
        <f ca="1">IFERROR(__xludf.UNSUPPORTED("""COMPUTED_VALUE"""),45489.7022453703)</f>
        <v>45489.702245370303</v>
      </c>
      <c r="L338" s="3" t="str">
        <f ca="1">IFERROR(__xludf.UNSUPPORTED("""COMPUTED_VALUE"""),"Normalidade")</f>
        <v>Normalidade</v>
      </c>
    </row>
    <row r="339" spans="1:12" ht="12.75">
      <c r="A339" s="3" t="str">
        <f ca="1">IFERROR(__xludf.UNSUPPORTED("""COMPUTED_VALUE"""),"ac6b8a67")</f>
        <v>ac6b8a67</v>
      </c>
      <c r="B339" s="4">
        <f ca="1">IFERROR(__xludf.UNSUPPORTED("""COMPUTED_VALUE"""),45495.4423726851)</f>
        <v>45495.442372685102</v>
      </c>
      <c r="C339" s="8" t="str">
        <f ca="1">IFERROR(__xludf.UNSUPPORTED("""COMPUTED_VALUE"""),"Aratu")</f>
        <v>Aratu</v>
      </c>
      <c r="D339" s="3" t="str">
        <f ca="1">IFERROR(__xludf.UNSUPPORTED("""COMPUTED_VALUE"""),"🚢 REGULAR")</f>
        <v>🚢 REGULAR</v>
      </c>
      <c r="E339" s="3" t="str">
        <f ca="1">IFERROR(__xludf.UNSUPPORTED("""COMPUTED_VALUE"""),"🚛 LIBERADO")</f>
        <v>🚛 LIBERADO</v>
      </c>
      <c r="F339" s="5">
        <f ca="1">IFERROR(__xludf.UNSUPPORTED("""COMPUTED_VALUE"""),0)</f>
        <v>0</v>
      </c>
      <c r="G339" s="3" t="str">
        <f ca="1">IFERROR(__xludf.UNSUPPORTED("""COMPUTED_VALUE"""),"Normalidade")</f>
        <v>Normalidade</v>
      </c>
      <c r="H339" s="4">
        <f ca="1">IFERROR(__xludf.UNSUPPORTED("""COMPUTED_VALUE"""),45495.4423726851)</f>
        <v>45495.442372685102</v>
      </c>
      <c r="I339" s="3">
        <f ca="1">IFERROR(__xludf.UNSUPPORTED("""COMPUTED_VALUE"""),24)</f>
        <v>24</v>
      </c>
      <c r="J339" s="4">
        <f ca="1">IFERROR(__xludf.UNSUPPORTED("""COMPUTED_VALUE"""),45496.4423726851)</f>
        <v>45496.442372685102</v>
      </c>
      <c r="L339" s="3" t="str">
        <f ca="1">IFERROR(__xludf.UNSUPPORTED("""COMPUTED_VALUE"""),"Normalidade")</f>
        <v>Normalidade</v>
      </c>
    </row>
    <row r="340" spans="1:12" ht="12.75">
      <c r="A340" s="3" t="str">
        <f ca="1">IFERROR(__xludf.UNSUPPORTED("""COMPUTED_VALUE"""),"6a3220ce")</f>
        <v>6a3220ce</v>
      </c>
      <c r="B340" s="4">
        <f ca="1">IFERROR(__xludf.UNSUPPORTED("""COMPUTED_VALUE"""),45496.490474537)</f>
        <v>45496.490474537</v>
      </c>
      <c r="C340" s="8" t="str">
        <f ca="1">IFERROR(__xludf.UNSUPPORTED("""COMPUTED_VALUE"""),"Aratu")</f>
        <v>Aratu</v>
      </c>
      <c r="D340" s="3" t="str">
        <f ca="1">IFERROR(__xludf.UNSUPPORTED("""COMPUTED_VALUE"""),"🚢 REGULAR")</f>
        <v>🚢 REGULAR</v>
      </c>
      <c r="E340" s="3" t="str">
        <f ca="1">IFERROR(__xludf.UNSUPPORTED("""COMPUTED_VALUE"""),"🚛 LIBERADO")</f>
        <v>🚛 LIBERADO</v>
      </c>
      <c r="F340" s="5">
        <f ca="1">IFERROR(__xludf.UNSUPPORTED("""COMPUTED_VALUE"""),0)</f>
        <v>0</v>
      </c>
      <c r="G340" s="3" t="str">
        <f ca="1">IFERROR(__xludf.UNSUPPORTED("""COMPUTED_VALUE"""),"Normalidade")</f>
        <v>Normalidade</v>
      </c>
      <c r="H340" s="4">
        <f ca="1">IFERROR(__xludf.UNSUPPORTED("""COMPUTED_VALUE"""),45496.490474537)</f>
        <v>45496.490474537</v>
      </c>
      <c r="I340" s="3">
        <f ca="1">IFERROR(__xludf.UNSUPPORTED("""COMPUTED_VALUE"""),24)</f>
        <v>24</v>
      </c>
      <c r="J340" s="4">
        <f ca="1">IFERROR(__xludf.UNSUPPORTED("""COMPUTED_VALUE"""),45497.490474537)</f>
        <v>45497.490474537</v>
      </c>
      <c r="L340" s="3" t="str">
        <f ca="1">IFERROR(__xludf.UNSUPPORTED("""COMPUTED_VALUE"""),"Normalidade")</f>
        <v>Normalidade</v>
      </c>
    </row>
    <row r="341" spans="1:12" ht="12.75">
      <c r="A341" s="3" t="str">
        <f ca="1">IFERROR(__xludf.UNSUPPORTED("""COMPUTED_VALUE"""),"2ec5c300")</f>
        <v>2ec5c300</v>
      </c>
      <c r="B341" s="4">
        <f ca="1">IFERROR(__xludf.UNSUPPORTED("""COMPUTED_VALUE"""),45503.6174884259)</f>
        <v>45503.617488425902</v>
      </c>
      <c r="C341" s="8" t="str">
        <f ca="1">IFERROR(__xludf.UNSUPPORTED("""COMPUTED_VALUE"""),"Aratu")</f>
        <v>Aratu</v>
      </c>
      <c r="D341" s="3" t="str">
        <f ca="1">IFERROR(__xludf.UNSUPPORTED("""COMPUTED_VALUE"""),"🚢 REGULAR")</f>
        <v>🚢 REGULAR</v>
      </c>
      <c r="E341" s="3" t="str">
        <f ca="1">IFERROR(__xludf.UNSUPPORTED("""COMPUTED_VALUE"""),"🚛 LIBERADO")</f>
        <v>🚛 LIBERADO</v>
      </c>
      <c r="F341" s="5">
        <f ca="1">IFERROR(__xludf.UNSUPPORTED("""COMPUTED_VALUE"""),0)</f>
        <v>0</v>
      </c>
      <c r="G341" s="3" t="str">
        <f ca="1">IFERROR(__xludf.UNSUPPORTED("""COMPUTED_VALUE"""),"Normalidade")</f>
        <v>Normalidade</v>
      </c>
      <c r="H341" s="4">
        <f ca="1">IFERROR(__xludf.UNSUPPORTED("""COMPUTED_VALUE"""),45503.6174884259)</f>
        <v>45503.617488425902</v>
      </c>
      <c r="I341" s="3">
        <f ca="1">IFERROR(__xludf.UNSUPPORTED("""COMPUTED_VALUE"""),24)</f>
        <v>24</v>
      </c>
      <c r="J341" s="4">
        <f ca="1">IFERROR(__xludf.UNSUPPORTED("""COMPUTED_VALUE"""),45504.6174884259)</f>
        <v>45504.617488425902</v>
      </c>
      <c r="L341" s="3" t="str">
        <f ca="1">IFERROR(__xludf.UNSUPPORTED("""COMPUTED_VALUE"""),"Normalidade")</f>
        <v>Normalidade</v>
      </c>
    </row>
    <row r="342" spans="1:12" ht="12.75">
      <c r="A342" s="3" t="str">
        <f ca="1">IFERROR(__xludf.UNSUPPORTED("""COMPUTED_VALUE"""),"55582524")</f>
        <v>55582524</v>
      </c>
      <c r="B342" s="4">
        <f ca="1">IFERROR(__xludf.UNSUPPORTED("""COMPUTED_VALUE"""),45510.4808796296)</f>
        <v>45510.480879629598</v>
      </c>
      <c r="C342" s="8" t="str">
        <f ca="1">IFERROR(__xludf.UNSUPPORTED("""COMPUTED_VALUE"""),"Aratu")</f>
        <v>Aratu</v>
      </c>
      <c r="D342" s="3" t="str">
        <f ca="1">IFERROR(__xludf.UNSUPPORTED("""COMPUTED_VALUE"""),"🚢 REGULAR")</f>
        <v>🚢 REGULAR</v>
      </c>
      <c r="E342" s="3" t="str">
        <f ca="1">IFERROR(__xludf.UNSUPPORTED("""COMPUTED_VALUE"""),"🚛 LIBERADO")</f>
        <v>🚛 LIBERADO</v>
      </c>
      <c r="F342" s="5">
        <f ca="1">IFERROR(__xludf.UNSUPPORTED("""COMPUTED_VALUE"""),0)</f>
        <v>0</v>
      </c>
      <c r="G342" s="3" t="str">
        <f ca="1">IFERROR(__xludf.UNSUPPORTED("""COMPUTED_VALUE"""),"Normalidade")</f>
        <v>Normalidade</v>
      </c>
      <c r="H342" s="4">
        <f ca="1">IFERROR(__xludf.UNSUPPORTED("""COMPUTED_VALUE"""),45510.4808796296)</f>
        <v>45510.480879629598</v>
      </c>
      <c r="I342" s="3">
        <f ca="1">IFERROR(__xludf.UNSUPPORTED("""COMPUTED_VALUE"""),24)</f>
        <v>24</v>
      </c>
      <c r="J342" s="4">
        <f ca="1">IFERROR(__xludf.UNSUPPORTED("""COMPUTED_VALUE"""),45511.4808796296)</f>
        <v>45511.480879629598</v>
      </c>
      <c r="L342" s="3" t="str">
        <f ca="1">IFERROR(__xludf.UNSUPPORTED("""COMPUTED_VALUE"""),"Normalidade")</f>
        <v>Normalidade</v>
      </c>
    </row>
    <row r="343" spans="1:12" ht="12.75">
      <c r="A343" s="3" t="str">
        <f ca="1">IFERROR(__xludf.UNSUPPORTED("""COMPUTED_VALUE"""),"c219295b")</f>
        <v>c219295b</v>
      </c>
      <c r="B343" s="4">
        <f ca="1">IFERROR(__xludf.UNSUPPORTED("""COMPUTED_VALUE"""),45512.4708449074)</f>
        <v>45512.470844907402</v>
      </c>
      <c r="C343" s="8" t="str">
        <f ca="1">IFERROR(__xludf.UNSUPPORTED("""COMPUTED_VALUE"""),"Aratu")</f>
        <v>Aratu</v>
      </c>
      <c r="D343" s="3" t="str">
        <f ca="1">IFERROR(__xludf.UNSUPPORTED("""COMPUTED_VALUE"""),"🚢 REGULAR")</f>
        <v>🚢 REGULAR</v>
      </c>
      <c r="E343" s="3" t="str">
        <f ca="1">IFERROR(__xludf.UNSUPPORTED("""COMPUTED_VALUE"""),"🚛 LIBERADO")</f>
        <v>🚛 LIBERADO</v>
      </c>
      <c r="F343" s="5">
        <f ca="1">IFERROR(__xludf.UNSUPPORTED("""COMPUTED_VALUE"""),0)</f>
        <v>0</v>
      </c>
      <c r="G343" s="3" t="str">
        <f ca="1">IFERROR(__xludf.UNSUPPORTED("""COMPUTED_VALUE"""),"Normalidade")</f>
        <v>Normalidade</v>
      </c>
      <c r="H343" s="4">
        <f ca="1">IFERROR(__xludf.UNSUPPORTED("""COMPUTED_VALUE"""),45512.4708449074)</f>
        <v>45512.470844907402</v>
      </c>
      <c r="I343" s="3">
        <f ca="1">IFERROR(__xludf.UNSUPPORTED("""COMPUTED_VALUE"""),24)</f>
        <v>24</v>
      </c>
      <c r="J343" s="4">
        <f ca="1">IFERROR(__xludf.UNSUPPORTED("""COMPUTED_VALUE"""),45513.4708449074)</f>
        <v>45513.470844907402</v>
      </c>
      <c r="L343" s="3" t="str">
        <f ca="1">IFERROR(__xludf.UNSUPPORTED("""COMPUTED_VALUE"""),"Normalidade")</f>
        <v>Normalidade</v>
      </c>
    </row>
    <row r="344" spans="1:12" ht="12.75">
      <c r="A344" s="3" t="str">
        <f ca="1">IFERROR(__xludf.UNSUPPORTED("""COMPUTED_VALUE"""),"ee054c66")</f>
        <v>ee054c66</v>
      </c>
      <c r="B344" s="4">
        <f ca="1">IFERROR(__xludf.UNSUPPORTED("""COMPUTED_VALUE"""),45516.5723379629)</f>
        <v>45516.572337962898</v>
      </c>
      <c r="C344" s="7" t="str">
        <f ca="1">IFERROR(__xludf.UNSUPPORTED("""COMPUTED_VALUE"""),"Aratu")</f>
        <v>Aratu</v>
      </c>
      <c r="D344" s="3" t="str">
        <f ca="1">IFERROR(__xludf.UNSUPPORTED("""COMPUTED_VALUE"""),"🚢 REGULAR")</f>
        <v>🚢 REGULAR</v>
      </c>
      <c r="E344" s="3" t="str">
        <f ca="1">IFERROR(__xludf.UNSUPPORTED("""COMPUTED_VALUE"""),"🚛 LIBERADO")</f>
        <v>🚛 LIBERADO</v>
      </c>
      <c r="F344" s="5">
        <f ca="1">IFERROR(__xludf.UNSUPPORTED("""COMPUTED_VALUE"""),0)</f>
        <v>0</v>
      </c>
      <c r="G344" s="3" t="str">
        <f ca="1">IFERROR(__xludf.UNSUPPORTED("""COMPUTED_VALUE"""),"Normalidade")</f>
        <v>Normalidade</v>
      </c>
      <c r="H344" s="4">
        <f ca="1">IFERROR(__xludf.UNSUPPORTED("""COMPUTED_VALUE"""),45516.5723379629)</f>
        <v>45516.572337962898</v>
      </c>
      <c r="I344" s="3">
        <f ca="1">IFERROR(__xludf.UNSUPPORTED("""COMPUTED_VALUE"""),24)</f>
        <v>24</v>
      </c>
      <c r="J344" s="4">
        <f ca="1">IFERROR(__xludf.UNSUPPORTED("""COMPUTED_VALUE"""),45517.5723379629)</f>
        <v>45517.572337962898</v>
      </c>
      <c r="L344" s="3" t="str">
        <f ca="1">IFERROR(__xludf.UNSUPPORTED("""COMPUTED_VALUE"""),"Normalidade")</f>
        <v>Normalidade</v>
      </c>
    </row>
    <row r="345" spans="1:12" ht="12.75">
      <c r="A345" s="3" t="str">
        <f ca="1">IFERROR(__xludf.UNSUPPORTED("""COMPUTED_VALUE"""),"33e8e261")</f>
        <v>33e8e261</v>
      </c>
      <c r="B345" s="4">
        <f ca="1">IFERROR(__xludf.UNSUPPORTED("""COMPUTED_VALUE"""),45525.5331597222)</f>
        <v>45525.533159722203</v>
      </c>
      <c r="C345" s="8" t="str">
        <f ca="1">IFERROR(__xludf.UNSUPPORTED("""COMPUTED_VALUE"""),"Aratu")</f>
        <v>Aratu</v>
      </c>
      <c r="D345" s="3" t="str">
        <f ca="1">IFERROR(__xludf.UNSUPPORTED("""COMPUTED_VALUE"""),"🚢 REGULAR")</f>
        <v>🚢 REGULAR</v>
      </c>
      <c r="E345" s="3" t="str">
        <f ca="1">IFERROR(__xludf.UNSUPPORTED("""COMPUTED_VALUE"""),"🚛 LIBERADO")</f>
        <v>🚛 LIBERADO</v>
      </c>
      <c r="F345" s="5">
        <f ca="1">IFERROR(__xludf.UNSUPPORTED("""COMPUTED_VALUE"""),0)</f>
        <v>0</v>
      </c>
      <c r="G345" s="3" t="str">
        <f ca="1">IFERROR(__xludf.UNSUPPORTED("""COMPUTED_VALUE"""),"Normalidade")</f>
        <v>Normalidade</v>
      </c>
      <c r="H345" s="4">
        <f ca="1">IFERROR(__xludf.UNSUPPORTED("""COMPUTED_VALUE"""),45525.5331597222)</f>
        <v>45525.533159722203</v>
      </c>
      <c r="I345" s="3">
        <f ca="1">IFERROR(__xludf.UNSUPPORTED("""COMPUTED_VALUE"""),24)</f>
        <v>24</v>
      </c>
      <c r="J345" s="4">
        <f ca="1">IFERROR(__xludf.UNSUPPORTED("""COMPUTED_VALUE"""),45526.5331597222)</f>
        <v>45526.533159722203</v>
      </c>
      <c r="L345" s="3" t="str">
        <f ca="1">IFERROR(__xludf.UNSUPPORTED("""COMPUTED_VALUE"""),"Normalidade")</f>
        <v>Normalidade</v>
      </c>
    </row>
    <row r="346" spans="1:12" ht="12.75">
      <c r="A346" s="3" t="str">
        <f ca="1">IFERROR(__xludf.UNSUPPORTED("""COMPUTED_VALUE"""),"1a58fe57")</f>
        <v>1a58fe57</v>
      </c>
      <c r="B346" s="4">
        <f ca="1">IFERROR(__xludf.UNSUPPORTED("""COMPUTED_VALUE"""),45530.4190393518)</f>
        <v>45530.4190393518</v>
      </c>
      <c r="C346" s="7" t="str">
        <f ca="1">IFERROR(__xludf.UNSUPPORTED("""COMPUTED_VALUE"""),"Aratu")</f>
        <v>Aratu</v>
      </c>
      <c r="D346" s="3" t="str">
        <f ca="1">IFERROR(__xludf.UNSUPPORTED("""COMPUTED_VALUE"""),"🚢 REGULAR")</f>
        <v>🚢 REGULAR</v>
      </c>
      <c r="E346" s="3" t="str">
        <f ca="1">IFERROR(__xludf.UNSUPPORTED("""COMPUTED_VALUE"""),"🚛 LIBERADO")</f>
        <v>🚛 LIBERADO</v>
      </c>
      <c r="F346" s="5">
        <f ca="1">IFERROR(__xludf.UNSUPPORTED("""COMPUTED_VALUE"""),0)</f>
        <v>0</v>
      </c>
      <c r="G346" s="3" t="str">
        <f ca="1">IFERROR(__xludf.UNSUPPORTED("""COMPUTED_VALUE"""),"Normalidade")</f>
        <v>Normalidade</v>
      </c>
      <c r="H346" s="4">
        <f ca="1">IFERROR(__xludf.UNSUPPORTED("""COMPUTED_VALUE"""),45530.4190393518)</f>
        <v>45530.4190393518</v>
      </c>
      <c r="I346" s="3">
        <f ca="1">IFERROR(__xludf.UNSUPPORTED("""COMPUTED_VALUE"""),24)</f>
        <v>24</v>
      </c>
      <c r="J346" s="4">
        <f ca="1">IFERROR(__xludf.UNSUPPORTED("""COMPUTED_VALUE"""),45531.4190393518)</f>
        <v>45531.4190393518</v>
      </c>
      <c r="L346" s="3" t="str">
        <f ca="1">IFERROR(__xludf.UNSUPPORTED("""COMPUTED_VALUE"""),"Normalidade")</f>
        <v>Normalidade</v>
      </c>
    </row>
    <row r="347" spans="1:12" ht="12.75">
      <c r="A347" s="3" t="str">
        <f ca="1">IFERROR(__xludf.UNSUPPORTED("""COMPUTED_VALUE"""),"27bf15b5")</f>
        <v>27bf15b5</v>
      </c>
      <c r="B347" s="4">
        <f ca="1">IFERROR(__xludf.UNSUPPORTED("""COMPUTED_VALUE"""),45531.7179166666)</f>
        <v>45531.717916666603</v>
      </c>
      <c r="C347" s="7" t="str">
        <f ca="1">IFERROR(__xludf.UNSUPPORTED("""COMPUTED_VALUE"""),"Aratu")</f>
        <v>Aratu</v>
      </c>
      <c r="D347" s="3" t="str">
        <f ca="1">IFERROR(__xludf.UNSUPPORTED("""COMPUTED_VALUE"""),"🚢 REGULAR")</f>
        <v>🚢 REGULAR</v>
      </c>
      <c r="E347" s="3" t="str">
        <f ca="1">IFERROR(__xludf.UNSUPPORTED("""COMPUTED_VALUE"""),"🚛 LIBERADO")</f>
        <v>🚛 LIBERADO</v>
      </c>
      <c r="F347" s="5">
        <f ca="1">IFERROR(__xludf.UNSUPPORTED("""COMPUTED_VALUE"""),0)</f>
        <v>0</v>
      </c>
      <c r="G347" s="3" t="str">
        <f ca="1">IFERROR(__xludf.UNSUPPORTED("""COMPUTED_VALUE"""),"Normalidade")</f>
        <v>Normalidade</v>
      </c>
      <c r="H347" s="4">
        <f ca="1">IFERROR(__xludf.UNSUPPORTED("""COMPUTED_VALUE"""),45531.7179166666)</f>
        <v>45531.717916666603</v>
      </c>
      <c r="I347" s="3">
        <f ca="1">IFERROR(__xludf.UNSUPPORTED("""COMPUTED_VALUE"""),24)</f>
        <v>24</v>
      </c>
      <c r="J347" s="4">
        <f ca="1">IFERROR(__xludf.UNSUPPORTED("""COMPUTED_VALUE"""),45532.7179166666)</f>
        <v>45532.717916666603</v>
      </c>
      <c r="L347" s="3" t="str">
        <f ca="1">IFERROR(__xludf.UNSUPPORTED("""COMPUTED_VALUE"""),"Normalidade")</f>
        <v>Normalidade</v>
      </c>
    </row>
    <row r="348" spans="1:12" ht="12.75">
      <c r="A348" s="3" t="str">
        <f ca="1">IFERROR(__xludf.UNSUPPORTED("""COMPUTED_VALUE"""),"2401c709")</f>
        <v>2401c709</v>
      </c>
      <c r="B348" s="4">
        <f ca="1">IFERROR(__xludf.UNSUPPORTED("""COMPUTED_VALUE"""),45532.4717708333)</f>
        <v>45532.471770833297</v>
      </c>
      <c r="C348" s="7" t="str">
        <f ca="1">IFERROR(__xludf.UNSUPPORTED("""COMPUTED_VALUE"""),"Aratu")</f>
        <v>Aratu</v>
      </c>
      <c r="D348" s="3" t="str">
        <f ca="1">IFERROR(__xludf.UNSUPPORTED("""COMPUTED_VALUE"""),"🚢 REGULAR")</f>
        <v>🚢 REGULAR</v>
      </c>
      <c r="E348" s="3" t="str">
        <f ca="1">IFERROR(__xludf.UNSUPPORTED("""COMPUTED_VALUE"""),"🚛 LIBERADO")</f>
        <v>🚛 LIBERADO</v>
      </c>
      <c r="F348" s="5">
        <f ca="1">IFERROR(__xludf.UNSUPPORTED("""COMPUTED_VALUE"""),0)</f>
        <v>0</v>
      </c>
      <c r="G348" s="3" t="str">
        <f ca="1">IFERROR(__xludf.UNSUPPORTED("""COMPUTED_VALUE"""),"Normalidade")</f>
        <v>Normalidade</v>
      </c>
      <c r="H348" s="4">
        <f ca="1">IFERROR(__xludf.UNSUPPORTED("""COMPUTED_VALUE"""),45532.4717708333)</f>
        <v>45532.471770833297</v>
      </c>
      <c r="I348" s="3">
        <f ca="1">IFERROR(__xludf.UNSUPPORTED("""COMPUTED_VALUE"""),24)</f>
        <v>24</v>
      </c>
      <c r="J348" s="4">
        <f ca="1">IFERROR(__xludf.UNSUPPORTED("""COMPUTED_VALUE"""),45533.4717708333)</f>
        <v>45533.471770833297</v>
      </c>
      <c r="L348" s="3" t="str">
        <f ca="1">IFERROR(__xludf.UNSUPPORTED("""COMPUTED_VALUE"""),"Normalidade")</f>
        <v>Normalidade</v>
      </c>
    </row>
    <row r="349" spans="1:12" ht="12.75">
      <c r="A349" s="3" t="str">
        <f ca="1">IFERROR(__xludf.UNSUPPORTED("""COMPUTED_VALUE"""),"718f801f")</f>
        <v>718f801f</v>
      </c>
      <c r="B349" s="4">
        <f ca="1">IFERROR(__xludf.UNSUPPORTED("""COMPUTED_VALUE"""),45533.4305208333)</f>
        <v>45533.430520833303</v>
      </c>
      <c r="C349" s="8" t="str">
        <f ca="1">IFERROR(__xludf.UNSUPPORTED("""COMPUTED_VALUE"""),"Aratu")</f>
        <v>Aratu</v>
      </c>
      <c r="D349" s="3" t="str">
        <f ca="1">IFERROR(__xludf.UNSUPPORTED("""COMPUTED_VALUE"""),"🚢 REGULAR")</f>
        <v>🚢 REGULAR</v>
      </c>
      <c r="E349" s="3" t="str">
        <f ca="1">IFERROR(__xludf.UNSUPPORTED("""COMPUTED_VALUE"""),"🚛 LIBERADO")</f>
        <v>🚛 LIBERADO</v>
      </c>
      <c r="F349" s="5">
        <f ca="1">IFERROR(__xludf.UNSUPPORTED("""COMPUTED_VALUE"""),0)</f>
        <v>0</v>
      </c>
      <c r="G349" s="3" t="str">
        <f ca="1">IFERROR(__xludf.UNSUPPORTED("""COMPUTED_VALUE"""),"Normalidade")</f>
        <v>Normalidade</v>
      </c>
      <c r="H349" s="4">
        <f ca="1">IFERROR(__xludf.UNSUPPORTED("""COMPUTED_VALUE"""),45533.4305208333)</f>
        <v>45533.430520833303</v>
      </c>
      <c r="I349" s="3">
        <f ca="1">IFERROR(__xludf.UNSUPPORTED("""COMPUTED_VALUE"""),24)</f>
        <v>24</v>
      </c>
      <c r="J349" s="4">
        <f ca="1">IFERROR(__xludf.UNSUPPORTED("""COMPUTED_VALUE"""),45534.4305208333)</f>
        <v>45534.430520833303</v>
      </c>
      <c r="L349" s="3" t="str">
        <f ca="1">IFERROR(__xludf.UNSUPPORTED("""COMPUTED_VALUE"""),"Normalidade")</f>
        <v>Normalidade</v>
      </c>
    </row>
    <row r="350" spans="1:12" ht="12.75">
      <c r="A350" s="3" t="str">
        <f ca="1">IFERROR(__xludf.UNSUPPORTED("""COMPUTED_VALUE"""),"fd3e576d")</f>
        <v>fd3e576d</v>
      </c>
      <c r="B350" s="4">
        <f ca="1">IFERROR(__xludf.UNSUPPORTED("""COMPUTED_VALUE"""),45540.4967129629)</f>
        <v>45540.4967129629</v>
      </c>
      <c r="C350" s="7" t="str">
        <f ca="1">IFERROR(__xludf.UNSUPPORTED("""COMPUTED_VALUE"""),"Aratu")</f>
        <v>Aratu</v>
      </c>
      <c r="D350" s="3" t="str">
        <f ca="1">IFERROR(__xludf.UNSUPPORTED("""COMPUTED_VALUE"""),"🚢 REGULAR")</f>
        <v>🚢 REGULAR</v>
      </c>
      <c r="E350" s="3" t="str">
        <f ca="1">IFERROR(__xludf.UNSUPPORTED("""COMPUTED_VALUE"""),"🚛 LIBERADO")</f>
        <v>🚛 LIBERADO</v>
      </c>
      <c r="F350" s="5">
        <f ca="1">IFERROR(__xludf.UNSUPPORTED("""COMPUTED_VALUE"""),0)</f>
        <v>0</v>
      </c>
      <c r="G350" s="3" t="str">
        <f ca="1">IFERROR(__xludf.UNSUPPORTED("""COMPUTED_VALUE"""),"Normalidade")</f>
        <v>Normalidade</v>
      </c>
      <c r="H350" s="4">
        <f ca="1">IFERROR(__xludf.UNSUPPORTED("""COMPUTED_VALUE"""),45540.4967129629)</f>
        <v>45540.4967129629</v>
      </c>
      <c r="I350" s="3">
        <f ca="1">IFERROR(__xludf.UNSUPPORTED("""COMPUTED_VALUE"""),24)</f>
        <v>24</v>
      </c>
      <c r="J350" s="4">
        <f ca="1">IFERROR(__xludf.UNSUPPORTED("""COMPUTED_VALUE"""),45541.4967129629)</f>
        <v>45541.4967129629</v>
      </c>
      <c r="L350" s="3" t="str">
        <f ca="1">IFERROR(__xludf.UNSUPPORTED("""COMPUTED_VALUE"""),"Normalidade")</f>
        <v>Normalidade</v>
      </c>
    </row>
    <row r="351" spans="1:12" ht="12.75">
      <c r="A351" s="3" t="str">
        <f ca="1">IFERROR(__xludf.UNSUPPORTED("""COMPUTED_VALUE"""),"88550ede")</f>
        <v>88550ede</v>
      </c>
      <c r="B351" s="4">
        <f ca="1">IFERROR(__xludf.UNSUPPORTED("""COMPUTED_VALUE"""),45544.3960763888)</f>
        <v>45544.396076388803</v>
      </c>
      <c r="C351" s="7" t="str">
        <f ca="1">IFERROR(__xludf.UNSUPPORTED("""COMPUTED_VALUE"""),"Aratu")</f>
        <v>Aratu</v>
      </c>
      <c r="D351" s="3" t="str">
        <f ca="1">IFERROR(__xludf.UNSUPPORTED("""COMPUTED_VALUE"""),"🚢 REGULAR")</f>
        <v>🚢 REGULAR</v>
      </c>
      <c r="E351" s="3" t="str">
        <f ca="1">IFERROR(__xludf.UNSUPPORTED("""COMPUTED_VALUE"""),"🚛 LIBERADO")</f>
        <v>🚛 LIBERADO</v>
      </c>
      <c r="F351" s="5">
        <f ca="1">IFERROR(__xludf.UNSUPPORTED("""COMPUTED_VALUE"""),0)</f>
        <v>0</v>
      </c>
      <c r="G351" s="3" t="str">
        <f ca="1">IFERROR(__xludf.UNSUPPORTED("""COMPUTED_VALUE"""),"Normalidade")</f>
        <v>Normalidade</v>
      </c>
      <c r="H351" s="4">
        <f ca="1">IFERROR(__xludf.UNSUPPORTED("""COMPUTED_VALUE"""),45544.3960763888)</f>
        <v>45544.396076388803</v>
      </c>
      <c r="I351" s="3">
        <f ca="1">IFERROR(__xludf.UNSUPPORTED("""COMPUTED_VALUE"""),24)</f>
        <v>24</v>
      </c>
      <c r="J351" s="4">
        <f ca="1">IFERROR(__xludf.UNSUPPORTED("""COMPUTED_VALUE"""),45545.3960763888)</f>
        <v>45545.396076388803</v>
      </c>
      <c r="L351" s="3" t="str">
        <f ca="1">IFERROR(__xludf.UNSUPPORTED("""COMPUTED_VALUE"""),"Normalidade")</f>
        <v>Normalidade</v>
      </c>
    </row>
    <row r="352" spans="1:12" ht="12.75">
      <c r="A352" s="3" t="str">
        <f ca="1">IFERROR(__xludf.UNSUPPORTED("""COMPUTED_VALUE"""),"5bef590b")</f>
        <v>5bef590b</v>
      </c>
      <c r="B352" s="4">
        <f ca="1">IFERROR(__xludf.UNSUPPORTED("""COMPUTED_VALUE"""),45547.5082060185)</f>
        <v>45547.508206018501</v>
      </c>
      <c r="C352" s="8" t="str">
        <f ca="1">IFERROR(__xludf.UNSUPPORTED("""COMPUTED_VALUE"""),"Aratu")</f>
        <v>Aratu</v>
      </c>
      <c r="D352" s="3" t="str">
        <f ca="1">IFERROR(__xludf.UNSUPPORTED("""COMPUTED_VALUE"""),"🚢 REGULAR")</f>
        <v>🚢 REGULAR</v>
      </c>
      <c r="E352" s="3" t="str">
        <f ca="1">IFERROR(__xludf.UNSUPPORTED("""COMPUTED_VALUE"""),"🚛 LIBERADO")</f>
        <v>🚛 LIBERADO</v>
      </c>
      <c r="F352" s="5">
        <f ca="1">IFERROR(__xludf.UNSUPPORTED("""COMPUTED_VALUE"""),0)</f>
        <v>0</v>
      </c>
      <c r="G352" s="3" t="str">
        <f ca="1">IFERROR(__xludf.UNSUPPORTED("""COMPUTED_VALUE"""),"Normalidade")</f>
        <v>Normalidade</v>
      </c>
      <c r="H352" s="4">
        <f ca="1">IFERROR(__xludf.UNSUPPORTED("""COMPUTED_VALUE"""),45547.5082060185)</f>
        <v>45547.508206018501</v>
      </c>
      <c r="I352" s="3">
        <f ca="1">IFERROR(__xludf.UNSUPPORTED("""COMPUTED_VALUE"""),24)</f>
        <v>24</v>
      </c>
      <c r="J352" s="4">
        <f ca="1">IFERROR(__xludf.UNSUPPORTED("""COMPUTED_VALUE"""),45548.5082060185)</f>
        <v>45548.508206018501</v>
      </c>
      <c r="L352" s="3" t="str">
        <f ca="1">IFERROR(__xludf.UNSUPPORTED("""COMPUTED_VALUE"""),"Normalidade")</f>
        <v>Normalidade</v>
      </c>
    </row>
    <row r="353" spans="1:12" ht="12.75">
      <c r="A353" s="3" t="str">
        <f ca="1">IFERROR(__xludf.UNSUPPORTED("""COMPUTED_VALUE"""),"a3953b6c")</f>
        <v>a3953b6c</v>
      </c>
      <c r="B353" s="4">
        <f ca="1">IFERROR(__xludf.UNSUPPORTED("""COMPUTED_VALUE"""),45551.4512384259)</f>
        <v>45551.4512384259</v>
      </c>
      <c r="C353" s="7" t="str">
        <f ca="1">IFERROR(__xludf.UNSUPPORTED("""COMPUTED_VALUE"""),"Aratu")</f>
        <v>Aratu</v>
      </c>
      <c r="D353" s="3" t="str">
        <f ca="1">IFERROR(__xludf.UNSUPPORTED("""COMPUTED_VALUE"""),"🚢 REGULAR")</f>
        <v>🚢 REGULAR</v>
      </c>
      <c r="E353" s="3" t="str">
        <f ca="1">IFERROR(__xludf.UNSUPPORTED("""COMPUTED_VALUE"""),"🚛 LIBERADO")</f>
        <v>🚛 LIBERADO</v>
      </c>
      <c r="F353" s="5">
        <f ca="1">IFERROR(__xludf.UNSUPPORTED("""COMPUTED_VALUE"""),0)</f>
        <v>0</v>
      </c>
      <c r="G353" s="3" t="str">
        <f ca="1">IFERROR(__xludf.UNSUPPORTED("""COMPUTED_VALUE"""),"Normalidade")</f>
        <v>Normalidade</v>
      </c>
      <c r="H353" s="4">
        <f ca="1">IFERROR(__xludf.UNSUPPORTED("""COMPUTED_VALUE"""),45551.4512384259)</f>
        <v>45551.4512384259</v>
      </c>
      <c r="I353" s="3">
        <f ca="1">IFERROR(__xludf.UNSUPPORTED("""COMPUTED_VALUE"""),24)</f>
        <v>24</v>
      </c>
      <c r="J353" s="4">
        <f ca="1">IFERROR(__xludf.UNSUPPORTED("""COMPUTED_VALUE"""),45552.4512384259)</f>
        <v>45552.4512384259</v>
      </c>
      <c r="L353" s="3" t="str">
        <f ca="1">IFERROR(__xludf.UNSUPPORTED("""COMPUTED_VALUE"""),"Normalidade")</f>
        <v>Normalidade</v>
      </c>
    </row>
    <row r="354" spans="1:12" ht="12.75">
      <c r="A354" s="3" t="str">
        <f ca="1">IFERROR(__xludf.UNSUPPORTED("""COMPUTED_VALUE"""),"46f1f301")</f>
        <v>46f1f301</v>
      </c>
      <c r="B354" s="4">
        <f ca="1">IFERROR(__xludf.UNSUPPORTED("""COMPUTED_VALUE"""),45552.2854398148)</f>
        <v>45552.285439814797</v>
      </c>
      <c r="C354" s="7" t="str">
        <f ca="1">IFERROR(__xludf.UNSUPPORTED("""COMPUTED_VALUE"""),"Aratu")</f>
        <v>Aratu</v>
      </c>
      <c r="D354" s="3" t="str">
        <f ca="1">IFERROR(__xludf.UNSUPPORTED("""COMPUTED_VALUE"""),"🚢 REGULAR")</f>
        <v>🚢 REGULAR</v>
      </c>
      <c r="E354" s="3" t="str">
        <f ca="1">IFERROR(__xludf.UNSUPPORTED("""COMPUTED_VALUE"""),"🚛 LIBERADO")</f>
        <v>🚛 LIBERADO</v>
      </c>
      <c r="F354" s="5">
        <f ca="1">IFERROR(__xludf.UNSUPPORTED("""COMPUTED_VALUE"""),0)</f>
        <v>0</v>
      </c>
      <c r="G354" s="3" t="str">
        <f ca="1">IFERROR(__xludf.UNSUPPORTED("""COMPUTED_VALUE"""),"Normalidade")</f>
        <v>Normalidade</v>
      </c>
      <c r="H354" s="4">
        <f ca="1">IFERROR(__xludf.UNSUPPORTED("""COMPUTED_VALUE"""),45552.2854398148)</f>
        <v>45552.285439814797</v>
      </c>
      <c r="I354" s="3">
        <f ca="1">IFERROR(__xludf.UNSUPPORTED("""COMPUTED_VALUE"""),24)</f>
        <v>24</v>
      </c>
      <c r="J354" s="4">
        <f ca="1">IFERROR(__xludf.UNSUPPORTED("""COMPUTED_VALUE"""),45553.2854398148)</f>
        <v>45553.285439814797</v>
      </c>
      <c r="L354" s="3" t="str">
        <f ca="1">IFERROR(__xludf.UNSUPPORTED("""COMPUTED_VALUE"""),"Normalidade")</f>
        <v>Normalidade</v>
      </c>
    </row>
    <row r="355" spans="1:12" ht="12.75">
      <c r="A355" s="3" t="str">
        <f ca="1">IFERROR(__xludf.UNSUPPORTED("""COMPUTED_VALUE"""),"f532e529")</f>
        <v>f532e529</v>
      </c>
      <c r="B355" s="4">
        <f ca="1">IFERROR(__xludf.UNSUPPORTED("""COMPUTED_VALUE"""),45554.3808449074)</f>
        <v>45554.380844907399</v>
      </c>
      <c r="C355" s="7" t="str">
        <f ca="1">IFERROR(__xludf.UNSUPPORTED("""COMPUTED_VALUE"""),"Aratu")</f>
        <v>Aratu</v>
      </c>
      <c r="D355" s="3" t="str">
        <f ca="1">IFERROR(__xludf.UNSUPPORTED("""COMPUTED_VALUE"""),"🚢 REGULAR")</f>
        <v>🚢 REGULAR</v>
      </c>
      <c r="E355" s="3" t="str">
        <f ca="1">IFERROR(__xludf.UNSUPPORTED("""COMPUTED_VALUE"""),"🚛 LIBERADO")</f>
        <v>🚛 LIBERADO</v>
      </c>
      <c r="F355" s="5">
        <f ca="1">IFERROR(__xludf.UNSUPPORTED("""COMPUTED_VALUE"""),0)</f>
        <v>0</v>
      </c>
      <c r="G355" s="3" t="str">
        <f ca="1">IFERROR(__xludf.UNSUPPORTED("""COMPUTED_VALUE"""),"Normalidade")</f>
        <v>Normalidade</v>
      </c>
      <c r="H355" s="4">
        <f ca="1">IFERROR(__xludf.UNSUPPORTED("""COMPUTED_VALUE"""),45554.3808449074)</f>
        <v>45554.380844907399</v>
      </c>
      <c r="I355" s="3">
        <f ca="1">IFERROR(__xludf.UNSUPPORTED("""COMPUTED_VALUE"""),24)</f>
        <v>24</v>
      </c>
      <c r="J355" s="4">
        <f ca="1">IFERROR(__xludf.UNSUPPORTED("""COMPUTED_VALUE"""),45555.3808449074)</f>
        <v>45555.380844907399</v>
      </c>
      <c r="L355" s="3" t="str">
        <f ca="1">IFERROR(__xludf.UNSUPPORTED("""COMPUTED_VALUE"""),"Normalidade")</f>
        <v>Normalidade</v>
      </c>
    </row>
    <row r="356" spans="1:12" ht="12.75">
      <c r="A356" s="3" t="str">
        <f ca="1">IFERROR(__xludf.UNSUPPORTED("""COMPUTED_VALUE"""),"5f0e10da")</f>
        <v>5f0e10da</v>
      </c>
      <c r="B356" s="4">
        <f ca="1">IFERROR(__xludf.UNSUPPORTED("""COMPUTED_VALUE"""),45555.5929050925)</f>
        <v>45555.592905092497</v>
      </c>
      <c r="C356" s="8" t="str">
        <f ca="1">IFERROR(__xludf.UNSUPPORTED("""COMPUTED_VALUE"""),"Aratu")</f>
        <v>Aratu</v>
      </c>
      <c r="D356" s="3" t="str">
        <f ca="1">IFERROR(__xludf.UNSUPPORTED("""COMPUTED_VALUE"""),"🚢 REGULAR")</f>
        <v>🚢 REGULAR</v>
      </c>
      <c r="E356" s="3" t="str">
        <f ca="1">IFERROR(__xludf.UNSUPPORTED("""COMPUTED_VALUE"""),"🚛 LIBERADO")</f>
        <v>🚛 LIBERADO</v>
      </c>
      <c r="F356" s="5">
        <f ca="1">IFERROR(__xludf.UNSUPPORTED("""COMPUTED_VALUE"""),0)</f>
        <v>0</v>
      </c>
      <c r="G356" s="3" t="str">
        <f ca="1">IFERROR(__xludf.UNSUPPORTED("""COMPUTED_VALUE"""),"Normalidade")</f>
        <v>Normalidade</v>
      </c>
      <c r="H356" s="4">
        <f ca="1">IFERROR(__xludf.UNSUPPORTED("""COMPUTED_VALUE"""),45555.5929050925)</f>
        <v>45555.592905092497</v>
      </c>
      <c r="I356" s="3">
        <f ca="1">IFERROR(__xludf.UNSUPPORTED("""COMPUTED_VALUE"""),24)</f>
        <v>24</v>
      </c>
      <c r="J356" s="4">
        <f ca="1">IFERROR(__xludf.UNSUPPORTED("""COMPUTED_VALUE"""),45556.5929050925)</f>
        <v>45556.592905092497</v>
      </c>
      <c r="L356" s="3" t="str">
        <f ca="1">IFERROR(__xludf.UNSUPPORTED("""COMPUTED_VALUE"""),"Normalidade")</f>
        <v>Normalidade</v>
      </c>
    </row>
    <row r="357" spans="1:12" ht="12.75">
      <c r="A357" s="3" t="str">
        <f ca="1">IFERROR(__xludf.UNSUPPORTED("""COMPUTED_VALUE"""),"70fa0558")</f>
        <v>70fa0558</v>
      </c>
      <c r="B357" s="4">
        <f ca="1">IFERROR(__xludf.UNSUPPORTED("""COMPUTED_VALUE"""),45558.4680324074)</f>
        <v>45558.4680324074</v>
      </c>
      <c r="C357" s="8" t="str">
        <f ca="1">IFERROR(__xludf.UNSUPPORTED("""COMPUTED_VALUE"""),"Aratu")</f>
        <v>Aratu</v>
      </c>
      <c r="D357" s="3" t="str">
        <f ca="1">IFERROR(__xludf.UNSUPPORTED("""COMPUTED_VALUE"""),"🚢 REGULAR")</f>
        <v>🚢 REGULAR</v>
      </c>
      <c r="E357" s="3" t="str">
        <f ca="1">IFERROR(__xludf.UNSUPPORTED("""COMPUTED_VALUE"""),"🚛 LIBERADO")</f>
        <v>🚛 LIBERADO</v>
      </c>
      <c r="F357" s="5">
        <f ca="1">IFERROR(__xludf.UNSUPPORTED("""COMPUTED_VALUE"""),0)</f>
        <v>0</v>
      </c>
      <c r="G357" s="3" t="str">
        <f ca="1">IFERROR(__xludf.UNSUPPORTED("""COMPUTED_VALUE"""),"Normalidade")</f>
        <v>Normalidade</v>
      </c>
      <c r="H357" s="4">
        <f ca="1">IFERROR(__xludf.UNSUPPORTED("""COMPUTED_VALUE"""),45558.4680324074)</f>
        <v>45558.4680324074</v>
      </c>
      <c r="I357" s="3">
        <f ca="1">IFERROR(__xludf.UNSUPPORTED("""COMPUTED_VALUE"""),24)</f>
        <v>24</v>
      </c>
      <c r="J357" s="4">
        <f ca="1">IFERROR(__xludf.UNSUPPORTED("""COMPUTED_VALUE"""),45559.4680324074)</f>
        <v>45559.4680324074</v>
      </c>
      <c r="L357" s="3" t="str">
        <f ca="1">IFERROR(__xludf.UNSUPPORTED("""COMPUTED_VALUE"""),"Normalidade")</f>
        <v>Normalidade</v>
      </c>
    </row>
    <row r="358" spans="1:12" ht="12.75">
      <c r="A358" s="3" t="str">
        <f ca="1">IFERROR(__xludf.UNSUPPORTED("""COMPUTED_VALUE"""),"ba1b34ce")</f>
        <v>ba1b34ce</v>
      </c>
      <c r="B358" s="4">
        <f ca="1">IFERROR(__xludf.UNSUPPORTED("""COMPUTED_VALUE"""),45559.509699074)</f>
        <v>45559.509699073998</v>
      </c>
      <c r="C358" s="8" t="str">
        <f ca="1">IFERROR(__xludf.UNSUPPORTED("""COMPUTED_VALUE"""),"Aratu")</f>
        <v>Aratu</v>
      </c>
      <c r="D358" s="3" t="str">
        <f ca="1">IFERROR(__xludf.UNSUPPORTED("""COMPUTED_VALUE"""),"🚢 REGULAR")</f>
        <v>🚢 REGULAR</v>
      </c>
      <c r="E358" s="3" t="str">
        <f ca="1">IFERROR(__xludf.UNSUPPORTED("""COMPUTED_VALUE"""),"🚛 LIBERADO")</f>
        <v>🚛 LIBERADO</v>
      </c>
      <c r="F358" s="5">
        <f ca="1">IFERROR(__xludf.UNSUPPORTED("""COMPUTED_VALUE"""),0)</f>
        <v>0</v>
      </c>
      <c r="G358" s="3" t="str">
        <f ca="1">IFERROR(__xludf.UNSUPPORTED("""COMPUTED_VALUE"""),"Normalidade")</f>
        <v>Normalidade</v>
      </c>
      <c r="H358" s="4">
        <f ca="1">IFERROR(__xludf.UNSUPPORTED("""COMPUTED_VALUE"""),45559.509699074)</f>
        <v>45559.509699073998</v>
      </c>
      <c r="I358" s="3">
        <f ca="1">IFERROR(__xludf.UNSUPPORTED("""COMPUTED_VALUE"""),24)</f>
        <v>24</v>
      </c>
      <c r="J358" s="4">
        <f ca="1">IFERROR(__xludf.UNSUPPORTED("""COMPUTED_VALUE"""),45560.509699074)</f>
        <v>45560.509699073998</v>
      </c>
      <c r="L358" s="3" t="str">
        <f ca="1">IFERROR(__xludf.UNSUPPORTED("""COMPUTED_VALUE"""),"Normalidade")</f>
        <v>Normalidade</v>
      </c>
    </row>
    <row r="359" spans="1:12" ht="12.75">
      <c r="A359" s="3" t="str">
        <f ca="1">IFERROR(__xludf.UNSUPPORTED("""COMPUTED_VALUE"""),"659954b8")</f>
        <v>659954b8</v>
      </c>
      <c r="B359" s="4">
        <f ca="1">IFERROR(__xludf.UNSUPPORTED("""COMPUTED_VALUE"""),45561.4737268518)</f>
        <v>45561.4737268518</v>
      </c>
      <c r="C359" s="8" t="str">
        <f ca="1">IFERROR(__xludf.UNSUPPORTED("""COMPUTED_VALUE"""),"Aratu")</f>
        <v>Aratu</v>
      </c>
      <c r="D359" s="3" t="str">
        <f ca="1">IFERROR(__xludf.UNSUPPORTED("""COMPUTED_VALUE"""),"🚢 REGULAR")</f>
        <v>🚢 REGULAR</v>
      </c>
      <c r="E359" s="3" t="str">
        <f ca="1">IFERROR(__xludf.UNSUPPORTED("""COMPUTED_VALUE"""),"🚛 LIBERADO")</f>
        <v>🚛 LIBERADO</v>
      </c>
      <c r="F359" s="5">
        <f ca="1">IFERROR(__xludf.UNSUPPORTED("""COMPUTED_VALUE"""),0)</f>
        <v>0</v>
      </c>
      <c r="G359" s="3" t="str">
        <f ca="1">IFERROR(__xludf.UNSUPPORTED("""COMPUTED_VALUE"""),"Normalidade")</f>
        <v>Normalidade</v>
      </c>
      <c r="H359" s="4">
        <f ca="1">IFERROR(__xludf.UNSUPPORTED("""COMPUTED_VALUE"""),45561.4737268518)</f>
        <v>45561.4737268518</v>
      </c>
      <c r="I359" s="3">
        <f ca="1">IFERROR(__xludf.UNSUPPORTED("""COMPUTED_VALUE"""),24)</f>
        <v>24</v>
      </c>
      <c r="J359" s="4">
        <f ca="1">IFERROR(__xludf.UNSUPPORTED("""COMPUTED_VALUE"""),45562.4737268518)</f>
        <v>45562.4737268518</v>
      </c>
      <c r="L359" s="3" t="str">
        <f ca="1">IFERROR(__xludf.UNSUPPORTED("""COMPUTED_VALUE"""),"Normalidade")</f>
        <v>Normalidade</v>
      </c>
    </row>
    <row r="360" spans="1:12" ht="12.75">
      <c r="A360" s="3" t="str">
        <f ca="1">IFERROR(__xludf.UNSUPPORTED("""COMPUTED_VALUE"""),"baa04b19")</f>
        <v>baa04b19</v>
      </c>
      <c r="B360" s="4">
        <f ca="1">IFERROR(__xludf.UNSUPPORTED("""COMPUTED_VALUE"""),45562.5004398148)</f>
        <v>45562.500439814801</v>
      </c>
      <c r="C360" s="8" t="str">
        <f ca="1">IFERROR(__xludf.UNSUPPORTED("""COMPUTED_VALUE"""),"Aratu")</f>
        <v>Aratu</v>
      </c>
      <c r="D360" s="3" t="str">
        <f ca="1">IFERROR(__xludf.UNSUPPORTED("""COMPUTED_VALUE"""),"🚢 REGULAR")</f>
        <v>🚢 REGULAR</v>
      </c>
      <c r="E360" s="3" t="str">
        <f ca="1">IFERROR(__xludf.UNSUPPORTED("""COMPUTED_VALUE"""),"🚛 LIBERADO")</f>
        <v>🚛 LIBERADO</v>
      </c>
      <c r="F360" s="5">
        <f ca="1">IFERROR(__xludf.UNSUPPORTED("""COMPUTED_VALUE"""),0)</f>
        <v>0</v>
      </c>
      <c r="G360" s="3" t="str">
        <f ca="1">IFERROR(__xludf.UNSUPPORTED("""COMPUTED_VALUE"""),"Normalidade")</f>
        <v>Normalidade</v>
      </c>
      <c r="H360" s="4">
        <f ca="1">IFERROR(__xludf.UNSUPPORTED("""COMPUTED_VALUE"""),45562.5004398148)</f>
        <v>45562.500439814801</v>
      </c>
      <c r="I360" s="3">
        <f ca="1">IFERROR(__xludf.UNSUPPORTED("""COMPUTED_VALUE"""),24)</f>
        <v>24</v>
      </c>
      <c r="J360" s="4">
        <f ca="1">IFERROR(__xludf.UNSUPPORTED("""COMPUTED_VALUE"""),45563.5004398148)</f>
        <v>45563.500439814801</v>
      </c>
      <c r="L360" s="3" t="str">
        <f ca="1">IFERROR(__xludf.UNSUPPORTED("""COMPUTED_VALUE"""),"Normalidade")</f>
        <v>Normalidade</v>
      </c>
    </row>
    <row r="361" spans="1:12" ht="12.75">
      <c r="A361" s="3" t="str">
        <f ca="1">IFERROR(__xludf.UNSUPPORTED("""COMPUTED_VALUE"""),"83aaa1a4")</f>
        <v>83aaa1a4</v>
      </c>
      <c r="B361" s="4">
        <f ca="1">IFERROR(__xludf.UNSUPPORTED("""COMPUTED_VALUE"""),45565.6177777777)</f>
        <v>45565.617777777697</v>
      </c>
      <c r="C361" s="8" t="str">
        <f ca="1">IFERROR(__xludf.UNSUPPORTED("""COMPUTED_VALUE"""),"Aratu")</f>
        <v>Aratu</v>
      </c>
      <c r="D361" s="3" t="str">
        <f ca="1">IFERROR(__xludf.UNSUPPORTED("""COMPUTED_VALUE"""),"🚢 REGULAR")</f>
        <v>🚢 REGULAR</v>
      </c>
      <c r="E361" s="3" t="str">
        <f ca="1">IFERROR(__xludf.UNSUPPORTED("""COMPUTED_VALUE"""),"🚛 LIBERADO")</f>
        <v>🚛 LIBERADO</v>
      </c>
      <c r="F361" s="5">
        <f ca="1">IFERROR(__xludf.UNSUPPORTED("""COMPUTED_VALUE"""),0)</f>
        <v>0</v>
      </c>
      <c r="G361" s="3" t="str">
        <f ca="1">IFERROR(__xludf.UNSUPPORTED("""COMPUTED_VALUE"""),"Normalidade")</f>
        <v>Normalidade</v>
      </c>
      <c r="H361" s="4">
        <f ca="1">IFERROR(__xludf.UNSUPPORTED("""COMPUTED_VALUE"""),45565.6177777777)</f>
        <v>45565.617777777697</v>
      </c>
      <c r="I361" s="3">
        <f ca="1">IFERROR(__xludf.UNSUPPORTED("""COMPUTED_VALUE"""),24)</f>
        <v>24</v>
      </c>
      <c r="J361" s="4">
        <f ca="1">IFERROR(__xludf.UNSUPPORTED("""COMPUTED_VALUE"""),45566.6177777777)</f>
        <v>45566.617777777697</v>
      </c>
      <c r="L361" s="3" t="str">
        <f ca="1">IFERROR(__xludf.UNSUPPORTED("""COMPUTED_VALUE"""),"Normalidade")</f>
        <v>Normalidade</v>
      </c>
    </row>
    <row r="362" spans="1:12" ht="12.75">
      <c r="A362" s="3" t="str">
        <f ca="1">IFERROR(__xludf.UNSUPPORTED("""COMPUTED_VALUE"""),"62b41347")</f>
        <v>62b41347</v>
      </c>
      <c r="B362" s="4">
        <f ca="1">IFERROR(__xludf.UNSUPPORTED("""COMPUTED_VALUE"""),45567.5828009259)</f>
        <v>45567.582800925898</v>
      </c>
      <c r="C362" s="7" t="str">
        <f ca="1">IFERROR(__xludf.UNSUPPORTED("""COMPUTED_VALUE"""),"Aratu")</f>
        <v>Aratu</v>
      </c>
      <c r="D362" s="3" t="str">
        <f ca="1">IFERROR(__xludf.UNSUPPORTED("""COMPUTED_VALUE"""),"🚢 REGULAR")</f>
        <v>🚢 REGULAR</v>
      </c>
      <c r="E362" s="3" t="str">
        <f ca="1">IFERROR(__xludf.UNSUPPORTED("""COMPUTED_VALUE"""),"🚛 LIBERADO")</f>
        <v>🚛 LIBERADO</v>
      </c>
      <c r="F362" s="5">
        <f ca="1">IFERROR(__xludf.UNSUPPORTED("""COMPUTED_VALUE"""),0)</f>
        <v>0</v>
      </c>
      <c r="G362" s="3" t="str">
        <f ca="1">IFERROR(__xludf.UNSUPPORTED("""COMPUTED_VALUE"""),"Normalidade")</f>
        <v>Normalidade</v>
      </c>
      <c r="H362" s="4">
        <f ca="1">IFERROR(__xludf.UNSUPPORTED("""COMPUTED_VALUE"""),45567.5828009259)</f>
        <v>45567.582800925898</v>
      </c>
      <c r="I362" s="3">
        <f ca="1">IFERROR(__xludf.UNSUPPORTED("""COMPUTED_VALUE"""),24)</f>
        <v>24</v>
      </c>
      <c r="J362" s="4">
        <f ca="1">IFERROR(__xludf.UNSUPPORTED("""COMPUTED_VALUE"""),45568.5828009259)</f>
        <v>45568.582800925898</v>
      </c>
      <c r="L362" s="3" t="str">
        <f ca="1">IFERROR(__xludf.UNSUPPORTED("""COMPUTED_VALUE"""),"Normalidade")</f>
        <v>Normalidade</v>
      </c>
    </row>
    <row r="363" spans="1:12" ht="12.75">
      <c r="A363" s="3" t="str">
        <f ca="1">IFERROR(__xludf.UNSUPPORTED("""COMPUTED_VALUE"""),"018bd09a")</f>
        <v>018bd09a</v>
      </c>
      <c r="B363" s="4">
        <f ca="1">IFERROR(__xludf.UNSUPPORTED("""COMPUTED_VALUE"""),45569.5451851851)</f>
        <v>45569.545185185103</v>
      </c>
      <c r="C363" s="7" t="str">
        <f ca="1">IFERROR(__xludf.UNSUPPORTED("""COMPUTED_VALUE"""),"Aratu")</f>
        <v>Aratu</v>
      </c>
      <c r="D363" s="3" t="str">
        <f ca="1">IFERROR(__xludf.UNSUPPORTED("""COMPUTED_VALUE"""),"🚢 REGULAR")</f>
        <v>🚢 REGULAR</v>
      </c>
      <c r="E363" s="3" t="str">
        <f ca="1">IFERROR(__xludf.UNSUPPORTED("""COMPUTED_VALUE"""),"🚛 LIBERADO")</f>
        <v>🚛 LIBERADO</v>
      </c>
      <c r="F363" s="5">
        <f ca="1">IFERROR(__xludf.UNSUPPORTED("""COMPUTED_VALUE"""),0)</f>
        <v>0</v>
      </c>
      <c r="G363" s="3" t="str">
        <f ca="1">IFERROR(__xludf.UNSUPPORTED("""COMPUTED_VALUE"""),"Normalidade")</f>
        <v>Normalidade</v>
      </c>
      <c r="H363" s="4">
        <f ca="1">IFERROR(__xludf.UNSUPPORTED("""COMPUTED_VALUE"""),45569.5451851851)</f>
        <v>45569.545185185103</v>
      </c>
      <c r="I363" s="3">
        <f ca="1">IFERROR(__xludf.UNSUPPORTED("""COMPUTED_VALUE"""),24)</f>
        <v>24</v>
      </c>
      <c r="J363" s="4">
        <f ca="1">IFERROR(__xludf.UNSUPPORTED("""COMPUTED_VALUE"""),45570.5451851851)</f>
        <v>45570.545185185103</v>
      </c>
      <c r="L363" s="3" t="str">
        <f ca="1">IFERROR(__xludf.UNSUPPORTED("""COMPUTED_VALUE"""),"Normalidade")</f>
        <v>Normalidade</v>
      </c>
    </row>
    <row r="364" spans="1:12" ht="12.75">
      <c r="A364" s="3" t="str">
        <f ca="1">IFERROR(__xludf.UNSUPPORTED("""COMPUTED_VALUE"""),"efc8f115")</f>
        <v>efc8f115</v>
      </c>
      <c r="B364" s="4">
        <f ca="1">IFERROR(__xludf.UNSUPPORTED("""COMPUTED_VALUE"""),45572.5769560185)</f>
        <v>45572.5769560185</v>
      </c>
      <c r="C364" s="8" t="str">
        <f ca="1">IFERROR(__xludf.UNSUPPORTED("""COMPUTED_VALUE"""),"Aratu")</f>
        <v>Aratu</v>
      </c>
      <c r="D364" s="3" t="str">
        <f ca="1">IFERROR(__xludf.UNSUPPORTED("""COMPUTED_VALUE"""),"🚢 REGULAR")</f>
        <v>🚢 REGULAR</v>
      </c>
      <c r="E364" s="3" t="str">
        <f ca="1">IFERROR(__xludf.UNSUPPORTED("""COMPUTED_VALUE"""),"🚛 LIBERADO")</f>
        <v>🚛 LIBERADO</v>
      </c>
      <c r="F364" s="5">
        <f ca="1">IFERROR(__xludf.UNSUPPORTED("""COMPUTED_VALUE"""),0)</f>
        <v>0</v>
      </c>
      <c r="G364" s="3" t="str">
        <f ca="1">IFERROR(__xludf.UNSUPPORTED("""COMPUTED_VALUE"""),"Normalidade")</f>
        <v>Normalidade</v>
      </c>
      <c r="H364" s="4">
        <f ca="1">IFERROR(__xludf.UNSUPPORTED("""COMPUTED_VALUE"""),45572.5769560185)</f>
        <v>45572.5769560185</v>
      </c>
      <c r="I364" s="3">
        <f ca="1">IFERROR(__xludf.UNSUPPORTED("""COMPUTED_VALUE"""),24)</f>
        <v>24</v>
      </c>
      <c r="J364" s="4">
        <f ca="1">IFERROR(__xludf.UNSUPPORTED("""COMPUTED_VALUE"""),45573.5769560185)</f>
        <v>45573.5769560185</v>
      </c>
      <c r="L364" s="3" t="str">
        <f ca="1">IFERROR(__xludf.UNSUPPORTED("""COMPUTED_VALUE"""),"Normalidade")</f>
        <v>Normalidade</v>
      </c>
    </row>
    <row r="365" spans="1:12" ht="12.75">
      <c r="A365" s="3" t="str">
        <f ca="1">IFERROR(__xludf.UNSUPPORTED("""COMPUTED_VALUE"""),"35f09fe2")</f>
        <v>35f09fe2</v>
      </c>
      <c r="B365" s="4">
        <f ca="1">IFERROR(__xludf.UNSUPPORTED("""COMPUTED_VALUE"""),45575.4750578703)</f>
        <v>45575.475057870302</v>
      </c>
      <c r="C365" s="7" t="str">
        <f ca="1">IFERROR(__xludf.UNSUPPORTED("""COMPUTED_VALUE"""),"Aratu")</f>
        <v>Aratu</v>
      </c>
      <c r="D365" s="3" t="str">
        <f ca="1">IFERROR(__xludf.UNSUPPORTED("""COMPUTED_VALUE"""),"🚢 REGULAR")</f>
        <v>🚢 REGULAR</v>
      </c>
      <c r="E365" s="3" t="str">
        <f ca="1">IFERROR(__xludf.UNSUPPORTED("""COMPUTED_VALUE"""),"🚛 LIBERADO")</f>
        <v>🚛 LIBERADO</v>
      </c>
      <c r="F365" s="5">
        <f ca="1">IFERROR(__xludf.UNSUPPORTED("""COMPUTED_VALUE"""),0)</f>
        <v>0</v>
      </c>
      <c r="G365" s="3" t="str">
        <f ca="1">IFERROR(__xludf.UNSUPPORTED("""COMPUTED_VALUE"""),"Normalidade")</f>
        <v>Normalidade</v>
      </c>
      <c r="H365" s="4">
        <f ca="1">IFERROR(__xludf.UNSUPPORTED("""COMPUTED_VALUE"""),45575.4750578703)</f>
        <v>45575.475057870302</v>
      </c>
      <c r="I365" s="3">
        <f ca="1">IFERROR(__xludf.UNSUPPORTED("""COMPUTED_VALUE"""),24)</f>
        <v>24</v>
      </c>
      <c r="J365" s="4">
        <f ca="1">IFERROR(__xludf.UNSUPPORTED("""COMPUTED_VALUE"""),45576.4750578703)</f>
        <v>45576.475057870302</v>
      </c>
      <c r="L365" s="3" t="str">
        <f ca="1">IFERROR(__xludf.UNSUPPORTED("""COMPUTED_VALUE"""),"Normalidade")</f>
        <v>Normalidade</v>
      </c>
    </row>
    <row r="366" spans="1:12" ht="12.75">
      <c r="A366" s="3" t="str">
        <f ca="1">IFERROR(__xludf.UNSUPPORTED("""COMPUTED_VALUE"""),"afa1a701")</f>
        <v>afa1a701</v>
      </c>
      <c r="B366" s="4">
        <f ca="1">IFERROR(__xludf.UNSUPPORTED("""COMPUTED_VALUE"""),45587.3518981481)</f>
        <v>45587.351898148103</v>
      </c>
      <c r="C366" s="8" t="str">
        <f ca="1">IFERROR(__xludf.UNSUPPORTED("""COMPUTED_VALUE"""),"Aratu")</f>
        <v>Aratu</v>
      </c>
      <c r="D366" s="3" t="str">
        <f ca="1">IFERROR(__xludf.UNSUPPORTED("""COMPUTED_VALUE"""),"❗️ PARALISADA")</f>
        <v>❗️ PARALISADA</v>
      </c>
      <c r="E366" s="3" t="str">
        <f ca="1">IFERROR(__xludf.UNSUPPORTED("""COMPUTED_VALUE"""),"⛔️ BLOQUEADO")</f>
        <v>⛔️ BLOQUEADO</v>
      </c>
      <c r="F366" s="5">
        <f ca="1">IFERROR(__xludf.UNSUPPORTED("""COMPUTED_VALUE"""),1)</f>
        <v>1</v>
      </c>
      <c r="G366" s="3" t="str">
        <f ca="1">IFERROR(__xludf.UNSUPPORTED("""COMPUTED_VALUE"""),"Paralisação dos portuários.")</f>
        <v>Paralisação dos portuários.</v>
      </c>
      <c r="H366" s="4">
        <f ca="1">IFERROR(__xludf.UNSUPPORTED("""COMPUTED_VALUE"""),45587.2916666666)</f>
        <v>45587.291666666599</v>
      </c>
      <c r="I366" s="3">
        <f ca="1">IFERROR(__xludf.UNSUPPORTED("""COMPUTED_VALUE"""),12)</f>
        <v>12</v>
      </c>
      <c r="J366" s="4">
        <f ca="1">IFERROR(__xludf.UNSUPPORTED("""COMPUTED_VALUE"""),45587.7916666666)</f>
        <v>45587.791666666599</v>
      </c>
      <c r="K366" s="3" t="str">
        <f ca="1">IFERROR(__xludf.UNSUPPORTED("""COMPUTED_VALUE"""),"Autoridade Portuária.")</f>
        <v>Autoridade Portuária.</v>
      </c>
      <c r="L366" s="3" t="str">
        <f ca="1">IFERROR(__xludf.UNSUPPORTED("""COMPUTED_VALUE"""),"Crítico")</f>
        <v>Crítico</v>
      </c>
    </row>
    <row r="367" spans="1:12" ht="12.75">
      <c r="A367" s="3" t="str">
        <f ca="1">IFERROR(__xludf.UNSUPPORTED("""COMPUTED_VALUE"""),"18aebdfd")</f>
        <v>18aebdfd</v>
      </c>
      <c r="B367" s="4">
        <f ca="1">IFERROR(__xludf.UNSUPPORTED("""COMPUTED_VALUE"""),45589.5452893518)</f>
        <v>45589.545289351801</v>
      </c>
      <c r="C367" s="7" t="str">
        <f ca="1">IFERROR(__xludf.UNSUPPORTED("""COMPUTED_VALUE"""),"Aratu")</f>
        <v>Aratu</v>
      </c>
      <c r="D367" s="3" t="str">
        <f ca="1">IFERROR(__xludf.UNSUPPORTED("""COMPUTED_VALUE"""),"🚢 REGULAR")</f>
        <v>🚢 REGULAR</v>
      </c>
      <c r="E367" s="3" t="str">
        <f ca="1">IFERROR(__xludf.UNSUPPORTED("""COMPUTED_VALUE"""),"🚛 LIBERADO")</f>
        <v>🚛 LIBERADO</v>
      </c>
      <c r="F367" s="5">
        <f ca="1">IFERROR(__xludf.UNSUPPORTED("""COMPUTED_VALUE"""),0)</f>
        <v>0</v>
      </c>
      <c r="G367" s="3" t="str">
        <f ca="1">IFERROR(__xludf.UNSUPPORTED("""COMPUTED_VALUE"""),"Normalidade")</f>
        <v>Normalidade</v>
      </c>
      <c r="H367" s="4">
        <f ca="1">IFERROR(__xludf.UNSUPPORTED("""COMPUTED_VALUE"""),45589.5452893518)</f>
        <v>45589.545289351801</v>
      </c>
      <c r="I367" s="3">
        <f ca="1">IFERROR(__xludf.UNSUPPORTED("""COMPUTED_VALUE"""),24)</f>
        <v>24</v>
      </c>
      <c r="J367" s="4">
        <f ca="1">IFERROR(__xludf.UNSUPPORTED("""COMPUTED_VALUE"""),45590.5452893518)</f>
        <v>45590.545289351801</v>
      </c>
      <c r="L367" s="3" t="str">
        <f ca="1">IFERROR(__xludf.UNSUPPORTED("""COMPUTED_VALUE"""),"Normalidade")</f>
        <v>Normalidade</v>
      </c>
    </row>
    <row r="368" spans="1:12" ht="12.75">
      <c r="A368" s="3" t="str">
        <f ca="1">IFERROR(__xludf.UNSUPPORTED("""COMPUTED_VALUE"""),"1e8fcbbb")</f>
        <v>1e8fcbbb</v>
      </c>
      <c r="B368" s="4">
        <f ca="1">IFERROR(__xludf.UNSUPPORTED("""COMPUTED_VALUE"""),44866.4171643518)</f>
        <v>44866.417164351798</v>
      </c>
      <c r="C368" s="7" t="str">
        <f ca="1">IFERROR(__xludf.UNSUPPORTED("""COMPUTED_VALUE"""),"Areia Branca")</f>
        <v>Areia Branca</v>
      </c>
      <c r="D368" s="3" t="str">
        <f ca="1">IFERROR(__xludf.UNSUPPORTED("""COMPUTED_VALUE"""),"🚢 REGULAR")</f>
        <v>🚢 REGULAR</v>
      </c>
      <c r="E368" s="3" t="str">
        <f ca="1">IFERROR(__xludf.UNSUPPORTED("""COMPUTED_VALUE"""),"🚛 LIBERADO")</f>
        <v>🚛 LIBERADO</v>
      </c>
      <c r="F368" s="5">
        <f ca="1">IFERROR(__xludf.UNSUPPORTED("""COMPUTED_VALUE"""),0)</f>
        <v>0</v>
      </c>
      <c r="G368" s="3" t="str">
        <f ca="1">IFERROR(__xludf.UNSUPPORTED("""COMPUTED_VALUE"""),"operação normal")</f>
        <v>operação normal</v>
      </c>
      <c r="H368" s="4">
        <f ca="1">IFERROR(__xludf.UNSUPPORTED("""COMPUTED_VALUE"""),44871.8125)</f>
        <v>44871.8125</v>
      </c>
      <c r="I368" s="3">
        <f ca="1">IFERROR(__xludf.UNSUPPORTED("""COMPUTED_VALUE"""),24)</f>
        <v>24</v>
      </c>
      <c r="J368" s="4">
        <f ca="1">IFERROR(__xludf.UNSUPPORTED("""COMPUTED_VALUE"""),44872.8125)</f>
        <v>44872.8125</v>
      </c>
    </row>
    <row r="369" spans="1:10" ht="12.75">
      <c r="A369" s="3" t="str">
        <f ca="1">IFERROR(__xludf.UNSUPPORTED("""COMPUTED_VALUE"""),"36a06a87")</f>
        <v>36a06a87</v>
      </c>
      <c r="B369" s="4">
        <f ca="1">IFERROR(__xludf.UNSUPPORTED("""COMPUTED_VALUE"""),44884.4570486111)</f>
        <v>44884.457048611097</v>
      </c>
      <c r="C369" s="8" t="str">
        <f ca="1">IFERROR(__xludf.UNSUPPORTED("""COMPUTED_VALUE"""),"Areia Branca")</f>
        <v>Areia Branca</v>
      </c>
      <c r="D369" s="3" t="str">
        <f ca="1">IFERROR(__xludf.UNSUPPORTED("""COMPUTED_VALUE"""),"🚢 REGULAR")</f>
        <v>🚢 REGULAR</v>
      </c>
      <c r="E369" s="3" t="str">
        <f ca="1">IFERROR(__xludf.UNSUPPORTED("""COMPUTED_VALUE"""),"🚛 LIBERADO")</f>
        <v>🚛 LIBERADO</v>
      </c>
      <c r="F369" s="5">
        <f ca="1">IFERROR(__xludf.UNSUPPORTED("""COMPUTED_VALUE"""),0)</f>
        <v>0</v>
      </c>
      <c r="G369" s="3" t="str">
        <f ca="1">IFERROR(__xludf.UNSUPPORTED("""COMPUTED_VALUE"""),"normal")</f>
        <v>normal</v>
      </c>
      <c r="H369" s="4">
        <f ca="1">IFERROR(__xludf.UNSUPPORTED("""COMPUTED_VALUE"""),44884.4570486111)</f>
        <v>44884.457048611097</v>
      </c>
      <c r="I369" s="3">
        <f ca="1">IFERROR(__xludf.UNSUPPORTED("""COMPUTED_VALUE"""),24)</f>
        <v>24</v>
      </c>
      <c r="J369" s="4">
        <f ca="1">IFERROR(__xludf.UNSUPPORTED("""COMPUTED_VALUE"""),44885.4570486111)</f>
        <v>44885.457048611097</v>
      </c>
    </row>
    <row r="370" spans="1:10" ht="12.75">
      <c r="A370" s="3" t="str">
        <f ca="1">IFERROR(__xludf.UNSUPPORTED("""COMPUTED_VALUE"""),"2610c10e")</f>
        <v>2610c10e</v>
      </c>
      <c r="B370" s="4">
        <f ca="1">IFERROR(__xludf.UNSUPPORTED("""COMPUTED_VALUE"""),44886.3917939814)</f>
        <v>44886.391793981398</v>
      </c>
      <c r="C370" s="8" t="str">
        <f ca="1">IFERROR(__xludf.UNSUPPORTED("""COMPUTED_VALUE"""),"Areia Branca")</f>
        <v>Areia Branca</v>
      </c>
      <c r="D370" s="3" t="str">
        <f ca="1">IFERROR(__xludf.UNSUPPORTED("""COMPUTED_VALUE"""),"🚢 REGULAR")</f>
        <v>🚢 REGULAR</v>
      </c>
      <c r="E370" s="3" t="str">
        <f ca="1">IFERROR(__xludf.UNSUPPORTED("""COMPUTED_VALUE"""),"🚛 LIBERADO")</f>
        <v>🚛 LIBERADO</v>
      </c>
      <c r="F370" s="5">
        <f ca="1">IFERROR(__xludf.UNSUPPORTED("""COMPUTED_VALUE"""),0)</f>
        <v>0</v>
      </c>
      <c r="G370" s="3" t="str">
        <f ca="1">IFERROR(__xludf.UNSUPPORTED("""COMPUTED_VALUE"""),"normalidade")</f>
        <v>normalidade</v>
      </c>
      <c r="H370" s="4">
        <f ca="1">IFERROR(__xludf.UNSUPPORTED("""COMPUTED_VALUE"""),44887.3917939814)</f>
        <v>44887.391793981398</v>
      </c>
      <c r="I370" s="3">
        <f ca="1">IFERROR(__xludf.UNSUPPORTED("""COMPUTED_VALUE"""),24)</f>
        <v>24</v>
      </c>
      <c r="J370" s="4">
        <f ca="1">IFERROR(__xludf.UNSUPPORTED("""COMPUTED_VALUE"""),44888.3917939814)</f>
        <v>44888.391793981398</v>
      </c>
    </row>
    <row r="371" spans="1:10" ht="12.75">
      <c r="A371" s="3" t="str">
        <f ca="1">IFERROR(__xludf.UNSUPPORTED("""COMPUTED_VALUE"""),"6db0e401")</f>
        <v>6db0e401</v>
      </c>
      <c r="B371" s="4">
        <f ca="1">IFERROR(__xludf.UNSUPPORTED("""COMPUTED_VALUE"""),44888.3833333333)</f>
        <v>44888.383333333302</v>
      </c>
      <c r="C371" s="7" t="str">
        <f ca="1">IFERROR(__xludf.UNSUPPORTED("""COMPUTED_VALUE"""),"Areia Branca")</f>
        <v>Areia Branca</v>
      </c>
      <c r="D371" s="3" t="str">
        <f ca="1">IFERROR(__xludf.UNSUPPORTED("""COMPUTED_VALUE"""),"🚢 REGULAR")</f>
        <v>🚢 REGULAR</v>
      </c>
      <c r="E371" s="3" t="str">
        <f ca="1">IFERROR(__xludf.UNSUPPORTED("""COMPUTED_VALUE"""),"🚛 LIBERADO")</f>
        <v>🚛 LIBERADO</v>
      </c>
      <c r="F371" s="5">
        <f ca="1">IFERROR(__xludf.UNSUPPORTED("""COMPUTED_VALUE"""),0)</f>
        <v>0</v>
      </c>
      <c r="G371" s="3" t="str">
        <f ca="1">IFERROR(__xludf.UNSUPPORTED("""COMPUTED_VALUE"""),"Normalidade")</f>
        <v>Normalidade</v>
      </c>
      <c r="H371" s="4">
        <f ca="1">IFERROR(__xludf.UNSUPPORTED("""COMPUTED_VALUE"""),44888.3833333333)</f>
        <v>44888.383333333302</v>
      </c>
      <c r="I371" s="3">
        <f ca="1">IFERROR(__xludf.UNSUPPORTED("""COMPUTED_VALUE"""),24)</f>
        <v>24</v>
      </c>
      <c r="J371" s="4">
        <f ca="1">IFERROR(__xludf.UNSUPPORTED("""COMPUTED_VALUE"""),44889.3833333333)</f>
        <v>44889.383333333302</v>
      </c>
    </row>
    <row r="372" spans="1:10" ht="12.75">
      <c r="A372" s="3" t="str">
        <f ca="1">IFERROR(__xludf.UNSUPPORTED("""COMPUTED_VALUE"""),"f00d0623")</f>
        <v>f00d0623</v>
      </c>
      <c r="B372" s="4">
        <f ca="1">IFERROR(__xludf.UNSUPPORTED("""COMPUTED_VALUE"""),44889.4677314814)</f>
        <v>44889.467731481403</v>
      </c>
      <c r="C372" s="8" t="str">
        <f ca="1">IFERROR(__xludf.UNSUPPORTED("""COMPUTED_VALUE"""),"Areia Branca")</f>
        <v>Areia Branca</v>
      </c>
      <c r="D372" s="3" t="str">
        <f ca="1">IFERROR(__xludf.UNSUPPORTED("""COMPUTED_VALUE"""),"🚢 REGULAR")</f>
        <v>🚢 REGULAR</v>
      </c>
      <c r="E372" s="3" t="str">
        <f ca="1">IFERROR(__xludf.UNSUPPORTED("""COMPUTED_VALUE"""),"🚛 LIBERADO")</f>
        <v>🚛 LIBERADO</v>
      </c>
      <c r="F372" s="5">
        <f ca="1">IFERROR(__xludf.UNSUPPORTED("""COMPUTED_VALUE"""),0)</f>
        <v>0</v>
      </c>
      <c r="G372" s="3" t="str">
        <f ca="1">IFERROR(__xludf.UNSUPPORTED("""COMPUTED_VALUE"""),"Normalidade")</f>
        <v>Normalidade</v>
      </c>
      <c r="H372" s="4">
        <f ca="1">IFERROR(__xludf.UNSUPPORTED("""COMPUTED_VALUE"""),44891.4270833333)</f>
        <v>44891.427083333299</v>
      </c>
      <c r="I372" s="3">
        <f ca="1">IFERROR(__xludf.UNSUPPORTED("""COMPUTED_VALUE"""),24)</f>
        <v>24</v>
      </c>
      <c r="J372" s="4">
        <f ca="1">IFERROR(__xludf.UNSUPPORTED("""COMPUTED_VALUE"""),44892.4270833333)</f>
        <v>44892.427083333299</v>
      </c>
    </row>
    <row r="373" spans="1:10" ht="12.75">
      <c r="A373" s="3" t="str">
        <f ca="1">IFERROR(__xludf.UNSUPPORTED("""COMPUTED_VALUE"""),"c75ff34f")</f>
        <v>c75ff34f</v>
      </c>
      <c r="B373" s="4">
        <f ca="1">IFERROR(__xludf.UNSUPPORTED("""COMPUTED_VALUE"""),44892.6666087962)</f>
        <v>44892.6666087962</v>
      </c>
      <c r="C373" s="8" t="str">
        <f ca="1">IFERROR(__xludf.UNSUPPORTED("""COMPUTED_VALUE"""),"Areia Branca")</f>
        <v>Areia Branca</v>
      </c>
      <c r="D373" s="3" t="str">
        <f ca="1">IFERROR(__xludf.UNSUPPORTED("""COMPUTED_VALUE"""),"🚢 REGULAR")</f>
        <v>🚢 REGULAR</v>
      </c>
      <c r="E373" s="3" t="str">
        <f ca="1">IFERROR(__xludf.UNSUPPORTED("""COMPUTED_VALUE"""),"🚛 LIBERADO")</f>
        <v>🚛 LIBERADO</v>
      </c>
      <c r="F373" s="5">
        <f ca="1">IFERROR(__xludf.UNSUPPORTED("""COMPUTED_VALUE"""),0)</f>
        <v>0</v>
      </c>
      <c r="G373" s="3" t="str">
        <f ca="1">IFERROR(__xludf.UNSUPPORTED("""COMPUTED_VALUE"""),"Normalidade")</f>
        <v>Normalidade</v>
      </c>
      <c r="H373" s="4">
        <f ca="1">IFERROR(__xludf.UNSUPPORTED("""COMPUTED_VALUE"""),44892.6666087962)</f>
        <v>44892.6666087962</v>
      </c>
      <c r="I373" s="3">
        <f ca="1">IFERROR(__xludf.UNSUPPORTED("""COMPUTED_VALUE"""),24)</f>
        <v>24</v>
      </c>
      <c r="J373" s="4">
        <f ca="1">IFERROR(__xludf.UNSUPPORTED("""COMPUTED_VALUE"""),44893.6666087962)</f>
        <v>44893.6666087962</v>
      </c>
    </row>
    <row r="374" spans="1:10" ht="12.75">
      <c r="A374" s="3" t="str">
        <f ca="1">IFERROR(__xludf.UNSUPPORTED("""COMPUTED_VALUE"""),"2c9128d5")</f>
        <v>2c9128d5</v>
      </c>
      <c r="B374" s="4">
        <f ca="1">IFERROR(__xludf.UNSUPPORTED("""COMPUTED_VALUE"""),44893.4498032407)</f>
        <v>44893.449803240699</v>
      </c>
      <c r="C374" s="8" t="str">
        <f ca="1">IFERROR(__xludf.UNSUPPORTED("""COMPUTED_VALUE"""),"Areia Branca")</f>
        <v>Areia Branca</v>
      </c>
      <c r="D374" s="3" t="str">
        <f ca="1">IFERROR(__xludf.UNSUPPORTED("""COMPUTED_VALUE"""),"🚢 REGULAR")</f>
        <v>🚢 REGULAR</v>
      </c>
      <c r="E374" s="3" t="str">
        <f ca="1">IFERROR(__xludf.UNSUPPORTED("""COMPUTED_VALUE"""),"🚛 LIBERADO")</f>
        <v>🚛 LIBERADO</v>
      </c>
      <c r="F374" s="5">
        <f ca="1">IFERROR(__xludf.UNSUPPORTED("""COMPUTED_VALUE"""),0)</f>
        <v>0</v>
      </c>
      <c r="G374" s="3" t="str">
        <f ca="1">IFERROR(__xludf.UNSUPPORTED("""COMPUTED_VALUE"""),"Normalidade")</f>
        <v>Normalidade</v>
      </c>
      <c r="H374" s="4">
        <f ca="1">IFERROR(__xludf.UNSUPPORTED("""COMPUTED_VALUE"""),44895.3743055555)</f>
        <v>44895.374305555502</v>
      </c>
      <c r="I374" s="3">
        <f ca="1">IFERROR(__xludf.UNSUPPORTED("""COMPUTED_VALUE"""),24)</f>
        <v>24</v>
      </c>
      <c r="J374" s="4">
        <f ca="1">IFERROR(__xludf.UNSUPPORTED("""COMPUTED_VALUE"""),44896.3743055555)</f>
        <v>44896.374305555502</v>
      </c>
    </row>
    <row r="375" spans="1:10" ht="12.75">
      <c r="A375" s="3" t="str">
        <f ca="1">IFERROR(__xludf.UNSUPPORTED("""COMPUTED_VALUE"""),"61898273")</f>
        <v>61898273</v>
      </c>
      <c r="B375" s="4">
        <f ca="1">IFERROR(__xludf.UNSUPPORTED("""COMPUTED_VALUE"""),44896.3234259259)</f>
        <v>44896.323425925897</v>
      </c>
      <c r="C375" s="7" t="str">
        <f ca="1">IFERROR(__xludf.UNSUPPORTED("""COMPUTED_VALUE"""),"Areia Branca")</f>
        <v>Areia Branca</v>
      </c>
      <c r="D375" s="3" t="str">
        <f ca="1">IFERROR(__xludf.UNSUPPORTED("""COMPUTED_VALUE"""),"🚢 REGULAR")</f>
        <v>🚢 REGULAR</v>
      </c>
      <c r="E375" s="3" t="str">
        <f ca="1">IFERROR(__xludf.UNSUPPORTED("""COMPUTED_VALUE"""),"🚛 LIBERADO")</f>
        <v>🚛 LIBERADO</v>
      </c>
      <c r="F375" s="5">
        <f ca="1">IFERROR(__xludf.UNSUPPORTED("""COMPUTED_VALUE"""),0)</f>
        <v>0</v>
      </c>
      <c r="G375" s="3" t="str">
        <f ca="1">IFERROR(__xludf.UNSUPPORTED("""COMPUTED_VALUE"""),"Normalidade")</f>
        <v>Normalidade</v>
      </c>
      <c r="H375" s="4">
        <f ca="1">IFERROR(__xludf.UNSUPPORTED("""COMPUTED_VALUE"""),44896.3234259259)</f>
        <v>44896.323425925897</v>
      </c>
      <c r="I375" s="3">
        <f ca="1">IFERROR(__xludf.UNSUPPORTED("""COMPUTED_VALUE"""),24)</f>
        <v>24</v>
      </c>
      <c r="J375" s="4">
        <f ca="1">IFERROR(__xludf.UNSUPPORTED("""COMPUTED_VALUE"""),44897.3234259259)</f>
        <v>44897.323425925897</v>
      </c>
    </row>
    <row r="376" spans="1:10" ht="12.75">
      <c r="A376" s="3" t="str">
        <f ca="1">IFERROR(__xludf.UNSUPPORTED("""COMPUTED_VALUE"""),"8dbe2678")</f>
        <v>8dbe2678</v>
      </c>
      <c r="B376" s="4">
        <f ca="1">IFERROR(__xludf.UNSUPPORTED("""COMPUTED_VALUE"""),44897.3521180555)</f>
        <v>44897.352118055504</v>
      </c>
      <c r="C376" s="8" t="str">
        <f ca="1">IFERROR(__xludf.UNSUPPORTED("""COMPUTED_VALUE"""),"Areia Branca")</f>
        <v>Areia Branca</v>
      </c>
      <c r="D376" s="3" t="str">
        <f ca="1">IFERROR(__xludf.UNSUPPORTED("""COMPUTED_VALUE"""),"🚢 REGULAR")</f>
        <v>🚢 REGULAR</v>
      </c>
      <c r="E376" s="3" t="str">
        <f ca="1">IFERROR(__xludf.UNSUPPORTED("""COMPUTED_VALUE"""),"🚛 LIBERADO")</f>
        <v>🚛 LIBERADO</v>
      </c>
      <c r="F376" s="5">
        <f ca="1">IFERROR(__xludf.UNSUPPORTED("""COMPUTED_VALUE"""),0)</f>
        <v>0</v>
      </c>
      <c r="G376" s="3" t="str">
        <f ca="1">IFERROR(__xludf.UNSUPPORTED("""COMPUTED_VALUE"""),"Normalidade")</f>
        <v>Normalidade</v>
      </c>
      <c r="H376" s="4">
        <f ca="1">IFERROR(__xludf.UNSUPPORTED("""COMPUTED_VALUE"""),44897.3521180555)</f>
        <v>44897.352118055504</v>
      </c>
      <c r="I376" s="3">
        <f ca="1">IFERROR(__xludf.UNSUPPORTED("""COMPUTED_VALUE"""),24)</f>
        <v>24</v>
      </c>
      <c r="J376" s="4">
        <f ca="1">IFERROR(__xludf.UNSUPPORTED("""COMPUTED_VALUE"""),44898.3521180555)</f>
        <v>44898.352118055504</v>
      </c>
    </row>
    <row r="377" spans="1:10" ht="12.75">
      <c r="A377" s="3" t="str">
        <f ca="1">IFERROR(__xludf.UNSUPPORTED("""COMPUTED_VALUE"""),"d8869af7")</f>
        <v>d8869af7</v>
      </c>
      <c r="B377" s="4">
        <f ca="1">IFERROR(__xludf.UNSUPPORTED("""COMPUTED_VALUE"""),44900.4266550926)</f>
        <v>44900.426655092597</v>
      </c>
      <c r="C377" s="7" t="str">
        <f ca="1">IFERROR(__xludf.UNSUPPORTED("""COMPUTED_VALUE"""),"Areia Branca")</f>
        <v>Areia Branca</v>
      </c>
      <c r="D377" s="3" t="str">
        <f ca="1">IFERROR(__xludf.UNSUPPORTED("""COMPUTED_VALUE"""),"🚢 REGULAR")</f>
        <v>🚢 REGULAR</v>
      </c>
      <c r="E377" s="3" t="str">
        <f ca="1">IFERROR(__xludf.UNSUPPORTED("""COMPUTED_VALUE"""),"🚛 LIBERADO")</f>
        <v>🚛 LIBERADO</v>
      </c>
      <c r="F377" s="5">
        <f ca="1">IFERROR(__xludf.UNSUPPORTED("""COMPUTED_VALUE"""),0)</f>
        <v>0</v>
      </c>
      <c r="G377" s="3" t="str">
        <f ca="1">IFERROR(__xludf.UNSUPPORTED("""COMPUTED_VALUE"""),"Normalidade")</f>
        <v>Normalidade</v>
      </c>
      <c r="H377" s="4">
        <f ca="1">IFERROR(__xludf.UNSUPPORTED("""COMPUTED_VALUE"""),44900.4266550926)</f>
        <v>44900.426655092597</v>
      </c>
      <c r="I377" s="3">
        <f ca="1">IFERROR(__xludf.UNSUPPORTED("""COMPUTED_VALUE"""),24)</f>
        <v>24</v>
      </c>
      <c r="J377" s="4">
        <f ca="1">IFERROR(__xludf.UNSUPPORTED("""COMPUTED_VALUE"""),44901.4266550926)</f>
        <v>44901.426655092597</v>
      </c>
    </row>
    <row r="378" spans="1:10" ht="12.75">
      <c r="A378" s="3" t="str">
        <f ca="1">IFERROR(__xludf.UNSUPPORTED("""COMPUTED_VALUE"""),"31b28a4f")</f>
        <v>31b28a4f</v>
      </c>
      <c r="B378" s="4">
        <f ca="1">IFERROR(__xludf.UNSUPPORTED("""COMPUTED_VALUE"""),44901.3716898148)</f>
        <v>44901.371689814798</v>
      </c>
      <c r="C378" s="7" t="str">
        <f ca="1">IFERROR(__xludf.UNSUPPORTED("""COMPUTED_VALUE"""),"Areia Branca")</f>
        <v>Areia Branca</v>
      </c>
      <c r="D378" s="3" t="str">
        <f ca="1">IFERROR(__xludf.UNSUPPORTED("""COMPUTED_VALUE"""),"🚢 REGULAR")</f>
        <v>🚢 REGULAR</v>
      </c>
      <c r="E378" s="3" t="str">
        <f ca="1">IFERROR(__xludf.UNSUPPORTED("""COMPUTED_VALUE"""),"🚛 LIBERADO")</f>
        <v>🚛 LIBERADO</v>
      </c>
      <c r="F378" s="5">
        <f ca="1">IFERROR(__xludf.UNSUPPORTED("""COMPUTED_VALUE"""),0)</f>
        <v>0</v>
      </c>
      <c r="G378" s="3" t="str">
        <f ca="1">IFERROR(__xludf.UNSUPPORTED("""COMPUTED_VALUE"""),"Normalidade")</f>
        <v>Normalidade</v>
      </c>
      <c r="H378" s="4">
        <f ca="1">IFERROR(__xludf.UNSUPPORTED("""COMPUTED_VALUE"""),44901.3716898148)</f>
        <v>44901.371689814798</v>
      </c>
      <c r="I378" s="3">
        <f ca="1">IFERROR(__xludf.UNSUPPORTED("""COMPUTED_VALUE"""),24)</f>
        <v>24</v>
      </c>
      <c r="J378" s="4">
        <f ca="1">IFERROR(__xludf.UNSUPPORTED("""COMPUTED_VALUE"""),44902.3716898148)</f>
        <v>44902.371689814798</v>
      </c>
    </row>
    <row r="379" spans="1:10" ht="12.75">
      <c r="A379" s="3" t="str">
        <f ca="1">IFERROR(__xludf.UNSUPPORTED("""COMPUTED_VALUE"""),"5d6a74a5")</f>
        <v>5d6a74a5</v>
      </c>
      <c r="B379" s="4">
        <f ca="1">IFERROR(__xludf.UNSUPPORTED("""COMPUTED_VALUE"""),44902.3917708333)</f>
        <v>44902.391770833303</v>
      </c>
      <c r="C379" s="8" t="str">
        <f ca="1">IFERROR(__xludf.UNSUPPORTED("""COMPUTED_VALUE"""),"Areia Branca")</f>
        <v>Areia Branca</v>
      </c>
      <c r="D379" s="3" t="str">
        <f ca="1">IFERROR(__xludf.UNSUPPORTED("""COMPUTED_VALUE"""),"🚢 REGULAR")</f>
        <v>🚢 REGULAR</v>
      </c>
      <c r="E379" s="3" t="str">
        <f ca="1">IFERROR(__xludf.UNSUPPORTED("""COMPUTED_VALUE"""),"🚛 LIBERADO")</f>
        <v>🚛 LIBERADO</v>
      </c>
      <c r="F379" s="5">
        <f ca="1">IFERROR(__xludf.UNSUPPORTED("""COMPUTED_VALUE"""),0)</f>
        <v>0</v>
      </c>
      <c r="G379" s="3" t="str">
        <f ca="1">IFERROR(__xludf.UNSUPPORTED("""COMPUTED_VALUE"""),"Normalidade")</f>
        <v>Normalidade</v>
      </c>
      <c r="H379" s="4">
        <f ca="1">IFERROR(__xludf.UNSUPPORTED("""COMPUTED_VALUE"""),44902.3917708333)</f>
        <v>44902.391770833303</v>
      </c>
      <c r="I379" s="3">
        <f ca="1">IFERROR(__xludf.UNSUPPORTED("""COMPUTED_VALUE"""),24)</f>
        <v>24</v>
      </c>
      <c r="J379" s="4">
        <f ca="1">IFERROR(__xludf.UNSUPPORTED("""COMPUTED_VALUE"""),44903.3917708333)</f>
        <v>44903.391770833303</v>
      </c>
    </row>
    <row r="380" spans="1:10" ht="12.75">
      <c r="A380" s="3" t="str">
        <f ca="1">IFERROR(__xludf.UNSUPPORTED("""COMPUTED_VALUE"""),"c6fe90a2")</f>
        <v>c6fe90a2</v>
      </c>
      <c r="B380" s="4">
        <f ca="1">IFERROR(__xludf.UNSUPPORTED("""COMPUTED_VALUE"""),44903.3639351851)</f>
        <v>44903.363935185102</v>
      </c>
      <c r="C380" s="7" t="str">
        <f ca="1">IFERROR(__xludf.UNSUPPORTED("""COMPUTED_VALUE"""),"Areia Branca")</f>
        <v>Areia Branca</v>
      </c>
      <c r="D380" s="3" t="str">
        <f ca="1">IFERROR(__xludf.UNSUPPORTED("""COMPUTED_VALUE"""),"🚢 REGULAR")</f>
        <v>🚢 REGULAR</v>
      </c>
      <c r="E380" s="3" t="str">
        <f ca="1">IFERROR(__xludf.UNSUPPORTED("""COMPUTED_VALUE"""),"🚛 LIBERADO")</f>
        <v>🚛 LIBERADO</v>
      </c>
      <c r="F380" s="5">
        <f ca="1">IFERROR(__xludf.UNSUPPORTED("""COMPUTED_VALUE"""),0)</f>
        <v>0</v>
      </c>
      <c r="G380" s="3" t="str">
        <f ca="1">IFERROR(__xludf.UNSUPPORTED("""COMPUTED_VALUE"""),"Normalidade")</f>
        <v>Normalidade</v>
      </c>
      <c r="H380" s="4">
        <f ca="1">IFERROR(__xludf.UNSUPPORTED("""COMPUTED_VALUE"""),44903.3639351851)</f>
        <v>44903.363935185102</v>
      </c>
      <c r="I380" s="3">
        <f ca="1">IFERROR(__xludf.UNSUPPORTED("""COMPUTED_VALUE"""),24)</f>
        <v>24</v>
      </c>
      <c r="J380" s="4">
        <f ca="1">IFERROR(__xludf.UNSUPPORTED("""COMPUTED_VALUE"""),44904.3639351851)</f>
        <v>44904.363935185102</v>
      </c>
    </row>
    <row r="381" spans="1:10" ht="12.75">
      <c r="A381" s="3" t="str">
        <f ca="1">IFERROR(__xludf.UNSUPPORTED("""COMPUTED_VALUE"""),"56c4a0fd")</f>
        <v>56c4a0fd</v>
      </c>
      <c r="B381" s="4">
        <f ca="1">IFERROR(__xludf.UNSUPPORTED("""COMPUTED_VALUE"""),44904.3758680555)</f>
        <v>44904.375868055497</v>
      </c>
      <c r="C381" s="7" t="str">
        <f ca="1">IFERROR(__xludf.UNSUPPORTED("""COMPUTED_VALUE"""),"Areia Branca")</f>
        <v>Areia Branca</v>
      </c>
      <c r="D381" s="3" t="str">
        <f ca="1">IFERROR(__xludf.UNSUPPORTED("""COMPUTED_VALUE"""),"🚢 REGULAR")</f>
        <v>🚢 REGULAR</v>
      </c>
      <c r="E381" s="3" t="str">
        <f ca="1">IFERROR(__xludf.UNSUPPORTED("""COMPUTED_VALUE"""),"🚛 LIBERADO")</f>
        <v>🚛 LIBERADO</v>
      </c>
      <c r="F381" s="5">
        <f ca="1">IFERROR(__xludf.UNSUPPORTED("""COMPUTED_VALUE"""),0)</f>
        <v>0</v>
      </c>
      <c r="G381" s="3" t="str">
        <f ca="1">IFERROR(__xludf.UNSUPPORTED("""COMPUTED_VALUE"""),"Normalidade")</f>
        <v>Normalidade</v>
      </c>
      <c r="H381" s="4">
        <f ca="1">IFERROR(__xludf.UNSUPPORTED("""COMPUTED_VALUE"""),44904.3758680555)</f>
        <v>44904.375868055497</v>
      </c>
      <c r="I381" s="3">
        <f ca="1">IFERROR(__xludf.UNSUPPORTED("""COMPUTED_VALUE"""),24)</f>
        <v>24</v>
      </c>
      <c r="J381" s="4">
        <f ca="1">IFERROR(__xludf.UNSUPPORTED("""COMPUTED_VALUE"""),44905.3758680555)</f>
        <v>44905.375868055497</v>
      </c>
    </row>
    <row r="382" spans="1:10" ht="12.75">
      <c r="A382" s="3" t="str">
        <f ca="1">IFERROR(__xludf.UNSUPPORTED("""COMPUTED_VALUE"""),"52189314")</f>
        <v>52189314</v>
      </c>
      <c r="B382" s="4">
        <f ca="1">IFERROR(__xludf.UNSUPPORTED("""COMPUTED_VALUE"""),44905.4146643518)</f>
        <v>44905.414664351803</v>
      </c>
      <c r="C382" s="8" t="str">
        <f ca="1">IFERROR(__xludf.UNSUPPORTED("""COMPUTED_VALUE"""),"Areia Branca")</f>
        <v>Areia Branca</v>
      </c>
      <c r="D382" s="3" t="str">
        <f ca="1">IFERROR(__xludf.UNSUPPORTED("""COMPUTED_VALUE"""),"🚢 REGULAR")</f>
        <v>🚢 REGULAR</v>
      </c>
      <c r="E382" s="3" t="str">
        <f ca="1">IFERROR(__xludf.UNSUPPORTED("""COMPUTED_VALUE"""),"🚛 LIBERADO")</f>
        <v>🚛 LIBERADO</v>
      </c>
      <c r="F382" s="5">
        <f ca="1">IFERROR(__xludf.UNSUPPORTED("""COMPUTED_VALUE"""),0)</f>
        <v>0</v>
      </c>
      <c r="G382" s="3" t="str">
        <f ca="1">IFERROR(__xludf.UNSUPPORTED("""COMPUTED_VALUE"""),"Normalidade")</f>
        <v>Normalidade</v>
      </c>
      <c r="H382" s="4">
        <f ca="1">IFERROR(__xludf.UNSUPPORTED("""COMPUTED_VALUE"""),44905.4146643518)</f>
        <v>44905.414664351803</v>
      </c>
      <c r="I382" s="3">
        <f ca="1">IFERROR(__xludf.UNSUPPORTED("""COMPUTED_VALUE"""),24)</f>
        <v>24</v>
      </c>
      <c r="J382" s="4">
        <f ca="1">IFERROR(__xludf.UNSUPPORTED("""COMPUTED_VALUE"""),44906.4146643518)</f>
        <v>44906.414664351803</v>
      </c>
    </row>
    <row r="383" spans="1:10" ht="12.75">
      <c r="A383" s="3" t="str">
        <f ca="1">IFERROR(__xludf.UNSUPPORTED("""COMPUTED_VALUE"""),"3ae1969d")</f>
        <v>3ae1969d</v>
      </c>
      <c r="B383" s="4">
        <f ca="1">IFERROR(__xludf.UNSUPPORTED("""COMPUTED_VALUE"""),44907.3988773148)</f>
        <v>44907.398877314801</v>
      </c>
      <c r="C383" s="8" t="str">
        <f ca="1">IFERROR(__xludf.UNSUPPORTED("""COMPUTED_VALUE"""),"Areia Branca")</f>
        <v>Areia Branca</v>
      </c>
      <c r="D383" s="3" t="str">
        <f ca="1">IFERROR(__xludf.UNSUPPORTED("""COMPUTED_VALUE"""),"🚢 REGULAR")</f>
        <v>🚢 REGULAR</v>
      </c>
      <c r="E383" s="3" t="str">
        <f ca="1">IFERROR(__xludf.UNSUPPORTED("""COMPUTED_VALUE"""),"🚛 LIBERADO")</f>
        <v>🚛 LIBERADO</v>
      </c>
      <c r="F383" s="5">
        <f ca="1">IFERROR(__xludf.UNSUPPORTED("""COMPUTED_VALUE"""),0)</f>
        <v>0</v>
      </c>
      <c r="G383" s="3" t="str">
        <f ca="1">IFERROR(__xludf.UNSUPPORTED("""COMPUTED_VALUE"""),"Normalidade")</f>
        <v>Normalidade</v>
      </c>
      <c r="H383" s="4">
        <f ca="1">IFERROR(__xludf.UNSUPPORTED("""COMPUTED_VALUE"""),44907.3988773148)</f>
        <v>44907.398877314801</v>
      </c>
      <c r="I383" s="3">
        <f ca="1">IFERROR(__xludf.UNSUPPORTED("""COMPUTED_VALUE"""),24)</f>
        <v>24</v>
      </c>
      <c r="J383" s="4">
        <f ca="1">IFERROR(__xludf.UNSUPPORTED("""COMPUTED_VALUE"""),44908.3988773148)</f>
        <v>44908.398877314801</v>
      </c>
    </row>
    <row r="384" spans="1:10" ht="12.75">
      <c r="A384" s="3" t="str">
        <f ca="1">IFERROR(__xludf.UNSUPPORTED("""COMPUTED_VALUE"""),"514906eb")</f>
        <v>514906eb</v>
      </c>
      <c r="B384" s="4">
        <f ca="1">IFERROR(__xludf.UNSUPPORTED("""COMPUTED_VALUE"""),44908.4098379629)</f>
        <v>44908.409837962899</v>
      </c>
      <c r="C384" s="8" t="str">
        <f ca="1">IFERROR(__xludf.UNSUPPORTED("""COMPUTED_VALUE"""),"Areia Branca")</f>
        <v>Areia Branca</v>
      </c>
      <c r="D384" s="3" t="str">
        <f ca="1">IFERROR(__xludf.UNSUPPORTED("""COMPUTED_VALUE"""),"🚢 REGULAR")</f>
        <v>🚢 REGULAR</v>
      </c>
      <c r="E384" s="3" t="str">
        <f ca="1">IFERROR(__xludf.UNSUPPORTED("""COMPUTED_VALUE"""),"🚛 LIBERADO")</f>
        <v>🚛 LIBERADO</v>
      </c>
      <c r="F384" s="5">
        <f ca="1">IFERROR(__xludf.UNSUPPORTED("""COMPUTED_VALUE"""),0)</f>
        <v>0</v>
      </c>
      <c r="G384" s="3" t="str">
        <f ca="1">IFERROR(__xludf.UNSUPPORTED("""COMPUTED_VALUE"""),"Normalidade")</f>
        <v>Normalidade</v>
      </c>
      <c r="H384" s="4">
        <f ca="1">IFERROR(__xludf.UNSUPPORTED("""COMPUTED_VALUE"""),44908.4098379629)</f>
        <v>44908.409837962899</v>
      </c>
      <c r="I384" s="3">
        <f ca="1">IFERROR(__xludf.UNSUPPORTED("""COMPUTED_VALUE"""),24)</f>
        <v>24</v>
      </c>
      <c r="J384" s="4">
        <f ca="1">IFERROR(__xludf.UNSUPPORTED("""COMPUTED_VALUE"""),44909.4098379629)</f>
        <v>44909.409837962899</v>
      </c>
    </row>
    <row r="385" spans="1:12" ht="12.75">
      <c r="A385" s="3" t="str">
        <f ca="1">IFERROR(__xludf.UNSUPPORTED("""COMPUTED_VALUE"""),"a8e2f4db")</f>
        <v>a8e2f4db</v>
      </c>
      <c r="B385" s="4">
        <f ca="1">IFERROR(__xludf.UNSUPPORTED("""COMPUTED_VALUE"""),44910.4304282407)</f>
        <v>44910.430428240703</v>
      </c>
      <c r="C385" s="7" t="str">
        <f ca="1">IFERROR(__xludf.UNSUPPORTED("""COMPUTED_VALUE"""),"Areia Branca")</f>
        <v>Areia Branca</v>
      </c>
      <c r="D385" s="3" t="str">
        <f ca="1">IFERROR(__xludf.UNSUPPORTED("""COMPUTED_VALUE"""),"🚢 REGULAR")</f>
        <v>🚢 REGULAR</v>
      </c>
      <c r="E385" s="3" t="str">
        <f ca="1">IFERROR(__xludf.UNSUPPORTED("""COMPUTED_VALUE"""),"🚛 LIBERADO")</f>
        <v>🚛 LIBERADO</v>
      </c>
      <c r="F385" s="5">
        <f ca="1">IFERROR(__xludf.UNSUPPORTED("""COMPUTED_VALUE"""),0)</f>
        <v>0</v>
      </c>
      <c r="G385" s="3" t="str">
        <f ca="1">IFERROR(__xludf.UNSUPPORTED("""COMPUTED_VALUE"""),"Normalidade")</f>
        <v>Normalidade</v>
      </c>
      <c r="H385" s="4">
        <f ca="1">IFERROR(__xludf.UNSUPPORTED("""COMPUTED_VALUE"""),44910.4304282407)</f>
        <v>44910.430428240703</v>
      </c>
      <c r="I385" s="3">
        <f ca="1">IFERROR(__xludf.UNSUPPORTED("""COMPUTED_VALUE"""),24)</f>
        <v>24</v>
      </c>
      <c r="J385" s="4">
        <f ca="1">IFERROR(__xludf.UNSUPPORTED("""COMPUTED_VALUE"""),44911.4304282407)</f>
        <v>44911.430428240703</v>
      </c>
    </row>
    <row r="386" spans="1:12" ht="12.75">
      <c r="A386" s="3" t="str">
        <f ca="1">IFERROR(__xludf.UNSUPPORTED("""COMPUTED_VALUE"""),"0cb6511b")</f>
        <v>0cb6511b</v>
      </c>
      <c r="B386" s="4">
        <f ca="1">IFERROR(__xludf.UNSUPPORTED("""COMPUTED_VALUE"""),44911.489386574)</f>
        <v>44911.489386574001</v>
      </c>
      <c r="C386" s="7" t="str">
        <f ca="1">IFERROR(__xludf.UNSUPPORTED("""COMPUTED_VALUE"""),"Areia Branca")</f>
        <v>Areia Branca</v>
      </c>
      <c r="D386" s="3" t="str">
        <f ca="1">IFERROR(__xludf.UNSUPPORTED("""COMPUTED_VALUE"""),"🚢 REGULAR")</f>
        <v>🚢 REGULAR</v>
      </c>
      <c r="E386" s="3" t="str">
        <f ca="1">IFERROR(__xludf.UNSUPPORTED("""COMPUTED_VALUE"""),"🚛 LIBERADO")</f>
        <v>🚛 LIBERADO</v>
      </c>
      <c r="F386" s="5">
        <f ca="1">IFERROR(__xludf.UNSUPPORTED("""COMPUTED_VALUE"""),0)</f>
        <v>0</v>
      </c>
      <c r="G386" s="3" t="str">
        <f ca="1">IFERROR(__xludf.UNSUPPORTED("""COMPUTED_VALUE"""),"Normalidade")</f>
        <v>Normalidade</v>
      </c>
      <c r="H386" s="4">
        <f ca="1">IFERROR(__xludf.UNSUPPORTED("""COMPUTED_VALUE"""),44911.489386574)</f>
        <v>44911.489386574001</v>
      </c>
      <c r="I386" s="3">
        <f ca="1">IFERROR(__xludf.UNSUPPORTED("""COMPUTED_VALUE"""),24)</f>
        <v>24</v>
      </c>
      <c r="J386" s="4">
        <f ca="1">IFERROR(__xludf.UNSUPPORTED("""COMPUTED_VALUE"""),44912.489386574)</f>
        <v>44912.489386574001</v>
      </c>
    </row>
    <row r="387" spans="1:12" ht="12.75">
      <c r="A387" s="3" t="str">
        <f ca="1">IFERROR(__xludf.UNSUPPORTED("""COMPUTED_VALUE"""),"0f559978")</f>
        <v>0f559978</v>
      </c>
      <c r="B387" s="4">
        <f ca="1">IFERROR(__xludf.UNSUPPORTED("""COMPUTED_VALUE"""),44912.5153587963)</f>
        <v>44912.5153587963</v>
      </c>
      <c r="C387" s="8" t="str">
        <f ca="1">IFERROR(__xludf.UNSUPPORTED("""COMPUTED_VALUE"""),"Areia Branca")</f>
        <v>Areia Branca</v>
      </c>
      <c r="D387" s="3" t="str">
        <f ca="1">IFERROR(__xludf.UNSUPPORTED("""COMPUTED_VALUE"""),"🚢 REGULAR")</f>
        <v>🚢 REGULAR</v>
      </c>
      <c r="E387" s="3" t="str">
        <f ca="1">IFERROR(__xludf.UNSUPPORTED("""COMPUTED_VALUE"""),"🚛 LIBERADO")</f>
        <v>🚛 LIBERADO</v>
      </c>
      <c r="F387" s="5">
        <f ca="1">IFERROR(__xludf.UNSUPPORTED("""COMPUTED_VALUE"""),0)</f>
        <v>0</v>
      </c>
      <c r="G387" s="3" t="str">
        <f ca="1">IFERROR(__xludf.UNSUPPORTED("""COMPUTED_VALUE"""),"Normalidade")</f>
        <v>Normalidade</v>
      </c>
      <c r="H387" s="4">
        <f ca="1">IFERROR(__xludf.UNSUPPORTED("""COMPUTED_VALUE"""),44912.5153587963)</f>
        <v>44912.5153587963</v>
      </c>
      <c r="I387" s="3">
        <f ca="1">IFERROR(__xludf.UNSUPPORTED("""COMPUTED_VALUE"""),24)</f>
        <v>24</v>
      </c>
      <c r="J387" s="4">
        <f ca="1">IFERROR(__xludf.UNSUPPORTED("""COMPUTED_VALUE"""),44913.5153587963)</f>
        <v>44913.5153587963</v>
      </c>
    </row>
    <row r="388" spans="1:12" ht="12.75">
      <c r="A388" s="3" t="str">
        <f ca="1">IFERROR(__xludf.UNSUPPORTED("""COMPUTED_VALUE"""),"0d739697")</f>
        <v>0d739697</v>
      </c>
      <c r="B388" s="4">
        <f ca="1">IFERROR(__xludf.UNSUPPORTED("""COMPUTED_VALUE"""),44914.3764467592)</f>
        <v>44914.376446759197</v>
      </c>
      <c r="C388" s="8" t="str">
        <f ca="1">IFERROR(__xludf.UNSUPPORTED("""COMPUTED_VALUE"""),"Areia Branca")</f>
        <v>Areia Branca</v>
      </c>
      <c r="D388" s="3" t="str">
        <f ca="1">IFERROR(__xludf.UNSUPPORTED("""COMPUTED_VALUE"""),"🚢 REGULAR")</f>
        <v>🚢 REGULAR</v>
      </c>
      <c r="E388" s="3" t="str">
        <f ca="1">IFERROR(__xludf.UNSUPPORTED("""COMPUTED_VALUE"""),"🚛 LIBERADO")</f>
        <v>🚛 LIBERADO</v>
      </c>
      <c r="F388" s="5">
        <f ca="1">IFERROR(__xludf.UNSUPPORTED("""COMPUTED_VALUE"""),0)</f>
        <v>0</v>
      </c>
      <c r="G388" s="3" t="str">
        <f ca="1">IFERROR(__xludf.UNSUPPORTED("""COMPUTED_VALUE"""),"Normalidade")</f>
        <v>Normalidade</v>
      </c>
      <c r="H388" s="4">
        <f ca="1">IFERROR(__xludf.UNSUPPORTED("""COMPUTED_VALUE"""),44914.3764467592)</f>
        <v>44914.376446759197</v>
      </c>
      <c r="I388" s="3">
        <f ca="1">IFERROR(__xludf.UNSUPPORTED("""COMPUTED_VALUE"""),24)</f>
        <v>24</v>
      </c>
      <c r="J388" s="4">
        <f ca="1">IFERROR(__xludf.UNSUPPORTED("""COMPUTED_VALUE"""),44915.3764467592)</f>
        <v>44915.376446759197</v>
      </c>
    </row>
    <row r="389" spans="1:12" ht="12.75">
      <c r="A389" s="3" t="str">
        <f ca="1">IFERROR(__xludf.UNSUPPORTED("""COMPUTED_VALUE"""),"6e4117db")</f>
        <v>6e4117db</v>
      </c>
      <c r="B389" s="4">
        <f ca="1">IFERROR(__xludf.UNSUPPORTED("""COMPUTED_VALUE"""),44915.4360648148)</f>
        <v>44915.436064814799</v>
      </c>
      <c r="C389" s="8" t="str">
        <f ca="1">IFERROR(__xludf.UNSUPPORTED("""COMPUTED_VALUE"""),"Areia Branca")</f>
        <v>Areia Branca</v>
      </c>
      <c r="D389" s="3" t="str">
        <f ca="1">IFERROR(__xludf.UNSUPPORTED("""COMPUTED_VALUE"""),"🚢 REGULAR")</f>
        <v>🚢 REGULAR</v>
      </c>
      <c r="E389" s="3" t="str">
        <f ca="1">IFERROR(__xludf.UNSUPPORTED("""COMPUTED_VALUE"""),"🚛 LIBERADO")</f>
        <v>🚛 LIBERADO</v>
      </c>
      <c r="F389" s="5">
        <f ca="1">IFERROR(__xludf.UNSUPPORTED("""COMPUTED_VALUE"""),0)</f>
        <v>0</v>
      </c>
      <c r="G389" s="3" t="str">
        <f ca="1">IFERROR(__xludf.UNSUPPORTED("""COMPUTED_VALUE"""),"Normalidade")</f>
        <v>Normalidade</v>
      </c>
      <c r="H389" s="4">
        <f ca="1">IFERROR(__xludf.UNSUPPORTED("""COMPUTED_VALUE"""),44915.4360648148)</f>
        <v>44915.436064814799</v>
      </c>
      <c r="I389" s="3">
        <f ca="1">IFERROR(__xludf.UNSUPPORTED("""COMPUTED_VALUE"""),24)</f>
        <v>24</v>
      </c>
      <c r="J389" s="4">
        <f ca="1">IFERROR(__xludf.UNSUPPORTED("""COMPUTED_VALUE"""),44916.4360648148)</f>
        <v>44916.436064814799</v>
      </c>
    </row>
    <row r="390" spans="1:12" ht="12.75">
      <c r="A390" s="3" t="str">
        <f ca="1">IFERROR(__xludf.UNSUPPORTED("""COMPUTED_VALUE"""),"f9e3d8d6")</f>
        <v>f9e3d8d6</v>
      </c>
      <c r="B390" s="4">
        <f ca="1">IFERROR(__xludf.UNSUPPORTED("""COMPUTED_VALUE"""),44917.3941666666)</f>
        <v>44917.3941666666</v>
      </c>
      <c r="C390" s="8" t="str">
        <f ca="1">IFERROR(__xludf.UNSUPPORTED("""COMPUTED_VALUE"""),"Areia Branca")</f>
        <v>Areia Branca</v>
      </c>
      <c r="D390" s="3" t="str">
        <f ca="1">IFERROR(__xludf.UNSUPPORTED("""COMPUTED_VALUE"""),"🚢 REGULAR")</f>
        <v>🚢 REGULAR</v>
      </c>
      <c r="E390" s="3" t="str">
        <f ca="1">IFERROR(__xludf.UNSUPPORTED("""COMPUTED_VALUE"""),"🚛 LIBERADO")</f>
        <v>🚛 LIBERADO</v>
      </c>
      <c r="F390" s="5">
        <f ca="1">IFERROR(__xludf.UNSUPPORTED("""COMPUTED_VALUE"""),0)</f>
        <v>0</v>
      </c>
      <c r="G390" s="3" t="str">
        <f ca="1">IFERROR(__xludf.UNSUPPORTED("""COMPUTED_VALUE"""),"Normalidade")</f>
        <v>Normalidade</v>
      </c>
      <c r="H390" s="4">
        <f ca="1">IFERROR(__xludf.UNSUPPORTED("""COMPUTED_VALUE"""),44917.3941666666)</f>
        <v>44917.3941666666</v>
      </c>
      <c r="I390" s="3">
        <f ca="1">IFERROR(__xludf.UNSUPPORTED("""COMPUTED_VALUE"""),24)</f>
        <v>24</v>
      </c>
      <c r="J390" s="4">
        <f ca="1">IFERROR(__xludf.UNSUPPORTED("""COMPUTED_VALUE"""),44918.3941666666)</f>
        <v>44918.3941666666</v>
      </c>
    </row>
    <row r="391" spans="1:12" ht="12.75">
      <c r="A391" s="3" t="str">
        <f ca="1">IFERROR(__xludf.UNSUPPORTED("""COMPUTED_VALUE"""),"7fb984dd")</f>
        <v>7fb984dd</v>
      </c>
      <c r="B391" s="4">
        <f ca="1">IFERROR(__xludf.UNSUPPORTED("""COMPUTED_VALUE"""),44918.4265162037)</f>
        <v>44918.426516203697</v>
      </c>
      <c r="C391" s="8" t="str">
        <f ca="1">IFERROR(__xludf.UNSUPPORTED("""COMPUTED_VALUE"""),"Areia Branca")</f>
        <v>Areia Branca</v>
      </c>
      <c r="D391" s="3" t="str">
        <f ca="1">IFERROR(__xludf.UNSUPPORTED("""COMPUTED_VALUE"""),"🚢 REGULAR")</f>
        <v>🚢 REGULAR</v>
      </c>
      <c r="E391" s="3" t="str">
        <f ca="1">IFERROR(__xludf.UNSUPPORTED("""COMPUTED_VALUE"""),"🚛 LIBERADO")</f>
        <v>🚛 LIBERADO</v>
      </c>
      <c r="F391" s="5">
        <f ca="1">IFERROR(__xludf.UNSUPPORTED("""COMPUTED_VALUE"""),0)</f>
        <v>0</v>
      </c>
      <c r="G391" s="3" t="str">
        <f ca="1">IFERROR(__xludf.UNSUPPORTED("""COMPUTED_VALUE"""),"Normalidade")</f>
        <v>Normalidade</v>
      </c>
      <c r="H391" s="4">
        <f ca="1">IFERROR(__xludf.UNSUPPORTED("""COMPUTED_VALUE"""),44918.4265162037)</f>
        <v>44918.426516203697</v>
      </c>
      <c r="I391" s="3">
        <f ca="1">IFERROR(__xludf.UNSUPPORTED("""COMPUTED_VALUE"""),24)</f>
        <v>24</v>
      </c>
      <c r="J391" s="4">
        <f ca="1">IFERROR(__xludf.UNSUPPORTED("""COMPUTED_VALUE"""),44919.4265162037)</f>
        <v>44919.426516203697</v>
      </c>
    </row>
    <row r="392" spans="1:12" ht="12.75">
      <c r="A392" s="3" t="str">
        <f ca="1">IFERROR(__xludf.UNSUPPORTED("""COMPUTED_VALUE"""),"bde67dac")</f>
        <v>bde67dac</v>
      </c>
      <c r="B392" s="4">
        <f ca="1">IFERROR(__xludf.UNSUPPORTED("""COMPUTED_VALUE"""),44923.4152314814)</f>
        <v>44923.415231481398</v>
      </c>
      <c r="C392" s="7" t="str">
        <f ca="1">IFERROR(__xludf.UNSUPPORTED("""COMPUTED_VALUE"""),"Areia Branca")</f>
        <v>Areia Branca</v>
      </c>
      <c r="D392" s="3" t="str">
        <f ca="1">IFERROR(__xludf.UNSUPPORTED("""COMPUTED_VALUE"""),"🚢 REGULAR")</f>
        <v>🚢 REGULAR</v>
      </c>
      <c r="E392" s="3" t="str">
        <f ca="1">IFERROR(__xludf.UNSUPPORTED("""COMPUTED_VALUE"""),"🚛 LIBERADO")</f>
        <v>🚛 LIBERADO</v>
      </c>
      <c r="F392" s="5">
        <f ca="1">IFERROR(__xludf.UNSUPPORTED("""COMPUTED_VALUE"""),0)</f>
        <v>0</v>
      </c>
      <c r="G392" s="3" t="str">
        <f ca="1">IFERROR(__xludf.UNSUPPORTED("""COMPUTED_VALUE"""),"Normalidade")</f>
        <v>Normalidade</v>
      </c>
      <c r="H392" s="4">
        <f ca="1">IFERROR(__xludf.UNSUPPORTED("""COMPUTED_VALUE"""),44923.4152314814)</f>
        <v>44923.415231481398</v>
      </c>
      <c r="I392" s="3">
        <f ca="1">IFERROR(__xludf.UNSUPPORTED("""COMPUTED_VALUE"""),24)</f>
        <v>24</v>
      </c>
      <c r="J392" s="4">
        <f ca="1">IFERROR(__xludf.UNSUPPORTED("""COMPUTED_VALUE"""),44924.4152314814)</f>
        <v>44924.415231481398</v>
      </c>
    </row>
    <row r="393" spans="1:12" ht="12.75">
      <c r="A393" s="3" t="str">
        <f ca="1">IFERROR(__xludf.UNSUPPORTED("""COMPUTED_VALUE"""),"c45eb7fb")</f>
        <v>c45eb7fb</v>
      </c>
      <c r="B393" s="4">
        <f ca="1">IFERROR(__xludf.UNSUPPORTED("""COMPUTED_VALUE"""),44935.3309606481)</f>
        <v>44935.330960648098</v>
      </c>
      <c r="C393" s="7" t="str">
        <f ca="1">IFERROR(__xludf.UNSUPPORTED("""COMPUTED_VALUE"""),"Areia Branca")</f>
        <v>Areia Branca</v>
      </c>
      <c r="D393" s="3" t="str">
        <f ca="1">IFERROR(__xludf.UNSUPPORTED("""COMPUTED_VALUE"""),"🚢 REGULAR")</f>
        <v>🚢 REGULAR</v>
      </c>
      <c r="E393" s="3" t="str">
        <f ca="1">IFERROR(__xludf.UNSUPPORTED("""COMPUTED_VALUE"""),"🚛 LIBERADO")</f>
        <v>🚛 LIBERADO</v>
      </c>
      <c r="F393" s="5">
        <f ca="1">IFERROR(__xludf.UNSUPPORTED("""COMPUTED_VALUE"""),0)</f>
        <v>0</v>
      </c>
      <c r="G393" s="3" t="str">
        <f ca="1">IFERROR(__xludf.UNSUPPORTED("""COMPUTED_VALUE"""),"Normalidade")</f>
        <v>Normalidade</v>
      </c>
      <c r="H393" s="4">
        <f ca="1">IFERROR(__xludf.UNSUPPORTED("""COMPUTED_VALUE"""),44935.3309606481)</f>
        <v>44935.330960648098</v>
      </c>
      <c r="I393" s="3">
        <f ca="1">IFERROR(__xludf.UNSUPPORTED("""COMPUTED_VALUE"""),24)</f>
        <v>24</v>
      </c>
      <c r="J393" s="4">
        <f ca="1">IFERROR(__xludf.UNSUPPORTED("""COMPUTED_VALUE"""),44936.3309606481)</f>
        <v>44936.330960648098</v>
      </c>
      <c r="L393" s="3" t="str">
        <f ca="1">IFERROR(__xludf.UNSUPPORTED("""COMPUTED_VALUE"""),"Normalidade")</f>
        <v>Normalidade</v>
      </c>
    </row>
    <row r="394" spans="1:12" ht="12.75">
      <c r="A394" s="3" t="str">
        <f ca="1">IFERROR(__xludf.UNSUPPORTED("""COMPUTED_VALUE"""),"b6edb020")</f>
        <v>b6edb020</v>
      </c>
      <c r="B394" s="4">
        <f ca="1">IFERROR(__xludf.UNSUPPORTED("""COMPUTED_VALUE"""),44936.4226736111)</f>
        <v>44936.422673611101</v>
      </c>
      <c r="C394" s="7" t="str">
        <f ca="1">IFERROR(__xludf.UNSUPPORTED("""COMPUTED_VALUE"""),"Areia Branca")</f>
        <v>Areia Branca</v>
      </c>
      <c r="D394" s="3" t="str">
        <f ca="1">IFERROR(__xludf.UNSUPPORTED("""COMPUTED_VALUE"""),"🚢 REGULAR")</f>
        <v>🚢 REGULAR</v>
      </c>
      <c r="E394" s="3" t="str">
        <f ca="1">IFERROR(__xludf.UNSUPPORTED("""COMPUTED_VALUE"""),"🚛 LIBERADO")</f>
        <v>🚛 LIBERADO</v>
      </c>
      <c r="F394" s="5">
        <f ca="1">IFERROR(__xludf.UNSUPPORTED("""COMPUTED_VALUE"""),0)</f>
        <v>0</v>
      </c>
      <c r="G394" s="3" t="str">
        <f ca="1">IFERROR(__xludf.UNSUPPORTED("""COMPUTED_VALUE"""),"Normalidade")</f>
        <v>Normalidade</v>
      </c>
      <c r="H394" s="4">
        <f ca="1">IFERROR(__xludf.UNSUPPORTED("""COMPUTED_VALUE"""),44936.4226736111)</f>
        <v>44936.422673611101</v>
      </c>
      <c r="I394" s="3">
        <f ca="1">IFERROR(__xludf.UNSUPPORTED("""COMPUTED_VALUE"""),24)</f>
        <v>24</v>
      </c>
      <c r="J394" s="4">
        <f ca="1">IFERROR(__xludf.UNSUPPORTED("""COMPUTED_VALUE"""),44937.4226736111)</f>
        <v>44937.422673611101</v>
      </c>
      <c r="L394" s="3" t="str">
        <f ca="1">IFERROR(__xludf.UNSUPPORTED("""COMPUTED_VALUE"""),"Normalidade")</f>
        <v>Normalidade</v>
      </c>
    </row>
    <row r="395" spans="1:12" ht="12.75">
      <c r="A395" s="3" t="str">
        <f ca="1">IFERROR(__xludf.UNSUPPORTED("""COMPUTED_VALUE"""),"3cb459d1")</f>
        <v>3cb459d1</v>
      </c>
      <c r="B395" s="4">
        <f ca="1">IFERROR(__xludf.UNSUPPORTED("""COMPUTED_VALUE"""),44937.4147800925)</f>
        <v>44937.414780092498</v>
      </c>
      <c r="C395" s="8" t="str">
        <f ca="1">IFERROR(__xludf.UNSUPPORTED("""COMPUTED_VALUE"""),"Areia Branca")</f>
        <v>Areia Branca</v>
      </c>
      <c r="D395" s="3" t="str">
        <f ca="1">IFERROR(__xludf.UNSUPPORTED("""COMPUTED_VALUE"""),"🚢 REGULAR")</f>
        <v>🚢 REGULAR</v>
      </c>
      <c r="E395" s="3" t="str">
        <f ca="1">IFERROR(__xludf.UNSUPPORTED("""COMPUTED_VALUE"""),"🚛 LIBERADO")</f>
        <v>🚛 LIBERADO</v>
      </c>
      <c r="F395" s="5">
        <f ca="1">IFERROR(__xludf.UNSUPPORTED("""COMPUTED_VALUE"""),0)</f>
        <v>0</v>
      </c>
      <c r="G395" s="3" t="str">
        <f ca="1">IFERROR(__xludf.UNSUPPORTED("""COMPUTED_VALUE"""),"Normalidade")</f>
        <v>Normalidade</v>
      </c>
      <c r="H395" s="4">
        <f ca="1">IFERROR(__xludf.UNSUPPORTED("""COMPUTED_VALUE"""),44937.4147800925)</f>
        <v>44937.414780092498</v>
      </c>
      <c r="I395" s="3">
        <f ca="1">IFERROR(__xludf.UNSUPPORTED("""COMPUTED_VALUE"""),24)</f>
        <v>24</v>
      </c>
      <c r="J395" s="4">
        <f ca="1">IFERROR(__xludf.UNSUPPORTED("""COMPUTED_VALUE"""),44938.4147800925)</f>
        <v>44938.414780092498</v>
      </c>
      <c r="L395" s="3" t="str">
        <f ca="1">IFERROR(__xludf.UNSUPPORTED("""COMPUTED_VALUE"""),"Normalidade")</f>
        <v>Normalidade</v>
      </c>
    </row>
    <row r="396" spans="1:12" ht="12.75">
      <c r="A396" s="3" t="str">
        <f ca="1">IFERROR(__xludf.UNSUPPORTED("""COMPUTED_VALUE"""),"5187d31c")</f>
        <v>5187d31c</v>
      </c>
      <c r="B396" s="4">
        <f ca="1">IFERROR(__xludf.UNSUPPORTED("""COMPUTED_VALUE"""),44938.4787152777)</f>
        <v>44938.478715277699</v>
      </c>
      <c r="C396" s="7" t="str">
        <f ca="1">IFERROR(__xludf.UNSUPPORTED("""COMPUTED_VALUE"""),"Areia Branca")</f>
        <v>Areia Branca</v>
      </c>
      <c r="D396" s="3" t="str">
        <f ca="1">IFERROR(__xludf.UNSUPPORTED("""COMPUTED_VALUE"""),"🚢 REGULAR")</f>
        <v>🚢 REGULAR</v>
      </c>
      <c r="E396" s="3" t="str">
        <f ca="1">IFERROR(__xludf.UNSUPPORTED("""COMPUTED_VALUE"""),"🚛 LIBERADO")</f>
        <v>🚛 LIBERADO</v>
      </c>
      <c r="F396" s="5">
        <f ca="1">IFERROR(__xludf.UNSUPPORTED("""COMPUTED_VALUE"""),0)</f>
        <v>0</v>
      </c>
      <c r="G396" s="3" t="str">
        <f ca="1">IFERROR(__xludf.UNSUPPORTED("""COMPUTED_VALUE"""),"Normalidade")</f>
        <v>Normalidade</v>
      </c>
      <c r="H396" s="4">
        <f ca="1">IFERROR(__xludf.UNSUPPORTED("""COMPUTED_VALUE"""),44938.4787152777)</f>
        <v>44938.478715277699</v>
      </c>
      <c r="I396" s="3">
        <f ca="1">IFERROR(__xludf.UNSUPPORTED("""COMPUTED_VALUE"""),24)</f>
        <v>24</v>
      </c>
      <c r="J396" s="4">
        <f ca="1">IFERROR(__xludf.UNSUPPORTED("""COMPUTED_VALUE"""),44939.4787152777)</f>
        <v>44939.478715277699</v>
      </c>
      <c r="L396" s="3" t="str">
        <f ca="1">IFERROR(__xludf.UNSUPPORTED("""COMPUTED_VALUE"""),"Normalidade")</f>
        <v>Normalidade</v>
      </c>
    </row>
    <row r="397" spans="1:12" ht="12.75">
      <c r="A397" s="3" t="str">
        <f ca="1">IFERROR(__xludf.UNSUPPORTED("""COMPUTED_VALUE"""),"bcbbccdb")</f>
        <v>bcbbccdb</v>
      </c>
      <c r="B397" s="4">
        <f ca="1">IFERROR(__xludf.UNSUPPORTED("""COMPUTED_VALUE"""),44939.4253819444)</f>
        <v>44939.425381944398</v>
      </c>
      <c r="C397" s="8" t="str">
        <f ca="1">IFERROR(__xludf.UNSUPPORTED("""COMPUTED_VALUE"""),"Areia Branca")</f>
        <v>Areia Branca</v>
      </c>
      <c r="D397" s="3" t="str">
        <f ca="1">IFERROR(__xludf.UNSUPPORTED("""COMPUTED_VALUE"""),"🚢 REGULAR")</f>
        <v>🚢 REGULAR</v>
      </c>
      <c r="E397" s="3" t="str">
        <f ca="1">IFERROR(__xludf.UNSUPPORTED("""COMPUTED_VALUE"""),"🚛 LIBERADO")</f>
        <v>🚛 LIBERADO</v>
      </c>
      <c r="F397" s="5">
        <f ca="1">IFERROR(__xludf.UNSUPPORTED("""COMPUTED_VALUE"""),0)</f>
        <v>0</v>
      </c>
      <c r="G397" s="3" t="str">
        <f ca="1">IFERROR(__xludf.UNSUPPORTED("""COMPUTED_VALUE"""),"Normalidade")</f>
        <v>Normalidade</v>
      </c>
      <c r="H397" s="4">
        <f ca="1">IFERROR(__xludf.UNSUPPORTED("""COMPUTED_VALUE"""),44939.4253819444)</f>
        <v>44939.425381944398</v>
      </c>
      <c r="I397" s="3">
        <f ca="1">IFERROR(__xludf.UNSUPPORTED("""COMPUTED_VALUE"""),24)</f>
        <v>24</v>
      </c>
      <c r="J397" s="4">
        <f ca="1">IFERROR(__xludf.UNSUPPORTED("""COMPUTED_VALUE"""),44940.4253819444)</f>
        <v>44940.425381944398</v>
      </c>
      <c r="L397" s="3" t="str">
        <f ca="1">IFERROR(__xludf.UNSUPPORTED("""COMPUTED_VALUE"""),"Normalidade")</f>
        <v>Normalidade</v>
      </c>
    </row>
    <row r="398" spans="1:12" ht="12.75">
      <c r="A398" s="3" t="str">
        <f ca="1">IFERROR(__xludf.UNSUPPORTED("""COMPUTED_VALUE"""),"d6517774")</f>
        <v>d6517774</v>
      </c>
      <c r="B398" s="4">
        <f ca="1">IFERROR(__xludf.UNSUPPORTED("""COMPUTED_VALUE"""),44943.3885300925)</f>
        <v>44943.388530092503</v>
      </c>
      <c r="C398" s="8" t="str">
        <f ca="1">IFERROR(__xludf.UNSUPPORTED("""COMPUTED_VALUE"""),"Areia Branca")</f>
        <v>Areia Branca</v>
      </c>
      <c r="D398" s="3" t="str">
        <f ca="1">IFERROR(__xludf.UNSUPPORTED("""COMPUTED_VALUE"""),"🚢 REGULAR")</f>
        <v>🚢 REGULAR</v>
      </c>
      <c r="E398" s="3" t="str">
        <f ca="1">IFERROR(__xludf.UNSUPPORTED("""COMPUTED_VALUE"""),"🚛 LIBERADO")</f>
        <v>🚛 LIBERADO</v>
      </c>
      <c r="F398" s="5">
        <f ca="1">IFERROR(__xludf.UNSUPPORTED("""COMPUTED_VALUE"""),0)</f>
        <v>0</v>
      </c>
      <c r="G398" s="3" t="str">
        <f ca="1">IFERROR(__xludf.UNSUPPORTED("""COMPUTED_VALUE"""),"Normalidade")</f>
        <v>Normalidade</v>
      </c>
      <c r="H398" s="4">
        <f ca="1">IFERROR(__xludf.UNSUPPORTED("""COMPUTED_VALUE"""),44943.3885300925)</f>
        <v>44943.388530092503</v>
      </c>
      <c r="I398" s="3">
        <f ca="1">IFERROR(__xludf.UNSUPPORTED("""COMPUTED_VALUE"""),24)</f>
        <v>24</v>
      </c>
      <c r="J398" s="4">
        <f ca="1">IFERROR(__xludf.UNSUPPORTED("""COMPUTED_VALUE"""),44944.3885300925)</f>
        <v>44944.388530092503</v>
      </c>
      <c r="L398" s="3" t="str">
        <f ca="1">IFERROR(__xludf.UNSUPPORTED("""COMPUTED_VALUE"""),"Normalidade")</f>
        <v>Normalidade</v>
      </c>
    </row>
    <row r="399" spans="1:12" ht="12.75">
      <c r="A399" s="3" t="str">
        <f ca="1">IFERROR(__xludf.UNSUPPORTED("""COMPUTED_VALUE"""),"aa7ab5da")</f>
        <v>aa7ab5da</v>
      </c>
      <c r="B399" s="4">
        <f ca="1">IFERROR(__xludf.UNSUPPORTED("""COMPUTED_VALUE"""),44944.3483101851)</f>
        <v>44944.348310185102</v>
      </c>
      <c r="C399" s="8" t="str">
        <f ca="1">IFERROR(__xludf.UNSUPPORTED("""COMPUTED_VALUE"""),"Areia Branca")</f>
        <v>Areia Branca</v>
      </c>
      <c r="D399" s="3" t="str">
        <f ca="1">IFERROR(__xludf.UNSUPPORTED("""COMPUTED_VALUE"""),"🚢 REGULAR")</f>
        <v>🚢 REGULAR</v>
      </c>
      <c r="E399" s="3" t="str">
        <f ca="1">IFERROR(__xludf.UNSUPPORTED("""COMPUTED_VALUE"""),"🚛 LIBERADO")</f>
        <v>🚛 LIBERADO</v>
      </c>
      <c r="F399" s="5">
        <f ca="1">IFERROR(__xludf.UNSUPPORTED("""COMPUTED_VALUE"""),0)</f>
        <v>0</v>
      </c>
      <c r="G399" s="3" t="str">
        <f ca="1">IFERROR(__xludf.UNSUPPORTED("""COMPUTED_VALUE"""),"Normalidade")</f>
        <v>Normalidade</v>
      </c>
      <c r="H399" s="4">
        <f ca="1">IFERROR(__xludf.UNSUPPORTED("""COMPUTED_VALUE"""),44944.3483101851)</f>
        <v>44944.348310185102</v>
      </c>
      <c r="I399" s="3">
        <f ca="1">IFERROR(__xludf.UNSUPPORTED("""COMPUTED_VALUE"""),24)</f>
        <v>24</v>
      </c>
      <c r="J399" s="4">
        <f ca="1">IFERROR(__xludf.UNSUPPORTED("""COMPUTED_VALUE"""),44945.3483101851)</f>
        <v>44945.348310185102</v>
      </c>
      <c r="L399" s="3" t="str">
        <f ca="1">IFERROR(__xludf.UNSUPPORTED("""COMPUTED_VALUE"""),"Normalidade")</f>
        <v>Normalidade</v>
      </c>
    </row>
    <row r="400" spans="1:12" ht="12.75">
      <c r="A400" s="3" t="str">
        <f ca="1">IFERROR(__xludf.UNSUPPORTED("""COMPUTED_VALUE"""),"e61115f9")</f>
        <v>e61115f9</v>
      </c>
      <c r="B400" s="4">
        <f ca="1">IFERROR(__xludf.UNSUPPORTED("""COMPUTED_VALUE"""),44945.3496412037)</f>
        <v>44945.349641203698</v>
      </c>
      <c r="C400" s="7" t="str">
        <f ca="1">IFERROR(__xludf.UNSUPPORTED("""COMPUTED_VALUE"""),"Areia Branca")</f>
        <v>Areia Branca</v>
      </c>
      <c r="D400" s="3" t="str">
        <f ca="1">IFERROR(__xludf.UNSUPPORTED("""COMPUTED_VALUE"""),"🚢 REGULAR")</f>
        <v>🚢 REGULAR</v>
      </c>
      <c r="E400" s="3" t="str">
        <f ca="1">IFERROR(__xludf.UNSUPPORTED("""COMPUTED_VALUE"""),"🚛 LIBERADO")</f>
        <v>🚛 LIBERADO</v>
      </c>
      <c r="F400" s="5">
        <f ca="1">IFERROR(__xludf.UNSUPPORTED("""COMPUTED_VALUE"""),0)</f>
        <v>0</v>
      </c>
      <c r="G400" s="3" t="str">
        <f ca="1">IFERROR(__xludf.UNSUPPORTED("""COMPUTED_VALUE"""),"Normalidade")</f>
        <v>Normalidade</v>
      </c>
      <c r="H400" s="4">
        <f ca="1">IFERROR(__xludf.UNSUPPORTED("""COMPUTED_VALUE"""),44945.3496412037)</f>
        <v>44945.349641203698</v>
      </c>
      <c r="I400" s="3">
        <f ca="1">IFERROR(__xludf.UNSUPPORTED("""COMPUTED_VALUE"""),24)</f>
        <v>24</v>
      </c>
      <c r="J400" s="4">
        <f ca="1">IFERROR(__xludf.UNSUPPORTED("""COMPUTED_VALUE"""),44946.3496412037)</f>
        <v>44946.349641203698</v>
      </c>
      <c r="L400" s="3" t="str">
        <f ca="1">IFERROR(__xludf.UNSUPPORTED("""COMPUTED_VALUE"""),"Normalidade")</f>
        <v>Normalidade</v>
      </c>
    </row>
    <row r="401" spans="1:12" ht="12.75">
      <c r="A401" s="3" t="str">
        <f ca="1">IFERROR(__xludf.UNSUPPORTED("""COMPUTED_VALUE"""),"59ec61cc")</f>
        <v>59ec61cc</v>
      </c>
      <c r="B401" s="4">
        <f ca="1">IFERROR(__xludf.UNSUPPORTED("""COMPUTED_VALUE"""),44946.3398032407)</f>
        <v>44946.339803240699</v>
      </c>
      <c r="C401" s="7" t="str">
        <f ca="1">IFERROR(__xludf.UNSUPPORTED("""COMPUTED_VALUE"""),"Areia Branca")</f>
        <v>Areia Branca</v>
      </c>
      <c r="D401" s="3" t="str">
        <f ca="1">IFERROR(__xludf.UNSUPPORTED("""COMPUTED_VALUE"""),"🚢 REGULAR")</f>
        <v>🚢 REGULAR</v>
      </c>
      <c r="E401" s="3" t="str">
        <f ca="1">IFERROR(__xludf.UNSUPPORTED("""COMPUTED_VALUE"""),"🚛 LIBERADO")</f>
        <v>🚛 LIBERADO</v>
      </c>
      <c r="F401" s="5">
        <f ca="1">IFERROR(__xludf.UNSUPPORTED("""COMPUTED_VALUE"""),0)</f>
        <v>0</v>
      </c>
      <c r="G401" s="3" t="str">
        <f ca="1">IFERROR(__xludf.UNSUPPORTED("""COMPUTED_VALUE"""),"Normalidade")</f>
        <v>Normalidade</v>
      </c>
      <c r="H401" s="4">
        <f ca="1">IFERROR(__xludf.UNSUPPORTED("""COMPUTED_VALUE"""),44946.3398032407)</f>
        <v>44946.339803240699</v>
      </c>
      <c r="I401" s="3">
        <f ca="1">IFERROR(__xludf.UNSUPPORTED("""COMPUTED_VALUE"""),24)</f>
        <v>24</v>
      </c>
      <c r="J401" s="4">
        <f ca="1">IFERROR(__xludf.UNSUPPORTED("""COMPUTED_VALUE"""),44947.3398032407)</f>
        <v>44947.339803240699</v>
      </c>
      <c r="L401" s="3" t="str">
        <f ca="1">IFERROR(__xludf.UNSUPPORTED("""COMPUTED_VALUE"""),"Normalidade")</f>
        <v>Normalidade</v>
      </c>
    </row>
    <row r="402" spans="1:12" ht="12.75">
      <c r="A402" s="3" t="str">
        <f ca="1">IFERROR(__xludf.UNSUPPORTED("""COMPUTED_VALUE"""),"bc868635")</f>
        <v>bc868635</v>
      </c>
      <c r="B402" s="4">
        <f ca="1">IFERROR(__xludf.UNSUPPORTED("""COMPUTED_VALUE"""),44949.5027893518)</f>
        <v>44949.502789351798</v>
      </c>
      <c r="C402" s="8" t="str">
        <f ca="1">IFERROR(__xludf.UNSUPPORTED("""COMPUTED_VALUE"""),"Areia Branca")</f>
        <v>Areia Branca</v>
      </c>
      <c r="D402" s="3" t="str">
        <f ca="1">IFERROR(__xludf.UNSUPPORTED("""COMPUTED_VALUE"""),"🚢 REGULAR")</f>
        <v>🚢 REGULAR</v>
      </c>
      <c r="E402" s="3" t="str">
        <f ca="1">IFERROR(__xludf.UNSUPPORTED("""COMPUTED_VALUE"""),"🚛 LIBERADO")</f>
        <v>🚛 LIBERADO</v>
      </c>
      <c r="F402" s="5">
        <f ca="1">IFERROR(__xludf.UNSUPPORTED("""COMPUTED_VALUE"""),0)</f>
        <v>0</v>
      </c>
      <c r="G402" s="3" t="str">
        <f ca="1">IFERROR(__xludf.UNSUPPORTED("""COMPUTED_VALUE"""),"Normalidade")</f>
        <v>Normalidade</v>
      </c>
      <c r="H402" s="4">
        <f ca="1">IFERROR(__xludf.UNSUPPORTED("""COMPUTED_VALUE"""),44949.5027893518)</f>
        <v>44949.502789351798</v>
      </c>
      <c r="I402" s="3">
        <f ca="1">IFERROR(__xludf.UNSUPPORTED("""COMPUTED_VALUE"""),24)</f>
        <v>24</v>
      </c>
      <c r="J402" s="4">
        <f ca="1">IFERROR(__xludf.UNSUPPORTED("""COMPUTED_VALUE"""),44950.5027893518)</f>
        <v>44950.502789351798</v>
      </c>
      <c r="L402" s="3" t="str">
        <f ca="1">IFERROR(__xludf.UNSUPPORTED("""COMPUTED_VALUE"""),"Normalidade")</f>
        <v>Normalidade</v>
      </c>
    </row>
    <row r="403" spans="1:12" ht="12.75">
      <c r="A403" s="3" t="str">
        <f ca="1">IFERROR(__xludf.UNSUPPORTED("""COMPUTED_VALUE"""),"dca799e2")</f>
        <v>dca799e2</v>
      </c>
      <c r="B403" s="4">
        <f ca="1">IFERROR(__xludf.UNSUPPORTED("""COMPUTED_VALUE"""),44950.3505324074)</f>
        <v>44950.350532407399</v>
      </c>
      <c r="C403" s="8" t="str">
        <f ca="1">IFERROR(__xludf.UNSUPPORTED("""COMPUTED_VALUE"""),"Areia Branca")</f>
        <v>Areia Branca</v>
      </c>
      <c r="D403" s="3" t="str">
        <f ca="1">IFERROR(__xludf.UNSUPPORTED("""COMPUTED_VALUE"""),"🚢 REGULAR")</f>
        <v>🚢 REGULAR</v>
      </c>
      <c r="E403" s="3" t="str">
        <f ca="1">IFERROR(__xludf.UNSUPPORTED("""COMPUTED_VALUE"""),"🚛 LIBERADO")</f>
        <v>🚛 LIBERADO</v>
      </c>
      <c r="F403" s="5">
        <f ca="1">IFERROR(__xludf.UNSUPPORTED("""COMPUTED_VALUE"""),0)</f>
        <v>0</v>
      </c>
      <c r="G403" s="3" t="str">
        <f ca="1">IFERROR(__xludf.UNSUPPORTED("""COMPUTED_VALUE"""),"Normalidade")</f>
        <v>Normalidade</v>
      </c>
      <c r="H403" s="4">
        <f ca="1">IFERROR(__xludf.UNSUPPORTED("""COMPUTED_VALUE"""),44950.3505324074)</f>
        <v>44950.350532407399</v>
      </c>
      <c r="I403" s="3">
        <f ca="1">IFERROR(__xludf.UNSUPPORTED("""COMPUTED_VALUE"""),24)</f>
        <v>24</v>
      </c>
      <c r="J403" s="4">
        <f ca="1">IFERROR(__xludf.UNSUPPORTED("""COMPUTED_VALUE"""),44951.3505324074)</f>
        <v>44951.350532407399</v>
      </c>
      <c r="L403" s="3" t="str">
        <f ca="1">IFERROR(__xludf.UNSUPPORTED("""COMPUTED_VALUE"""),"Normalidade")</f>
        <v>Normalidade</v>
      </c>
    </row>
    <row r="404" spans="1:12" ht="12.75">
      <c r="A404" s="3" t="str">
        <f ca="1">IFERROR(__xludf.UNSUPPORTED("""COMPUTED_VALUE"""),"cde5a514")</f>
        <v>cde5a514</v>
      </c>
      <c r="B404" s="4">
        <f ca="1">IFERROR(__xludf.UNSUPPORTED("""COMPUTED_VALUE"""),44951.3946412037)</f>
        <v>44951.394641203697</v>
      </c>
      <c r="C404" s="7" t="str">
        <f ca="1">IFERROR(__xludf.UNSUPPORTED("""COMPUTED_VALUE"""),"Areia Branca")</f>
        <v>Areia Branca</v>
      </c>
      <c r="D404" s="3" t="str">
        <f ca="1">IFERROR(__xludf.UNSUPPORTED("""COMPUTED_VALUE"""),"🚢 REGULAR")</f>
        <v>🚢 REGULAR</v>
      </c>
      <c r="E404" s="3" t="str">
        <f ca="1">IFERROR(__xludf.UNSUPPORTED("""COMPUTED_VALUE"""),"🚛 LIBERADO")</f>
        <v>🚛 LIBERADO</v>
      </c>
      <c r="F404" s="5">
        <f ca="1">IFERROR(__xludf.UNSUPPORTED("""COMPUTED_VALUE"""),0)</f>
        <v>0</v>
      </c>
      <c r="G404" s="3" t="str">
        <f ca="1">IFERROR(__xludf.UNSUPPORTED("""COMPUTED_VALUE"""),"Normalidade")</f>
        <v>Normalidade</v>
      </c>
      <c r="H404" s="4">
        <f ca="1">IFERROR(__xludf.UNSUPPORTED("""COMPUTED_VALUE"""),44951.3946412037)</f>
        <v>44951.394641203697</v>
      </c>
      <c r="I404" s="3">
        <f ca="1">IFERROR(__xludf.UNSUPPORTED("""COMPUTED_VALUE"""),24)</f>
        <v>24</v>
      </c>
      <c r="J404" s="4">
        <f ca="1">IFERROR(__xludf.UNSUPPORTED("""COMPUTED_VALUE"""),44952.3946412037)</f>
        <v>44952.394641203697</v>
      </c>
      <c r="L404" s="3" t="str">
        <f ca="1">IFERROR(__xludf.UNSUPPORTED("""COMPUTED_VALUE"""),"Normalidade")</f>
        <v>Normalidade</v>
      </c>
    </row>
    <row r="405" spans="1:12" ht="12.75">
      <c r="A405" s="3" t="str">
        <f ca="1">IFERROR(__xludf.UNSUPPORTED("""COMPUTED_VALUE"""),"67138422")</f>
        <v>67138422</v>
      </c>
      <c r="B405" s="4">
        <f ca="1">IFERROR(__xludf.UNSUPPORTED("""COMPUTED_VALUE"""),44952.4695023148)</f>
        <v>44952.469502314802</v>
      </c>
      <c r="C405" s="8" t="str">
        <f ca="1">IFERROR(__xludf.UNSUPPORTED("""COMPUTED_VALUE"""),"Areia Branca")</f>
        <v>Areia Branca</v>
      </c>
      <c r="D405" s="3" t="str">
        <f ca="1">IFERROR(__xludf.UNSUPPORTED("""COMPUTED_VALUE"""),"🚢 REGULAR")</f>
        <v>🚢 REGULAR</v>
      </c>
      <c r="E405" s="3" t="str">
        <f ca="1">IFERROR(__xludf.UNSUPPORTED("""COMPUTED_VALUE"""),"🚛 LIBERADO")</f>
        <v>🚛 LIBERADO</v>
      </c>
      <c r="F405" s="5">
        <f ca="1">IFERROR(__xludf.UNSUPPORTED("""COMPUTED_VALUE"""),0)</f>
        <v>0</v>
      </c>
      <c r="G405" s="3" t="str">
        <f ca="1">IFERROR(__xludf.UNSUPPORTED("""COMPUTED_VALUE"""),"Normalidade")</f>
        <v>Normalidade</v>
      </c>
      <c r="H405" s="4">
        <f ca="1">IFERROR(__xludf.UNSUPPORTED("""COMPUTED_VALUE"""),44952.4695023148)</f>
        <v>44952.469502314802</v>
      </c>
      <c r="I405" s="3">
        <f ca="1">IFERROR(__xludf.UNSUPPORTED("""COMPUTED_VALUE"""),24)</f>
        <v>24</v>
      </c>
      <c r="J405" s="4">
        <f ca="1">IFERROR(__xludf.UNSUPPORTED("""COMPUTED_VALUE"""),44953.4695023148)</f>
        <v>44953.469502314802</v>
      </c>
      <c r="L405" s="3" t="str">
        <f ca="1">IFERROR(__xludf.UNSUPPORTED("""COMPUTED_VALUE"""),"Normalidade")</f>
        <v>Normalidade</v>
      </c>
    </row>
    <row r="406" spans="1:12" ht="12.75">
      <c r="A406" s="3" t="str">
        <f ca="1">IFERROR(__xludf.UNSUPPORTED("""COMPUTED_VALUE"""),"a6138b6f")</f>
        <v>a6138b6f</v>
      </c>
      <c r="B406" s="4">
        <f ca="1">IFERROR(__xludf.UNSUPPORTED("""COMPUTED_VALUE"""),44953.359074074)</f>
        <v>44953.359074073996</v>
      </c>
      <c r="C406" s="7" t="str">
        <f ca="1">IFERROR(__xludf.UNSUPPORTED("""COMPUTED_VALUE"""),"Areia Branca")</f>
        <v>Areia Branca</v>
      </c>
      <c r="D406" s="3" t="str">
        <f ca="1">IFERROR(__xludf.UNSUPPORTED("""COMPUTED_VALUE"""),"🚢 REGULAR")</f>
        <v>🚢 REGULAR</v>
      </c>
      <c r="E406" s="3" t="str">
        <f ca="1">IFERROR(__xludf.UNSUPPORTED("""COMPUTED_VALUE"""),"🚛 LIBERADO")</f>
        <v>🚛 LIBERADO</v>
      </c>
      <c r="F406" s="5">
        <f ca="1">IFERROR(__xludf.UNSUPPORTED("""COMPUTED_VALUE"""),0)</f>
        <v>0</v>
      </c>
      <c r="G406" s="3" t="str">
        <f ca="1">IFERROR(__xludf.UNSUPPORTED("""COMPUTED_VALUE"""),"Normalidade")</f>
        <v>Normalidade</v>
      </c>
      <c r="H406" s="4">
        <f ca="1">IFERROR(__xludf.UNSUPPORTED("""COMPUTED_VALUE"""),44953.359074074)</f>
        <v>44953.359074073996</v>
      </c>
      <c r="I406" s="3">
        <f ca="1">IFERROR(__xludf.UNSUPPORTED("""COMPUTED_VALUE"""),24)</f>
        <v>24</v>
      </c>
      <c r="J406" s="4">
        <f ca="1">IFERROR(__xludf.UNSUPPORTED("""COMPUTED_VALUE"""),44954.359074074)</f>
        <v>44954.359074073996</v>
      </c>
      <c r="L406" s="3" t="str">
        <f ca="1">IFERROR(__xludf.UNSUPPORTED("""COMPUTED_VALUE"""),"Normalidade")</f>
        <v>Normalidade</v>
      </c>
    </row>
    <row r="407" spans="1:12" ht="12.75">
      <c r="A407" s="3" t="str">
        <f ca="1">IFERROR(__xludf.UNSUPPORTED("""COMPUTED_VALUE"""),"a8d68f3b")</f>
        <v>a8d68f3b</v>
      </c>
      <c r="B407" s="4">
        <f ca="1">IFERROR(__xludf.UNSUPPORTED("""COMPUTED_VALUE"""),44956.3413194444)</f>
        <v>44956.3413194444</v>
      </c>
      <c r="C407" s="8" t="str">
        <f ca="1">IFERROR(__xludf.UNSUPPORTED("""COMPUTED_VALUE"""),"Areia Branca")</f>
        <v>Areia Branca</v>
      </c>
      <c r="D407" s="3" t="str">
        <f ca="1">IFERROR(__xludf.UNSUPPORTED("""COMPUTED_VALUE"""),"🚢 REGULAR")</f>
        <v>🚢 REGULAR</v>
      </c>
      <c r="E407" s="3" t="str">
        <f ca="1">IFERROR(__xludf.UNSUPPORTED("""COMPUTED_VALUE"""),"🚛 LIBERADO")</f>
        <v>🚛 LIBERADO</v>
      </c>
      <c r="F407" s="5">
        <f ca="1">IFERROR(__xludf.UNSUPPORTED("""COMPUTED_VALUE"""),0)</f>
        <v>0</v>
      </c>
      <c r="G407" s="3" t="str">
        <f ca="1">IFERROR(__xludf.UNSUPPORTED("""COMPUTED_VALUE"""),"Normalidade")</f>
        <v>Normalidade</v>
      </c>
      <c r="H407" s="4">
        <f ca="1">IFERROR(__xludf.UNSUPPORTED("""COMPUTED_VALUE"""),44956.3413194444)</f>
        <v>44956.3413194444</v>
      </c>
      <c r="I407" s="3">
        <f ca="1">IFERROR(__xludf.UNSUPPORTED("""COMPUTED_VALUE"""),24)</f>
        <v>24</v>
      </c>
      <c r="J407" s="4">
        <f ca="1">IFERROR(__xludf.UNSUPPORTED("""COMPUTED_VALUE"""),44957.3413194444)</f>
        <v>44957.3413194444</v>
      </c>
      <c r="L407" s="3" t="str">
        <f ca="1">IFERROR(__xludf.UNSUPPORTED("""COMPUTED_VALUE"""),"Normalidade")</f>
        <v>Normalidade</v>
      </c>
    </row>
    <row r="408" spans="1:12" ht="12.75">
      <c r="A408" s="3" t="str">
        <f ca="1">IFERROR(__xludf.UNSUPPORTED("""COMPUTED_VALUE"""),"cde4362d")</f>
        <v>cde4362d</v>
      </c>
      <c r="B408" s="4">
        <f ca="1">IFERROR(__xludf.UNSUPPORTED("""COMPUTED_VALUE"""),44959.3426157407)</f>
        <v>44959.342615740701</v>
      </c>
      <c r="C408" s="7" t="str">
        <f ca="1">IFERROR(__xludf.UNSUPPORTED("""COMPUTED_VALUE"""),"Areia Branca")</f>
        <v>Areia Branca</v>
      </c>
      <c r="D408" s="3" t="str">
        <f ca="1">IFERROR(__xludf.UNSUPPORTED("""COMPUTED_VALUE"""),"🚢 REGULAR")</f>
        <v>🚢 REGULAR</v>
      </c>
      <c r="E408" s="3" t="str">
        <f ca="1">IFERROR(__xludf.UNSUPPORTED("""COMPUTED_VALUE"""),"🚛 LIBERADO")</f>
        <v>🚛 LIBERADO</v>
      </c>
      <c r="F408" s="5">
        <f ca="1">IFERROR(__xludf.UNSUPPORTED("""COMPUTED_VALUE"""),0)</f>
        <v>0</v>
      </c>
      <c r="G408" s="3" t="str">
        <f ca="1">IFERROR(__xludf.UNSUPPORTED("""COMPUTED_VALUE"""),"Normalidade")</f>
        <v>Normalidade</v>
      </c>
      <c r="H408" s="4">
        <f ca="1">IFERROR(__xludf.UNSUPPORTED("""COMPUTED_VALUE"""),44959.3426157407)</f>
        <v>44959.342615740701</v>
      </c>
      <c r="I408" s="3">
        <f ca="1">IFERROR(__xludf.UNSUPPORTED("""COMPUTED_VALUE"""),24)</f>
        <v>24</v>
      </c>
      <c r="J408" s="4">
        <f ca="1">IFERROR(__xludf.UNSUPPORTED("""COMPUTED_VALUE"""),44960.3426157407)</f>
        <v>44960.342615740701</v>
      </c>
      <c r="L408" s="3" t="str">
        <f ca="1">IFERROR(__xludf.UNSUPPORTED("""COMPUTED_VALUE"""),"Normalidade")</f>
        <v>Normalidade</v>
      </c>
    </row>
    <row r="409" spans="1:12" ht="12.75">
      <c r="A409" s="3" t="str">
        <f ca="1">IFERROR(__xludf.UNSUPPORTED("""COMPUTED_VALUE"""),"4a7e19e9")</f>
        <v>4a7e19e9</v>
      </c>
      <c r="B409" s="4">
        <f ca="1">IFERROR(__xludf.UNSUPPORTED("""COMPUTED_VALUE"""),44963.3502083333)</f>
        <v>44963.350208333301</v>
      </c>
      <c r="C409" s="8" t="str">
        <f ca="1">IFERROR(__xludf.UNSUPPORTED("""COMPUTED_VALUE"""),"Areia Branca")</f>
        <v>Areia Branca</v>
      </c>
      <c r="D409" s="3" t="str">
        <f ca="1">IFERROR(__xludf.UNSUPPORTED("""COMPUTED_VALUE"""),"🚢 REGULAR")</f>
        <v>🚢 REGULAR</v>
      </c>
      <c r="E409" s="3" t="str">
        <f ca="1">IFERROR(__xludf.UNSUPPORTED("""COMPUTED_VALUE"""),"🚛 LIBERADO")</f>
        <v>🚛 LIBERADO</v>
      </c>
      <c r="F409" s="5">
        <f ca="1">IFERROR(__xludf.UNSUPPORTED("""COMPUTED_VALUE"""),0)</f>
        <v>0</v>
      </c>
      <c r="G409" s="3" t="str">
        <f ca="1">IFERROR(__xludf.UNSUPPORTED("""COMPUTED_VALUE"""),"Normalidade")</f>
        <v>Normalidade</v>
      </c>
      <c r="H409" s="4">
        <f ca="1">IFERROR(__xludf.UNSUPPORTED("""COMPUTED_VALUE"""),44963.3502083333)</f>
        <v>44963.350208333301</v>
      </c>
      <c r="I409" s="3">
        <f ca="1">IFERROR(__xludf.UNSUPPORTED("""COMPUTED_VALUE"""),24)</f>
        <v>24</v>
      </c>
      <c r="J409" s="4">
        <f ca="1">IFERROR(__xludf.UNSUPPORTED("""COMPUTED_VALUE"""),44964.3502083333)</f>
        <v>44964.350208333301</v>
      </c>
      <c r="L409" s="3" t="str">
        <f ca="1">IFERROR(__xludf.UNSUPPORTED("""COMPUTED_VALUE"""),"Normalidade")</f>
        <v>Normalidade</v>
      </c>
    </row>
    <row r="410" spans="1:12" ht="12.75">
      <c r="A410" s="3" t="str">
        <f ca="1">IFERROR(__xludf.UNSUPPORTED("""COMPUTED_VALUE"""),"b73a8830")</f>
        <v>b73a8830</v>
      </c>
      <c r="B410" s="4">
        <f ca="1">IFERROR(__xludf.UNSUPPORTED("""COMPUTED_VALUE"""),44965.3860185185)</f>
        <v>44965.386018518497</v>
      </c>
      <c r="C410" s="8" t="str">
        <f ca="1">IFERROR(__xludf.UNSUPPORTED("""COMPUTED_VALUE"""),"Areia Branca")</f>
        <v>Areia Branca</v>
      </c>
      <c r="D410" s="3" t="str">
        <f ca="1">IFERROR(__xludf.UNSUPPORTED("""COMPUTED_VALUE"""),"🚢 REGULAR")</f>
        <v>🚢 REGULAR</v>
      </c>
      <c r="E410" s="3" t="str">
        <f ca="1">IFERROR(__xludf.UNSUPPORTED("""COMPUTED_VALUE"""),"🚛 LIBERADO")</f>
        <v>🚛 LIBERADO</v>
      </c>
      <c r="F410" s="5">
        <f ca="1">IFERROR(__xludf.UNSUPPORTED("""COMPUTED_VALUE"""),0)</f>
        <v>0</v>
      </c>
      <c r="G410" s="3" t="str">
        <f ca="1">IFERROR(__xludf.UNSUPPORTED("""COMPUTED_VALUE"""),"Normalidade")</f>
        <v>Normalidade</v>
      </c>
      <c r="H410" s="4">
        <f ca="1">IFERROR(__xludf.UNSUPPORTED("""COMPUTED_VALUE"""),44965.3860185185)</f>
        <v>44965.386018518497</v>
      </c>
      <c r="I410" s="3">
        <f ca="1">IFERROR(__xludf.UNSUPPORTED("""COMPUTED_VALUE"""),24)</f>
        <v>24</v>
      </c>
      <c r="J410" s="4">
        <f ca="1">IFERROR(__xludf.UNSUPPORTED("""COMPUTED_VALUE"""),44966.3860185185)</f>
        <v>44966.386018518497</v>
      </c>
      <c r="L410" s="3" t="str">
        <f ca="1">IFERROR(__xludf.UNSUPPORTED("""COMPUTED_VALUE"""),"Normalidade")</f>
        <v>Normalidade</v>
      </c>
    </row>
    <row r="411" spans="1:12" ht="12.75">
      <c r="A411" s="3" t="str">
        <f ca="1">IFERROR(__xludf.UNSUPPORTED("""COMPUTED_VALUE"""),"cf14ecc1")</f>
        <v>cf14ecc1</v>
      </c>
      <c r="B411" s="4">
        <f ca="1">IFERROR(__xludf.UNSUPPORTED("""COMPUTED_VALUE"""),45120.6753935185)</f>
        <v>45120.675393518497</v>
      </c>
      <c r="C411" s="8" t="str">
        <f ca="1">IFERROR(__xludf.UNSUPPORTED("""COMPUTED_VALUE"""),"Areia Branca")</f>
        <v>Areia Branca</v>
      </c>
      <c r="D411" s="3" t="str">
        <f ca="1">IFERROR(__xludf.UNSUPPORTED("""COMPUTED_VALUE"""),"🚢 REGULAR")</f>
        <v>🚢 REGULAR</v>
      </c>
      <c r="E411" s="3" t="str">
        <f ca="1">IFERROR(__xludf.UNSUPPORTED("""COMPUTED_VALUE"""),"🚛 LIBERADO")</f>
        <v>🚛 LIBERADO</v>
      </c>
      <c r="F411" s="5">
        <f ca="1">IFERROR(__xludf.UNSUPPORTED("""COMPUTED_VALUE"""),0)</f>
        <v>0</v>
      </c>
      <c r="G411" s="3" t="str">
        <f ca="1">IFERROR(__xludf.UNSUPPORTED("""COMPUTED_VALUE"""),"Normalidade")</f>
        <v>Normalidade</v>
      </c>
      <c r="H411" s="4">
        <f ca="1">IFERROR(__xludf.UNSUPPORTED("""COMPUTED_VALUE"""),45120.6753935185)</f>
        <v>45120.675393518497</v>
      </c>
      <c r="I411" s="3">
        <f ca="1">IFERROR(__xludf.UNSUPPORTED("""COMPUTED_VALUE"""),24)</f>
        <v>24</v>
      </c>
      <c r="J411" s="4">
        <f ca="1">IFERROR(__xludf.UNSUPPORTED("""COMPUTED_VALUE"""),45121.6753935185)</f>
        <v>45121.675393518497</v>
      </c>
      <c r="L411" s="3" t="str">
        <f ca="1">IFERROR(__xludf.UNSUPPORTED("""COMPUTED_VALUE"""),"Normalidade")</f>
        <v>Normalidade</v>
      </c>
    </row>
    <row r="412" spans="1:12" ht="12.75">
      <c r="A412" s="3" t="str">
        <f ca="1">IFERROR(__xludf.UNSUPPORTED("""COMPUTED_VALUE"""),"91c7a889")</f>
        <v>91c7a889</v>
      </c>
      <c r="B412" s="4">
        <f ca="1">IFERROR(__xludf.UNSUPPORTED("""COMPUTED_VALUE"""),44866.4668634259)</f>
        <v>44866.4668634259</v>
      </c>
      <c r="C412" s="8" t="str">
        <f ca="1">IFERROR(__xludf.UNSUPPORTED("""COMPUTED_VALUE"""),"Belém")</f>
        <v>Belém</v>
      </c>
      <c r="D412" s="3" t="str">
        <f ca="1">IFERROR(__xludf.UNSUPPORTED("""COMPUTED_VALUE"""),"🚢 REGULAR")</f>
        <v>🚢 REGULAR</v>
      </c>
      <c r="E412" s="3" t="str">
        <f ca="1">IFERROR(__xludf.UNSUPPORTED("""COMPUTED_VALUE"""),"🚛 LIBERADO")</f>
        <v>🚛 LIBERADO</v>
      </c>
      <c r="F412" s="5">
        <f ca="1">IFERROR(__xludf.UNSUPPORTED("""COMPUTED_VALUE"""),0.25)</f>
        <v>0.25</v>
      </c>
      <c r="G412" s="3" t="str">
        <f ca="1">IFERROR(__xludf.UNSUPPORTED("""COMPUTED_VALUE"""),"Operação regular. Informações colhidas pelos servidores Augusto e Edimar da GREBL.")</f>
        <v>Operação regular. Informações colhidas pelos servidores Augusto e Edimar da GREBL.</v>
      </c>
      <c r="H412" s="4">
        <f ca="1">IFERROR(__xludf.UNSUPPORTED("""COMPUTED_VALUE"""),44866.4668634259)</f>
        <v>44866.4668634259</v>
      </c>
      <c r="I412" s="3">
        <f ca="1">IFERROR(__xludf.UNSUPPORTED("""COMPUTED_VALUE"""),12)</f>
        <v>12</v>
      </c>
      <c r="J412" s="4">
        <f ca="1">IFERROR(__xludf.UNSUPPORTED("""COMPUTED_VALUE"""),44866.9668634259)</f>
        <v>44866.9668634259</v>
      </c>
    </row>
    <row r="413" spans="1:12" ht="12.75">
      <c r="A413" s="3" t="str">
        <f ca="1">IFERROR(__xludf.UNSUPPORTED("""COMPUTED_VALUE"""),"f01e31d6")</f>
        <v>f01e31d6</v>
      </c>
      <c r="B413" s="4">
        <f ca="1">IFERROR(__xludf.UNSUPPORTED("""COMPUTED_VALUE"""),44867.5189930555)</f>
        <v>44867.518993055499</v>
      </c>
      <c r="C413" s="7" t="str">
        <f ca="1">IFERROR(__xludf.UNSUPPORTED("""COMPUTED_VALUE"""),"Belém")</f>
        <v>Belém</v>
      </c>
      <c r="D413" s="3" t="str">
        <f ca="1">IFERROR(__xludf.UNSUPPORTED("""COMPUTED_VALUE"""),"🚢 REGULAR")</f>
        <v>🚢 REGULAR</v>
      </c>
      <c r="E413" s="3" t="str">
        <f ca="1">IFERROR(__xludf.UNSUPPORTED("""COMPUTED_VALUE"""),"🚛 LIBERADO")</f>
        <v>🚛 LIBERADO</v>
      </c>
      <c r="F413" s="5">
        <f ca="1">IFERROR(__xludf.UNSUPPORTED("""COMPUTED_VALUE"""),0)</f>
        <v>0</v>
      </c>
      <c r="G413" s="3" t="str">
        <f ca="1">IFERROR(__xludf.UNSUPPORTED("""COMPUTED_VALUE"""),"Sem ocorrências.")</f>
        <v>Sem ocorrências.</v>
      </c>
      <c r="H413" s="4">
        <f ca="1">IFERROR(__xludf.UNSUPPORTED("""COMPUTED_VALUE"""),44872.4583333333)</f>
        <v>44872.458333333299</v>
      </c>
      <c r="I413" s="3">
        <f ca="1">IFERROR(__xludf.UNSUPPORTED("""COMPUTED_VALUE"""),1)</f>
        <v>1</v>
      </c>
      <c r="J413" s="4">
        <f ca="1">IFERROR(__xludf.UNSUPPORTED("""COMPUTED_VALUE"""),44872.5)</f>
        <v>44872.5</v>
      </c>
    </row>
    <row r="414" spans="1:12" ht="12.75">
      <c r="A414" s="3" t="str">
        <f ca="1">IFERROR(__xludf.UNSUPPORTED("""COMPUTED_VALUE"""),"c78069f3")</f>
        <v>c78069f3</v>
      </c>
      <c r="B414" s="4">
        <f ca="1">IFERROR(__xludf.UNSUPPORTED("""COMPUTED_VALUE"""),44873.4446064814)</f>
        <v>44873.444606481396</v>
      </c>
      <c r="C414" s="8" t="str">
        <f ca="1">IFERROR(__xludf.UNSUPPORTED("""COMPUTED_VALUE"""),"Belém")</f>
        <v>Belém</v>
      </c>
      <c r="D414" s="3" t="str">
        <f ca="1">IFERROR(__xludf.UNSUPPORTED("""COMPUTED_VALUE"""),"🚢 REGULAR")</f>
        <v>🚢 REGULAR</v>
      </c>
      <c r="E414" s="3" t="str">
        <f ca="1">IFERROR(__xludf.UNSUPPORTED("""COMPUTED_VALUE"""),"🚛 LIBERADO")</f>
        <v>🚛 LIBERADO</v>
      </c>
      <c r="F414" s="5">
        <f ca="1">IFERROR(__xludf.UNSUPPORTED("""COMPUTED_VALUE"""),0)</f>
        <v>0</v>
      </c>
      <c r="G414" s="3" t="str">
        <f ca="1">IFERROR(__xludf.UNSUPPORTED("""COMPUTED_VALUE"""),"Sem ocorrência")</f>
        <v>Sem ocorrência</v>
      </c>
      <c r="H414" s="4">
        <f ca="1">IFERROR(__xludf.UNSUPPORTED("""COMPUTED_VALUE"""),44873.3333333333)</f>
        <v>44873.333333333299</v>
      </c>
      <c r="I414" s="3">
        <f ca="1">IFERROR(__xludf.UNSUPPORTED("""COMPUTED_VALUE"""),1)</f>
        <v>1</v>
      </c>
      <c r="J414" s="4">
        <f ca="1">IFERROR(__xludf.UNSUPPORTED("""COMPUTED_VALUE"""),44873.375)</f>
        <v>44873.375</v>
      </c>
    </row>
    <row r="415" spans="1:12" ht="12.75">
      <c r="A415" s="3" t="str">
        <f ca="1">IFERROR(__xludf.UNSUPPORTED("""COMPUTED_VALUE"""),"bbd2e66e")</f>
        <v>bbd2e66e</v>
      </c>
      <c r="B415" s="4">
        <f ca="1">IFERROR(__xludf.UNSUPPORTED("""COMPUTED_VALUE"""),44874.4376504629)</f>
        <v>44874.437650462904</v>
      </c>
      <c r="C415" s="7" t="str">
        <f ca="1">IFERROR(__xludf.UNSUPPORTED("""COMPUTED_VALUE"""),"Belém")</f>
        <v>Belém</v>
      </c>
      <c r="D415" s="3" t="str">
        <f ca="1">IFERROR(__xludf.UNSUPPORTED("""COMPUTED_VALUE"""),"🚢 REGULAR")</f>
        <v>🚢 REGULAR</v>
      </c>
      <c r="E415" s="3" t="str">
        <f ca="1">IFERROR(__xludf.UNSUPPORTED("""COMPUTED_VALUE"""),"🚛 LIBERADO")</f>
        <v>🚛 LIBERADO</v>
      </c>
      <c r="F415" s="5">
        <f ca="1">IFERROR(__xludf.UNSUPPORTED("""COMPUTED_VALUE"""),0)</f>
        <v>0</v>
      </c>
      <c r="G415" s="3" t="str">
        <f ca="1">IFERROR(__xludf.UNSUPPORTED("""COMPUTED_VALUE"""),"Sem ocorrências")</f>
        <v>Sem ocorrências</v>
      </c>
      <c r="H415" s="4">
        <f ca="1">IFERROR(__xludf.UNSUPPORTED("""COMPUTED_VALUE"""),44874.3951388888)</f>
        <v>44874.395138888802</v>
      </c>
      <c r="I415" s="3">
        <f ca="1">IFERROR(__xludf.UNSUPPORTED("""COMPUTED_VALUE"""),1)</f>
        <v>1</v>
      </c>
      <c r="J415" s="4">
        <f ca="1">IFERROR(__xludf.UNSUPPORTED("""COMPUTED_VALUE"""),44874.4368055555)</f>
        <v>44874.436805555502</v>
      </c>
    </row>
    <row r="416" spans="1:12" ht="12.75">
      <c r="A416" s="3" t="str">
        <f ca="1">IFERROR(__xludf.UNSUPPORTED("""COMPUTED_VALUE"""),"ecf67a2e")</f>
        <v>ecf67a2e</v>
      </c>
      <c r="B416" s="4">
        <f ca="1">IFERROR(__xludf.UNSUPPORTED("""COMPUTED_VALUE"""),44874.4765856481)</f>
        <v>44874.476585648103</v>
      </c>
      <c r="C416" s="7" t="str">
        <f ca="1">IFERROR(__xludf.UNSUPPORTED("""COMPUTED_VALUE"""),"Belém")</f>
        <v>Belém</v>
      </c>
      <c r="D416" s="3" t="str">
        <f ca="1">IFERROR(__xludf.UNSUPPORTED("""COMPUTED_VALUE"""),"🚢 REGULAR")</f>
        <v>🚢 REGULAR</v>
      </c>
      <c r="E416" s="3" t="str">
        <f ca="1">IFERROR(__xludf.UNSUPPORTED("""COMPUTED_VALUE"""),"🚛 LIBERADO")</f>
        <v>🚛 LIBERADO</v>
      </c>
      <c r="F416" s="5">
        <f ca="1">IFERROR(__xludf.UNSUPPORTED("""COMPUTED_VALUE"""),0)</f>
        <v>0</v>
      </c>
      <c r="G416" s="3" t="str">
        <f ca="1">IFERROR(__xludf.UNSUPPORTED("""COMPUTED_VALUE"""),"Sem ocorrências.")</f>
        <v>Sem ocorrências.</v>
      </c>
      <c r="H416" s="4">
        <f ca="1">IFERROR(__xludf.UNSUPPORTED("""COMPUTED_VALUE"""),44874.4765856481)</f>
        <v>44874.476585648103</v>
      </c>
      <c r="I416" s="3">
        <f ca="1">IFERROR(__xludf.UNSUPPORTED("""COMPUTED_VALUE"""),1)</f>
        <v>1</v>
      </c>
      <c r="J416" s="4">
        <f ca="1">IFERROR(__xludf.UNSUPPORTED("""COMPUTED_VALUE"""),44874.5182523148)</f>
        <v>44874.518252314803</v>
      </c>
    </row>
    <row r="417" spans="1:10" ht="12.75">
      <c r="A417" s="3" t="str">
        <f ca="1">IFERROR(__xludf.UNSUPPORTED("""COMPUTED_VALUE"""),"3f52c0ff")</f>
        <v>3f52c0ff</v>
      </c>
      <c r="B417" s="4">
        <f ca="1">IFERROR(__xludf.UNSUPPORTED("""COMPUTED_VALUE"""),44881.4288541666)</f>
        <v>44881.428854166603</v>
      </c>
      <c r="C417" s="8" t="str">
        <f ca="1">IFERROR(__xludf.UNSUPPORTED("""COMPUTED_VALUE"""),"Belém")</f>
        <v>Belém</v>
      </c>
      <c r="D417" s="3" t="str">
        <f ca="1">IFERROR(__xludf.UNSUPPORTED("""COMPUTED_VALUE"""),"🚢 REGULAR")</f>
        <v>🚢 REGULAR</v>
      </c>
      <c r="E417" s="3" t="str">
        <f ca="1">IFERROR(__xludf.UNSUPPORTED("""COMPUTED_VALUE"""),"🚛 LIBERADO")</f>
        <v>🚛 LIBERADO</v>
      </c>
      <c r="F417" s="5">
        <f ca="1">IFERROR(__xludf.UNSUPPORTED("""COMPUTED_VALUE"""),0)</f>
        <v>0</v>
      </c>
      <c r="G417" s="3" t="str">
        <f ca="1">IFERROR(__xludf.UNSUPPORTED("""COMPUTED_VALUE"""),"Sem ocorrências operando na normalidade.")</f>
        <v>Sem ocorrências operando na normalidade.</v>
      </c>
      <c r="H417" s="4">
        <f ca="1">IFERROR(__xludf.UNSUPPORTED("""COMPUTED_VALUE"""),44881.4288541666)</f>
        <v>44881.428854166603</v>
      </c>
      <c r="I417" s="3">
        <f ca="1">IFERROR(__xludf.UNSUPPORTED("""COMPUTED_VALUE"""),1)</f>
        <v>1</v>
      </c>
      <c r="J417" s="4">
        <f ca="1">IFERROR(__xludf.UNSUPPORTED("""COMPUTED_VALUE"""),44881.4705208333)</f>
        <v>44881.470520833303</v>
      </c>
    </row>
    <row r="418" spans="1:10" ht="12.75">
      <c r="A418" s="3" t="str">
        <f ca="1">IFERROR(__xludf.UNSUPPORTED("""COMPUTED_VALUE"""),"66e13c50")</f>
        <v>66e13c50</v>
      </c>
      <c r="B418" s="4">
        <f ca="1">IFERROR(__xludf.UNSUPPORTED("""COMPUTED_VALUE"""),44883.5035069444)</f>
        <v>44883.503506944398</v>
      </c>
      <c r="C418" s="8" t="str">
        <f ca="1">IFERROR(__xludf.UNSUPPORTED("""COMPUTED_VALUE"""),"Belém")</f>
        <v>Belém</v>
      </c>
      <c r="D418" s="3" t="str">
        <f ca="1">IFERROR(__xludf.UNSUPPORTED("""COMPUTED_VALUE"""),"🚢 REGULAR")</f>
        <v>🚢 REGULAR</v>
      </c>
      <c r="E418" s="3" t="str">
        <f ca="1">IFERROR(__xludf.UNSUPPORTED("""COMPUTED_VALUE"""),"🚛 LIBERADO")</f>
        <v>🚛 LIBERADO</v>
      </c>
      <c r="F418" s="5">
        <f ca="1">IFERROR(__xludf.UNSUPPORTED("""COMPUTED_VALUE"""),1)</f>
        <v>1</v>
      </c>
      <c r="G418" s="3" t="str">
        <f ca="1">IFERROR(__xludf.UNSUPPORTED("""COMPUTED_VALUE"""),"Dentro da normalidade")</f>
        <v>Dentro da normalidade</v>
      </c>
      <c r="H418" s="4">
        <f ca="1">IFERROR(__xludf.UNSUPPORTED("""COMPUTED_VALUE"""),44883.4201388888)</f>
        <v>44883.420138888803</v>
      </c>
      <c r="I418" s="3">
        <f ca="1">IFERROR(__xludf.UNSUPPORTED("""COMPUTED_VALUE"""),1)</f>
        <v>1</v>
      </c>
      <c r="J418" s="4">
        <f ca="1">IFERROR(__xludf.UNSUPPORTED("""COMPUTED_VALUE"""),44883.4618055555)</f>
        <v>44883.461805555497</v>
      </c>
    </row>
    <row r="419" spans="1:10" ht="12.75">
      <c r="A419" s="3" t="str">
        <f ca="1">IFERROR(__xludf.UNSUPPORTED("""COMPUTED_VALUE"""),"e7a09b77")</f>
        <v>e7a09b77</v>
      </c>
      <c r="B419" s="4">
        <f ca="1">IFERROR(__xludf.UNSUPPORTED("""COMPUTED_VALUE"""),44885.4544907407)</f>
        <v>44885.454490740703</v>
      </c>
      <c r="C419" s="8" t="str">
        <f ca="1">IFERROR(__xludf.UNSUPPORTED("""COMPUTED_VALUE"""),"Belém")</f>
        <v>Belém</v>
      </c>
      <c r="D419" s="3" t="str">
        <f ca="1">IFERROR(__xludf.UNSUPPORTED("""COMPUTED_VALUE"""),"🚢 REGULAR")</f>
        <v>🚢 REGULAR</v>
      </c>
      <c r="E419" s="3" t="str">
        <f ca="1">IFERROR(__xludf.UNSUPPORTED("""COMPUTED_VALUE"""),"🚛 LIBERADO")</f>
        <v>🚛 LIBERADO</v>
      </c>
      <c r="F419" s="5">
        <f ca="1">IFERROR(__xludf.UNSUPPORTED("""COMPUTED_VALUE"""),0)</f>
        <v>0</v>
      </c>
      <c r="G419" s="3" t="str">
        <f ca="1">IFERROR(__xludf.UNSUPPORTED("""COMPUTED_VALUE"""),"Operação normal")</f>
        <v>Operação normal</v>
      </c>
      <c r="H419" s="4">
        <f ca="1">IFERROR(__xludf.UNSUPPORTED("""COMPUTED_VALUE"""),44885.4125)</f>
        <v>44885.412499999999</v>
      </c>
      <c r="I419" s="3">
        <f ca="1">IFERROR(__xludf.UNSUPPORTED("""COMPUTED_VALUE"""),1)</f>
        <v>1</v>
      </c>
      <c r="J419" s="4">
        <f ca="1">IFERROR(__xludf.UNSUPPORTED("""COMPUTED_VALUE"""),44885.4541666666)</f>
        <v>44885.454166666597</v>
      </c>
    </row>
    <row r="420" spans="1:10" ht="12.75">
      <c r="A420" s="3" t="str">
        <f ca="1">IFERROR(__xludf.UNSUPPORTED("""COMPUTED_VALUE"""),"8c12d495")</f>
        <v>8c12d495</v>
      </c>
      <c r="B420" s="4">
        <f ca="1">IFERROR(__xludf.UNSUPPORTED("""COMPUTED_VALUE"""),44886.443761574)</f>
        <v>44886.443761574003</v>
      </c>
      <c r="C420" s="7" t="str">
        <f ca="1">IFERROR(__xludf.UNSUPPORTED("""COMPUTED_VALUE"""),"Belém")</f>
        <v>Belém</v>
      </c>
      <c r="D420" s="3" t="str">
        <f ca="1">IFERROR(__xludf.UNSUPPORTED("""COMPUTED_VALUE"""),"🚢 REGULAR")</f>
        <v>🚢 REGULAR</v>
      </c>
      <c r="E420" s="3" t="str">
        <f ca="1">IFERROR(__xludf.UNSUPPORTED("""COMPUTED_VALUE"""),"🚛 LIBERADO")</f>
        <v>🚛 LIBERADO</v>
      </c>
      <c r="F420" s="5">
        <f ca="1">IFERROR(__xludf.UNSUPPORTED("""COMPUTED_VALUE"""),0)</f>
        <v>0</v>
      </c>
      <c r="G420" s="3" t="str">
        <f ca="1">IFERROR(__xludf.UNSUPPORTED("""COMPUTED_VALUE"""),"Sem ocorrências")</f>
        <v>Sem ocorrências</v>
      </c>
      <c r="H420" s="4">
        <f ca="1">IFERROR(__xludf.UNSUPPORTED("""COMPUTED_VALUE"""),44886.4020949074)</f>
        <v>44886.402094907397</v>
      </c>
      <c r="I420" s="3">
        <f ca="1">IFERROR(__xludf.UNSUPPORTED("""COMPUTED_VALUE"""),1)</f>
        <v>1</v>
      </c>
      <c r="J420" s="4">
        <f ca="1">IFERROR(__xludf.UNSUPPORTED("""COMPUTED_VALUE"""),44886.443761574)</f>
        <v>44886.443761574003</v>
      </c>
    </row>
    <row r="421" spans="1:10" ht="12.75">
      <c r="A421" s="3" t="str">
        <f ca="1">IFERROR(__xludf.UNSUPPORTED("""COMPUTED_VALUE"""),"8c843e1d")</f>
        <v>8c843e1d</v>
      </c>
      <c r="B421" s="4">
        <f ca="1">IFERROR(__xludf.UNSUPPORTED("""COMPUTED_VALUE"""),44887.430162037)</f>
        <v>44887.430162037002</v>
      </c>
      <c r="C421" s="8" t="str">
        <f ca="1">IFERROR(__xludf.UNSUPPORTED("""COMPUTED_VALUE"""),"Belém")</f>
        <v>Belém</v>
      </c>
      <c r="D421" s="3" t="str">
        <f ca="1">IFERROR(__xludf.UNSUPPORTED("""COMPUTED_VALUE"""),"🚢 REGULAR")</f>
        <v>🚢 REGULAR</v>
      </c>
      <c r="E421" s="3" t="str">
        <f ca="1">IFERROR(__xludf.UNSUPPORTED("""COMPUTED_VALUE"""),"🚛 LIBERADO")</f>
        <v>🚛 LIBERADO</v>
      </c>
      <c r="F421" s="5">
        <f ca="1">IFERROR(__xludf.UNSUPPORTED("""COMPUTED_VALUE"""),0)</f>
        <v>0</v>
      </c>
      <c r="G421" s="3" t="str">
        <f ca="1">IFERROR(__xludf.UNSUPPORTED("""COMPUTED_VALUE"""),"sem ocorrência registrada pela autoridade portuária")</f>
        <v>sem ocorrência registrada pela autoridade portuária</v>
      </c>
      <c r="H421" s="4">
        <f ca="1">IFERROR(__xludf.UNSUPPORTED("""COMPUTED_VALUE"""),44887.3884953703)</f>
        <v>44887.388495370302</v>
      </c>
      <c r="I421" s="3">
        <f ca="1">IFERROR(__xludf.UNSUPPORTED("""COMPUTED_VALUE"""),1)</f>
        <v>1</v>
      </c>
      <c r="J421" s="4">
        <f ca="1">IFERROR(__xludf.UNSUPPORTED("""COMPUTED_VALUE"""),44887.430162037)</f>
        <v>44887.430162037002</v>
      </c>
    </row>
    <row r="422" spans="1:10" ht="12.75">
      <c r="A422" s="3" t="str">
        <f ca="1">IFERROR(__xludf.UNSUPPORTED("""COMPUTED_VALUE"""),"bd40e36c")</f>
        <v>bd40e36c</v>
      </c>
      <c r="B422" s="4">
        <f ca="1">IFERROR(__xludf.UNSUPPORTED("""COMPUTED_VALUE"""),44888.39)</f>
        <v>44888.39</v>
      </c>
      <c r="C422" s="7" t="str">
        <f ca="1">IFERROR(__xludf.UNSUPPORTED("""COMPUTED_VALUE"""),"Belém")</f>
        <v>Belém</v>
      </c>
      <c r="D422" s="3" t="str">
        <f ca="1">IFERROR(__xludf.UNSUPPORTED("""COMPUTED_VALUE"""),"🚢 REGULAR")</f>
        <v>🚢 REGULAR</v>
      </c>
      <c r="E422" s="3" t="str">
        <f ca="1">IFERROR(__xludf.UNSUPPORTED("""COMPUTED_VALUE"""),"🚛 LIBERADO")</f>
        <v>🚛 LIBERADO</v>
      </c>
      <c r="F422" s="5">
        <f ca="1">IFERROR(__xludf.UNSUPPORTED("""COMPUTED_VALUE"""),0)</f>
        <v>0</v>
      </c>
      <c r="G422" s="3" t="str">
        <f ca="1">IFERROR(__xludf.UNSUPPORTED("""COMPUTED_VALUE"""),"Operação em normalidade")</f>
        <v>Operação em normalidade</v>
      </c>
      <c r="H422" s="4">
        <f ca="1">IFERROR(__xludf.UNSUPPORTED("""COMPUTED_VALUE"""),44888.3472222222)</f>
        <v>44888.347222222197</v>
      </c>
      <c r="I422" s="3">
        <f ca="1">IFERROR(__xludf.UNSUPPORTED("""COMPUTED_VALUE"""),1)</f>
        <v>1</v>
      </c>
      <c r="J422" s="4">
        <f ca="1">IFERROR(__xludf.UNSUPPORTED("""COMPUTED_VALUE"""),44888.3888888888)</f>
        <v>44888.388888888803</v>
      </c>
    </row>
    <row r="423" spans="1:10" ht="12.75">
      <c r="A423" s="3" t="str">
        <f ca="1">IFERROR(__xludf.UNSUPPORTED("""COMPUTED_VALUE"""),"09eaefbc")</f>
        <v>09eaefbc</v>
      </c>
      <c r="B423" s="4">
        <f ca="1">IFERROR(__xludf.UNSUPPORTED("""COMPUTED_VALUE"""),44889.3750231481)</f>
        <v>44889.375023148103</v>
      </c>
      <c r="C423" s="8" t="str">
        <f ca="1">IFERROR(__xludf.UNSUPPORTED("""COMPUTED_VALUE"""),"Belém")</f>
        <v>Belém</v>
      </c>
      <c r="D423" s="3" t="str">
        <f ca="1">IFERROR(__xludf.UNSUPPORTED("""COMPUTED_VALUE"""),"🚢 REGULAR")</f>
        <v>🚢 REGULAR</v>
      </c>
      <c r="E423" s="3" t="str">
        <f ca="1">IFERROR(__xludf.UNSUPPORTED("""COMPUTED_VALUE"""),"🚛 LIBERADO")</f>
        <v>🚛 LIBERADO</v>
      </c>
      <c r="F423" s="5">
        <f ca="1">IFERROR(__xludf.UNSUPPORTED("""COMPUTED_VALUE"""),0)</f>
        <v>0</v>
      </c>
      <c r="G423" s="3" t="str">
        <f ca="1">IFERROR(__xludf.UNSUPPORTED("""COMPUTED_VALUE"""),"Em normalidade")</f>
        <v>Em normalidade</v>
      </c>
      <c r="H423" s="4">
        <f ca="1">IFERROR(__xludf.UNSUPPORTED("""COMPUTED_VALUE"""),44889.3333333333)</f>
        <v>44889.333333333299</v>
      </c>
      <c r="I423" s="3">
        <f ca="1">IFERROR(__xludf.UNSUPPORTED("""COMPUTED_VALUE"""),1)</f>
        <v>1</v>
      </c>
      <c r="J423" s="4">
        <f ca="1">IFERROR(__xludf.UNSUPPORTED("""COMPUTED_VALUE"""),44889.375)</f>
        <v>44889.375</v>
      </c>
    </row>
    <row r="424" spans="1:10" ht="12.75">
      <c r="A424" s="3" t="str">
        <f ca="1">IFERROR(__xludf.UNSUPPORTED("""COMPUTED_VALUE"""),"b745e881")</f>
        <v>b745e881</v>
      </c>
      <c r="B424" s="4">
        <f ca="1">IFERROR(__xludf.UNSUPPORTED("""COMPUTED_VALUE"""),44890.5625462962)</f>
        <v>44890.562546296198</v>
      </c>
      <c r="C424" s="7" t="str">
        <f ca="1">IFERROR(__xludf.UNSUPPORTED("""COMPUTED_VALUE"""),"Belém")</f>
        <v>Belém</v>
      </c>
      <c r="D424" s="3" t="str">
        <f ca="1">IFERROR(__xludf.UNSUPPORTED("""COMPUTED_VALUE"""),"🚢 REGULAR")</f>
        <v>🚢 REGULAR</v>
      </c>
      <c r="E424" s="3" t="str">
        <f ca="1">IFERROR(__xludf.UNSUPPORTED("""COMPUTED_VALUE"""),"🚛 LIBERADO")</f>
        <v>🚛 LIBERADO</v>
      </c>
      <c r="F424" s="5">
        <f ca="1">IFERROR(__xludf.UNSUPPORTED("""COMPUTED_VALUE"""),0)</f>
        <v>0</v>
      </c>
      <c r="G424" s="3" t="str">
        <f ca="1">IFERROR(__xludf.UNSUPPORTED("""COMPUTED_VALUE"""),"Normal")</f>
        <v>Normal</v>
      </c>
      <c r="H424" s="4">
        <f ca="1">IFERROR(__xludf.UNSUPPORTED("""COMPUTED_VALUE"""),44890.5201388888)</f>
        <v>44890.520138888802</v>
      </c>
      <c r="I424" s="3">
        <f ca="1">IFERROR(__xludf.UNSUPPORTED("""COMPUTED_VALUE"""),1)</f>
        <v>1</v>
      </c>
      <c r="J424" s="4">
        <f ca="1">IFERROR(__xludf.UNSUPPORTED("""COMPUTED_VALUE"""),44890.5618055555)</f>
        <v>44890.561805555502</v>
      </c>
    </row>
    <row r="425" spans="1:10" ht="12.75">
      <c r="A425" s="3" t="str">
        <f ca="1">IFERROR(__xludf.UNSUPPORTED("""COMPUTED_VALUE"""),"9b007c47")</f>
        <v>9b007c47</v>
      </c>
      <c r="B425" s="4">
        <f ca="1">IFERROR(__xludf.UNSUPPORTED("""COMPUTED_VALUE"""),44892.2573842592)</f>
        <v>44892.257384259203</v>
      </c>
      <c r="C425" s="8" t="str">
        <f ca="1">IFERROR(__xludf.UNSUPPORTED("""COMPUTED_VALUE"""),"Belém")</f>
        <v>Belém</v>
      </c>
      <c r="D425" s="3" t="str">
        <f ca="1">IFERROR(__xludf.UNSUPPORTED("""COMPUTED_VALUE"""),"🚢 REGULAR")</f>
        <v>🚢 REGULAR</v>
      </c>
      <c r="E425" s="3" t="str">
        <f ca="1">IFERROR(__xludf.UNSUPPORTED("""COMPUTED_VALUE"""),"🚛 LIBERADO")</f>
        <v>🚛 LIBERADO</v>
      </c>
      <c r="F425" s="5">
        <f ca="1">IFERROR(__xludf.UNSUPPORTED("""COMPUTED_VALUE"""),0)</f>
        <v>0</v>
      </c>
      <c r="G425" s="3" t="str">
        <f ca="1">IFERROR(__xludf.UNSUPPORTED("""COMPUTED_VALUE"""),"Normalidade")</f>
        <v>Normalidade</v>
      </c>
      <c r="H425" s="4">
        <f ca="1">IFERROR(__xludf.UNSUPPORTED("""COMPUTED_VALUE"""),44892.2145833333)</f>
        <v>44892.214583333298</v>
      </c>
      <c r="I425" s="3">
        <f ca="1">IFERROR(__xludf.UNSUPPORTED("""COMPUTED_VALUE"""),1)</f>
        <v>1</v>
      </c>
      <c r="J425" s="4">
        <f ca="1">IFERROR(__xludf.UNSUPPORTED("""COMPUTED_VALUE"""),44892.25625)</f>
        <v>44892.256249999999</v>
      </c>
    </row>
    <row r="426" spans="1:10" ht="12.75">
      <c r="A426" s="3" t="str">
        <f ca="1">IFERROR(__xludf.UNSUPPORTED("""COMPUTED_VALUE"""),"27049922")</f>
        <v>27049922</v>
      </c>
      <c r="B426" s="4">
        <f ca="1">IFERROR(__xludf.UNSUPPORTED("""COMPUTED_VALUE"""),44893.5007986111)</f>
        <v>44893.500798611101</v>
      </c>
      <c r="C426" s="8" t="str">
        <f ca="1">IFERROR(__xludf.UNSUPPORTED("""COMPUTED_VALUE"""),"Belém")</f>
        <v>Belém</v>
      </c>
      <c r="D426" s="3" t="str">
        <f ca="1">IFERROR(__xludf.UNSUPPORTED("""COMPUTED_VALUE"""),"🚢 REGULAR")</f>
        <v>🚢 REGULAR</v>
      </c>
      <c r="E426" s="3" t="str">
        <f ca="1">IFERROR(__xludf.UNSUPPORTED("""COMPUTED_VALUE"""),"🚛 LIBERADO")</f>
        <v>🚛 LIBERADO</v>
      </c>
      <c r="F426" s="5">
        <f ca="1">IFERROR(__xludf.UNSUPPORTED("""COMPUTED_VALUE"""),0)</f>
        <v>0</v>
      </c>
      <c r="G426" s="3" t="str">
        <f ca="1">IFERROR(__xludf.UNSUPPORTED("""COMPUTED_VALUE"""),"Normalidade")</f>
        <v>Normalidade</v>
      </c>
      <c r="H426" s="4">
        <f ca="1">IFERROR(__xludf.UNSUPPORTED("""COMPUTED_VALUE"""),44893.4583333333)</f>
        <v>44893.458333333299</v>
      </c>
      <c r="I426" s="3">
        <f ca="1">IFERROR(__xludf.UNSUPPORTED("""COMPUTED_VALUE"""),1)</f>
        <v>1</v>
      </c>
      <c r="J426" s="4">
        <f ca="1">IFERROR(__xludf.UNSUPPORTED("""COMPUTED_VALUE"""),44893.5)</f>
        <v>44893.5</v>
      </c>
    </row>
    <row r="427" spans="1:10" ht="12.75">
      <c r="A427" s="3" t="str">
        <f ca="1">IFERROR(__xludf.UNSUPPORTED("""COMPUTED_VALUE"""),"36b78a02")</f>
        <v>36b78a02</v>
      </c>
      <c r="B427" s="4">
        <f ca="1">IFERROR(__xludf.UNSUPPORTED("""COMPUTED_VALUE"""),44894.4254513888)</f>
        <v>44894.425451388801</v>
      </c>
      <c r="C427" s="7" t="str">
        <f ca="1">IFERROR(__xludf.UNSUPPORTED("""COMPUTED_VALUE"""),"Belém")</f>
        <v>Belém</v>
      </c>
      <c r="D427" s="3" t="str">
        <f ca="1">IFERROR(__xludf.UNSUPPORTED("""COMPUTED_VALUE"""),"🚢 REGULAR")</f>
        <v>🚢 REGULAR</v>
      </c>
      <c r="E427" s="3" t="str">
        <f ca="1">IFERROR(__xludf.UNSUPPORTED("""COMPUTED_VALUE"""),"🚛 LIBERADO")</f>
        <v>🚛 LIBERADO</v>
      </c>
      <c r="F427" s="5">
        <f ca="1">IFERROR(__xludf.UNSUPPORTED("""COMPUTED_VALUE"""),0)</f>
        <v>0</v>
      </c>
      <c r="G427" s="3" t="str">
        <f ca="1">IFERROR(__xludf.UNSUPPORTED("""COMPUTED_VALUE"""),"Normalidade")</f>
        <v>Normalidade</v>
      </c>
      <c r="H427" s="4">
        <f ca="1">IFERROR(__xludf.UNSUPPORTED("""COMPUTED_VALUE"""),44894.3826388888)</f>
        <v>44894.382638888797</v>
      </c>
      <c r="I427" s="3">
        <f ca="1">IFERROR(__xludf.UNSUPPORTED("""COMPUTED_VALUE"""),1)</f>
        <v>1</v>
      </c>
      <c r="J427" s="4">
        <f ca="1">IFERROR(__xludf.UNSUPPORTED("""COMPUTED_VALUE"""),44894.4243055555)</f>
        <v>44894.424305555498</v>
      </c>
    </row>
    <row r="428" spans="1:10" ht="12.75">
      <c r="A428" s="3" t="str">
        <f ca="1">IFERROR(__xludf.UNSUPPORTED("""COMPUTED_VALUE"""),"9eea58cf")</f>
        <v>9eea58cf</v>
      </c>
      <c r="B428" s="4">
        <f ca="1">IFERROR(__xludf.UNSUPPORTED("""COMPUTED_VALUE"""),44895.3826851851)</f>
        <v>44895.382685185097</v>
      </c>
      <c r="C428" s="7" t="str">
        <f ca="1">IFERROR(__xludf.UNSUPPORTED("""COMPUTED_VALUE"""),"Belém")</f>
        <v>Belém</v>
      </c>
      <c r="D428" s="3" t="str">
        <f ca="1">IFERROR(__xludf.UNSUPPORTED("""COMPUTED_VALUE"""),"🚢 REGULAR")</f>
        <v>🚢 REGULAR</v>
      </c>
      <c r="E428" s="3" t="str">
        <f ca="1">IFERROR(__xludf.UNSUPPORTED("""COMPUTED_VALUE"""),"🚛 LIBERADO")</f>
        <v>🚛 LIBERADO</v>
      </c>
      <c r="F428" s="5">
        <f ca="1">IFERROR(__xludf.UNSUPPORTED("""COMPUTED_VALUE"""),0)</f>
        <v>0</v>
      </c>
      <c r="G428" s="3" t="str">
        <f ca="1">IFERROR(__xludf.UNSUPPORTED("""COMPUTED_VALUE"""),"Normal")</f>
        <v>Normal</v>
      </c>
      <c r="H428" s="4">
        <f ca="1">IFERROR(__xludf.UNSUPPORTED("""COMPUTED_VALUE"""),44895.3402777777)</f>
        <v>44895.340277777701</v>
      </c>
      <c r="I428" s="3">
        <f ca="1">IFERROR(__xludf.UNSUPPORTED("""COMPUTED_VALUE"""),1)</f>
        <v>1</v>
      </c>
      <c r="J428" s="4">
        <f ca="1">IFERROR(__xludf.UNSUPPORTED("""COMPUTED_VALUE"""),44895.3819444444)</f>
        <v>44895.381944444402</v>
      </c>
    </row>
    <row r="429" spans="1:10" ht="12.75">
      <c r="A429" s="3" t="str">
        <f ca="1">IFERROR(__xludf.UNSUPPORTED("""COMPUTED_VALUE"""),"a7365f19")</f>
        <v>a7365f19</v>
      </c>
      <c r="B429" s="4">
        <f ca="1">IFERROR(__xludf.UNSUPPORTED("""COMPUTED_VALUE"""),44896.4099305555)</f>
        <v>44896.409930555499</v>
      </c>
      <c r="C429" s="7" t="str">
        <f ca="1">IFERROR(__xludf.UNSUPPORTED("""COMPUTED_VALUE"""),"Belém")</f>
        <v>Belém</v>
      </c>
      <c r="D429" s="3" t="str">
        <f ca="1">IFERROR(__xludf.UNSUPPORTED("""COMPUTED_VALUE"""),"🚢 REGULAR")</f>
        <v>🚢 REGULAR</v>
      </c>
      <c r="E429" s="3" t="str">
        <f ca="1">IFERROR(__xludf.UNSUPPORTED("""COMPUTED_VALUE"""),"🚛 LIBERADO")</f>
        <v>🚛 LIBERADO</v>
      </c>
      <c r="F429" s="5">
        <f ca="1">IFERROR(__xludf.UNSUPPORTED("""COMPUTED_VALUE"""),0)</f>
        <v>0</v>
      </c>
      <c r="G429" s="3" t="str">
        <f ca="1">IFERROR(__xludf.UNSUPPORTED("""COMPUTED_VALUE"""),"Normal")</f>
        <v>Normal</v>
      </c>
      <c r="H429" s="4">
        <f ca="1">IFERROR(__xludf.UNSUPPORTED("""COMPUTED_VALUE"""),44896.3673611111)</f>
        <v>44896.367361111101</v>
      </c>
      <c r="I429" s="3">
        <f ca="1">IFERROR(__xludf.UNSUPPORTED("""COMPUTED_VALUE"""),1)</f>
        <v>1</v>
      </c>
      <c r="J429" s="4">
        <f ca="1">IFERROR(__xludf.UNSUPPORTED("""COMPUTED_VALUE"""),44896.4090277777)</f>
        <v>44896.4090277777</v>
      </c>
    </row>
    <row r="430" spans="1:10" ht="12.75">
      <c r="A430" s="3" t="str">
        <f ca="1">IFERROR(__xludf.UNSUPPORTED("""COMPUTED_VALUE"""),"65c8703e")</f>
        <v>65c8703e</v>
      </c>
      <c r="B430" s="4">
        <f ca="1">IFERROR(__xludf.UNSUPPORTED("""COMPUTED_VALUE"""),44896.415787037)</f>
        <v>44896.415787037004</v>
      </c>
      <c r="C430" s="7" t="str">
        <f ca="1">IFERROR(__xludf.UNSUPPORTED("""COMPUTED_VALUE"""),"Belém")</f>
        <v>Belém</v>
      </c>
      <c r="D430" s="3" t="str">
        <f ca="1">IFERROR(__xludf.UNSUPPORTED("""COMPUTED_VALUE"""),"🚢 REGULAR")</f>
        <v>🚢 REGULAR</v>
      </c>
      <c r="E430" s="3" t="str">
        <f ca="1">IFERROR(__xludf.UNSUPPORTED("""COMPUTED_VALUE"""),"🚛 LIBERADO")</f>
        <v>🚛 LIBERADO</v>
      </c>
      <c r="F430" s="5">
        <f ca="1">IFERROR(__xludf.UNSUPPORTED("""COMPUTED_VALUE"""),0)</f>
        <v>0</v>
      </c>
      <c r="G430" s="3" t="str">
        <f ca="1">IFERROR(__xludf.UNSUPPORTED("""COMPUTED_VALUE"""),"Normalidade")</f>
        <v>Normalidade</v>
      </c>
      <c r="H430" s="4">
        <f ca="1">IFERROR(__xludf.UNSUPPORTED("""COMPUTED_VALUE"""),44896.3736111111)</f>
        <v>44896.373611111099</v>
      </c>
      <c r="I430" s="3">
        <f ca="1">IFERROR(__xludf.UNSUPPORTED("""COMPUTED_VALUE"""),1)</f>
        <v>1</v>
      </c>
      <c r="J430" s="4">
        <f ca="1">IFERROR(__xludf.UNSUPPORTED("""COMPUTED_VALUE"""),44896.4152777777)</f>
        <v>44896.415277777698</v>
      </c>
    </row>
    <row r="431" spans="1:10" ht="12.75">
      <c r="A431" s="3" t="str">
        <f ca="1">IFERROR(__xludf.UNSUPPORTED("""COMPUTED_VALUE"""),"9da38be7")</f>
        <v>9da38be7</v>
      </c>
      <c r="B431" s="4">
        <f ca="1">IFERROR(__xludf.UNSUPPORTED("""COMPUTED_VALUE"""),44896.422349537)</f>
        <v>44896.422349537002</v>
      </c>
      <c r="C431" s="8" t="str">
        <f ca="1">IFERROR(__xludf.UNSUPPORTED("""COMPUTED_VALUE"""),"Belém")</f>
        <v>Belém</v>
      </c>
      <c r="D431" s="3" t="str">
        <f ca="1">IFERROR(__xludf.UNSUPPORTED("""COMPUTED_VALUE"""),"🚢 REGULAR")</f>
        <v>🚢 REGULAR</v>
      </c>
      <c r="E431" s="3" t="str">
        <f ca="1">IFERROR(__xludf.UNSUPPORTED("""COMPUTED_VALUE"""),"🚛 LIBERADO")</f>
        <v>🚛 LIBERADO</v>
      </c>
      <c r="F431" s="5">
        <f ca="1">IFERROR(__xludf.UNSUPPORTED("""COMPUTED_VALUE"""),0)</f>
        <v>0</v>
      </c>
      <c r="G431" s="3" t="str">
        <f ca="1">IFERROR(__xludf.UNSUPPORTED("""COMPUTED_VALUE"""),"Normalidade")</f>
        <v>Normalidade</v>
      </c>
      <c r="H431" s="4">
        <f ca="1">IFERROR(__xludf.UNSUPPORTED("""COMPUTED_VALUE"""),44896.3798611111)</f>
        <v>44896.379861111098</v>
      </c>
      <c r="I431" s="3">
        <f ca="1">IFERROR(__xludf.UNSUPPORTED("""COMPUTED_VALUE"""),1)</f>
        <v>1</v>
      </c>
      <c r="J431" s="4">
        <f ca="1">IFERROR(__xludf.UNSUPPORTED("""COMPUTED_VALUE"""),44896.4215277777)</f>
        <v>44896.421527777697</v>
      </c>
    </row>
    <row r="432" spans="1:10" ht="12.75">
      <c r="A432" s="3" t="str">
        <f ca="1">IFERROR(__xludf.UNSUPPORTED("""COMPUTED_VALUE"""),"652f68ab")</f>
        <v>652f68ab</v>
      </c>
      <c r="B432" s="4">
        <f ca="1">IFERROR(__xludf.UNSUPPORTED("""COMPUTED_VALUE"""),44896.4228356481)</f>
        <v>44896.422835648104</v>
      </c>
      <c r="C432" s="7" t="str">
        <f ca="1">IFERROR(__xludf.UNSUPPORTED("""COMPUTED_VALUE"""),"Belém")</f>
        <v>Belém</v>
      </c>
      <c r="D432" s="3" t="str">
        <f ca="1">IFERROR(__xludf.UNSUPPORTED("""COMPUTED_VALUE"""),"🚢 REGULAR")</f>
        <v>🚢 REGULAR</v>
      </c>
      <c r="E432" s="3" t="str">
        <f ca="1">IFERROR(__xludf.UNSUPPORTED("""COMPUTED_VALUE"""),"🚛 LIBERADO")</f>
        <v>🚛 LIBERADO</v>
      </c>
      <c r="F432" s="5">
        <f ca="1">IFERROR(__xludf.UNSUPPORTED("""COMPUTED_VALUE"""),0)</f>
        <v>0</v>
      </c>
      <c r="G432" s="3" t="str">
        <f ca="1">IFERROR(__xludf.UNSUPPORTED("""COMPUTED_VALUE"""),"Normalidade")</f>
        <v>Normalidade</v>
      </c>
      <c r="H432" s="4">
        <f ca="1">IFERROR(__xludf.UNSUPPORTED("""COMPUTED_VALUE"""),44896.3375)</f>
        <v>44896.337500000001</v>
      </c>
      <c r="I432" s="3">
        <f ca="1">IFERROR(__xludf.UNSUPPORTED("""COMPUTED_VALUE"""),1)</f>
        <v>1</v>
      </c>
      <c r="J432" s="4">
        <f ca="1">IFERROR(__xludf.UNSUPPORTED("""COMPUTED_VALUE"""),44896.3791666666)</f>
        <v>44896.3791666666</v>
      </c>
    </row>
    <row r="433" spans="1:12" ht="12.75">
      <c r="A433" s="3" t="str">
        <f ca="1">IFERROR(__xludf.UNSUPPORTED("""COMPUTED_VALUE"""),"7d7a12f0")</f>
        <v>7d7a12f0</v>
      </c>
      <c r="B433" s="4">
        <f ca="1">IFERROR(__xludf.UNSUPPORTED("""COMPUTED_VALUE"""),44897.3930208333)</f>
        <v>44897.393020833297</v>
      </c>
      <c r="C433" s="8" t="str">
        <f ca="1">IFERROR(__xludf.UNSUPPORTED("""COMPUTED_VALUE"""),"Belém")</f>
        <v>Belém</v>
      </c>
      <c r="D433" s="3" t="str">
        <f ca="1">IFERROR(__xludf.UNSUPPORTED("""COMPUTED_VALUE"""),"🚢 REGULAR")</f>
        <v>🚢 REGULAR</v>
      </c>
      <c r="E433" s="3" t="str">
        <f ca="1">IFERROR(__xludf.UNSUPPORTED("""COMPUTED_VALUE"""),"🚛 LIBERADO")</f>
        <v>🚛 LIBERADO</v>
      </c>
      <c r="F433" s="5">
        <f ca="1">IFERROR(__xludf.UNSUPPORTED("""COMPUTED_VALUE"""),0)</f>
        <v>0</v>
      </c>
      <c r="G433" s="3" t="str">
        <f ca="1">IFERROR(__xludf.UNSUPPORTED("""COMPUTED_VALUE"""),"Normalidade")</f>
        <v>Normalidade</v>
      </c>
      <c r="H433" s="4">
        <f ca="1">IFERROR(__xludf.UNSUPPORTED("""COMPUTED_VALUE"""),44897.35)</f>
        <v>44897.35</v>
      </c>
      <c r="I433" s="3">
        <f ca="1">IFERROR(__xludf.UNSUPPORTED("""COMPUTED_VALUE"""),1)</f>
        <v>1</v>
      </c>
      <c r="J433" s="4">
        <f ca="1">IFERROR(__xludf.UNSUPPORTED("""COMPUTED_VALUE"""),44897.3916666666)</f>
        <v>44897.391666666597</v>
      </c>
    </row>
    <row r="434" spans="1:12" ht="12.75">
      <c r="A434" s="3" t="str">
        <f ca="1">IFERROR(__xludf.UNSUPPORTED("""COMPUTED_VALUE"""),"4f82f548")</f>
        <v>4f82f548</v>
      </c>
      <c r="B434" s="4">
        <f ca="1">IFERROR(__xludf.UNSUPPORTED("""COMPUTED_VALUE"""),44897.3946412037)</f>
        <v>44897.394641203697</v>
      </c>
      <c r="C434" s="8" t="str">
        <f ca="1">IFERROR(__xludf.UNSUPPORTED("""COMPUTED_VALUE"""),"Belém")</f>
        <v>Belém</v>
      </c>
      <c r="D434" s="3" t="str">
        <f ca="1">IFERROR(__xludf.UNSUPPORTED("""COMPUTED_VALUE"""),"🚢 REGULAR")</f>
        <v>🚢 REGULAR</v>
      </c>
      <c r="E434" s="3" t="str">
        <f ca="1">IFERROR(__xludf.UNSUPPORTED("""COMPUTED_VALUE"""),"🚛 LIBERADO")</f>
        <v>🚛 LIBERADO</v>
      </c>
      <c r="F434" s="5">
        <f ca="1">IFERROR(__xludf.UNSUPPORTED("""COMPUTED_VALUE"""),0)</f>
        <v>0</v>
      </c>
      <c r="G434" s="3" t="str">
        <f ca="1">IFERROR(__xludf.UNSUPPORTED("""COMPUTED_VALUE"""),"Normalidade")</f>
        <v>Normalidade</v>
      </c>
      <c r="H434" s="4">
        <f ca="1">IFERROR(__xludf.UNSUPPORTED("""COMPUTED_VALUE"""),44897.3520833333)</f>
        <v>44897.352083333302</v>
      </c>
      <c r="I434" s="3">
        <f ca="1">IFERROR(__xludf.UNSUPPORTED("""COMPUTED_VALUE"""),1)</f>
        <v>1</v>
      </c>
      <c r="J434" s="4">
        <f ca="1">IFERROR(__xludf.UNSUPPORTED("""COMPUTED_VALUE"""),44897.39375)</f>
        <v>44897.393750000003</v>
      </c>
    </row>
    <row r="435" spans="1:12" ht="12.75">
      <c r="A435" s="3" t="str">
        <f ca="1">IFERROR(__xludf.UNSUPPORTED("""COMPUTED_VALUE"""),"80ed5ee5")</f>
        <v>80ed5ee5</v>
      </c>
      <c r="B435" s="4">
        <f ca="1">IFERROR(__xludf.UNSUPPORTED("""COMPUTED_VALUE"""),44899.3291898148)</f>
        <v>44899.329189814802</v>
      </c>
      <c r="C435" s="8" t="str">
        <f ca="1">IFERROR(__xludf.UNSUPPORTED("""COMPUTED_VALUE"""),"Belém")</f>
        <v>Belém</v>
      </c>
      <c r="D435" s="3" t="str">
        <f ca="1">IFERROR(__xludf.UNSUPPORTED("""COMPUTED_VALUE"""),"🚢 REGULAR")</f>
        <v>🚢 REGULAR</v>
      </c>
      <c r="E435" s="3" t="str">
        <f ca="1">IFERROR(__xludf.UNSUPPORTED("""COMPUTED_VALUE"""),"🚛 LIBERADO")</f>
        <v>🚛 LIBERADO</v>
      </c>
      <c r="F435" s="5">
        <f ca="1">IFERROR(__xludf.UNSUPPORTED("""COMPUTED_VALUE"""),0)</f>
        <v>0</v>
      </c>
      <c r="G435" s="3" t="str">
        <f ca="1">IFERROR(__xludf.UNSUPPORTED("""COMPUTED_VALUE"""),"Normalidade")</f>
        <v>Normalidade</v>
      </c>
      <c r="H435" s="4">
        <f ca="1">IFERROR(__xludf.UNSUPPORTED("""COMPUTED_VALUE"""),44899.2868055555)</f>
        <v>44899.286805555501</v>
      </c>
      <c r="I435" s="3">
        <f ca="1">IFERROR(__xludf.UNSUPPORTED("""COMPUTED_VALUE"""),1)</f>
        <v>1</v>
      </c>
      <c r="J435" s="4">
        <f ca="1">IFERROR(__xludf.UNSUPPORTED("""COMPUTED_VALUE"""),44899.3284722222)</f>
        <v>44899.328472222202</v>
      </c>
    </row>
    <row r="436" spans="1:12" ht="12.75">
      <c r="A436" s="3" t="str">
        <f ca="1">IFERROR(__xludf.UNSUPPORTED("""COMPUTED_VALUE"""),"a01f027a")</f>
        <v>a01f027a</v>
      </c>
      <c r="B436" s="4">
        <f ca="1">IFERROR(__xludf.UNSUPPORTED("""COMPUTED_VALUE"""),44900.3271180555)</f>
        <v>44900.327118055502</v>
      </c>
      <c r="C436" s="7" t="str">
        <f ca="1">IFERROR(__xludf.UNSUPPORTED("""COMPUTED_VALUE"""),"Belém")</f>
        <v>Belém</v>
      </c>
      <c r="D436" s="3" t="str">
        <f ca="1">IFERROR(__xludf.UNSUPPORTED("""COMPUTED_VALUE"""),"🚢 REGULAR")</f>
        <v>🚢 REGULAR</v>
      </c>
      <c r="E436" s="3" t="str">
        <f ca="1">IFERROR(__xludf.UNSUPPORTED("""COMPUTED_VALUE"""),"🚛 LIBERADO")</f>
        <v>🚛 LIBERADO</v>
      </c>
      <c r="F436" s="5">
        <f ca="1">IFERROR(__xludf.UNSUPPORTED("""COMPUTED_VALUE"""),0)</f>
        <v>0</v>
      </c>
      <c r="G436" s="3" t="str">
        <f ca="1">IFERROR(__xludf.UNSUPPORTED("""COMPUTED_VALUE"""),"Sem ocorrências")</f>
        <v>Sem ocorrências</v>
      </c>
      <c r="H436" s="4">
        <f ca="1">IFERROR(__xludf.UNSUPPORTED("""COMPUTED_VALUE"""),44900.3271180555)</f>
        <v>44900.327118055502</v>
      </c>
      <c r="I436" s="3">
        <f ca="1">IFERROR(__xludf.UNSUPPORTED("""COMPUTED_VALUE"""),1)</f>
        <v>1</v>
      </c>
      <c r="J436" s="4">
        <f ca="1">IFERROR(__xludf.UNSUPPORTED("""COMPUTED_VALUE"""),44900.3687847222)</f>
        <v>44900.368784722203</v>
      </c>
    </row>
    <row r="437" spans="1:12" ht="12.75">
      <c r="A437" s="3" t="str">
        <f ca="1">IFERROR(__xludf.UNSUPPORTED("""COMPUTED_VALUE"""),"cbacb800")</f>
        <v>cbacb800</v>
      </c>
      <c r="B437" s="4">
        <f ca="1">IFERROR(__xludf.UNSUPPORTED("""COMPUTED_VALUE"""),44901.5638078703)</f>
        <v>44901.563807870298</v>
      </c>
      <c r="C437" s="8" t="str">
        <f ca="1">IFERROR(__xludf.UNSUPPORTED("""COMPUTED_VALUE"""),"Belém")</f>
        <v>Belém</v>
      </c>
      <c r="D437" s="3" t="str">
        <f ca="1">IFERROR(__xludf.UNSUPPORTED("""COMPUTED_VALUE"""),"🚢 REGULAR")</f>
        <v>🚢 REGULAR</v>
      </c>
      <c r="E437" s="3" t="str">
        <f ca="1">IFERROR(__xludf.UNSUPPORTED("""COMPUTED_VALUE"""),"🚛 LIBERADO")</f>
        <v>🚛 LIBERADO</v>
      </c>
      <c r="F437" s="5">
        <f ca="1">IFERROR(__xludf.UNSUPPORTED("""COMPUTED_VALUE"""),0)</f>
        <v>0</v>
      </c>
      <c r="G437" s="3" t="str">
        <f ca="1">IFERROR(__xludf.UNSUPPORTED("""COMPUTED_VALUE"""),"Sem ocorrências")</f>
        <v>Sem ocorrências</v>
      </c>
      <c r="H437" s="4">
        <f ca="1">IFERROR(__xludf.UNSUPPORTED("""COMPUTED_VALUE"""),44901.5638078703)</f>
        <v>44901.563807870298</v>
      </c>
      <c r="I437" s="3">
        <f ca="1">IFERROR(__xludf.UNSUPPORTED("""COMPUTED_VALUE"""),1)</f>
        <v>1</v>
      </c>
      <c r="J437" s="4">
        <f ca="1">IFERROR(__xludf.UNSUPPORTED("""COMPUTED_VALUE"""),44901.605474537)</f>
        <v>44901.605474536998</v>
      </c>
    </row>
    <row r="438" spans="1:12" ht="12.75">
      <c r="A438" s="3" t="str">
        <f ca="1">IFERROR(__xludf.UNSUPPORTED("""COMPUTED_VALUE"""),"1ed6fecf")</f>
        <v>1ed6fecf</v>
      </c>
      <c r="B438" s="4">
        <f ca="1">IFERROR(__xludf.UNSUPPORTED("""COMPUTED_VALUE"""),44901.5641898148)</f>
        <v>44901.564189814802</v>
      </c>
      <c r="C438" s="7" t="str">
        <f ca="1">IFERROR(__xludf.UNSUPPORTED("""COMPUTED_VALUE"""),"Belém")</f>
        <v>Belém</v>
      </c>
      <c r="D438" s="3" t="str">
        <f ca="1">IFERROR(__xludf.UNSUPPORTED("""COMPUTED_VALUE"""),"🚢 REGULAR")</f>
        <v>🚢 REGULAR</v>
      </c>
      <c r="E438" s="3" t="str">
        <f ca="1">IFERROR(__xludf.UNSUPPORTED("""COMPUTED_VALUE"""),"🚛 LIBERADO")</f>
        <v>🚛 LIBERADO</v>
      </c>
      <c r="F438" s="5">
        <f ca="1">IFERROR(__xludf.UNSUPPORTED("""COMPUTED_VALUE"""),0)</f>
        <v>0</v>
      </c>
      <c r="G438" s="3" t="str">
        <f ca="1">IFERROR(__xludf.UNSUPPORTED("""COMPUTED_VALUE"""),"Sem ocorrências")</f>
        <v>Sem ocorrências</v>
      </c>
      <c r="H438" s="4">
        <f ca="1">IFERROR(__xludf.UNSUPPORTED("""COMPUTED_VALUE"""),44901.5641898148)</f>
        <v>44901.564189814802</v>
      </c>
      <c r="I438" s="3">
        <f ca="1">IFERROR(__xludf.UNSUPPORTED("""COMPUTED_VALUE"""),1)</f>
        <v>1</v>
      </c>
      <c r="J438" s="4">
        <f ca="1">IFERROR(__xludf.UNSUPPORTED("""COMPUTED_VALUE"""),44901.6058564814)</f>
        <v>44901.605856481401</v>
      </c>
    </row>
    <row r="439" spans="1:12" ht="12.75">
      <c r="A439" s="3" t="str">
        <f ca="1">IFERROR(__xludf.UNSUPPORTED("""COMPUTED_VALUE"""),"458185ef")</f>
        <v>458185ef</v>
      </c>
      <c r="B439" s="4">
        <f ca="1">IFERROR(__xludf.UNSUPPORTED("""COMPUTED_VALUE"""),44902.4361226851)</f>
        <v>44902.436122685103</v>
      </c>
      <c r="C439" s="7" t="str">
        <f ca="1">IFERROR(__xludf.UNSUPPORTED("""COMPUTED_VALUE"""),"Belém")</f>
        <v>Belém</v>
      </c>
      <c r="D439" s="3" t="str">
        <f ca="1">IFERROR(__xludf.UNSUPPORTED("""COMPUTED_VALUE"""),"🚢 REGULAR")</f>
        <v>🚢 REGULAR</v>
      </c>
      <c r="E439" s="3" t="str">
        <f ca="1">IFERROR(__xludf.UNSUPPORTED("""COMPUTED_VALUE"""),"🚛 LIBERADO")</f>
        <v>🚛 LIBERADO</v>
      </c>
      <c r="F439" s="5">
        <f ca="1">IFERROR(__xludf.UNSUPPORTED("""COMPUTED_VALUE"""),0)</f>
        <v>0</v>
      </c>
      <c r="G439" s="3" t="str">
        <f ca="1">IFERROR(__xludf.UNSUPPORTED("""COMPUTED_VALUE"""),"Sem ocorrências")</f>
        <v>Sem ocorrências</v>
      </c>
      <c r="H439" s="4">
        <f ca="1">IFERROR(__xludf.UNSUPPORTED("""COMPUTED_VALUE"""),44902.4361226851)</f>
        <v>44902.436122685103</v>
      </c>
      <c r="I439" s="3">
        <f ca="1">IFERROR(__xludf.UNSUPPORTED("""COMPUTED_VALUE"""),1)</f>
        <v>1</v>
      </c>
      <c r="J439" s="4">
        <f ca="1">IFERROR(__xludf.UNSUPPORTED("""COMPUTED_VALUE"""),44902.4777893518)</f>
        <v>44902.477789351797</v>
      </c>
    </row>
    <row r="440" spans="1:12" ht="12.75">
      <c r="A440" s="3" t="str">
        <f ca="1">IFERROR(__xludf.UNSUPPORTED("""COMPUTED_VALUE"""),"391743f3")</f>
        <v>391743f3</v>
      </c>
      <c r="B440" s="4">
        <f ca="1">IFERROR(__xludf.UNSUPPORTED("""COMPUTED_VALUE"""),44902.437824074)</f>
        <v>44902.437824073997</v>
      </c>
      <c r="C440" s="7" t="str">
        <f ca="1">IFERROR(__xludf.UNSUPPORTED("""COMPUTED_VALUE"""),"Belém")</f>
        <v>Belém</v>
      </c>
      <c r="D440" s="3" t="str">
        <f ca="1">IFERROR(__xludf.UNSUPPORTED("""COMPUTED_VALUE"""),"🚢 REGULAR")</f>
        <v>🚢 REGULAR</v>
      </c>
      <c r="E440" s="3" t="str">
        <f ca="1">IFERROR(__xludf.UNSUPPORTED("""COMPUTED_VALUE"""),"🚛 LIBERADO")</f>
        <v>🚛 LIBERADO</v>
      </c>
      <c r="F440" s="5">
        <f ca="1">IFERROR(__xludf.UNSUPPORTED("""COMPUTED_VALUE"""),0)</f>
        <v>0</v>
      </c>
      <c r="G440" s="3" t="str">
        <f ca="1">IFERROR(__xludf.UNSUPPORTED("""COMPUTED_VALUE"""),"Sem Ocorrências")</f>
        <v>Sem Ocorrências</v>
      </c>
      <c r="H440" s="4">
        <f ca="1">IFERROR(__xludf.UNSUPPORTED("""COMPUTED_VALUE"""),44902.437824074)</f>
        <v>44902.437824073997</v>
      </c>
      <c r="I440" s="3">
        <f ca="1">IFERROR(__xludf.UNSUPPORTED("""COMPUTED_VALUE"""),1)</f>
        <v>1</v>
      </c>
      <c r="J440" s="4">
        <f ca="1">IFERROR(__xludf.UNSUPPORTED("""COMPUTED_VALUE"""),44902.4794907407)</f>
        <v>44902.479490740698</v>
      </c>
    </row>
    <row r="441" spans="1:12" ht="12.75">
      <c r="A441" s="3" t="str">
        <f ca="1">IFERROR(__xludf.UNSUPPORTED("""COMPUTED_VALUE"""),"af52b756")</f>
        <v>af52b756</v>
      </c>
      <c r="B441" s="4">
        <f ca="1">IFERROR(__xludf.UNSUPPORTED("""COMPUTED_VALUE"""),44903.3551967592)</f>
        <v>44903.355196759199</v>
      </c>
      <c r="C441" s="7" t="str">
        <f ca="1">IFERROR(__xludf.UNSUPPORTED("""COMPUTED_VALUE"""),"Belém")</f>
        <v>Belém</v>
      </c>
      <c r="D441" s="3" t="str">
        <f ca="1">IFERROR(__xludf.UNSUPPORTED("""COMPUTED_VALUE"""),"🚢 REGULAR")</f>
        <v>🚢 REGULAR</v>
      </c>
      <c r="E441" s="3" t="str">
        <f ca="1">IFERROR(__xludf.UNSUPPORTED("""COMPUTED_VALUE"""),"🚛 LIBERADO")</f>
        <v>🚛 LIBERADO</v>
      </c>
      <c r="F441" s="5">
        <f ca="1">IFERROR(__xludf.UNSUPPORTED("""COMPUTED_VALUE"""),0)</f>
        <v>0</v>
      </c>
      <c r="G441" s="3" t="str">
        <f ca="1">IFERROR(__xludf.UNSUPPORTED("""COMPUTED_VALUE"""),"Sem ocorrências provocadas por paralisações nas rodovias de acesso")</f>
        <v>Sem ocorrências provocadas por paralisações nas rodovias de acesso</v>
      </c>
      <c r="H441" s="4">
        <f ca="1">IFERROR(__xludf.UNSUPPORTED("""COMPUTED_VALUE"""),44903.3551967592)</f>
        <v>44903.355196759199</v>
      </c>
      <c r="I441" s="3">
        <f ca="1">IFERROR(__xludf.UNSUPPORTED("""COMPUTED_VALUE"""),1)</f>
        <v>1</v>
      </c>
      <c r="J441" s="4">
        <f ca="1">IFERROR(__xludf.UNSUPPORTED("""COMPUTED_VALUE"""),44903.3968634259)</f>
        <v>44903.3968634259</v>
      </c>
    </row>
    <row r="442" spans="1:12" ht="12.75">
      <c r="A442" s="3" t="str">
        <f ca="1">IFERROR(__xludf.UNSUPPORTED("""COMPUTED_VALUE"""),"da6ba38f")</f>
        <v>da6ba38f</v>
      </c>
      <c r="B442" s="4">
        <f ca="1">IFERROR(__xludf.UNSUPPORTED("""COMPUTED_VALUE"""),44905.4553587962)</f>
        <v>44905.4553587962</v>
      </c>
      <c r="C442" s="8" t="str">
        <f ca="1">IFERROR(__xludf.UNSUPPORTED("""COMPUTED_VALUE"""),"Belém")</f>
        <v>Belém</v>
      </c>
      <c r="D442" s="3" t="str">
        <f ca="1">IFERROR(__xludf.UNSUPPORTED("""COMPUTED_VALUE"""),"🚢 REGULAR")</f>
        <v>🚢 REGULAR</v>
      </c>
      <c r="E442" s="3" t="str">
        <f ca="1">IFERROR(__xludf.UNSUPPORTED("""COMPUTED_VALUE"""),"🚛 LIBERADO")</f>
        <v>🚛 LIBERADO</v>
      </c>
      <c r="F442" s="5">
        <f ca="1">IFERROR(__xludf.UNSUPPORTED("""COMPUTED_VALUE"""),0)</f>
        <v>0</v>
      </c>
      <c r="G442" s="3" t="str">
        <f ca="1">IFERROR(__xludf.UNSUPPORTED("""COMPUTED_VALUE"""),"Sem ocorrências em face de suposta paralisações rodoviárias")</f>
        <v>Sem ocorrências em face de suposta paralisações rodoviárias</v>
      </c>
      <c r="H442" s="4">
        <f ca="1">IFERROR(__xludf.UNSUPPORTED("""COMPUTED_VALUE"""),44905.4553587962)</f>
        <v>44905.4553587962</v>
      </c>
      <c r="I442" s="3">
        <f ca="1">IFERROR(__xludf.UNSUPPORTED("""COMPUTED_VALUE"""),1)</f>
        <v>1</v>
      </c>
      <c r="J442" s="4">
        <f ca="1">IFERROR(__xludf.UNSUPPORTED("""COMPUTED_VALUE"""),44905.4970254629)</f>
        <v>44905.497025462901</v>
      </c>
    </row>
    <row r="443" spans="1:12" ht="12.75">
      <c r="A443" s="3" t="str">
        <f ca="1">IFERROR(__xludf.UNSUPPORTED("""COMPUTED_VALUE"""),"959966c3")</f>
        <v>959966c3</v>
      </c>
      <c r="B443" s="4">
        <f ca="1">IFERROR(__xludf.UNSUPPORTED("""COMPUTED_VALUE"""),44907.3247453703)</f>
        <v>44907.324745370301</v>
      </c>
      <c r="C443" s="7" t="str">
        <f ca="1">IFERROR(__xludf.UNSUPPORTED("""COMPUTED_VALUE"""),"Belém")</f>
        <v>Belém</v>
      </c>
      <c r="D443" s="3" t="str">
        <f ca="1">IFERROR(__xludf.UNSUPPORTED("""COMPUTED_VALUE"""),"🚢 REGULAR")</f>
        <v>🚢 REGULAR</v>
      </c>
      <c r="E443" s="3" t="str">
        <f ca="1">IFERROR(__xludf.UNSUPPORTED("""COMPUTED_VALUE"""),"🚛 LIBERADO")</f>
        <v>🚛 LIBERADO</v>
      </c>
      <c r="F443" s="5">
        <f ca="1">IFERROR(__xludf.UNSUPPORTED("""COMPUTED_VALUE"""),0)</f>
        <v>0</v>
      </c>
      <c r="G443" s="3" t="str">
        <f ca="1">IFERROR(__xludf.UNSUPPORTED("""COMPUTED_VALUE"""),"Sem ocorrências em face de suposta paralisações rodoviárias")</f>
        <v>Sem ocorrências em face de suposta paralisações rodoviárias</v>
      </c>
      <c r="H443" s="4">
        <f ca="1">IFERROR(__xludf.UNSUPPORTED("""COMPUTED_VALUE"""),44907.3247453703)</f>
        <v>44907.324745370301</v>
      </c>
      <c r="I443" s="3">
        <f ca="1">IFERROR(__xludf.UNSUPPORTED("""COMPUTED_VALUE"""),1)</f>
        <v>1</v>
      </c>
      <c r="J443" s="4">
        <f ca="1">IFERROR(__xludf.UNSUPPORTED("""COMPUTED_VALUE"""),44907.366412037)</f>
        <v>44907.366412037001</v>
      </c>
    </row>
    <row r="444" spans="1:12" ht="12.75">
      <c r="A444" s="3" t="str">
        <f ca="1">IFERROR(__xludf.UNSUPPORTED("""COMPUTED_VALUE"""),"cd825889")</f>
        <v>cd825889</v>
      </c>
      <c r="B444" s="4">
        <f ca="1">IFERROR(__xludf.UNSUPPORTED("""COMPUTED_VALUE"""),44921.5817476851)</f>
        <v>44921.581747685101</v>
      </c>
      <c r="C444" s="7" t="str">
        <f ca="1">IFERROR(__xludf.UNSUPPORTED("""COMPUTED_VALUE"""),"Belém")</f>
        <v>Belém</v>
      </c>
      <c r="D444" s="3" t="str">
        <f ca="1">IFERROR(__xludf.UNSUPPORTED("""COMPUTED_VALUE"""),"🚢 REGULAR")</f>
        <v>🚢 REGULAR</v>
      </c>
      <c r="E444" s="3" t="str">
        <f ca="1">IFERROR(__xludf.UNSUPPORTED("""COMPUTED_VALUE"""),"🚛 LIBERADO")</f>
        <v>🚛 LIBERADO</v>
      </c>
      <c r="F444" s="5">
        <f ca="1">IFERROR(__xludf.UNSUPPORTED("""COMPUTED_VALUE"""),0)</f>
        <v>0</v>
      </c>
      <c r="G444" s="3" t="str">
        <f ca="1">IFERROR(__xludf.UNSUPPORTED("""COMPUTED_VALUE"""),"Sem ocorrências relatadas de paralisações")</f>
        <v>Sem ocorrências relatadas de paralisações</v>
      </c>
      <c r="H444" s="4">
        <f ca="1">IFERROR(__xludf.UNSUPPORTED("""COMPUTED_VALUE"""),44921.5817476851)</f>
        <v>44921.581747685101</v>
      </c>
      <c r="I444" s="3">
        <f ca="1">IFERROR(__xludf.UNSUPPORTED("""COMPUTED_VALUE"""),1)</f>
        <v>1</v>
      </c>
      <c r="J444" s="4">
        <f ca="1">IFERROR(__xludf.UNSUPPORTED("""COMPUTED_VALUE"""),44921.6234143518)</f>
        <v>44921.623414351801</v>
      </c>
    </row>
    <row r="445" spans="1:12" ht="12.75">
      <c r="A445" s="3" t="str">
        <f ca="1">IFERROR(__xludf.UNSUPPORTED("""COMPUTED_VALUE"""),"a8df449a")</f>
        <v>a8df449a</v>
      </c>
      <c r="B445" s="4">
        <f ca="1">IFERROR(__xludf.UNSUPPORTED("""COMPUTED_VALUE"""),44923.6113657407)</f>
        <v>44923.611365740697</v>
      </c>
      <c r="C445" s="8" t="str">
        <f ca="1">IFERROR(__xludf.UNSUPPORTED("""COMPUTED_VALUE"""),"Belém")</f>
        <v>Belém</v>
      </c>
      <c r="D445" s="3" t="str">
        <f ca="1">IFERROR(__xludf.UNSUPPORTED("""COMPUTED_VALUE"""),"🚢 REGULAR")</f>
        <v>🚢 REGULAR</v>
      </c>
      <c r="E445" s="3" t="str">
        <f ca="1">IFERROR(__xludf.UNSUPPORTED("""COMPUTED_VALUE"""),"🚛 LIBERADO")</f>
        <v>🚛 LIBERADO</v>
      </c>
      <c r="F445" s="5">
        <f ca="1">IFERROR(__xludf.UNSUPPORTED("""COMPUTED_VALUE"""),0)</f>
        <v>0</v>
      </c>
      <c r="G445" s="3" t="str">
        <f ca="1">IFERROR(__xludf.UNSUPPORTED("""COMPUTED_VALUE"""),"Sem ocorrências")</f>
        <v>Sem ocorrências</v>
      </c>
      <c r="H445" s="4">
        <f ca="1">IFERROR(__xludf.UNSUPPORTED("""COMPUTED_VALUE"""),44923.6113657407)</f>
        <v>44923.611365740697</v>
      </c>
      <c r="I445" s="3">
        <f ca="1">IFERROR(__xludf.UNSUPPORTED("""COMPUTED_VALUE"""),1)</f>
        <v>1</v>
      </c>
      <c r="J445" s="4">
        <f ca="1">IFERROR(__xludf.UNSUPPORTED("""COMPUTED_VALUE"""),44923.6530324073)</f>
        <v>44923.653032407303</v>
      </c>
    </row>
    <row r="446" spans="1:12" ht="12.75">
      <c r="A446" s="3" t="str">
        <f ca="1">IFERROR(__xludf.UNSUPPORTED("""COMPUTED_VALUE"""),"157058cc")</f>
        <v>157058cc</v>
      </c>
      <c r="B446" s="4">
        <f ca="1">IFERROR(__xludf.UNSUPPORTED("""COMPUTED_VALUE"""),44932.5412152777)</f>
        <v>44932.541215277699</v>
      </c>
      <c r="C446" s="8" t="str">
        <f ca="1">IFERROR(__xludf.UNSUPPORTED("""COMPUTED_VALUE"""),"Belém")</f>
        <v>Belém</v>
      </c>
      <c r="D446" s="3" t="str">
        <f ca="1">IFERROR(__xludf.UNSUPPORTED("""COMPUTED_VALUE"""),"🚢 REGULAR")</f>
        <v>🚢 REGULAR</v>
      </c>
      <c r="E446" s="3" t="str">
        <f ca="1">IFERROR(__xludf.UNSUPPORTED("""COMPUTED_VALUE"""),"🚛 LIBERADO")</f>
        <v>🚛 LIBERADO</v>
      </c>
      <c r="F446" s="5">
        <f ca="1">IFERROR(__xludf.UNSUPPORTED("""COMPUTED_VALUE"""),0)</f>
        <v>0</v>
      </c>
      <c r="G446" s="3" t="str">
        <f ca="1">IFERROR(__xludf.UNSUPPORTED("""COMPUTED_VALUE"""),"Normalidade")</f>
        <v>Normalidade</v>
      </c>
      <c r="H446" s="4">
        <f ca="1">IFERROR(__xludf.UNSUPPORTED("""COMPUTED_VALUE"""),44932.5412152777)</f>
        <v>44932.541215277699</v>
      </c>
      <c r="I446" s="3">
        <f ca="1">IFERROR(__xludf.UNSUPPORTED("""COMPUTED_VALUE"""),24)</f>
        <v>24</v>
      </c>
      <c r="J446" s="4">
        <f ca="1">IFERROR(__xludf.UNSUPPORTED("""COMPUTED_VALUE"""),44933.5412152777)</f>
        <v>44933.541215277699</v>
      </c>
      <c r="L446" s="3" t="str">
        <f ca="1">IFERROR(__xludf.UNSUPPORTED("""COMPUTED_VALUE"""),"Normalidade")</f>
        <v>Normalidade</v>
      </c>
    </row>
    <row r="447" spans="1:12" ht="12.75">
      <c r="A447" s="3" t="str">
        <f ca="1">IFERROR(__xludf.UNSUPPORTED("""COMPUTED_VALUE"""),"05373eb4")</f>
        <v>05373eb4</v>
      </c>
      <c r="B447" s="4">
        <f ca="1">IFERROR(__xludf.UNSUPPORTED("""COMPUTED_VALUE"""),44935.3890277777)</f>
        <v>44935.389027777703</v>
      </c>
      <c r="C447" s="7" t="str">
        <f ca="1">IFERROR(__xludf.UNSUPPORTED("""COMPUTED_VALUE"""),"Belém")</f>
        <v>Belém</v>
      </c>
      <c r="D447" s="3" t="str">
        <f ca="1">IFERROR(__xludf.UNSUPPORTED("""COMPUTED_VALUE"""),"🚢 REGULAR")</f>
        <v>🚢 REGULAR</v>
      </c>
      <c r="E447" s="3" t="str">
        <f ca="1">IFERROR(__xludf.UNSUPPORTED("""COMPUTED_VALUE"""),"🚛 LIBERADO")</f>
        <v>🚛 LIBERADO</v>
      </c>
      <c r="F447" s="5">
        <f ca="1">IFERROR(__xludf.UNSUPPORTED("""COMPUTED_VALUE"""),0)</f>
        <v>0</v>
      </c>
      <c r="G447" s="3" t="str">
        <f ca="1">IFERROR(__xludf.UNSUPPORTED("""COMPUTED_VALUE"""),"Normalidade")</f>
        <v>Normalidade</v>
      </c>
      <c r="H447" s="4">
        <f ca="1">IFERROR(__xludf.UNSUPPORTED("""COMPUTED_VALUE"""),44935.3890277777)</f>
        <v>44935.389027777703</v>
      </c>
      <c r="I447" s="3">
        <f ca="1">IFERROR(__xludf.UNSUPPORTED("""COMPUTED_VALUE"""),24)</f>
        <v>24</v>
      </c>
      <c r="J447" s="4">
        <f ca="1">IFERROR(__xludf.UNSUPPORTED("""COMPUTED_VALUE"""),44936.3890277777)</f>
        <v>44936.389027777703</v>
      </c>
    </row>
    <row r="448" spans="1:12" ht="12.75">
      <c r="A448" s="3" t="str">
        <f ca="1">IFERROR(__xludf.UNSUPPORTED("""COMPUTED_VALUE"""),"4ac3df1e")</f>
        <v>4ac3df1e</v>
      </c>
      <c r="B448" s="4">
        <f ca="1">IFERROR(__xludf.UNSUPPORTED("""COMPUTED_VALUE"""),44935.4383449074)</f>
        <v>44935.438344907401</v>
      </c>
      <c r="C448" s="8" t="str">
        <f ca="1">IFERROR(__xludf.UNSUPPORTED("""COMPUTED_VALUE"""),"Belém")</f>
        <v>Belém</v>
      </c>
      <c r="D448" s="3" t="str">
        <f ca="1">IFERROR(__xludf.UNSUPPORTED("""COMPUTED_VALUE"""),"🚢 REGULAR")</f>
        <v>🚢 REGULAR</v>
      </c>
      <c r="E448" s="3" t="str">
        <f ca="1">IFERROR(__xludf.UNSUPPORTED("""COMPUTED_VALUE"""),"🚛 LIBERADO")</f>
        <v>🚛 LIBERADO</v>
      </c>
      <c r="F448" s="5">
        <f ca="1">IFERROR(__xludf.UNSUPPORTED("""COMPUTED_VALUE"""),0)</f>
        <v>0</v>
      </c>
      <c r="G448" s="3" t="str">
        <f ca="1">IFERROR(__xludf.UNSUPPORTED("""COMPUTED_VALUE"""),"Normalidade")</f>
        <v>Normalidade</v>
      </c>
      <c r="H448" s="4">
        <f ca="1">IFERROR(__xludf.UNSUPPORTED("""COMPUTED_VALUE"""),44935.3548611111)</f>
        <v>44935.354861111096</v>
      </c>
      <c r="I448" s="3">
        <f ca="1">IFERROR(__xludf.UNSUPPORTED("""COMPUTED_VALUE"""),1)</f>
        <v>1</v>
      </c>
      <c r="J448" s="4">
        <f ca="1">IFERROR(__xludf.UNSUPPORTED("""COMPUTED_VALUE"""),44935.3965277777)</f>
        <v>44935.396527777702</v>
      </c>
      <c r="L448" s="3" t="str">
        <f ca="1">IFERROR(__xludf.UNSUPPORTED("""COMPUTED_VALUE"""),"Crítico")</f>
        <v>Crítico</v>
      </c>
    </row>
    <row r="449" spans="1:12" ht="12.75">
      <c r="A449" s="3" t="str">
        <f ca="1">IFERROR(__xludf.UNSUPPORTED("""COMPUTED_VALUE"""),"6d842cef")</f>
        <v>6d842cef</v>
      </c>
      <c r="B449" s="4">
        <f ca="1">IFERROR(__xludf.UNSUPPORTED("""COMPUTED_VALUE"""),44942.6272569444)</f>
        <v>44942.627256944397</v>
      </c>
      <c r="C449" s="7" t="str">
        <f ca="1">IFERROR(__xludf.UNSUPPORTED("""COMPUTED_VALUE"""),"Belém")</f>
        <v>Belém</v>
      </c>
      <c r="D449" s="3" t="str">
        <f ca="1">IFERROR(__xludf.UNSUPPORTED("""COMPUTED_VALUE"""),"🚢 REGULAR")</f>
        <v>🚢 REGULAR</v>
      </c>
      <c r="E449" s="3" t="str">
        <f ca="1">IFERROR(__xludf.UNSUPPORTED("""COMPUTED_VALUE"""),"🚛 LIBERADO")</f>
        <v>🚛 LIBERADO</v>
      </c>
      <c r="F449" s="5">
        <f ca="1">IFERROR(__xludf.UNSUPPORTED("""COMPUTED_VALUE"""),0)</f>
        <v>0</v>
      </c>
      <c r="G449" s="3" t="str">
        <f ca="1">IFERROR(__xludf.UNSUPPORTED("""COMPUTED_VALUE"""),"Normalidade")</f>
        <v>Normalidade</v>
      </c>
      <c r="H449" s="4">
        <f ca="1">IFERROR(__xludf.UNSUPPORTED("""COMPUTED_VALUE"""),44942.6272569444)</f>
        <v>44942.627256944397</v>
      </c>
      <c r="I449" s="3">
        <f ca="1">IFERROR(__xludf.UNSUPPORTED("""COMPUTED_VALUE"""),24)</f>
        <v>24</v>
      </c>
      <c r="J449" s="4">
        <f ca="1">IFERROR(__xludf.UNSUPPORTED("""COMPUTED_VALUE"""),44943.6272569444)</f>
        <v>44943.627256944397</v>
      </c>
    </row>
    <row r="450" spans="1:12" ht="12.75">
      <c r="A450" s="3" t="str">
        <f ca="1">IFERROR(__xludf.UNSUPPORTED("""COMPUTED_VALUE"""),"783f81f9")</f>
        <v>783f81f9</v>
      </c>
      <c r="B450" s="4">
        <f ca="1">IFERROR(__xludf.UNSUPPORTED("""COMPUTED_VALUE"""),44943.8881018518)</f>
        <v>44943.8881018518</v>
      </c>
      <c r="C450" s="8" t="str">
        <f ca="1">IFERROR(__xludf.UNSUPPORTED("""COMPUTED_VALUE"""),"Belém")</f>
        <v>Belém</v>
      </c>
      <c r="D450" s="3" t="str">
        <f ca="1">IFERROR(__xludf.UNSUPPORTED("""COMPUTED_VALUE"""),"🚢 REGULAR")</f>
        <v>🚢 REGULAR</v>
      </c>
      <c r="E450" s="3" t="str">
        <f ca="1">IFERROR(__xludf.UNSUPPORTED("""COMPUTED_VALUE"""),"🚛 LIBERADO")</f>
        <v>🚛 LIBERADO</v>
      </c>
      <c r="F450" s="5">
        <f ca="1">IFERROR(__xludf.UNSUPPORTED("""COMPUTED_VALUE"""),0)</f>
        <v>0</v>
      </c>
      <c r="G450" s="3" t="str">
        <f ca="1">IFERROR(__xludf.UNSUPPORTED("""COMPUTED_VALUE"""),"Normalidade")</f>
        <v>Normalidade</v>
      </c>
      <c r="H450" s="4">
        <f ca="1">IFERROR(__xludf.UNSUPPORTED("""COMPUTED_VALUE"""),44943.8881018518)</f>
        <v>44943.8881018518</v>
      </c>
      <c r="I450" s="3">
        <f ca="1">IFERROR(__xludf.UNSUPPORTED("""COMPUTED_VALUE"""),24)</f>
        <v>24</v>
      </c>
      <c r="J450" s="4">
        <f ca="1">IFERROR(__xludf.UNSUPPORTED("""COMPUTED_VALUE"""),44944.8881018518)</f>
        <v>44944.8881018518</v>
      </c>
    </row>
    <row r="451" spans="1:12" ht="12.75">
      <c r="A451" s="3" t="str">
        <f ca="1">IFERROR(__xludf.UNSUPPORTED("""COMPUTED_VALUE"""),"9d402458")</f>
        <v>9d402458</v>
      </c>
      <c r="B451" s="4">
        <f ca="1">IFERROR(__xludf.UNSUPPORTED("""COMPUTED_VALUE"""),44945.712199074)</f>
        <v>44945.712199073998</v>
      </c>
      <c r="C451" s="8" t="str">
        <f ca="1">IFERROR(__xludf.UNSUPPORTED("""COMPUTED_VALUE"""),"Belém")</f>
        <v>Belém</v>
      </c>
      <c r="D451" s="3" t="str">
        <f ca="1">IFERROR(__xludf.UNSUPPORTED("""COMPUTED_VALUE"""),"🚢 REGULAR")</f>
        <v>🚢 REGULAR</v>
      </c>
      <c r="E451" s="3" t="str">
        <f ca="1">IFERROR(__xludf.UNSUPPORTED("""COMPUTED_VALUE"""),"🚛 LIBERADO")</f>
        <v>🚛 LIBERADO</v>
      </c>
      <c r="F451" s="5">
        <f ca="1">IFERROR(__xludf.UNSUPPORTED("""COMPUTED_VALUE"""),0)</f>
        <v>0</v>
      </c>
      <c r="G451" s="3" t="str">
        <f ca="1">IFERROR(__xludf.UNSUPPORTED("""COMPUTED_VALUE"""),"Normalidade")</f>
        <v>Normalidade</v>
      </c>
      <c r="H451" s="4">
        <f ca="1">IFERROR(__xludf.UNSUPPORTED("""COMPUTED_VALUE"""),44945.712199074)</f>
        <v>44945.712199073998</v>
      </c>
      <c r="I451" s="3">
        <f ca="1">IFERROR(__xludf.UNSUPPORTED("""COMPUTED_VALUE"""),24)</f>
        <v>24</v>
      </c>
      <c r="J451" s="4">
        <f ca="1">IFERROR(__xludf.UNSUPPORTED("""COMPUTED_VALUE"""),44946.712199074)</f>
        <v>44946.712199073998</v>
      </c>
    </row>
    <row r="452" spans="1:12" ht="12.75">
      <c r="A452" s="3" t="str">
        <f ca="1">IFERROR(__xludf.UNSUPPORTED("""COMPUTED_VALUE"""),"1f5d5030")</f>
        <v>1f5d5030</v>
      </c>
      <c r="B452" s="4">
        <f ca="1">IFERROR(__xludf.UNSUPPORTED("""COMPUTED_VALUE"""),44951.7650231481)</f>
        <v>44951.765023148102</v>
      </c>
      <c r="C452" s="7" t="str">
        <f ca="1">IFERROR(__xludf.UNSUPPORTED("""COMPUTED_VALUE"""),"Belém")</f>
        <v>Belém</v>
      </c>
      <c r="D452" s="3" t="str">
        <f ca="1">IFERROR(__xludf.UNSUPPORTED("""COMPUTED_VALUE"""),"🚢 REGULAR")</f>
        <v>🚢 REGULAR</v>
      </c>
      <c r="E452" s="3" t="str">
        <f ca="1">IFERROR(__xludf.UNSUPPORTED("""COMPUTED_VALUE"""),"🚛 LIBERADO")</f>
        <v>🚛 LIBERADO</v>
      </c>
      <c r="F452" s="5">
        <f ca="1">IFERROR(__xludf.UNSUPPORTED("""COMPUTED_VALUE"""),0)</f>
        <v>0</v>
      </c>
      <c r="G452" s="3" t="str">
        <f ca="1">IFERROR(__xludf.UNSUPPORTED("""COMPUTED_VALUE"""),"Normalidade")</f>
        <v>Normalidade</v>
      </c>
      <c r="H452" s="4">
        <f ca="1">IFERROR(__xludf.UNSUPPORTED("""COMPUTED_VALUE"""),44951.7650231481)</f>
        <v>44951.765023148102</v>
      </c>
      <c r="I452" s="3">
        <f ca="1">IFERROR(__xludf.UNSUPPORTED("""COMPUTED_VALUE"""),24)</f>
        <v>24</v>
      </c>
      <c r="J452" s="4">
        <f ca="1">IFERROR(__xludf.UNSUPPORTED("""COMPUTED_VALUE"""),44952.7650231481)</f>
        <v>44952.765023148102</v>
      </c>
      <c r="L452" s="3" t="str">
        <f ca="1">IFERROR(__xludf.UNSUPPORTED("""COMPUTED_VALUE"""),"Normalidade")</f>
        <v>Normalidade</v>
      </c>
    </row>
    <row r="453" spans="1:12" ht="12.75">
      <c r="A453" s="3" t="str">
        <f ca="1">IFERROR(__xludf.UNSUPPORTED("""COMPUTED_VALUE"""),"e2c4efac")</f>
        <v>e2c4efac</v>
      </c>
      <c r="B453" s="4">
        <f ca="1">IFERROR(__xludf.UNSUPPORTED("""COMPUTED_VALUE"""),44956.6566550925)</f>
        <v>44956.656655092498</v>
      </c>
      <c r="C453" s="7" t="str">
        <f ca="1">IFERROR(__xludf.UNSUPPORTED("""COMPUTED_VALUE"""),"Belém")</f>
        <v>Belém</v>
      </c>
      <c r="D453" s="3" t="str">
        <f ca="1">IFERROR(__xludf.UNSUPPORTED("""COMPUTED_VALUE"""),"🚢 REGULAR")</f>
        <v>🚢 REGULAR</v>
      </c>
      <c r="E453" s="3" t="str">
        <f ca="1">IFERROR(__xludf.UNSUPPORTED("""COMPUTED_VALUE"""),"🚛 LIBERADO")</f>
        <v>🚛 LIBERADO</v>
      </c>
      <c r="F453" s="5">
        <f ca="1">IFERROR(__xludf.UNSUPPORTED("""COMPUTED_VALUE"""),0)</f>
        <v>0</v>
      </c>
      <c r="G453" s="3" t="str">
        <f ca="1">IFERROR(__xludf.UNSUPPORTED("""COMPUTED_VALUE"""),"Normalidade")</f>
        <v>Normalidade</v>
      </c>
      <c r="H453" s="4">
        <f ca="1">IFERROR(__xludf.UNSUPPORTED("""COMPUTED_VALUE"""),44956.6566550925)</f>
        <v>44956.656655092498</v>
      </c>
      <c r="I453" s="3">
        <f ca="1">IFERROR(__xludf.UNSUPPORTED("""COMPUTED_VALUE"""),24)</f>
        <v>24</v>
      </c>
      <c r="J453" s="4">
        <f ca="1">IFERROR(__xludf.UNSUPPORTED("""COMPUTED_VALUE"""),44957.6566550925)</f>
        <v>44957.656655092498</v>
      </c>
    </row>
    <row r="454" spans="1:12" ht="12.75">
      <c r="A454" s="3" t="str">
        <f ca="1">IFERROR(__xludf.UNSUPPORTED("""COMPUTED_VALUE"""),"383419aa")</f>
        <v>383419aa</v>
      </c>
      <c r="B454" s="4">
        <f ca="1">IFERROR(__xludf.UNSUPPORTED("""COMPUTED_VALUE"""),45587.534224537)</f>
        <v>45587.534224536997</v>
      </c>
      <c r="C454" s="8" t="str">
        <f ca="1">IFERROR(__xludf.UNSUPPORTED("""COMPUTED_VALUE"""),"Belém")</f>
        <v>Belém</v>
      </c>
      <c r="D454" s="3" t="str">
        <f ca="1">IFERROR(__xludf.UNSUPPORTED("""COMPUTED_VALUE"""),"🚢 REGULAR")</f>
        <v>🚢 REGULAR</v>
      </c>
      <c r="E454" s="3" t="str">
        <f ca="1">IFERROR(__xludf.UNSUPPORTED("""COMPUTED_VALUE"""),"🚛 LIBERADO")</f>
        <v>🚛 LIBERADO</v>
      </c>
      <c r="F454" s="5">
        <f ca="1">IFERROR(__xludf.UNSUPPORTED("""COMPUTED_VALUE"""),0)</f>
        <v>0</v>
      </c>
      <c r="G454" s="3" t="str">
        <f ca="1">IFERROR(__xludf.UNSUPPORTED("""COMPUTED_VALUE"""),"Normalidade")</f>
        <v>Normalidade</v>
      </c>
      <c r="H454" s="4">
        <f ca="1">IFERROR(__xludf.UNSUPPORTED("""COMPUTED_VALUE"""),45587.534224537)</f>
        <v>45587.534224536997</v>
      </c>
      <c r="I454" s="3">
        <f ca="1">IFERROR(__xludf.UNSUPPORTED("""COMPUTED_VALUE"""),24)</f>
        <v>24</v>
      </c>
      <c r="J454" s="4">
        <f ca="1">IFERROR(__xludf.UNSUPPORTED("""COMPUTED_VALUE"""),45588.534224537)</f>
        <v>45588.534224536997</v>
      </c>
      <c r="L454" s="3" t="str">
        <f ca="1">IFERROR(__xludf.UNSUPPORTED("""COMPUTED_VALUE"""),"Normalidade")</f>
        <v>Normalidade</v>
      </c>
    </row>
    <row r="455" spans="1:12" ht="12.75">
      <c r="A455" s="3" t="str">
        <f ca="1">IFERROR(__xludf.UNSUPPORTED("""COMPUTED_VALUE"""),"lPSibgzN")</f>
        <v>lPSibgzN</v>
      </c>
      <c r="B455" s="4">
        <f ca="1">IFERROR(__xludf.UNSUPPORTED("""COMPUTED_VALUE"""),44589.5)</f>
        <v>44589.5</v>
      </c>
      <c r="C455" s="8" t="str">
        <f ca="1">IFERROR(__xludf.UNSUPPORTED("""COMPUTED_VALUE"""),"Cabedelo")</f>
        <v>Cabedelo</v>
      </c>
      <c r="D455" s="3" t="str">
        <f ca="1">IFERROR(__xludf.UNSUPPORTED("""COMPUTED_VALUE"""),"🚢 REGULAR")</f>
        <v>🚢 REGULAR</v>
      </c>
      <c r="E455" s="3" t="str">
        <f ca="1">IFERROR(__xludf.UNSUPPORTED("""COMPUTED_VALUE"""),"🚛 LIBERADO")</f>
        <v>🚛 LIBERADO</v>
      </c>
      <c r="F455" s="5">
        <f ca="1">IFERROR(__xludf.UNSUPPORTED("""COMPUTED_VALUE"""),0)</f>
        <v>0</v>
      </c>
      <c r="G455" s="3" t="str">
        <f ca="1">IFERROR(__xludf.UNSUPPORTED("""COMPUTED_VALUE"""),"Sem alterações.")</f>
        <v>Sem alterações.</v>
      </c>
      <c r="H455" s="4">
        <f ca="1">IFERROR(__xludf.UNSUPPORTED("""COMPUTED_VALUE"""),44589.5756944444)</f>
        <v>44589.5756944444</v>
      </c>
      <c r="I455" s="3">
        <f ca="1">IFERROR(__xludf.UNSUPPORTED("""COMPUTED_VALUE"""),3)</f>
        <v>3</v>
      </c>
      <c r="J455" s="4">
        <f ca="1">IFERROR(__xludf.UNSUPPORTED("""COMPUTED_VALUE"""),44589.7006944444)</f>
        <v>44589.7006944444</v>
      </c>
    </row>
    <row r="456" spans="1:12" ht="12.75">
      <c r="A456" s="3" t="str">
        <f ca="1">IFERROR(__xludf.UNSUPPORTED("""COMPUTED_VALUE"""),"f7d53b39")</f>
        <v>f7d53b39</v>
      </c>
      <c r="B456" s="4">
        <f ca="1">IFERROR(__xludf.UNSUPPORTED("""COMPUTED_VALUE"""),44866.3740277777)</f>
        <v>44866.374027777703</v>
      </c>
      <c r="C456" s="7" t="str">
        <f ca="1">IFERROR(__xludf.UNSUPPORTED("""COMPUTED_VALUE"""),"Cabedelo")</f>
        <v>Cabedelo</v>
      </c>
      <c r="D456" s="3" t="str">
        <f ca="1">IFERROR(__xludf.UNSUPPORTED("""COMPUTED_VALUE"""),"🚢 REGULAR")</f>
        <v>🚢 REGULAR</v>
      </c>
      <c r="E456" s="3" t="str">
        <f ca="1">IFERROR(__xludf.UNSUPPORTED("""COMPUTED_VALUE"""),"🚛 LIBERADO")</f>
        <v>🚛 LIBERADO</v>
      </c>
      <c r="F456" s="5">
        <f ca="1">IFERROR(__xludf.UNSUPPORTED("""COMPUTED_VALUE"""),0)</f>
        <v>0</v>
      </c>
      <c r="G456" s="3" t="str">
        <f ca="1">IFERROR(__xludf.UNSUPPORTED("""COMPUTED_VALUE"""),"situação normal")</f>
        <v>situação normal</v>
      </c>
      <c r="H456" s="4">
        <f ca="1">IFERROR(__xludf.UNSUPPORTED("""COMPUTED_VALUE"""),44866.3740277777)</f>
        <v>44866.374027777703</v>
      </c>
      <c r="I456" s="3">
        <f ca="1">IFERROR(__xludf.UNSUPPORTED("""COMPUTED_VALUE"""),8)</f>
        <v>8</v>
      </c>
      <c r="J456" s="4">
        <f ca="1">IFERROR(__xludf.UNSUPPORTED("""COMPUTED_VALUE"""),44866.7073611111)</f>
        <v>44866.707361111097</v>
      </c>
    </row>
    <row r="457" spans="1:12" ht="12.75">
      <c r="A457" s="3" t="str">
        <f ca="1">IFERROR(__xludf.UNSUPPORTED("""COMPUTED_VALUE"""),"b2f7c55d")</f>
        <v>b2f7c55d</v>
      </c>
      <c r="B457" s="4">
        <f ca="1">IFERROR(__xludf.UNSUPPORTED("""COMPUTED_VALUE"""),44868.3890856481)</f>
        <v>44868.389085648101</v>
      </c>
      <c r="C457" s="7" t="str">
        <f ca="1">IFERROR(__xludf.UNSUPPORTED("""COMPUTED_VALUE"""),"Cabedelo")</f>
        <v>Cabedelo</v>
      </c>
      <c r="D457" s="3" t="str">
        <f ca="1">IFERROR(__xludf.UNSUPPORTED("""COMPUTED_VALUE"""),"🚢 REGULAR")</f>
        <v>🚢 REGULAR</v>
      </c>
      <c r="E457" s="3" t="str">
        <f ca="1">IFERROR(__xludf.UNSUPPORTED("""COMPUTED_VALUE"""),"🚛 LIBERADO")</f>
        <v>🚛 LIBERADO</v>
      </c>
      <c r="F457" s="5">
        <f ca="1">IFERROR(__xludf.UNSUPPORTED("""COMPUTED_VALUE"""),0)</f>
        <v>0</v>
      </c>
      <c r="G457" s="3" t="str">
        <f ca="1">IFERROR(__xludf.UNSUPPORTED("""COMPUTED_VALUE"""),"Situação normal")</f>
        <v>Situação normal</v>
      </c>
      <c r="H457" s="4">
        <f ca="1">IFERROR(__xludf.UNSUPPORTED("""COMPUTED_VALUE"""),44868.3890856481)</f>
        <v>44868.389085648101</v>
      </c>
      <c r="I457" s="3">
        <f ca="1">IFERROR(__xludf.UNSUPPORTED("""COMPUTED_VALUE"""),1)</f>
        <v>1</v>
      </c>
      <c r="J457" s="4">
        <f ca="1">IFERROR(__xludf.UNSUPPORTED("""COMPUTED_VALUE"""),44868.4307523148)</f>
        <v>44868.430752314802</v>
      </c>
    </row>
    <row r="458" spans="1:12" ht="12.75">
      <c r="A458" s="3" t="str">
        <f ca="1">IFERROR(__xludf.UNSUPPORTED("""COMPUTED_VALUE"""),"0ea55faa")</f>
        <v>0ea55faa</v>
      </c>
      <c r="B458" s="4">
        <f ca="1">IFERROR(__xludf.UNSUPPORTED("""COMPUTED_VALUE"""),44869.4113657406)</f>
        <v>44869.411365740598</v>
      </c>
      <c r="C458" s="8" t="str">
        <f ca="1">IFERROR(__xludf.UNSUPPORTED("""COMPUTED_VALUE"""),"Cabedelo")</f>
        <v>Cabedelo</v>
      </c>
      <c r="D458" s="3" t="str">
        <f ca="1">IFERROR(__xludf.UNSUPPORTED("""COMPUTED_VALUE"""),"🚢 REGULAR")</f>
        <v>🚢 REGULAR</v>
      </c>
      <c r="E458" s="3" t="str">
        <f ca="1">IFERROR(__xludf.UNSUPPORTED("""COMPUTED_VALUE"""),"🚛 LIBERADO")</f>
        <v>🚛 LIBERADO</v>
      </c>
      <c r="F458" s="5">
        <f ca="1">IFERROR(__xludf.UNSUPPORTED("""COMPUTED_VALUE"""),0)</f>
        <v>0</v>
      </c>
      <c r="G458" s="3" t="str">
        <f ca="1">IFERROR(__xludf.UNSUPPORTED("""COMPUTED_VALUE"""),"Normal")</f>
        <v>Normal</v>
      </c>
      <c r="H458" s="4">
        <f ca="1">IFERROR(__xludf.UNSUPPORTED("""COMPUTED_VALUE"""),44869.4113657406)</f>
        <v>44869.411365740598</v>
      </c>
      <c r="I458" s="3">
        <f ca="1">IFERROR(__xludf.UNSUPPORTED("""COMPUTED_VALUE"""),1)</f>
        <v>1</v>
      </c>
      <c r="J458" s="4">
        <f ca="1">IFERROR(__xludf.UNSUPPORTED("""COMPUTED_VALUE"""),44869.4530324074)</f>
        <v>44869.4530324074</v>
      </c>
    </row>
    <row r="459" spans="1:12" ht="12.75">
      <c r="A459" s="3" t="str">
        <f ca="1">IFERROR(__xludf.UNSUPPORTED("""COMPUTED_VALUE"""),"ea69fddf")</f>
        <v>ea69fddf</v>
      </c>
      <c r="B459" s="4">
        <f ca="1">IFERROR(__xludf.UNSUPPORTED("""COMPUTED_VALUE"""),44870.4043171296)</f>
        <v>44870.4043171296</v>
      </c>
      <c r="C459" s="8" t="str">
        <f ca="1">IFERROR(__xludf.UNSUPPORTED("""COMPUTED_VALUE"""),"Cabedelo")</f>
        <v>Cabedelo</v>
      </c>
      <c r="D459" s="3" t="str">
        <f ca="1">IFERROR(__xludf.UNSUPPORTED("""COMPUTED_VALUE"""),"🚢 REGULAR")</f>
        <v>🚢 REGULAR</v>
      </c>
      <c r="E459" s="3" t="str">
        <f ca="1">IFERROR(__xludf.UNSUPPORTED("""COMPUTED_VALUE"""),"🚛 LIBERADO")</f>
        <v>🚛 LIBERADO</v>
      </c>
      <c r="F459" s="5">
        <f ca="1">IFERROR(__xludf.UNSUPPORTED("""COMPUTED_VALUE"""),0)</f>
        <v>0</v>
      </c>
      <c r="G459" s="3" t="str">
        <f ca="1">IFERROR(__xludf.UNSUPPORTED("""COMPUTED_VALUE"""),"Normal")</f>
        <v>Normal</v>
      </c>
      <c r="H459" s="4">
        <f ca="1">IFERROR(__xludf.UNSUPPORTED("""COMPUTED_VALUE"""),44870.4043171296)</f>
        <v>44870.4043171296</v>
      </c>
      <c r="I459" s="3">
        <f ca="1">IFERROR(__xludf.UNSUPPORTED("""COMPUTED_VALUE"""),1)</f>
        <v>1</v>
      </c>
      <c r="J459" s="4">
        <f ca="1">IFERROR(__xludf.UNSUPPORTED("""COMPUTED_VALUE"""),44870.4459837962)</f>
        <v>44870.445983796199</v>
      </c>
    </row>
    <row r="460" spans="1:12" ht="12.75">
      <c r="A460" s="3" t="str">
        <f ca="1">IFERROR(__xludf.UNSUPPORTED("""COMPUTED_VALUE"""),"a6aa085c")</f>
        <v>a6aa085c</v>
      </c>
      <c r="B460" s="4">
        <f ca="1">IFERROR(__xludf.UNSUPPORTED("""COMPUTED_VALUE"""),44871.4191782406)</f>
        <v>44871.419178240598</v>
      </c>
      <c r="C460" s="8" t="str">
        <f ca="1">IFERROR(__xludf.UNSUPPORTED("""COMPUTED_VALUE"""),"Cabedelo")</f>
        <v>Cabedelo</v>
      </c>
      <c r="D460" s="3" t="str">
        <f ca="1">IFERROR(__xludf.UNSUPPORTED("""COMPUTED_VALUE"""),"🚢 REGULAR")</f>
        <v>🚢 REGULAR</v>
      </c>
      <c r="E460" s="3" t="str">
        <f ca="1">IFERROR(__xludf.UNSUPPORTED("""COMPUTED_VALUE"""),"🚛 LIBERADO")</f>
        <v>🚛 LIBERADO</v>
      </c>
      <c r="F460" s="5">
        <f ca="1">IFERROR(__xludf.UNSUPPORTED("""COMPUTED_VALUE"""),0)</f>
        <v>0</v>
      </c>
      <c r="G460" s="3" t="str">
        <f ca="1">IFERROR(__xludf.UNSUPPORTED("""COMPUTED_VALUE"""),"Normal")</f>
        <v>Normal</v>
      </c>
      <c r="H460" s="4">
        <f ca="1">IFERROR(__xludf.UNSUPPORTED("""COMPUTED_VALUE"""),44871.4191782406)</f>
        <v>44871.419178240598</v>
      </c>
      <c r="I460" s="3">
        <f ca="1">IFERROR(__xludf.UNSUPPORTED("""COMPUTED_VALUE"""),1)</f>
        <v>1</v>
      </c>
      <c r="J460" s="4">
        <f ca="1">IFERROR(__xludf.UNSUPPORTED("""COMPUTED_VALUE"""),44871.4608449074)</f>
        <v>44871.4608449074</v>
      </c>
    </row>
    <row r="461" spans="1:12" ht="12.75">
      <c r="A461" s="3" t="str">
        <f ca="1">IFERROR(__xludf.UNSUPPORTED("""COMPUTED_VALUE"""),"253e8f2f")</f>
        <v>253e8f2f</v>
      </c>
      <c r="B461" s="4">
        <f ca="1">IFERROR(__xludf.UNSUPPORTED("""COMPUTED_VALUE"""),44872.5373958333)</f>
        <v>44872.5373958333</v>
      </c>
      <c r="C461" s="7" t="str">
        <f ca="1">IFERROR(__xludf.UNSUPPORTED("""COMPUTED_VALUE"""),"Cabedelo")</f>
        <v>Cabedelo</v>
      </c>
      <c r="D461" s="3" t="str">
        <f ca="1">IFERROR(__xludf.UNSUPPORTED("""COMPUTED_VALUE"""),"🚢 REGULAR")</f>
        <v>🚢 REGULAR</v>
      </c>
      <c r="E461" s="3" t="str">
        <f ca="1">IFERROR(__xludf.UNSUPPORTED("""COMPUTED_VALUE"""),"🚛 LIBERADO")</f>
        <v>🚛 LIBERADO</v>
      </c>
      <c r="F461" s="5">
        <f ca="1">IFERROR(__xludf.UNSUPPORTED("""COMPUTED_VALUE"""),0)</f>
        <v>0</v>
      </c>
      <c r="G461" s="3" t="str">
        <f ca="1">IFERROR(__xludf.UNSUPPORTED("""COMPUTED_VALUE"""),"Normal")</f>
        <v>Normal</v>
      </c>
      <c r="H461" s="4">
        <f ca="1">IFERROR(__xludf.UNSUPPORTED("""COMPUTED_VALUE"""),44872.5373958333)</f>
        <v>44872.5373958333</v>
      </c>
      <c r="I461" s="3">
        <f ca="1">IFERROR(__xludf.UNSUPPORTED("""COMPUTED_VALUE"""),1)</f>
        <v>1</v>
      </c>
      <c r="J461" s="4">
        <f ca="1">IFERROR(__xludf.UNSUPPORTED("""COMPUTED_VALUE"""),44872.5790625)</f>
        <v>44872.579062500001</v>
      </c>
    </row>
    <row r="462" spans="1:12" ht="12.75">
      <c r="A462" s="3" t="str">
        <f ca="1">IFERROR(__xludf.UNSUPPORTED("""COMPUTED_VALUE"""),"1a380c9e")</f>
        <v>1a380c9e</v>
      </c>
      <c r="B462" s="4">
        <f ca="1">IFERROR(__xludf.UNSUPPORTED("""COMPUTED_VALUE"""),44874.6344328703)</f>
        <v>44874.634432870298</v>
      </c>
      <c r="C462" s="8" t="str">
        <f ca="1">IFERROR(__xludf.UNSUPPORTED("""COMPUTED_VALUE"""),"Cabedelo")</f>
        <v>Cabedelo</v>
      </c>
      <c r="D462" s="3" t="str">
        <f ca="1">IFERROR(__xludf.UNSUPPORTED("""COMPUTED_VALUE"""),"🚢 REGULAR")</f>
        <v>🚢 REGULAR</v>
      </c>
      <c r="E462" s="3" t="str">
        <f ca="1">IFERROR(__xludf.UNSUPPORTED("""COMPUTED_VALUE"""),"🚛 LIBERADO")</f>
        <v>🚛 LIBERADO</v>
      </c>
      <c r="F462" s="5">
        <f ca="1">IFERROR(__xludf.UNSUPPORTED("""COMPUTED_VALUE"""),0)</f>
        <v>0</v>
      </c>
      <c r="G462" s="3" t="str">
        <f ca="1">IFERROR(__xludf.UNSUPPORTED("""COMPUTED_VALUE"""),"Normal")</f>
        <v>Normal</v>
      </c>
      <c r="H462" s="4">
        <f ca="1">IFERROR(__xludf.UNSUPPORTED("""COMPUTED_VALUE"""),44874.6344328703)</f>
        <v>44874.634432870298</v>
      </c>
      <c r="I462" s="3">
        <f ca="1">IFERROR(__xludf.UNSUPPORTED("""COMPUTED_VALUE"""),1)</f>
        <v>1</v>
      </c>
      <c r="J462" s="4">
        <f ca="1">IFERROR(__xludf.UNSUPPORTED("""COMPUTED_VALUE"""),44874.676099537)</f>
        <v>44874.676099536999</v>
      </c>
    </row>
    <row r="463" spans="1:12" ht="12.75">
      <c r="A463" s="3" t="str">
        <f ca="1">IFERROR(__xludf.UNSUPPORTED("""COMPUTED_VALUE"""),"dafabbc8")</f>
        <v>dafabbc8</v>
      </c>
      <c r="B463" s="4">
        <f ca="1">IFERROR(__xludf.UNSUPPORTED("""COMPUTED_VALUE"""),44875.6475810185)</f>
        <v>44875.6475810185</v>
      </c>
      <c r="C463" s="8" t="str">
        <f ca="1">IFERROR(__xludf.UNSUPPORTED("""COMPUTED_VALUE"""),"Cabedelo")</f>
        <v>Cabedelo</v>
      </c>
      <c r="D463" s="3" t="str">
        <f ca="1">IFERROR(__xludf.UNSUPPORTED("""COMPUTED_VALUE"""),"🚢 REGULAR")</f>
        <v>🚢 REGULAR</v>
      </c>
      <c r="E463" s="3" t="str">
        <f ca="1">IFERROR(__xludf.UNSUPPORTED("""COMPUTED_VALUE"""),"🚛 LIBERADO")</f>
        <v>🚛 LIBERADO</v>
      </c>
      <c r="F463" s="5">
        <f ca="1">IFERROR(__xludf.UNSUPPORTED("""COMPUTED_VALUE"""),0)</f>
        <v>0</v>
      </c>
      <c r="G463" s="3" t="str">
        <f ca="1">IFERROR(__xludf.UNSUPPORTED("""COMPUTED_VALUE"""),"Normal")</f>
        <v>Normal</v>
      </c>
      <c r="H463" s="4">
        <f ca="1">IFERROR(__xludf.UNSUPPORTED("""COMPUTED_VALUE"""),44875.6475810185)</f>
        <v>44875.6475810185</v>
      </c>
      <c r="I463" s="3">
        <f ca="1">IFERROR(__xludf.UNSUPPORTED("""COMPUTED_VALUE"""),1)</f>
        <v>1</v>
      </c>
      <c r="J463" s="4">
        <f ca="1">IFERROR(__xludf.UNSUPPORTED("""COMPUTED_VALUE"""),44875.6892476851)</f>
        <v>44875.689247685099</v>
      </c>
    </row>
    <row r="464" spans="1:12" ht="12.75">
      <c r="A464" s="3" t="str">
        <f ca="1">IFERROR(__xludf.UNSUPPORTED("""COMPUTED_VALUE"""),"30608cac")</f>
        <v>30608cac</v>
      </c>
      <c r="B464" s="4">
        <f ca="1">IFERROR(__xludf.UNSUPPORTED("""COMPUTED_VALUE"""),44878.6688773148)</f>
        <v>44878.668877314798</v>
      </c>
      <c r="C464" s="8" t="str">
        <f ca="1">IFERROR(__xludf.UNSUPPORTED("""COMPUTED_VALUE"""),"Cabedelo")</f>
        <v>Cabedelo</v>
      </c>
      <c r="D464" s="3" t="str">
        <f ca="1">IFERROR(__xludf.UNSUPPORTED("""COMPUTED_VALUE"""),"🚢 REGULAR")</f>
        <v>🚢 REGULAR</v>
      </c>
      <c r="E464" s="3" t="str">
        <f ca="1">IFERROR(__xludf.UNSUPPORTED("""COMPUTED_VALUE"""),"🚛 LIBERADO")</f>
        <v>🚛 LIBERADO</v>
      </c>
      <c r="F464" s="5">
        <f ca="1">IFERROR(__xludf.UNSUPPORTED("""COMPUTED_VALUE"""),0)</f>
        <v>0</v>
      </c>
      <c r="G464" s="3" t="str">
        <f ca="1">IFERROR(__xludf.UNSUPPORTED("""COMPUTED_VALUE"""),"Normal")</f>
        <v>Normal</v>
      </c>
      <c r="H464" s="4">
        <f ca="1">IFERROR(__xludf.UNSUPPORTED("""COMPUTED_VALUE"""),44878.6688773148)</f>
        <v>44878.668877314798</v>
      </c>
      <c r="I464" s="3">
        <f ca="1">IFERROR(__xludf.UNSUPPORTED("""COMPUTED_VALUE"""),1)</f>
        <v>1</v>
      </c>
      <c r="J464" s="4">
        <f ca="1">IFERROR(__xludf.UNSUPPORTED("""COMPUTED_VALUE"""),44878.7105439814)</f>
        <v>44878.710543981397</v>
      </c>
    </row>
    <row r="465" spans="1:10" ht="12.75">
      <c r="A465" s="3" t="str">
        <f ca="1">IFERROR(__xludf.UNSUPPORTED("""COMPUTED_VALUE"""),"351436f7")</f>
        <v>351436f7</v>
      </c>
      <c r="B465" s="4">
        <f ca="1">IFERROR(__xludf.UNSUPPORTED("""COMPUTED_VALUE"""),44879.3636574074)</f>
        <v>44879.363657407397</v>
      </c>
      <c r="C465" s="8" t="str">
        <f ca="1">IFERROR(__xludf.UNSUPPORTED("""COMPUTED_VALUE"""),"Cabedelo")</f>
        <v>Cabedelo</v>
      </c>
      <c r="D465" s="3" t="str">
        <f ca="1">IFERROR(__xludf.UNSUPPORTED("""COMPUTED_VALUE"""),"🚢 REGULAR")</f>
        <v>🚢 REGULAR</v>
      </c>
      <c r="E465" s="3" t="str">
        <f ca="1">IFERROR(__xludf.UNSUPPORTED("""COMPUTED_VALUE"""),"🚛 LIBERADO")</f>
        <v>🚛 LIBERADO</v>
      </c>
      <c r="F465" s="5">
        <f ca="1">IFERROR(__xludf.UNSUPPORTED("""COMPUTED_VALUE"""),0)</f>
        <v>0</v>
      </c>
      <c r="G465" s="3" t="str">
        <f ca="1">IFERROR(__xludf.UNSUPPORTED("""COMPUTED_VALUE"""),"Normal")</f>
        <v>Normal</v>
      </c>
      <c r="H465" s="4">
        <f ca="1">IFERROR(__xludf.UNSUPPORTED("""COMPUTED_VALUE"""),44879.3636574074)</f>
        <v>44879.363657407397</v>
      </c>
      <c r="I465" s="3">
        <f ca="1">IFERROR(__xludf.UNSUPPORTED("""COMPUTED_VALUE"""),1)</f>
        <v>1</v>
      </c>
      <c r="J465" s="4">
        <f ca="1">IFERROR(__xludf.UNSUPPORTED("""COMPUTED_VALUE"""),44879.405324074)</f>
        <v>44879.405324074003</v>
      </c>
    </row>
    <row r="466" spans="1:10" ht="12.75">
      <c r="A466" s="3" t="str">
        <f ca="1">IFERROR(__xludf.UNSUPPORTED("""COMPUTED_VALUE"""),"2d89d98b")</f>
        <v>2d89d98b</v>
      </c>
      <c r="B466" s="4">
        <f ca="1">IFERROR(__xludf.UNSUPPORTED("""COMPUTED_VALUE"""),44880.3541550925)</f>
        <v>44880.3541550925</v>
      </c>
      <c r="C466" s="8" t="str">
        <f ca="1">IFERROR(__xludf.UNSUPPORTED("""COMPUTED_VALUE"""),"Cabedelo")</f>
        <v>Cabedelo</v>
      </c>
      <c r="D466" s="3" t="str">
        <f ca="1">IFERROR(__xludf.UNSUPPORTED("""COMPUTED_VALUE"""),"🚢 REGULAR")</f>
        <v>🚢 REGULAR</v>
      </c>
      <c r="E466" s="3" t="str">
        <f ca="1">IFERROR(__xludf.UNSUPPORTED("""COMPUTED_VALUE"""),"🚛 LIBERADO")</f>
        <v>🚛 LIBERADO</v>
      </c>
      <c r="F466" s="5">
        <f ca="1">IFERROR(__xludf.UNSUPPORTED("""COMPUTED_VALUE"""),0)</f>
        <v>0</v>
      </c>
      <c r="G466" s="3" t="str">
        <f ca="1">IFERROR(__xludf.UNSUPPORTED("""COMPUTED_VALUE"""),"Normal")</f>
        <v>Normal</v>
      </c>
      <c r="H466" s="4">
        <f ca="1">IFERROR(__xludf.UNSUPPORTED("""COMPUTED_VALUE"""),44880.3541550925)</f>
        <v>44880.3541550925</v>
      </c>
      <c r="I466" s="3">
        <f ca="1">IFERROR(__xludf.UNSUPPORTED("""COMPUTED_VALUE"""),1)</f>
        <v>1</v>
      </c>
      <c r="J466" s="4">
        <f ca="1">IFERROR(__xludf.UNSUPPORTED("""COMPUTED_VALUE"""),44880.3958217592)</f>
        <v>44880.395821759201</v>
      </c>
    </row>
    <row r="467" spans="1:10" ht="12.75">
      <c r="A467" s="3" t="str">
        <f ca="1">IFERROR(__xludf.UNSUPPORTED("""COMPUTED_VALUE"""),"a9f0b3f5")</f>
        <v>a9f0b3f5</v>
      </c>
      <c r="B467" s="4">
        <f ca="1">IFERROR(__xludf.UNSUPPORTED("""COMPUTED_VALUE"""),44881.7365046296)</f>
        <v>44881.736504629604</v>
      </c>
      <c r="C467" s="7" t="str">
        <f ca="1">IFERROR(__xludf.UNSUPPORTED("""COMPUTED_VALUE"""),"Cabedelo")</f>
        <v>Cabedelo</v>
      </c>
      <c r="D467" s="3" t="str">
        <f ca="1">IFERROR(__xludf.UNSUPPORTED("""COMPUTED_VALUE"""),"🚢 REGULAR")</f>
        <v>🚢 REGULAR</v>
      </c>
      <c r="E467" s="3" t="str">
        <f ca="1">IFERROR(__xludf.UNSUPPORTED("""COMPUTED_VALUE"""),"🚛 LIBERADO")</f>
        <v>🚛 LIBERADO</v>
      </c>
      <c r="F467" s="5">
        <f ca="1">IFERROR(__xludf.UNSUPPORTED("""COMPUTED_VALUE"""),0)</f>
        <v>0</v>
      </c>
      <c r="G467" s="3" t="str">
        <f ca="1">IFERROR(__xludf.UNSUPPORTED("""COMPUTED_VALUE"""),"Normal")</f>
        <v>Normal</v>
      </c>
      <c r="H467" s="4">
        <f ca="1">IFERROR(__xludf.UNSUPPORTED("""COMPUTED_VALUE"""),44881.7365046296)</f>
        <v>44881.736504629604</v>
      </c>
      <c r="I467" s="3">
        <f ca="1">IFERROR(__xludf.UNSUPPORTED("""COMPUTED_VALUE"""),1)</f>
        <v>1</v>
      </c>
      <c r="J467" s="4">
        <f ca="1">IFERROR(__xludf.UNSUPPORTED("""COMPUTED_VALUE"""),44881.7781712963)</f>
        <v>44881.778171296297</v>
      </c>
    </row>
    <row r="468" spans="1:10" ht="12.75">
      <c r="A468" s="3" t="str">
        <f ca="1">IFERROR(__xludf.UNSUPPORTED("""COMPUTED_VALUE"""),"1b9f747a")</f>
        <v>1b9f747a</v>
      </c>
      <c r="B468" s="4">
        <f ca="1">IFERROR(__xludf.UNSUPPORTED("""COMPUTED_VALUE"""),44883.3452893518)</f>
        <v>44883.345289351797</v>
      </c>
      <c r="C468" s="7" t="str">
        <f ca="1">IFERROR(__xludf.UNSUPPORTED("""COMPUTED_VALUE"""),"Cabedelo")</f>
        <v>Cabedelo</v>
      </c>
      <c r="D468" s="3" t="str">
        <f ca="1">IFERROR(__xludf.UNSUPPORTED("""COMPUTED_VALUE"""),"🚢 REGULAR")</f>
        <v>🚢 REGULAR</v>
      </c>
      <c r="E468" s="3" t="str">
        <f ca="1">IFERROR(__xludf.UNSUPPORTED("""COMPUTED_VALUE"""),"🚛 LIBERADO")</f>
        <v>🚛 LIBERADO</v>
      </c>
      <c r="F468" s="5">
        <f ca="1">IFERROR(__xludf.UNSUPPORTED("""COMPUTED_VALUE"""),0)</f>
        <v>0</v>
      </c>
      <c r="G468" s="3" t="str">
        <f ca="1">IFERROR(__xludf.UNSUPPORTED("""COMPUTED_VALUE"""),"Normal")</f>
        <v>Normal</v>
      </c>
      <c r="H468" s="4">
        <f ca="1">IFERROR(__xludf.UNSUPPORTED("""COMPUTED_VALUE"""),44883.3452893518)</f>
        <v>44883.345289351797</v>
      </c>
      <c r="I468" s="3">
        <f ca="1">IFERROR(__xludf.UNSUPPORTED("""COMPUTED_VALUE"""),1)</f>
        <v>1</v>
      </c>
      <c r="J468" s="4">
        <f ca="1">IFERROR(__xludf.UNSUPPORTED("""COMPUTED_VALUE"""),44883.3869560185)</f>
        <v>44883.386956018498</v>
      </c>
    </row>
    <row r="469" spans="1:10" ht="12.75">
      <c r="A469" s="3" t="str">
        <f ca="1">IFERROR(__xludf.UNSUPPORTED("""COMPUTED_VALUE"""),"d7d243ab")</f>
        <v>d7d243ab</v>
      </c>
      <c r="B469" s="4">
        <f ca="1">IFERROR(__xludf.UNSUPPORTED("""COMPUTED_VALUE"""),44886.3584259259)</f>
        <v>44886.358425925901</v>
      </c>
      <c r="C469" s="8" t="str">
        <f ca="1">IFERROR(__xludf.UNSUPPORTED("""COMPUTED_VALUE"""),"Cabedelo")</f>
        <v>Cabedelo</v>
      </c>
      <c r="D469" s="3" t="str">
        <f ca="1">IFERROR(__xludf.UNSUPPORTED("""COMPUTED_VALUE"""),"🚢 REGULAR")</f>
        <v>🚢 REGULAR</v>
      </c>
      <c r="E469" s="3" t="str">
        <f ca="1">IFERROR(__xludf.UNSUPPORTED("""COMPUTED_VALUE"""),"🚛 LIBERADO")</f>
        <v>🚛 LIBERADO</v>
      </c>
      <c r="F469" s="5">
        <f ca="1">IFERROR(__xludf.UNSUPPORTED("""COMPUTED_VALUE"""),0)</f>
        <v>0</v>
      </c>
      <c r="G469" s="3" t="str">
        <f ca="1">IFERROR(__xludf.UNSUPPORTED("""COMPUTED_VALUE"""),"Normal")</f>
        <v>Normal</v>
      </c>
      <c r="H469" s="4">
        <f ca="1">IFERROR(__xludf.UNSUPPORTED("""COMPUTED_VALUE"""),44886.3584259259)</f>
        <v>44886.358425925901</v>
      </c>
      <c r="I469" s="3">
        <f ca="1">IFERROR(__xludf.UNSUPPORTED("""COMPUTED_VALUE"""),1)</f>
        <v>1</v>
      </c>
      <c r="J469" s="4">
        <f ca="1">IFERROR(__xludf.UNSUPPORTED("""COMPUTED_VALUE"""),44886.4000925925)</f>
        <v>44886.400092592499</v>
      </c>
    </row>
    <row r="470" spans="1:10" ht="12.75">
      <c r="A470" s="3" t="str">
        <f ca="1">IFERROR(__xludf.UNSUPPORTED("""COMPUTED_VALUE"""),"44ae4565")</f>
        <v>44ae4565</v>
      </c>
      <c r="B470" s="4">
        <f ca="1">IFERROR(__xludf.UNSUPPORTED("""COMPUTED_VALUE"""),44887.3489699074)</f>
        <v>44887.348969907398</v>
      </c>
      <c r="C470" s="7" t="str">
        <f ca="1">IFERROR(__xludf.UNSUPPORTED("""COMPUTED_VALUE"""),"Cabedelo")</f>
        <v>Cabedelo</v>
      </c>
      <c r="D470" s="3" t="str">
        <f ca="1">IFERROR(__xludf.UNSUPPORTED("""COMPUTED_VALUE"""),"🚢 REGULAR")</f>
        <v>🚢 REGULAR</v>
      </c>
      <c r="E470" s="3" t="str">
        <f ca="1">IFERROR(__xludf.UNSUPPORTED("""COMPUTED_VALUE"""),"🚛 LIBERADO")</f>
        <v>🚛 LIBERADO</v>
      </c>
      <c r="F470" s="5">
        <f ca="1">IFERROR(__xludf.UNSUPPORTED("""COMPUTED_VALUE"""),0)</f>
        <v>0</v>
      </c>
      <c r="G470" s="3" t="str">
        <f ca="1">IFERROR(__xludf.UNSUPPORTED("""COMPUTED_VALUE"""),"Normal")</f>
        <v>Normal</v>
      </c>
      <c r="H470" s="4">
        <f ca="1">IFERROR(__xludf.UNSUPPORTED("""COMPUTED_VALUE"""),44887.3489699074)</f>
        <v>44887.348969907398</v>
      </c>
      <c r="I470" s="3">
        <f ca="1">IFERROR(__xludf.UNSUPPORTED("""COMPUTED_VALUE"""),1)</f>
        <v>1</v>
      </c>
      <c r="J470" s="4">
        <f ca="1">IFERROR(__xludf.UNSUPPORTED("""COMPUTED_VALUE"""),44887.390636574)</f>
        <v>44887.390636573997</v>
      </c>
    </row>
    <row r="471" spans="1:10" ht="12.75">
      <c r="A471" s="3" t="str">
        <f ca="1">IFERROR(__xludf.UNSUPPORTED("""COMPUTED_VALUE"""),"4558e7f4")</f>
        <v>4558e7f4</v>
      </c>
      <c r="B471" s="4">
        <f ca="1">IFERROR(__xludf.UNSUPPORTED("""COMPUTED_VALUE"""),44888.2455787037)</f>
        <v>44888.245578703703</v>
      </c>
      <c r="C471" s="8" t="str">
        <f ca="1">IFERROR(__xludf.UNSUPPORTED("""COMPUTED_VALUE"""),"Cabedelo")</f>
        <v>Cabedelo</v>
      </c>
      <c r="D471" s="3" t="str">
        <f ca="1">IFERROR(__xludf.UNSUPPORTED("""COMPUTED_VALUE"""),"🚢 REGULAR")</f>
        <v>🚢 REGULAR</v>
      </c>
      <c r="E471" s="3" t="str">
        <f ca="1">IFERROR(__xludf.UNSUPPORTED("""COMPUTED_VALUE"""),"🚛 LIBERADO")</f>
        <v>🚛 LIBERADO</v>
      </c>
      <c r="F471" s="5">
        <f ca="1">IFERROR(__xludf.UNSUPPORTED("""COMPUTED_VALUE"""),0)</f>
        <v>0</v>
      </c>
      <c r="G471" s="3" t="str">
        <f ca="1">IFERROR(__xludf.UNSUPPORTED("""COMPUTED_VALUE"""),"Normal")</f>
        <v>Normal</v>
      </c>
      <c r="H471" s="4">
        <f ca="1">IFERROR(__xludf.UNSUPPORTED("""COMPUTED_VALUE"""),44888.2455787037)</f>
        <v>44888.245578703703</v>
      </c>
      <c r="I471" s="3">
        <f ca="1">IFERROR(__xludf.UNSUPPORTED("""COMPUTED_VALUE"""),1)</f>
        <v>1</v>
      </c>
      <c r="J471" s="4">
        <f ca="1">IFERROR(__xludf.UNSUPPORTED("""COMPUTED_VALUE"""),44888.2872453703)</f>
        <v>44888.287245370302</v>
      </c>
    </row>
    <row r="472" spans="1:10" ht="12.75">
      <c r="A472" s="3" t="str">
        <f ca="1">IFERROR(__xludf.UNSUPPORTED("""COMPUTED_VALUE"""),"e18b7995")</f>
        <v>e18b7995</v>
      </c>
      <c r="B472" s="4">
        <f ca="1">IFERROR(__xludf.UNSUPPORTED("""COMPUTED_VALUE"""),44889.2679282407)</f>
        <v>44889.267928240697</v>
      </c>
      <c r="C472" s="8" t="str">
        <f ca="1">IFERROR(__xludf.UNSUPPORTED("""COMPUTED_VALUE"""),"Cabedelo")</f>
        <v>Cabedelo</v>
      </c>
      <c r="D472" s="3" t="str">
        <f ca="1">IFERROR(__xludf.UNSUPPORTED("""COMPUTED_VALUE"""),"🚢 REGULAR")</f>
        <v>🚢 REGULAR</v>
      </c>
      <c r="E472" s="3" t="str">
        <f ca="1">IFERROR(__xludf.UNSUPPORTED("""COMPUTED_VALUE"""),"🚛 LIBERADO")</f>
        <v>🚛 LIBERADO</v>
      </c>
      <c r="F472" s="5">
        <f ca="1">IFERROR(__xludf.UNSUPPORTED("""COMPUTED_VALUE"""),0)</f>
        <v>0</v>
      </c>
      <c r="G472" s="3" t="str">
        <f ca="1">IFERROR(__xludf.UNSUPPORTED("""COMPUTED_VALUE"""),"Normal")</f>
        <v>Normal</v>
      </c>
      <c r="H472" s="4">
        <f ca="1">IFERROR(__xludf.UNSUPPORTED("""COMPUTED_VALUE"""),44889.2679282407)</f>
        <v>44889.267928240697</v>
      </c>
      <c r="I472" s="3">
        <f ca="1">IFERROR(__xludf.UNSUPPORTED("""COMPUTED_VALUE"""),1)</f>
        <v>1</v>
      </c>
      <c r="J472" s="4">
        <f ca="1">IFERROR(__xludf.UNSUPPORTED("""COMPUTED_VALUE"""),44889.3095949074)</f>
        <v>44889.309594907398</v>
      </c>
    </row>
    <row r="473" spans="1:10" ht="12.75">
      <c r="A473" s="3" t="str">
        <f ca="1">IFERROR(__xludf.UNSUPPORTED("""COMPUTED_VALUE"""),"3a07c7b8")</f>
        <v>3a07c7b8</v>
      </c>
      <c r="B473" s="4">
        <f ca="1">IFERROR(__xludf.UNSUPPORTED("""COMPUTED_VALUE"""),44890.2630671296)</f>
        <v>44890.263067129599</v>
      </c>
      <c r="C473" s="8" t="str">
        <f ca="1">IFERROR(__xludf.UNSUPPORTED("""COMPUTED_VALUE"""),"Cabedelo")</f>
        <v>Cabedelo</v>
      </c>
      <c r="D473" s="3" t="str">
        <f ca="1">IFERROR(__xludf.UNSUPPORTED("""COMPUTED_VALUE"""),"🚢 REGULAR")</f>
        <v>🚢 REGULAR</v>
      </c>
      <c r="E473" s="3" t="str">
        <f ca="1">IFERROR(__xludf.UNSUPPORTED("""COMPUTED_VALUE"""),"🚛 LIBERADO")</f>
        <v>🚛 LIBERADO</v>
      </c>
      <c r="F473" s="5">
        <f ca="1">IFERROR(__xludf.UNSUPPORTED("""COMPUTED_VALUE"""),0)</f>
        <v>0</v>
      </c>
      <c r="G473" s="3" t="str">
        <f ca="1">IFERROR(__xludf.UNSUPPORTED("""COMPUTED_VALUE"""),"Normal")</f>
        <v>Normal</v>
      </c>
      <c r="H473" s="4">
        <f ca="1">IFERROR(__xludf.UNSUPPORTED("""COMPUTED_VALUE"""),44890.2630671296)</f>
        <v>44890.263067129599</v>
      </c>
      <c r="I473" s="3">
        <f ca="1">IFERROR(__xludf.UNSUPPORTED("""COMPUTED_VALUE"""),1)</f>
        <v>1</v>
      </c>
      <c r="J473" s="4">
        <f ca="1">IFERROR(__xludf.UNSUPPORTED("""COMPUTED_VALUE"""),44890.3047337962)</f>
        <v>44890.304733796198</v>
      </c>
    </row>
    <row r="474" spans="1:10" ht="12.75">
      <c r="A474" s="3" t="str">
        <f ca="1">IFERROR(__xludf.UNSUPPORTED("""COMPUTED_VALUE"""),"70c5da2b")</f>
        <v>70c5da2b</v>
      </c>
      <c r="B474" s="4">
        <f ca="1">IFERROR(__xludf.UNSUPPORTED("""COMPUTED_VALUE"""),44891.2622222222)</f>
        <v>44891.262222222198</v>
      </c>
      <c r="C474" s="7" t="str">
        <f ca="1">IFERROR(__xludf.UNSUPPORTED("""COMPUTED_VALUE"""),"Cabedelo")</f>
        <v>Cabedelo</v>
      </c>
      <c r="D474" s="3" t="str">
        <f ca="1">IFERROR(__xludf.UNSUPPORTED("""COMPUTED_VALUE"""),"🚢 REGULAR")</f>
        <v>🚢 REGULAR</v>
      </c>
      <c r="E474" s="3" t="str">
        <f ca="1">IFERROR(__xludf.UNSUPPORTED("""COMPUTED_VALUE"""),"🚛 LIBERADO")</f>
        <v>🚛 LIBERADO</v>
      </c>
      <c r="F474" s="5">
        <f ca="1">IFERROR(__xludf.UNSUPPORTED("""COMPUTED_VALUE"""),0)</f>
        <v>0</v>
      </c>
      <c r="G474" s="3" t="str">
        <f ca="1">IFERROR(__xludf.UNSUPPORTED("""COMPUTED_VALUE"""),"Normal")</f>
        <v>Normal</v>
      </c>
      <c r="H474" s="4">
        <f ca="1">IFERROR(__xludf.UNSUPPORTED("""COMPUTED_VALUE"""),44891.2622222222)</f>
        <v>44891.262222222198</v>
      </c>
      <c r="I474" s="3">
        <f ca="1">IFERROR(__xludf.UNSUPPORTED("""COMPUTED_VALUE"""),1)</f>
        <v>1</v>
      </c>
      <c r="J474" s="4">
        <f ca="1">IFERROR(__xludf.UNSUPPORTED("""COMPUTED_VALUE"""),44891.3038888887)</f>
        <v>44891.303888888702</v>
      </c>
    </row>
    <row r="475" spans="1:10" ht="12.75">
      <c r="A475" s="3" t="str">
        <f ca="1">IFERROR(__xludf.UNSUPPORTED("""COMPUTED_VALUE"""),"99798c87")</f>
        <v>99798c87</v>
      </c>
      <c r="B475" s="4">
        <f ca="1">IFERROR(__xludf.UNSUPPORTED("""COMPUTED_VALUE"""),44892.3411921296)</f>
        <v>44892.341192129599</v>
      </c>
      <c r="C475" s="7" t="str">
        <f ca="1">IFERROR(__xludf.UNSUPPORTED("""COMPUTED_VALUE"""),"Cabedelo")</f>
        <v>Cabedelo</v>
      </c>
      <c r="D475" s="3" t="str">
        <f ca="1">IFERROR(__xludf.UNSUPPORTED("""COMPUTED_VALUE"""),"🚢 REGULAR")</f>
        <v>🚢 REGULAR</v>
      </c>
      <c r="E475" s="3" t="str">
        <f ca="1">IFERROR(__xludf.UNSUPPORTED("""COMPUTED_VALUE"""),"🚛 LIBERADO")</f>
        <v>🚛 LIBERADO</v>
      </c>
      <c r="F475" s="5">
        <f ca="1">IFERROR(__xludf.UNSUPPORTED("""COMPUTED_VALUE"""),0)</f>
        <v>0</v>
      </c>
      <c r="G475" s="3" t="str">
        <f ca="1">IFERROR(__xludf.UNSUPPORTED("""COMPUTED_VALUE"""),"Normal")</f>
        <v>Normal</v>
      </c>
      <c r="H475" s="4">
        <f ca="1">IFERROR(__xludf.UNSUPPORTED("""COMPUTED_VALUE"""),44892.3411921296)</f>
        <v>44892.341192129599</v>
      </c>
      <c r="I475" s="3">
        <f ca="1">IFERROR(__xludf.UNSUPPORTED("""COMPUTED_VALUE"""),1)</f>
        <v>1</v>
      </c>
      <c r="J475" s="4">
        <f ca="1">IFERROR(__xludf.UNSUPPORTED("""COMPUTED_VALUE"""),44892.3828587962)</f>
        <v>44892.382858796198</v>
      </c>
    </row>
    <row r="476" spans="1:10" ht="12.75">
      <c r="A476" s="3" t="str">
        <f ca="1">IFERROR(__xludf.UNSUPPORTED("""COMPUTED_VALUE"""),"db56a02d")</f>
        <v>db56a02d</v>
      </c>
      <c r="B476" s="4">
        <f ca="1">IFERROR(__xludf.UNSUPPORTED("""COMPUTED_VALUE"""),44893.339537037)</f>
        <v>44893.339537036998</v>
      </c>
      <c r="C476" s="8" t="str">
        <f ca="1">IFERROR(__xludf.UNSUPPORTED("""COMPUTED_VALUE"""),"Cabedelo")</f>
        <v>Cabedelo</v>
      </c>
      <c r="D476" s="3" t="str">
        <f ca="1">IFERROR(__xludf.UNSUPPORTED("""COMPUTED_VALUE"""),"🚢 REGULAR")</f>
        <v>🚢 REGULAR</v>
      </c>
      <c r="E476" s="3" t="str">
        <f ca="1">IFERROR(__xludf.UNSUPPORTED("""COMPUTED_VALUE"""),"🚛 LIBERADO")</f>
        <v>🚛 LIBERADO</v>
      </c>
      <c r="F476" s="5">
        <f ca="1">IFERROR(__xludf.UNSUPPORTED("""COMPUTED_VALUE"""),0)</f>
        <v>0</v>
      </c>
      <c r="G476" s="3" t="str">
        <f ca="1">IFERROR(__xludf.UNSUPPORTED("""COMPUTED_VALUE"""),"Normal")</f>
        <v>Normal</v>
      </c>
      <c r="H476" s="4">
        <f ca="1">IFERROR(__xludf.UNSUPPORTED("""COMPUTED_VALUE"""),44893.339537037)</f>
        <v>44893.339537036998</v>
      </c>
      <c r="I476" s="3">
        <f ca="1">IFERROR(__xludf.UNSUPPORTED("""COMPUTED_VALUE"""),1)</f>
        <v>1</v>
      </c>
      <c r="J476" s="4">
        <f ca="1">IFERROR(__xludf.UNSUPPORTED("""COMPUTED_VALUE"""),44893.3812037037)</f>
        <v>44893.381203703699</v>
      </c>
    </row>
    <row r="477" spans="1:10" ht="12.75">
      <c r="A477" s="3" t="str">
        <f ca="1">IFERROR(__xludf.UNSUPPORTED("""COMPUTED_VALUE"""),"eb8090a8")</f>
        <v>eb8090a8</v>
      </c>
      <c r="B477" s="4">
        <f ca="1">IFERROR(__xludf.UNSUPPORTED("""COMPUTED_VALUE"""),44894.3946180555)</f>
        <v>44894.394618055499</v>
      </c>
      <c r="C477" s="8" t="str">
        <f ca="1">IFERROR(__xludf.UNSUPPORTED("""COMPUTED_VALUE"""),"Cabedelo")</f>
        <v>Cabedelo</v>
      </c>
      <c r="D477" s="3" t="str">
        <f ca="1">IFERROR(__xludf.UNSUPPORTED("""COMPUTED_VALUE"""),"🚢 REGULAR")</f>
        <v>🚢 REGULAR</v>
      </c>
      <c r="E477" s="3" t="str">
        <f ca="1">IFERROR(__xludf.UNSUPPORTED("""COMPUTED_VALUE"""),"🚛 LIBERADO")</f>
        <v>🚛 LIBERADO</v>
      </c>
      <c r="F477" s="5">
        <f ca="1">IFERROR(__xludf.UNSUPPORTED("""COMPUTED_VALUE"""),0)</f>
        <v>0</v>
      </c>
      <c r="G477" s="3" t="str">
        <f ca="1">IFERROR(__xludf.UNSUPPORTED("""COMPUTED_VALUE"""),"Normal")</f>
        <v>Normal</v>
      </c>
      <c r="H477" s="4">
        <f ca="1">IFERROR(__xludf.UNSUPPORTED("""COMPUTED_VALUE"""),44894.3946180555)</f>
        <v>44894.394618055499</v>
      </c>
      <c r="I477" s="3">
        <f ca="1">IFERROR(__xludf.UNSUPPORTED("""COMPUTED_VALUE"""),1)</f>
        <v>1</v>
      </c>
      <c r="J477" s="4">
        <f ca="1">IFERROR(__xludf.UNSUPPORTED("""COMPUTED_VALUE"""),44894.4362847222)</f>
        <v>44894.4362847222</v>
      </c>
    </row>
    <row r="478" spans="1:10" ht="12.75">
      <c r="A478" s="3" t="str">
        <f ca="1">IFERROR(__xludf.UNSUPPORTED("""COMPUTED_VALUE"""),"91c26c65")</f>
        <v>91c26c65</v>
      </c>
      <c r="B478" s="4">
        <f ca="1">IFERROR(__xludf.UNSUPPORTED("""COMPUTED_VALUE"""),44895.3336342592)</f>
        <v>44895.333634259201</v>
      </c>
      <c r="C478" s="7" t="str">
        <f ca="1">IFERROR(__xludf.UNSUPPORTED("""COMPUTED_VALUE"""),"Cabedelo")</f>
        <v>Cabedelo</v>
      </c>
      <c r="D478" s="3" t="str">
        <f ca="1">IFERROR(__xludf.UNSUPPORTED("""COMPUTED_VALUE"""),"🚢 REGULAR")</f>
        <v>🚢 REGULAR</v>
      </c>
      <c r="E478" s="3" t="str">
        <f ca="1">IFERROR(__xludf.UNSUPPORTED("""COMPUTED_VALUE"""),"🚛 LIBERADO")</f>
        <v>🚛 LIBERADO</v>
      </c>
      <c r="F478" s="5">
        <f ca="1">IFERROR(__xludf.UNSUPPORTED("""COMPUTED_VALUE"""),0)</f>
        <v>0</v>
      </c>
      <c r="G478" s="3" t="str">
        <f ca="1">IFERROR(__xludf.UNSUPPORTED("""COMPUTED_VALUE"""),"Normal")</f>
        <v>Normal</v>
      </c>
      <c r="H478" s="4">
        <f ca="1">IFERROR(__xludf.UNSUPPORTED("""COMPUTED_VALUE"""),44895.3336342592)</f>
        <v>44895.333634259201</v>
      </c>
      <c r="I478" s="3">
        <f ca="1">IFERROR(__xludf.UNSUPPORTED("""COMPUTED_VALUE"""),1)</f>
        <v>1</v>
      </c>
      <c r="J478" s="4">
        <f ca="1">IFERROR(__xludf.UNSUPPORTED("""COMPUTED_VALUE"""),44895.3753009259)</f>
        <v>44895.375300925902</v>
      </c>
    </row>
    <row r="479" spans="1:10" ht="12.75">
      <c r="A479" s="3" t="str">
        <f ca="1">IFERROR(__xludf.UNSUPPORTED("""COMPUTED_VALUE"""),"dc7288bf")</f>
        <v>dc7288bf</v>
      </c>
      <c r="B479" s="4">
        <f ca="1">IFERROR(__xludf.UNSUPPORTED("""COMPUTED_VALUE"""),44896.3615046296)</f>
        <v>44896.361504629604</v>
      </c>
      <c r="C479" s="8" t="str">
        <f ca="1">IFERROR(__xludf.UNSUPPORTED("""COMPUTED_VALUE"""),"Cabedelo")</f>
        <v>Cabedelo</v>
      </c>
      <c r="D479" s="3" t="str">
        <f ca="1">IFERROR(__xludf.UNSUPPORTED("""COMPUTED_VALUE"""),"🚢 REGULAR")</f>
        <v>🚢 REGULAR</v>
      </c>
      <c r="E479" s="3" t="str">
        <f ca="1">IFERROR(__xludf.UNSUPPORTED("""COMPUTED_VALUE"""),"🚛 LIBERADO")</f>
        <v>🚛 LIBERADO</v>
      </c>
      <c r="F479" s="5">
        <f ca="1">IFERROR(__xludf.UNSUPPORTED("""COMPUTED_VALUE"""),0)</f>
        <v>0</v>
      </c>
      <c r="G479" s="3" t="str">
        <f ca="1">IFERROR(__xludf.UNSUPPORTED("""COMPUTED_VALUE"""),"Normal")</f>
        <v>Normal</v>
      </c>
      <c r="H479" s="4">
        <f ca="1">IFERROR(__xludf.UNSUPPORTED("""COMPUTED_VALUE"""),44896.3615046296)</f>
        <v>44896.361504629604</v>
      </c>
      <c r="I479" s="3">
        <f ca="1">IFERROR(__xludf.UNSUPPORTED("""COMPUTED_VALUE"""),1)</f>
        <v>1</v>
      </c>
      <c r="J479" s="4">
        <f ca="1">IFERROR(__xludf.UNSUPPORTED("""COMPUTED_VALUE"""),44896.4031712963)</f>
        <v>44896.403171296297</v>
      </c>
    </row>
    <row r="480" spans="1:10" ht="12.75">
      <c r="A480" s="3" t="str">
        <f ca="1">IFERROR(__xludf.UNSUPPORTED("""COMPUTED_VALUE"""),"c94cef75")</f>
        <v>c94cef75</v>
      </c>
      <c r="B480" s="4">
        <f ca="1">IFERROR(__xludf.UNSUPPORTED("""COMPUTED_VALUE"""),44897.3598726851)</f>
        <v>44897.359872685098</v>
      </c>
      <c r="C480" s="8" t="str">
        <f ca="1">IFERROR(__xludf.UNSUPPORTED("""COMPUTED_VALUE"""),"Cabedelo")</f>
        <v>Cabedelo</v>
      </c>
      <c r="D480" s="3" t="str">
        <f ca="1">IFERROR(__xludf.UNSUPPORTED("""COMPUTED_VALUE"""),"🚢 REGULAR")</f>
        <v>🚢 REGULAR</v>
      </c>
      <c r="E480" s="3" t="str">
        <f ca="1">IFERROR(__xludf.UNSUPPORTED("""COMPUTED_VALUE"""),"🚛 LIBERADO")</f>
        <v>🚛 LIBERADO</v>
      </c>
      <c r="F480" s="5">
        <f ca="1">IFERROR(__xludf.UNSUPPORTED("""COMPUTED_VALUE"""),0)</f>
        <v>0</v>
      </c>
      <c r="G480" s="3" t="str">
        <f ca="1">IFERROR(__xludf.UNSUPPORTED("""COMPUTED_VALUE"""),"Normal")</f>
        <v>Normal</v>
      </c>
      <c r="H480" s="4">
        <f ca="1">IFERROR(__xludf.UNSUPPORTED("""COMPUTED_VALUE"""),44897.3598726851)</f>
        <v>44897.359872685098</v>
      </c>
      <c r="I480" s="3">
        <f ca="1">IFERROR(__xludf.UNSUPPORTED("""COMPUTED_VALUE"""),1)</f>
        <v>1</v>
      </c>
      <c r="J480" s="4">
        <f ca="1">IFERROR(__xludf.UNSUPPORTED("""COMPUTED_VALUE"""),44897.4015393518)</f>
        <v>44897.401539351798</v>
      </c>
    </row>
    <row r="481" spans="1:10" ht="12.75">
      <c r="A481" s="3" t="str">
        <f ca="1">IFERROR(__xludf.UNSUPPORTED("""COMPUTED_VALUE"""),"0cb38504")</f>
        <v>0cb38504</v>
      </c>
      <c r="B481" s="4">
        <f ca="1">IFERROR(__xludf.UNSUPPORTED("""COMPUTED_VALUE"""),44900.3896643518)</f>
        <v>44900.389664351802</v>
      </c>
      <c r="C481" s="8" t="str">
        <f ca="1">IFERROR(__xludf.UNSUPPORTED("""COMPUTED_VALUE"""),"Cabedelo")</f>
        <v>Cabedelo</v>
      </c>
      <c r="D481" s="3" t="str">
        <f ca="1">IFERROR(__xludf.UNSUPPORTED("""COMPUTED_VALUE"""),"🚢 REGULAR")</f>
        <v>🚢 REGULAR</v>
      </c>
      <c r="E481" s="3" t="str">
        <f ca="1">IFERROR(__xludf.UNSUPPORTED("""COMPUTED_VALUE"""),"🚛 LIBERADO")</f>
        <v>🚛 LIBERADO</v>
      </c>
      <c r="F481" s="5">
        <f ca="1">IFERROR(__xludf.UNSUPPORTED("""COMPUTED_VALUE"""),0)</f>
        <v>0</v>
      </c>
      <c r="G481" s="3" t="str">
        <f ca="1">IFERROR(__xludf.UNSUPPORTED("""COMPUTED_VALUE"""),"Normal")</f>
        <v>Normal</v>
      </c>
      <c r="H481" s="4">
        <f ca="1">IFERROR(__xludf.UNSUPPORTED("""COMPUTED_VALUE"""),44900.3896643518)</f>
        <v>44900.389664351802</v>
      </c>
      <c r="I481" s="3">
        <f ca="1">IFERROR(__xludf.UNSUPPORTED("""COMPUTED_VALUE"""),1)</f>
        <v>1</v>
      </c>
      <c r="J481" s="4">
        <f ca="1">IFERROR(__xludf.UNSUPPORTED("""COMPUTED_VALUE"""),44900.4313310185)</f>
        <v>44900.431331018503</v>
      </c>
    </row>
    <row r="482" spans="1:10" ht="12.75">
      <c r="A482" s="3" t="str">
        <f ca="1">IFERROR(__xludf.UNSUPPORTED("""COMPUTED_VALUE"""),"e4b747e7")</f>
        <v>e4b747e7</v>
      </c>
      <c r="B482" s="4">
        <f ca="1">IFERROR(__xludf.UNSUPPORTED("""COMPUTED_VALUE"""),44901.375787037)</f>
        <v>44901.375787037003</v>
      </c>
      <c r="C482" s="7" t="str">
        <f ca="1">IFERROR(__xludf.UNSUPPORTED("""COMPUTED_VALUE"""),"Cabedelo")</f>
        <v>Cabedelo</v>
      </c>
      <c r="D482" s="3" t="str">
        <f ca="1">IFERROR(__xludf.UNSUPPORTED("""COMPUTED_VALUE"""),"🚢 REGULAR")</f>
        <v>🚢 REGULAR</v>
      </c>
      <c r="E482" s="3" t="str">
        <f ca="1">IFERROR(__xludf.UNSUPPORTED("""COMPUTED_VALUE"""),"🚛 LIBERADO")</f>
        <v>🚛 LIBERADO</v>
      </c>
      <c r="F482" s="5">
        <f ca="1">IFERROR(__xludf.UNSUPPORTED("""COMPUTED_VALUE"""),0)</f>
        <v>0</v>
      </c>
      <c r="G482" s="3" t="str">
        <f ca="1">IFERROR(__xludf.UNSUPPORTED("""COMPUTED_VALUE"""),"Normal")</f>
        <v>Normal</v>
      </c>
      <c r="H482" s="4">
        <f ca="1">IFERROR(__xludf.UNSUPPORTED("""COMPUTED_VALUE"""),44901.375787037)</f>
        <v>44901.375787037003</v>
      </c>
      <c r="I482" s="3">
        <f ca="1">IFERROR(__xludf.UNSUPPORTED("""COMPUTED_VALUE"""),1)</f>
        <v>1</v>
      </c>
      <c r="J482" s="4">
        <f ca="1">IFERROR(__xludf.UNSUPPORTED("""COMPUTED_VALUE"""),44901.4174537037)</f>
        <v>44901.417453703703</v>
      </c>
    </row>
    <row r="483" spans="1:10" ht="12.75">
      <c r="A483" s="3" t="str">
        <f ca="1">IFERROR(__xludf.UNSUPPORTED("""COMPUTED_VALUE"""),"369275ce")</f>
        <v>369275ce</v>
      </c>
      <c r="B483" s="4">
        <f ca="1">IFERROR(__xludf.UNSUPPORTED("""COMPUTED_VALUE"""),44902.3272337963)</f>
        <v>44902.327233796299</v>
      </c>
      <c r="C483" s="7" t="str">
        <f ca="1">IFERROR(__xludf.UNSUPPORTED("""COMPUTED_VALUE"""),"Cabedelo")</f>
        <v>Cabedelo</v>
      </c>
      <c r="D483" s="3" t="str">
        <f ca="1">IFERROR(__xludf.UNSUPPORTED("""COMPUTED_VALUE"""),"🚢 REGULAR")</f>
        <v>🚢 REGULAR</v>
      </c>
      <c r="E483" s="3" t="str">
        <f ca="1">IFERROR(__xludf.UNSUPPORTED("""COMPUTED_VALUE"""),"🚛 LIBERADO")</f>
        <v>🚛 LIBERADO</v>
      </c>
      <c r="F483" s="5">
        <f ca="1">IFERROR(__xludf.UNSUPPORTED("""COMPUTED_VALUE"""),0)</f>
        <v>0</v>
      </c>
      <c r="G483" s="3" t="str">
        <f ca="1">IFERROR(__xludf.UNSUPPORTED("""COMPUTED_VALUE"""),"Normal")</f>
        <v>Normal</v>
      </c>
      <c r="H483" s="4">
        <f ca="1">IFERROR(__xludf.UNSUPPORTED("""COMPUTED_VALUE"""),44902.3272337963)</f>
        <v>44902.327233796299</v>
      </c>
      <c r="I483" s="3">
        <f ca="1">IFERROR(__xludf.UNSUPPORTED("""COMPUTED_VALUE"""),1)</f>
        <v>1</v>
      </c>
      <c r="J483" s="4">
        <f ca="1">IFERROR(__xludf.UNSUPPORTED("""COMPUTED_VALUE"""),44902.3689004629)</f>
        <v>44902.368900462898</v>
      </c>
    </row>
    <row r="484" spans="1:10" ht="12.75">
      <c r="A484" s="3" t="str">
        <f ca="1">IFERROR(__xludf.UNSUPPORTED("""COMPUTED_VALUE"""),"2265a76d")</f>
        <v>2265a76d</v>
      </c>
      <c r="B484" s="4">
        <f ca="1">IFERROR(__xludf.UNSUPPORTED("""COMPUTED_VALUE"""),44903.3232175925)</f>
        <v>44903.3232175925</v>
      </c>
      <c r="C484" s="8" t="str">
        <f ca="1">IFERROR(__xludf.UNSUPPORTED("""COMPUTED_VALUE"""),"Cabedelo")</f>
        <v>Cabedelo</v>
      </c>
      <c r="D484" s="3" t="str">
        <f ca="1">IFERROR(__xludf.UNSUPPORTED("""COMPUTED_VALUE"""),"🚢 REGULAR")</f>
        <v>🚢 REGULAR</v>
      </c>
      <c r="E484" s="3" t="str">
        <f ca="1">IFERROR(__xludf.UNSUPPORTED("""COMPUTED_VALUE"""),"🚛 LIBERADO")</f>
        <v>🚛 LIBERADO</v>
      </c>
      <c r="F484" s="5">
        <f ca="1">IFERROR(__xludf.UNSUPPORTED("""COMPUTED_VALUE"""),0)</f>
        <v>0</v>
      </c>
      <c r="G484" s="3" t="str">
        <f ca="1">IFERROR(__xludf.UNSUPPORTED("""COMPUTED_VALUE"""),"Normal")</f>
        <v>Normal</v>
      </c>
      <c r="H484" s="4">
        <f ca="1">IFERROR(__xludf.UNSUPPORTED("""COMPUTED_VALUE"""),44903.3232175925)</f>
        <v>44903.3232175925</v>
      </c>
      <c r="I484" s="3">
        <f ca="1">IFERROR(__xludf.UNSUPPORTED("""COMPUTED_VALUE"""),1)</f>
        <v>1</v>
      </c>
      <c r="J484" s="4">
        <f ca="1">IFERROR(__xludf.UNSUPPORTED("""COMPUTED_VALUE"""),44903.3648842592)</f>
        <v>44903.364884259201</v>
      </c>
    </row>
    <row r="485" spans="1:10" ht="12.75">
      <c r="A485" s="3" t="str">
        <f ca="1">IFERROR(__xludf.UNSUPPORTED("""COMPUTED_VALUE"""),"1301f129")</f>
        <v>1301f129</v>
      </c>
      <c r="B485" s="4">
        <f ca="1">IFERROR(__xludf.UNSUPPORTED("""COMPUTED_VALUE"""),44904.3696643518)</f>
        <v>44904.369664351798</v>
      </c>
      <c r="C485" s="8" t="str">
        <f ca="1">IFERROR(__xludf.UNSUPPORTED("""COMPUTED_VALUE"""),"Cabedelo")</f>
        <v>Cabedelo</v>
      </c>
      <c r="D485" s="3" t="str">
        <f ca="1">IFERROR(__xludf.UNSUPPORTED("""COMPUTED_VALUE"""),"🚢 REGULAR")</f>
        <v>🚢 REGULAR</v>
      </c>
      <c r="E485" s="3" t="str">
        <f ca="1">IFERROR(__xludf.UNSUPPORTED("""COMPUTED_VALUE"""),"🚛 LIBERADO")</f>
        <v>🚛 LIBERADO</v>
      </c>
      <c r="F485" s="5">
        <f ca="1">IFERROR(__xludf.UNSUPPORTED("""COMPUTED_VALUE"""),0)</f>
        <v>0</v>
      </c>
      <c r="G485" s="3" t="str">
        <f ca="1">IFERROR(__xludf.UNSUPPORTED("""COMPUTED_VALUE"""),"Normal")</f>
        <v>Normal</v>
      </c>
      <c r="H485" s="4">
        <f ca="1">IFERROR(__xludf.UNSUPPORTED("""COMPUTED_VALUE"""),44904.3696643518)</f>
        <v>44904.369664351798</v>
      </c>
      <c r="I485" s="3">
        <f ca="1">IFERROR(__xludf.UNSUPPORTED("""COMPUTED_VALUE"""),1)</f>
        <v>1</v>
      </c>
      <c r="J485" s="4">
        <f ca="1">IFERROR(__xludf.UNSUPPORTED("""COMPUTED_VALUE"""),44904.4113310185)</f>
        <v>44904.411331018498</v>
      </c>
    </row>
    <row r="486" spans="1:10" ht="12.75">
      <c r="A486" s="3" t="str">
        <f ca="1">IFERROR(__xludf.UNSUPPORTED("""COMPUTED_VALUE"""),"3ef95acd")</f>
        <v>3ef95acd</v>
      </c>
      <c r="B486" s="4">
        <f ca="1">IFERROR(__xludf.UNSUPPORTED("""COMPUTED_VALUE"""),44907.3872685185)</f>
        <v>44907.387268518498</v>
      </c>
      <c r="C486" s="7" t="str">
        <f ca="1">IFERROR(__xludf.UNSUPPORTED("""COMPUTED_VALUE"""),"Cabedelo")</f>
        <v>Cabedelo</v>
      </c>
      <c r="D486" s="3" t="str">
        <f ca="1">IFERROR(__xludf.UNSUPPORTED("""COMPUTED_VALUE"""),"🚢 REGULAR")</f>
        <v>🚢 REGULAR</v>
      </c>
      <c r="E486" s="3" t="str">
        <f ca="1">IFERROR(__xludf.UNSUPPORTED("""COMPUTED_VALUE"""),"🚛 LIBERADO")</f>
        <v>🚛 LIBERADO</v>
      </c>
      <c r="F486" s="5">
        <f ca="1">IFERROR(__xludf.UNSUPPORTED("""COMPUTED_VALUE"""),0)</f>
        <v>0</v>
      </c>
      <c r="G486" s="3" t="str">
        <f ca="1">IFERROR(__xludf.UNSUPPORTED("""COMPUTED_VALUE"""),"Normal")</f>
        <v>Normal</v>
      </c>
      <c r="H486" s="4">
        <f ca="1">IFERROR(__xludf.UNSUPPORTED("""COMPUTED_VALUE"""),44907.3872685185)</f>
        <v>44907.387268518498</v>
      </c>
      <c r="I486" s="3">
        <f ca="1">IFERROR(__xludf.UNSUPPORTED("""COMPUTED_VALUE"""),1)</f>
        <v>1</v>
      </c>
      <c r="J486" s="4">
        <f ca="1">IFERROR(__xludf.UNSUPPORTED("""COMPUTED_VALUE"""),44907.4289351851)</f>
        <v>44907.428935185097</v>
      </c>
    </row>
    <row r="487" spans="1:10" ht="12.75">
      <c r="A487" s="3" t="str">
        <f ca="1">IFERROR(__xludf.UNSUPPORTED("""COMPUTED_VALUE"""),"6ef9bcac")</f>
        <v>6ef9bcac</v>
      </c>
      <c r="B487" s="4">
        <f ca="1">IFERROR(__xludf.UNSUPPORTED("""COMPUTED_VALUE"""),44908.3672337962)</f>
        <v>44908.367233796198</v>
      </c>
      <c r="C487" s="8" t="str">
        <f ca="1">IFERROR(__xludf.UNSUPPORTED("""COMPUTED_VALUE"""),"Cabedelo")</f>
        <v>Cabedelo</v>
      </c>
      <c r="D487" s="3" t="str">
        <f ca="1">IFERROR(__xludf.UNSUPPORTED("""COMPUTED_VALUE"""),"🚢 REGULAR")</f>
        <v>🚢 REGULAR</v>
      </c>
      <c r="E487" s="3" t="str">
        <f ca="1">IFERROR(__xludf.UNSUPPORTED("""COMPUTED_VALUE"""),"🚛 LIBERADO")</f>
        <v>🚛 LIBERADO</v>
      </c>
      <c r="F487" s="5">
        <f ca="1">IFERROR(__xludf.UNSUPPORTED("""COMPUTED_VALUE"""),0)</f>
        <v>0</v>
      </c>
      <c r="G487" s="3" t="str">
        <f ca="1">IFERROR(__xludf.UNSUPPORTED("""COMPUTED_VALUE"""),"Normal")</f>
        <v>Normal</v>
      </c>
      <c r="H487" s="4">
        <f ca="1">IFERROR(__xludf.UNSUPPORTED("""COMPUTED_VALUE"""),44908.3672337962)</f>
        <v>44908.367233796198</v>
      </c>
      <c r="I487" s="3">
        <f ca="1">IFERROR(__xludf.UNSUPPORTED("""COMPUTED_VALUE"""),1)</f>
        <v>1</v>
      </c>
      <c r="J487" s="4">
        <f ca="1">IFERROR(__xludf.UNSUPPORTED("""COMPUTED_VALUE"""),44908.4089004629)</f>
        <v>44908.408900462899</v>
      </c>
    </row>
    <row r="488" spans="1:10" ht="12.75">
      <c r="A488" s="3" t="str">
        <f ca="1">IFERROR(__xludf.UNSUPPORTED("""COMPUTED_VALUE"""),"160c3f66")</f>
        <v>160c3f66</v>
      </c>
      <c r="B488" s="4">
        <f ca="1">IFERROR(__xludf.UNSUPPORTED("""COMPUTED_VALUE"""),44909.3727777777)</f>
        <v>44909.372777777702</v>
      </c>
      <c r="C488" s="8" t="str">
        <f ca="1">IFERROR(__xludf.UNSUPPORTED("""COMPUTED_VALUE"""),"Cabedelo")</f>
        <v>Cabedelo</v>
      </c>
      <c r="D488" s="3" t="str">
        <f ca="1">IFERROR(__xludf.UNSUPPORTED("""COMPUTED_VALUE"""),"🚢 REGULAR")</f>
        <v>🚢 REGULAR</v>
      </c>
      <c r="E488" s="3" t="str">
        <f ca="1">IFERROR(__xludf.UNSUPPORTED("""COMPUTED_VALUE"""),"🚛 LIBERADO")</f>
        <v>🚛 LIBERADO</v>
      </c>
      <c r="F488" s="5">
        <f ca="1">IFERROR(__xludf.UNSUPPORTED("""COMPUTED_VALUE"""),0)</f>
        <v>0</v>
      </c>
      <c r="G488" s="3" t="str">
        <f ca="1">IFERROR(__xludf.UNSUPPORTED("""COMPUTED_VALUE"""),"Normal")</f>
        <v>Normal</v>
      </c>
      <c r="H488" s="4">
        <f ca="1">IFERROR(__xludf.UNSUPPORTED("""COMPUTED_VALUE"""),44909.3727777777)</f>
        <v>44909.372777777702</v>
      </c>
      <c r="I488" s="3">
        <f ca="1">IFERROR(__xludf.UNSUPPORTED("""COMPUTED_VALUE"""),1)</f>
        <v>1</v>
      </c>
      <c r="J488" s="4">
        <f ca="1">IFERROR(__xludf.UNSUPPORTED("""COMPUTED_VALUE"""),44909.4144444444)</f>
        <v>44909.414444444403</v>
      </c>
    </row>
    <row r="489" spans="1:10" ht="12.75">
      <c r="A489" s="3" t="str">
        <f ca="1">IFERROR(__xludf.UNSUPPORTED("""COMPUTED_VALUE"""),"482af9d3")</f>
        <v>482af9d3</v>
      </c>
      <c r="B489" s="4">
        <f ca="1">IFERROR(__xludf.UNSUPPORTED("""COMPUTED_VALUE"""),44910.3526388888)</f>
        <v>44910.352638888799</v>
      </c>
      <c r="C489" s="7" t="str">
        <f ca="1">IFERROR(__xludf.UNSUPPORTED("""COMPUTED_VALUE"""),"Cabedelo")</f>
        <v>Cabedelo</v>
      </c>
      <c r="D489" s="3" t="str">
        <f ca="1">IFERROR(__xludf.UNSUPPORTED("""COMPUTED_VALUE"""),"🚢 REGULAR")</f>
        <v>🚢 REGULAR</v>
      </c>
      <c r="E489" s="3" t="str">
        <f ca="1">IFERROR(__xludf.UNSUPPORTED("""COMPUTED_VALUE"""),"🚛 LIBERADO")</f>
        <v>🚛 LIBERADO</v>
      </c>
      <c r="F489" s="5">
        <f ca="1">IFERROR(__xludf.UNSUPPORTED("""COMPUTED_VALUE"""),0)</f>
        <v>0</v>
      </c>
      <c r="G489" s="3" t="str">
        <f ca="1">IFERROR(__xludf.UNSUPPORTED("""COMPUTED_VALUE"""),"Normal")</f>
        <v>Normal</v>
      </c>
      <c r="H489" s="4">
        <f ca="1">IFERROR(__xludf.UNSUPPORTED("""COMPUTED_VALUE"""),44910.3526388888)</f>
        <v>44910.352638888799</v>
      </c>
      <c r="I489" s="3">
        <f ca="1">IFERROR(__xludf.UNSUPPORTED("""COMPUTED_VALUE"""),1)</f>
        <v>1</v>
      </c>
      <c r="J489" s="4">
        <f ca="1">IFERROR(__xludf.UNSUPPORTED("""COMPUTED_VALUE"""),44910.3943055555)</f>
        <v>44910.394305555499</v>
      </c>
    </row>
    <row r="490" spans="1:10" ht="12.75">
      <c r="A490" s="3" t="str">
        <f ca="1">IFERROR(__xludf.UNSUPPORTED("""COMPUTED_VALUE"""),"8296013f")</f>
        <v>8296013f</v>
      </c>
      <c r="B490" s="4">
        <f ca="1">IFERROR(__xludf.UNSUPPORTED("""COMPUTED_VALUE"""),44911.363125)</f>
        <v>44911.363125000003</v>
      </c>
      <c r="C490" s="7" t="str">
        <f ca="1">IFERROR(__xludf.UNSUPPORTED("""COMPUTED_VALUE"""),"Cabedelo")</f>
        <v>Cabedelo</v>
      </c>
      <c r="D490" s="3" t="str">
        <f ca="1">IFERROR(__xludf.UNSUPPORTED("""COMPUTED_VALUE"""),"🚢 REGULAR")</f>
        <v>🚢 REGULAR</v>
      </c>
      <c r="E490" s="3" t="str">
        <f ca="1">IFERROR(__xludf.UNSUPPORTED("""COMPUTED_VALUE"""),"🚛 LIBERADO")</f>
        <v>🚛 LIBERADO</v>
      </c>
      <c r="F490" s="5">
        <f ca="1">IFERROR(__xludf.UNSUPPORTED("""COMPUTED_VALUE"""),0)</f>
        <v>0</v>
      </c>
      <c r="G490" s="3" t="str">
        <f ca="1">IFERROR(__xludf.UNSUPPORTED("""COMPUTED_VALUE"""),"Normal")</f>
        <v>Normal</v>
      </c>
      <c r="H490" s="4">
        <f ca="1">IFERROR(__xludf.UNSUPPORTED("""COMPUTED_VALUE"""),44911.363125)</f>
        <v>44911.363125000003</v>
      </c>
      <c r="I490" s="3">
        <f ca="1">IFERROR(__xludf.UNSUPPORTED("""COMPUTED_VALUE"""),1)</f>
        <v>1</v>
      </c>
      <c r="J490" s="4">
        <f ca="1">IFERROR(__xludf.UNSUPPORTED("""COMPUTED_VALUE"""),44911.4047916666)</f>
        <v>44911.404791666602</v>
      </c>
    </row>
    <row r="491" spans="1:10" ht="12.75">
      <c r="A491" s="3" t="str">
        <f ca="1">IFERROR(__xludf.UNSUPPORTED("""COMPUTED_VALUE"""),"ba003af5")</f>
        <v>ba003af5</v>
      </c>
      <c r="B491" s="4">
        <f ca="1">IFERROR(__xludf.UNSUPPORTED("""COMPUTED_VALUE"""),44912.6121527777)</f>
        <v>44912.6121527777</v>
      </c>
      <c r="C491" s="8" t="str">
        <f ca="1">IFERROR(__xludf.UNSUPPORTED("""COMPUTED_VALUE"""),"Cabedelo")</f>
        <v>Cabedelo</v>
      </c>
      <c r="D491" s="3" t="str">
        <f ca="1">IFERROR(__xludf.UNSUPPORTED("""COMPUTED_VALUE"""),"🚢 REGULAR")</f>
        <v>🚢 REGULAR</v>
      </c>
      <c r="E491" s="3" t="str">
        <f ca="1">IFERROR(__xludf.UNSUPPORTED("""COMPUTED_VALUE"""),"🚛 LIBERADO")</f>
        <v>🚛 LIBERADO</v>
      </c>
      <c r="F491" s="5">
        <f ca="1">IFERROR(__xludf.UNSUPPORTED("""COMPUTED_VALUE"""),0)</f>
        <v>0</v>
      </c>
      <c r="G491" s="3" t="str">
        <f ca="1">IFERROR(__xludf.UNSUPPORTED("""COMPUTED_VALUE"""),"Normal")</f>
        <v>Normal</v>
      </c>
      <c r="H491" s="4">
        <f ca="1">IFERROR(__xludf.UNSUPPORTED("""COMPUTED_VALUE"""),44912.6121527777)</f>
        <v>44912.6121527777</v>
      </c>
      <c r="I491" s="3">
        <f ca="1">IFERROR(__xludf.UNSUPPORTED("""COMPUTED_VALUE"""),1)</f>
        <v>1</v>
      </c>
      <c r="J491" s="4">
        <f ca="1">IFERROR(__xludf.UNSUPPORTED("""COMPUTED_VALUE"""),44912.6538194444)</f>
        <v>44912.6538194444</v>
      </c>
    </row>
    <row r="492" spans="1:10" ht="12.75">
      <c r="A492" s="3" t="str">
        <f ca="1">IFERROR(__xludf.UNSUPPORTED("""COMPUTED_VALUE"""),"54326ec7")</f>
        <v>54326ec7</v>
      </c>
      <c r="B492" s="4">
        <f ca="1">IFERROR(__xludf.UNSUPPORTED("""COMPUTED_VALUE"""),44913.3695254629)</f>
        <v>44913.369525462898</v>
      </c>
      <c r="C492" s="7" t="str">
        <f ca="1">IFERROR(__xludf.UNSUPPORTED("""COMPUTED_VALUE"""),"Cabedelo")</f>
        <v>Cabedelo</v>
      </c>
      <c r="D492" s="3" t="str">
        <f ca="1">IFERROR(__xludf.UNSUPPORTED("""COMPUTED_VALUE"""),"🚢 REGULAR")</f>
        <v>🚢 REGULAR</v>
      </c>
      <c r="E492" s="3" t="str">
        <f ca="1">IFERROR(__xludf.UNSUPPORTED("""COMPUTED_VALUE"""),"🚛 LIBERADO")</f>
        <v>🚛 LIBERADO</v>
      </c>
      <c r="F492" s="5">
        <f ca="1">IFERROR(__xludf.UNSUPPORTED("""COMPUTED_VALUE"""),0)</f>
        <v>0</v>
      </c>
      <c r="G492" s="3" t="str">
        <f ca="1">IFERROR(__xludf.UNSUPPORTED("""COMPUTED_VALUE"""),"Normal")</f>
        <v>Normal</v>
      </c>
      <c r="H492" s="4">
        <f ca="1">IFERROR(__xludf.UNSUPPORTED("""COMPUTED_VALUE"""),44913.3695254629)</f>
        <v>44913.369525462898</v>
      </c>
      <c r="I492" s="3">
        <f ca="1">IFERROR(__xludf.UNSUPPORTED("""COMPUTED_VALUE"""),1)</f>
        <v>1</v>
      </c>
      <c r="J492" s="4">
        <f ca="1">IFERROR(__xludf.UNSUPPORTED("""COMPUTED_VALUE"""),44913.4111921295)</f>
        <v>44913.411192129497</v>
      </c>
    </row>
    <row r="493" spans="1:10" ht="12.75">
      <c r="A493" s="3" t="str">
        <f ca="1">IFERROR(__xludf.UNSUPPORTED("""COMPUTED_VALUE"""),"49fb31cd")</f>
        <v>49fb31cd</v>
      </c>
      <c r="B493" s="4">
        <f ca="1">IFERROR(__xludf.UNSUPPORTED("""COMPUTED_VALUE"""),44914.3459722222)</f>
        <v>44914.345972222203</v>
      </c>
      <c r="C493" s="7" t="str">
        <f ca="1">IFERROR(__xludf.UNSUPPORTED("""COMPUTED_VALUE"""),"Cabedelo")</f>
        <v>Cabedelo</v>
      </c>
      <c r="D493" s="3" t="str">
        <f ca="1">IFERROR(__xludf.UNSUPPORTED("""COMPUTED_VALUE"""),"🚢 REGULAR")</f>
        <v>🚢 REGULAR</v>
      </c>
      <c r="E493" s="3" t="str">
        <f ca="1">IFERROR(__xludf.UNSUPPORTED("""COMPUTED_VALUE"""),"🚛 LIBERADO")</f>
        <v>🚛 LIBERADO</v>
      </c>
      <c r="F493" s="5">
        <f ca="1">IFERROR(__xludf.UNSUPPORTED("""COMPUTED_VALUE"""),0)</f>
        <v>0</v>
      </c>
      <c r="G493" s="3" t="str">
        <f ca="1">IFERROR(__xludf.UNSUPPORTED("""COMPUTED_VALUE"""),"Normal")</f>
        <v>Normal</v>
      </c>
      <c r="H493" s="4">
        <f ca="1">IFERROR(__xludf.UNSUPPORTED("""COMPUTED_VALUE"""),44914.3459722222)</f>
        <v>44914.345972222203</v>
      </c>
      <c r="I493" s="3">
        <f ca="1">IFERROR(__xludf.UNSUPPORTED("""COMPUTED_VALUE"""),1)</f>
        <v>1</v>
      </c>
      <c r="J493" s="4">
        <f ca="1">IFERROR(__xludf.UNSUPPORTED("""COMPUTED_VALUE"""),44914.3876388888)</f>
        <v>44914.387638888802</v>
      </c>
    </row>
    <row r="494" spans="1:10" ht="12.75">
      <c r="A494" s="3" t="str">
        <f ca="1">IFERROR(__xludf.UNSUPPORTED("""COMPUTED_VALUE"""),"c1dbd5b3")</f>
        <v>c1dbd5b3</v>
      </c>
      <c r="B494" s="4">
        <f ca="1">IFERROR(__xludf.UNSUPPORTED("""COMPUTED_VALUE"""),44915.2690624999)</f>
        <v>44915.269062499901</v>
      </c>
      <c r="C494" s="8" t="str">
        <f ca="1">IFERROR(__xludf.UNSUPPORTED("""COMPUTED_VALUE"""),"Cabedelo")</f>
        <v>Cabedelo</v>
      </c>
      <c r="D494" s="3" t="str">
        <f ca="1">IFERROR(__xludf.UNSUPPORTED("""COMPUTED_VALUE"""),"🚢 REGULAR")</f>
        <v>🚢 REGULAR</v>
      </c>
      <c r="E494" s="3" t="str">
        <f ca="1">IFERROR(__xludf.UNSUPPORTED("""COMPUTED_VALUE"""),"🚛 LIBERADO")</f>
        <v>🚛 LIBERADO</v>
      </c>
      <c r="F494" s="5">
        <f ca="1">IFERROR(__xludf.UNSUPPORTED("""COMPUTED_VALUE"""),0)</f>
        <v>0</v>
      </c>
      <c r="G494" s="3" t="str">
        <f ca="1">IFERROR(__xludf.UNSUPPORTED("""COMPUTED_VALUE"""),"Normal")</f>
        <v>Normal</v>
      </c>
      <c r="H494" s="4">
        <f ca="1">IFERROR(__xludf.UNSUPPORTED("""COMPUTED_VALUE"""),44915.2690624999)</f>
        <v>44915.269062499901</v>
      </c>
      <c r="I494" s="3">
        <f ca="1">IFERROR(__xludf.UNSUPPORTED("""COMPUTED_VALUE"""),1)</f>
        <v>1</v>
      </c>
      <c r="J494" s="4">
        <f ca="1">IFERROR(__xludf.UNSUPPORTED("""COMPUTED_VALUE"""),44915.3107291666)</f>
        <v>44915.310729166602</v>
      </c>
    </row>
    <row r="495" spans="1:10" ht="12.75">
      <c r="A495" s="3" t="str">
        <f ca="1">IFERROR(__xludf.UNSUPPORTED("""COMPUTED_VALUE"""),"0f8007ca")</f>
        <v>0f8007ca</v>
      </c>
      <c r="B495" s="4">
        <f ca="1">IFERROR(__xludf.UNSUPPORTED("""COMPUTED_VALUE"""),44916.3713425925)</f>
        <v>44916.371342592502</v>
      </c>
      <c r="C495" s="7" t="str">
        <f ca="1">IFERROR(__xludf.UNSUPPORTED("""COMPUTED_VALUE"""),"Cabedelo")</f>
        <v>Cabedelo</v>
      </c>
      <c r="D495" s="3" t="str">
        <f ca="1">IFERROR(__xludf.UNSUPPORTED("""COMPUTED_VALUE"""),"🚢 REGULAR")</f>
        <v>🚢 REGULAR</v>
      </c>
      <c r="E495" s="3" t="str">
        <f ca="1">IFERROR(__xludf.UNSUPPORTED("""COMPUTED_VALUE"""),"🚛 LIBERADO")</f>
        <v>🚛 LIBERADO</v>
      </c>
      <c r="F495" s="5">
        <f ca="1">IFERROR(__xludf.UNSUPPORTED("""COMPUTED_VALUE"""),0)</f>
        <v>0</v>
      </c>
      <c r="G495" s="3" t="str">
        <f ca="1">IFERROR(__xludf.UNSUPPORTED("""COMPUTED_VALUE"""),"Normal")</f>
        <v>Normal</v>
      </c>
      <c r="H495" s="4">
        <f ca="1">IFERROR(__xludf.UNSUPPORTED("""COMPUTED_VALUE"""),44916.3713425925)</f>
        <v>44916.371342592502</v>
      </c>
      <c r="I495" s="3">
        <f ca="1">IFERROR(__xludf.UNSUPPORTED("""COMPUTED_VALUE"""),1)</f>
        <v>1</v>
      </c>
      <c r="J495" s="4">
        <f ca="1">IFERROR(__xludf.UNSUPPORTED("""COMPUTED_VALUE"""),44916.4130092592)</f>
        <v>44916.413009259202</v>
      </c>
    </row>
    <row r="496" spans="1:10" ht="12.75">
      <c r="A496" s="3" t="str">
        <f ca="1">IFERROR(__xludf.UNSUPPORTED("""COMPUTED_VALUE"""),"01fcebde")</f>
        <v>01fcebde</v>
      </c>
      <c r="B496" s="4">
        <f ca="1">IFERROR(__xludf.UNSUPPORTED("""COMPUTED_VALUE"""),44918.3839004629)</f>
        <v>44918.383900462897</v>
      </c>
      <c r="C496" s="7" t="str">
        <f ca="1">IFERROR(__xludf.UNSUPPORTED("""COMPUTED_VALUE"""),"Cabedelo")</f>
        <v>Cabedelo</v>
      </c>
      <c r="D496" s="3" t="str">
        <f ca="1">IFERROR(__xludf.UNSUPPORTED("""COMPUTED_VALUE"""),"🚢 REGULAR")</f>
        <v>🚢 REGULAR</v>
      </c>
      <c r="E496" s="3" t="str">
        <f ca="1">IFERROR(__xludf.UNSUPPORTED("""COMPUTED_VALUE"""),"🚛 LIBERADO")</f>
        <v>🚛 LIBERADO</v>
      </c>
      <c r="F496" s="5">
        <f ca="1">IFERROR(__xludf.UNSUPPORTED("""COMPUTED_VALUE"""),0)</f>
        <v>0</v>
      </c>
      <c r="G496" s="3" t="str">
        <f ca="1">IFERROR(__xludf.UNSUPPORTED("""COMPUTED_VALUE"""),"Normal")</f>
        <v>Normal</v>
      </c>
      <c r="H496" s="4">
        <f ca="1">IFERROR(__xludf.UNSUPPORTED("""COMPUTED_VALUE"""),44918.3839004629)</f>
        <v>44918.383900462897</v>
      </c>
      <c r="I496" s="3">
        <f ca="1">IFERROR(__xludf.UNSUPPORTED("""COMPUTED_VALUE"""),1)</f>
        <v>1</v>
      </c>
      <c r="J496" s="4">
        <f ca="1">IFERROR(__xludf.UNSUPPORTED("""COMPUTED_VALUE"""),44918.4255671296)</f>
        <v>44918.425567129598</v>
      </c>
    </row>
    <row r="497" spans="1:12" ht="12.75">
      <c r="A497" s="3" t="str">
        <f ca="1">IFERROR(__xludf.UNSUPPORTED("""COMPUTED_VALUE"""),"a4a615da")</f>
        <v>a4a615da</v>
      </c>
      <c r="B497" s="4">
        <f ca="1">IFERROR(__xludf.UNSUPPORTED("""COMPUTED_VALUE"""),44919.5391782407)</f>
        <v>44919.539178240702</v>
      </c>
      <c r="C497" s="8" t="str">
        <f ca="1">IFERROR(__xludf.UNSUPPORTED("""COMPUTED_VALUE"""),"Cabedelo")</f>
        <v>Cabedelo</v>
      </c>
      <c r="D497" s="3" t="str">
        <f ca="1">IFERROR(__xludf.UNSUPPORTED("""COMPUTED_VALUE"""),"🚢 REGULAR")</f>
        <v>🚢 REGULAR</v>
      </c>
      <c r="E497" s="3" t="str">
        <f ca="1">IFERROR(__xludf.UNSUPPORTED("""COMPUTED_VALUE"""),"🚛 LIBERADO")</f>
        <v>🚛 LIBERADO</v>
      </c>
      <c r="F497" s="5">
        <f ca="1">IFERROR(__xludf.UNSUPPORTED("""COMPUTED_VALUE"""),0)</f>
        <v>0</v>
      </c>
      <c r="G497" s="3" t="str">
        <f ca="1">IFERROR(__xludf.UNSUPPORTED("""COMPUTED_VALUE"""),"Normal")</f>
        <v>Normal</v>
      </c>
      <c r="H497" s="4">
        <f ca="1">IFERROR(__xludf.UNSUPPORTED("""COMPUTED_VALUE"""),44919.5391782407)</f>
        <v>44919.539178240702</v>
      </c>
      <c r="I497" s="3">
        <f ca="1">IFERROR(__xludf.UNSUPPORTED("""COMPUTED_VALUE"""),1)</f>
        <v>1</v>
      </c>
      <c r="J497" s="4">
        <f ca="1">IFERROR(__xludf.UNSUPPORTED("""COMPUTED_VALUE"""),44919.5808449074)</f>
        <v>44919.580844907403</v>
      </c>
    </row>
    <row r="498" spans="1:12" ht="12.75">
      <c r="A498" s="3" t="str">
        <f ca="1">IFERROR(__xludf.UNSUPPORTED("""COMPUTED_VALUE"""),"2582d35a")</f>
        <v>2582d35a</v>
      </c>
      <c r="B498" s="4">
        <f ca="1">IFERROR(__xludf.UNSUPPORTED("""COMPUTED_VALUE"""),44920.6046412037)</f>
        <v>44920.604641203703</v>
      </c>
      <c r="C498" s="7" t="str">
        <f ca="1">IFERROR(__xludf.UNSUPPORTED("""COMPUTED_VALUE"""),"Cabedelo")</f>
        <v>Cabedelo</v>
      </c>
      <c r="D498" s="3" t="str">
        <f ca="1">IFERROR(__xludf.UNSUPPORTED("""COMPUTED_VALUE"""),"🚢 REGULAR")</f>
        <v>🚢 REGULAR</v>
      </c>
      <c r="E498" s="3" t="str">
        <f ca="1">IFERROR(__xludf.UNSUPPORTED("""COMPUTED_VALUE"""),"🚛 LIBERADO")</f>
        <v>🚛 LIBERADO</v>
      </c>
      <c r="F498" s="5">
        <f ca="1">IFERROR(__xludf.UNSUPPORTED("""COMPUTED_VALUE"""),0)</f>
        <v>0</v>
      </c>
      <c r="G498" s="3" t="str">
        <f ca="1">IFERROR(__xludf.UNSUPPORTED("""COMPUTED_VALUE"""),"Normal")</f>
        <v>Normal</v>
      </c>
      <c r="H498" s="4">
        <f ca="1">IFERROR(__xludf.UNSUPPORTED("""COMPUTED_VALUE"""),44920.6046412037)</f>
        <v>44920.604641203703</v>
      </c>
      <c r="I498" s="3">
        <f ca="1">IFERROR(__xludf.UNSUPPORTED("""COMPUTED_VALUE"""),1)</f>
        <v>1</v>
      </c>
      <c r="J498" s="4">
        <f ca="1">IFERROR(__xludf.UNSUPPORTED("""COMPUTED_VALUE"""),44920.6463078703)</f>
        <v>44920.646307870302</v>
      </c>
    </row>
    <row r="499" spans="1:12" ht="12.75">
      <c r="A499" s="3" t="str">
        <f ca="1">IFERROR(__xludf.UNSUPPORTED("""COMPUTED_VALUE"""),"1dd0b839")</f>
        <v>1dd0b839</v>
      </c>
      <c r="B499" s="4">
        <f ca="1">IFERROR(__xludf.UNSUPPORTED("""COMPUTED_VALUE"""),44921.6121296296)</f>
        <v>44921.612129629597</v>
      </c>
      <c r="C499" s="8" t="str">
        <f ca="1">IFERROR(__xludf.UNSUPPORTED("""COMPUTED_VALUE"""),"Cabedelo")</f>
        <v>Cabedelo</v>
      </c>
      <c r="D499" s="3" t="str">
        <f ca="1">IFERROR(__xludf.UNSUPPORTED("""COMPUTED_VALUE"""),"🚢 REGULAR")</f>
        <v>🚢 REGULAR</v>
      </c>
      <c r="E499" s="3" t="str">
        <f ca="1">IFERROR(__xludf.UNSUPPORTED("""COMPUTED_VALUE"""),"🚛 LIBERADO")</f>
        <v>🚛 LIBERADO</v>
      </c>
      <c r="F499" s="5">
        <f ca="1">IFERROR(__xludf.UNSUPPORTED("""COMPUTED_VALUE"""),0)</f>
        <v>0</v>
      </c>
      <c r="G499" s="3" t="str">
        <f ca="1">IFERROR(__xludf.UNSUPPORTED("""COMPUTED_VALUE"""),"Normal")</f>
        <v>Normal</v>
      </c>
      <c r="H499" s="4">
        <f ca="1">IFERROR(__xludf.UNSUPPORTED("""COMPUTED_VALUE"""),44921.6121296296)</f>
        <v>44921.612129629597</v>
      </c>
      <c r="I499" s="3">
        <f ca="1">IFERROR(__xludf.UNSUPPORTED("""COMPUTED_VALUE"""),1)</f>
        <v>1</v>
      </c>
      <c r="J499" s="4">
        <f ca="1">IFERROR(__xludf.UNSUPPORTED("""COMPUTED_VALUE"""),44921.6537962963)</f>
        <v>44921.653796296298</v>
      </c>
    </row>
    <row r="500" spans="1:12" ht="12.75">
      <c r="A500" s="3" t="str">
        <f ca="1">IFERROR(__xludf.UNSUPPORTED("""COMPUTED_VALUE"""),"793f782b")</f>
        <v>793f782b</v>
      </c>
      <c r="B500" s="4">
        <f ca="1">IFERROR(__xludf.UNSUPPORTED("""COMPUTED_VALUE"""),44922.3331828703)</f>
        <v>44922.333182870301</v>
      </c>
      <c r="C500" s="8" t="str">
        <f ca="1">IFERROR(__xludf.UNSUPPORTED("""COMPUTED_VALUE"""),"Cabedelo")</f>
        <v>Cabedelo</v>
      </c>
      <c r="D500" s="3" t="str">
        <f ca="1">IFERROR(__xludf.UNSUPPORTED("""COMPUTED_VALUE"""),"🚢 REGULAR")</f>
        <v>🚢 REGULAR</v>
      </c>
      <c r="E500" s="3" t="str">
        <f ca="1">IFERROR(__xludf.UNSUPPORTED("""COMPUTED_VALUE"""),"🚛 LIBERADO")</f>
        <v>🚛 LIBERADO</v>
      </c>
      <c r="F500" s="5">
        <f ca="1">IFERROR(__xludf.UNSUPPORTED("""COMPUTED_VALUE"""),0)</f>
        <v>0</v>
      </c>
      <c r="G500" s="3" t="str">
        <f ca="1">IFERROR(__xludf.UNSUPPORTED("""COMPUTED_VALUE"""),"Normal")</f>
        <v>Normal</v>
      </c>
      <c r="H500" s="4">
        <f ca="1">IFERROR(__xludf.UNSUPPORTED("""COMPUTED_VALUE"""),44922.3331828703)</f>
        <v>44922.333182870301</v>
      </c>
      <c r="I500" s="3">
        <f ca="1">IFERROR(__xludf.UNSUPPORTED("""COMPUTED_VALUE"""),1)</f>
        <v>1</v>
      </c>
      <c r="J500" s="4">
        <f ca="1">IFERROR(__xludf.UNSUPPORTED("""COMPUTED_VALUE"""),44922.374849537)</f>
        <v>44922.374849537002</v>
      </c>
    </row>
    <row r="501" spans="1:12" ht="12.75">
      <c r="A501" s="3" t="str">
        <f ca="1">IFERROR(__xludf.UNSUPPORTED("""COMPUTED_VALUE"""),"84c33fb7")</f>
        <v>84c33fb7</v>
      </c>
      <c r="B501" s="4">
        <f ca="1">IFERROR(__xludf.UNSUPPORTED("""COMPUTED_VALUE"""),44923.3807523148)</f>
        <v>44923.380752314799</v>
      </c>
      <c r="C501" s="7" t="str">
        <f ca="1">IFERROR(__xludf.UNSUPPORTED("""COMPUTED_VALUE"""),"Cabedelo")</f>
        <v>Cabedelo</v>
      </c>
      <c r="D501" s="3" t="str">
        <f ca="1">IFERROR(__xludf.UNSUPPORTED("""COMPUTED_VALUE"""),"🚢 REGULAR")</f>
        <v>🚢 REGULAR</v>
      </c>
      <c r="E501" s="3" t="str">
        <f ca="1">IFERROR(__xludf.UNSUPPORTED("""COMPUTED_VALUE"""),"🚛 LIBERADO")</f>
        <v>🚛 LIBERADO</v>
      </c>
      <c r="F501" s="5">
        <f ca="1">IFERROR(__xludf.UNSUPPORTED("""COMPUTED_VALUE"""),0)</f>
        <v>0</v>
      </c>
      <c r="G501" s="3" t="str">
        <f ca="1">IFERROR(__xludf.UNSUPPORTED("""COMPUTED_VALUE"""),"Normal")</f>
        <v>Normal</v>
      </c>
      <c r="H501" s="4">
        <f ca="1">IFERROR(__xludf.UNSUPPORTED("""COMPUTED_VALUE"""),44923.3807523148)</f>
        <v>44923.380752314799</v>
      </c>
      <c r="I501" s="3">
        <f ca="1">IFERROR(__xludf.UNSUPPORTED("""COMPUTED_VALUE"""),1)</f>
        <v>1</v>
      </c>
      <c r="J501" s="4">
        <f ca="1">IFERROR(__xludf.UNSUPPORTED("""COMPUTED_VALUE"""),44923.4224189814)</f>
        <v>44923.422418981398</v>
      </c>
    </row>
    <row r="502" spans="1:12" ht="12.75">
      <c r="A502" s="3" t="str">
        <f ca="1">IFERROR(__xludf.UNSUPPORTED("""COMPUTED_VALUE"""),"a7a0a546")</f>
        <v>a7a0a546</v>
      </c>
      <c r="B502" s="4">
        <f ca="1">IFERROR(__xludf.UNSUPPORTED("""COMPUTED_VALUE"""),44924.3990393518)</f>
        <v>44924.399039351803</v>
      </c>
      <c r="C502" s="8" t="str">
        <f ca="1">IFERROR(__xludf.UNSUPPORTED("""COMPUTED_VALUE"""),"Cabedelo")</f>
        <v>Cabedelo</v>
      </c>
      <c r="D502" s="3" t="str">
        <f ca="1">IFERROR(__xludf.UNSUPPORTED("""COMPUTED_VALUE"""),"🚢 REGULAR")</f>
        <v>🚢 REGULAR</v>
      </c>
      <c r="E502" s="3" t="str">
        <f ca="1">IFERROR(__xludf.UNSUPPORTED("""COMPUTED_VALUE"""),"🚛 LIBERADO")</f>
        <v>🚛 LIBERADO</v>
      </c>
      <c r="F502" s="5">
        <f ca="1">IFERROR(__xludf.UNSUPPORTED("""COMPUTED_VALUE"""),0)</f>
        <v>0</v>
      </c>
      <c r="G502" s="3" t="str">
        <f ca="1">IFERROR(__xludf.UNSUPPORTED("""COMPUTED_VALUE"""),"Normal")</f>
        <v>Normal</v>
      </c>
      <c r="H502" s="4">
        <f ca="1">IFERROR(__xludf.UNSUPPORTED("""COMPUTED_VALUE"""),44924.3990393518)</f>
        <v>44924.399039351803</v>
      </c>
      <c r="I502" s="3">
        <f ca="1">IFERROR(__xludf.UNSUPPORTED("""COMPUTED_VALUE"""),1)</f>
        <v>1</v>
      </c>
      <c r="J502" s="4">
        <f ca="1">IFERROR(__xludf.UNSUPPORTED("""COMPUTED_VALUE"""),44924.4407060185)</f>
        <v>44924.440706018497</v>
      </c>
    </row>
    <row r="503" spans="1:12" ht="12.75">
      <c r="A503" s="3" t="str">
        <f ca="1">IFERROR(__xludf.UNSUPPORTED("""COMPUTED_VALUE"""),"33d01351")</f>
        <v>33d01351</v>
      </c>
      <c r="B503" s="4">
        <f ca="1">IFERROR(__xludf.UNSUPPORTED("""COMPUTED_VALUE"""),44925.3885300925)</f>
        <v>44925.388530092503</v>
      </c>
      <c r="C503" s="8" t="str">
        <f ca="1">IFERROR(__xludf.UNSUPPORTED("""COMPUTED_VALUE"""),"Cabedelo")</f>
        <v>Cabedelo</v>
      </c>
      <c r="D503" s="3" t="str">
        <f ca="1">IFERROR(__xludf.UNSUPPORTED("""COMPUTED_VALUE"""),"🚢 REGULAR")</f>
        <v>🚢 REGULAR</v>
      </c>
      <c r="E503" s="3" t="str">
        <f ca="1">IFERROR(__xludf.UNSUPPORTED("""COMPUTED_VALUE"""),"🚛 LIBERADO")</f>
        <v>🚛 LIBERADO</v>
      </c>
      <c r="F503" s="5">
        <f ca="1">IFERROR(__xludf.UNSUPPORTED("""COMPUTED_VALUE"""),0)</f>
        <v>0</v>
      </c>
      <c r="G503" s="3" t="str">
        <f ca="1">IFERROR(__xludf.UNSUPPORTED("""COMPUTED_VALUE"""),"Normal")</f>
        <v>Normal</v>
      </c>
      <c r="H503" s="4">
        <f ca="1">IFERROR(__xludf.UNSUPPORTED("""COMPUTED_VALUE"""),44925.3885300925)</f>
        <v>44925.388530092503</v>
      </c>
      <c r="I503" s="3">
        <f ca="1">IFERROR(__xludf.UNSUPPORTED("""COMPUTED_VALUE"""),1)</f>
        <v>1</v>
      </c>
      <c r="J503" s="4">
        <f ca="1">IFERROR(__xludf.UNSUPPORTED("""COMPUTED_VALUE"""),44925.4301967592)</f>
        <v>44925.430196759196</v>
      </c>
    </row>
    <row r="504" spans="1:12" ht="12.75">
      <c r="A504" s="3" t="str">
        <f ca="1">IFERROR(__xludf.UNSUPPORTED("""COMPUTED_VALUE"""),"5e470ceb")</f>
        <v>5e470ceb</v>
      </c>
      <c r="B504" s="4">
        <f ca="1">IFERROR(__xludf.UNSUPPORTED("""COMPUTED_VALUE"""),44927.3280092592)</f>
        <v>44927.328009259203</v>
      </c>
      <c r="C504" s="7" t="str">
        <f ca="1">IFERROR(__xludf.UNSUPPORTED("""COMPUTED_VALUE"""),"Cabedelo")</f>
        <v>Cabedelo</v>
      </c>
      <c r="D504" s="3" t="str">
        <f ca="1">IFERROR(__xludf.UNSUPPORTED("""COMPUTED_VALUE"""),"🚢 REGULAR")</f>
        <v>🚢 REGULAR</v>
      </c>
      <c r="E504" s="3" t="str">
        <f ca="1">IFERROR(__xludf.UNSUPPORTED("""COMPUTED_VALUE"""),"🚛 LIBERADO")</f>
        <v>🚛 LIBERADO</v>
      </c>
      <c r="F504" s="5">
        <f ca="1">IFERROR(__xludf.UNSUPPORTED("""COMPUTED_VALUE"""),0)</f>
        <v>0</v>
      </c>
      <c r="G504" s="3" t="str">
        <f ca="1">IFERROR(__xludf.UNSUPPORTED("""COMPUTED_VALUE"""),"Normal")</f>
        <v>Normal</v>
      </c>
      <c r="H504" s="4">
        <f ca="1">IFERROR(__xludf.UNSUPPORTED("""COMPUTED_VALUE"""),44927.3280092592)</f>
        <v>44927.328009259203</v>
      </c>
      <c r="I504" s="3">
        <f ca="1">IFERROR(__xludf.UNSUPPORTED("""COMPUTED_VALUE"""),1)</f>
        <v>1</v>
      </c>
      <c r="J504" s="4">
        <f ca="1">IFERROR(__xludf.UNSUPPORTED("""COMPUTED_VALUE"""),44927.3696759259)</f>
        <v>44927.369675925896</v>
      </c>
    </row>
    <row r="505" spans="1:12" ht="12.75">
      <c r="A505" s="3" t="str">
        <f ca="1">IFERROR(__xludf.UNSUPPORTED("""COMPUTED_VALUE"""),"97daf71c")</f>
        <v>97daf71c</v>
      </c>
      <c r="B505" s="4">
        <f ca="1">IFERROR(__xludf.UNSUPPORTED("""COMPUTED_VALUE"""),44928.3692013888)</f>
        <v>44928.369201388799</v>
      </c>
      <c r="C505" s="7" t="str">
        <f ca="1">IFERROR(__xludf.UNSUPPORTED("""COMPUTED_VALUE"""),"Cabedelo")</f>
        <v>Cabedelo</v>
      </c>
      <c r="D505" s="3" t="str">
        <f ca="1">IFERROR(__xludf.UNSUPPORTED("""COMPUTED_VALUE"""),"🚢 REGULAR")</f>
        <v>🚢 REGULAR</v>
      </c>
      <c r="E505" s="3" t="str">
        <f ca="1">IFERROR(__xludf.UNSUPPORTED("""COMPUTED_VALUE"""),"🚛 LIBERADO")</f>
        <v>🚛 LIBERADO</v>
      </c>
      <c r="F505" s="5">
        <f ca="1">IFERROR(__xludf.UNSUPPORTED("""COMPUTED_VALUE"""),0)</f>
        <v>0</v>
      </c>
      <c r="G505" s="3" t="str">
        <f ca="1">IFERROR(__xludf.UNSUPPORTED("""COMPUTED_VALUE"""),"Normal")</f>
        <v>Normal</v>
      </c>
      <c r="H505" s="4">
        <f ca="1">IFERROR(__xludf.UNSUPPORTED("""COMPUTED_VALUE"""),44928.3692013888)</f>
        <v>44928.369201388799</v>
      </c>
      <c r="I505" s="3">
        <f ca="1">IFERROR(__xludf.UNSUPPORTED("""COMPUTED_VALUE"""),1)</f>
        <v>1</v>
      </c>
      <c r="J505" s="4">
        <f ca="1">IFERROR(__xludf.UNSUPPORTED("""COMPUTED_VALUE"""),44928.4108680555)</f>
        <v>44928.4108680555</v>
      </c>
    </row>
    <row r="506" spans="1:12" ht="12.75">
      <c r="A506" s="3" t="str">
        <f ca="1">IFERROR(__xludf.UNSUPPORTED("""COMPUTED_VALUE"""),"0030a8ca")</f>
        <v>0030a8ca</v>
      </c>
      <c r="B506" s="4">
        <f ca="1">IFERROR(__xludf.UNSUPPORTED("""COMPUTED_VALUE"""),44929.3518287037)</f>
        <v>44929.3518287037</v>
      </c>
      <c r="C506" s="7" t="str">
        <f ca="1">IFERROR(__xludf.UNSUPPORTED("""COMPUTED_VALUE"""),"Cabedelo")</f>
        <v>Cabedelo</v>
      </c>
      <c r="D506" s="3" t="str">
        <f ca="1">IFERROR(__xludf.UNSUPPORTED("""COMPUTED_VALUE"""),"🚢 REGULAR")</f>
        <v>🚢 REGULAR</v>
      </c>
      <c r="E506" s="3" t="str">
        <f ca="1">IFERROR(__xludf.UNSUPPORTED("""COMPUTED_VALUE"""),"🚛 LIBERADO")</f>
        <v>🚛 LIBERADO</v>
      </c>
      <c r="F506" s="5">
        <f ca="1">IFERROR(__xludf.UNSUPPORTED("""COMPUTED_VALUE"""),0)</f>
        <v>0</v>
      </c>
      <c r="G506" s="3" t="str">
        <f ca="1">IFERROR(__xludf.UNSUPPORTED("""COMPUTED_VALUE"""),"Normal")</f>
        <v>Normal</v>
      </c>
      <c r="H506" s="4">
        <f ca="1">IFERROR(__xludf.UNSUPPORTED("""COMPUTED_VALUE"""),44929.3518287037)</f>
        <v>44929.3518287037</v>
      </c>
      <c r="I506" s="3">
        <f ca="1">IFERROR(__xludf.UNSUPPORTED("""COMPUTED_VALUE"""),1)</f>
        <v>1</v>
      </c>
      <c r="J506" s="4">
        <f ca="1">IFERROR(__xludf.UNSUPPORTED("""COMPUTED_VALUE"""),44929.3934953703)</f>
        <v>44929.393495370299</v>
      </c>
    </row>
    <row r="507" spans="1:12" ht="12.75">
      <c r="A507" s="3" t="str">
        <f ca="1">IFERROR(__xludf.UNSUPPORTED("""COMPUTED_VALUE"""),"97ba5b89")</f>
        <v>97ba5b89</v>
      </c>
      <c r="B507" s="4">
        <f ca="1">IFERROR(__xludf.UNSUPPORTED("""COMPUTED_VALUE"""),44930.3552662037)</f>
        <v>44930.355266203696</v>
      </c>
      <c r="C507" s="7" t="str">
        <f ca="1">IFERROR(__xludf.UNSUPPORTED("""COMPUTED_VALUE"""),"Cabedelo")</f>
        <v>Cabedelo</v>
      </c>
      <c r="D507" s="3" t="str">
        <f ca="1">IFERROR(__xludf.UNSUPPORTED("""COMPUTED_VALUE"""),"🚢 REGULAR")</f>
        <v>🚢 REGULAR</v>
      </c>
      <c r="E507" s="3" t="str">
        <f ca="1">IFERROR(__xludf.UNSUPPORTED("""COMPUTED_VALUE"""),"🚛 LIBERADO")</f>
        <v>🚛 LIBERADO</v>
      </c>
      <c r="F507" s="5">
        <f ca="1">IFERROR(__xludf.UNSUPPORTED("""COMPUTED_VALUE"""),0)</f>
        <v>0</v>
      </c>
      <c r="G507" s="3" t="str">
        <f ca="1">IFERROR(__xludf.UNSUPPORTED("""COMPUTED_VALUE"""),"Normal")</f>
        <v>Normal</v>
      </c>
      <c r="H507" s="4">
        <f ca="1">IFERROR(__xludf.UNSUPPORTED("""COMPUTED_VALUE"""),44930.3552662037)</f>
        <v>44930.355266203696</v>
      </c>
      <c r="I507" s="3">
        <f ca="1">IFERROR(__xludf.UNSUPPORTED("""COMPUTED_VALUE"""),1)</f>
        <v>1</v>
      </c>
      <c r="J507" s="4">
        <f ca="1">IFERROR(__xludf.UNSUPPORTED("""COMPUTED_VALUE"""),44930.3969328703)</f>
        <v>44930.396932870302</v>
      </c>
    </row>
    <row r="508" spans="1:12" ht="12.75">
      <c r="A508" s="3" t="str">
        <f ca="1">IFERROR(__xludf.UNSUPPORTED("""COMPUTED_VALUE"""),"6c9f7d10")</f>
        <v>6c9f7d10</v>
      </c>
      <c r="B508" s="4">
        <f ca="1">IFERROR(__xludf.UNSUPPORTED("""COMPUTED_VALUE"""),44931.3487847222)</f>
        <v>44931.348784722199</v>
      </c>
      <c r="C508" s="7" t="str">
        <f ca="1">IFERROR(__xludf.UNSUPPORTED("""COMPUTED_VALUE"""),"Cabedelo")</f>
        <v>Cabedelo</v>
      </c>
      <c r="D508" s="3" t="str">
        <f ca="1">IFERROR(__xludf.UNSUPPORTED("""COMPUTED_VALUE"""),"🚢 REGULAR")</f>
        <v>🚢 REGULAR</v>
      </c>
      <c r="E508" s="3" t="str">
        <f ca="1">IFERROR(__xludf.UNSUPPORTED("""COMPUTED_VALUE"""),"🚛 LIBERADO")</f>
        <v>🚛 LIBERADO</v>
      </c>
      <c r="F508" s="5">
        <f ca="1">IFERROR(__xludf.UNSUPPORTED("""COMPUTED_VALUE"""),0)</f>
        <v>0</v>
      </c>
      <c r="G508" s="3" t="str">
        <f ca="1">IFERROR(__xludf.UNSUPPORTED("""COMPUTED_VALUE"""),"Normalidade")</f>
        <v>Normalidade</v>
      </c>
      <c r="H508" s="4">
        <f ca="1">IFERROR(__xludf.UNSUPPORTED("""COMPUTED_VALUE"""),44931.3487847222)</f>
        <v>44931.348784722199</v>
      </c>
      <c r="I508" s="3">
        <f ca="1">IFERROR(__xludf.UNSUPPORTED("""COMPUTED_VALUE"""),24)</f>
        <v>24</v>
      </c>
      <c r="J508" s="4">
        <f ca="1">IFERROR(__xludf.UNSUPPORTED("""COMPUTED_VALUE"""),44932.3487847222)</f>
        <v>44932.348784722199</v>
      </c>
    </row>
    <row r="509" spans="1:12" ht="12.75">
      <c r="A509" s="3" t="str">
        <f ca="1">IFERROR(__xludf.UNSUPPORTED("""COMPUTED_VALUE"""),"3ba96ef0")</f>
        <v>3ba96ef0</v>
      </c>
      <c r="B509" s="4">
        <f ca="1">IFERROR(__xludf.UNSUPPORTED("""COMPUTED_VALUE"""),44932.5251736111)</f>
        <v>44932.525173611102</v>
      </c>
      <c r="C509" s="8" t="str">
        <f ca="1">IFERROR(__xludf.UNSUPPORTED("""COMPUTED_VALUE"""),"Cabedelo")</f>
        <v>Cabedelo</v>
      </c>
      <c r="D509" s="3" t="str">
        <f ca="1">IFERROR(__xludf.UNSUPPORTED("""COMPUTED_VALUE"""),"🚢 REGULAR")</f>
        <v>🚢 REGULAR</v>
      </c>
      <c r="E509" s="3" t="str">
        <f ca="1">IFERROR(__xludf.UNSUPPORTED("""COMPUTED_VALUE"""),"🚛 LIBERADO")</f>
        <v>🚛 LIBERADO</v>
      </c>
      <c r="F509" s="5">
        <f ca="1">IFERROR(__xludf.UNSUPPORTED("""COMPUTED_VALUE"""),0)</f>
        <v>0</v>
      </c>
      <c r="G509" s="3" t="str">
        <f ca="1">IFERROR(__xludf.UNSUPPORTED("""COMPUTED_VALUE"""),"Normalidade")</f>
        <v>Normalidade</v>
      </c>
      <c r="H509" s="4">
        <f ca="1">IFERROR(__xludf.UNSUPPORTED("""COMPUTED_VALUE"""),44932.5251736111)</f>
        <v>44932.525173611102</v>
      </c>
      <c r="I509" s="3">
        <f ca="1">IFERROR(__xludf.UNSUPPORTED("""COMPUTED_VALUE"""),24)</f>
        <v>24</v>
      </c>
      <c r="J509" s="4">
        <f ca="1">IFERROR(__xludf.UNSUPPORTED("""COMPUTED_VALUE"""),44933.5251736111)</f>
        <v>44933.525173611102</v>
      </c>
      <c r="L509" s="3" t="str">
        <f ca="1">IFERROR(__xludf.UNSUPPORTED("""COMPUTED_VALUE"""),"Normalidade")</f>
        <v>Normalidade</v>
      </c>
    </row>
    <row r="510" spans="1:12" ht="12.75">
      <c r="A510" s="3" t="str">
        <f ca="1">IFERROR(__xludf.UNSUPPORTED("""COMPUTED_VALUE"""),"e00a124f")</f>
        <v>e00a124f</v>
      </c>
      <c r="B510" s="4">
        <f ca="1">IFERROR(__xludf.UNSUPPORTED("""COMPUTED_VALUE"""),44933.4901041666)</f>
        <v>44933.490104166602</v>
      </c>
      <c r="C510" s="8" t="str">
        <f ca="1">IFERROR(__xludf.UNSUPPORTED("""COMPUTED_VALUE"""),"Cabedelo")</f>
        <v>Cabedelo</v>
      </c>
      <c r="D510" s="3" t="str">
        <f ca="1">IFERROR(__xludf.UNSUPPORTED("""COMPUTED_VALUE"""),"🚢 REGULAR")</f>
        <v>🚢 REGULAR</v>
      </c>
      <c r="E510" s="3" t="str">
        <f ca="1">IFERROR(__xludf.UNSUPPORTED("""COMPUTED_VALUE"""),"🚛 LIBERADO")</f>
        <v>🚛 LIBERADO</v>
      </c>
      <c r="F510" s="5">
        <f ca="1">IFERROR(__xludf.UNSUPPORTED("""COMPUTED_VALUE"""),0)</f>
        <v>0</v>
      </c>
      <c r="G510" s="3" t="str">
        <f ca="1">IFERROR(__xludf.UNSUPPORTED("""COMPUTED_VALUE"""),"Normalidade")</f>
        <v>Normalidade</v>
      </c>
      <c r="H510" s="4">
        <f ca="1">IFERROR(__xludf.UNSUPPORTED("""COMPUTED_VALUE"""),44933.4901041666)</f>
        <v>44933.490104166602</v>
      </c>
      <c r="I510" s="3">
        <f ca="1">IFERROR(__xludf.UNSUPPORTED("""COMPUTED_VALUE"""),24)</f>
        <v>24</v>
      </c>
      <c r="J510" s="4">
        <f ca="1">IFERROR(__xludf.UNSUPPORTED("""COMPUTED_VALUE"""),44934.4901041666)</f>
        <v>44934.490104166602</v>
      </c>
      <c r="L510" s="3" t="str">
        <f ca="1">IFERROR(__xludf.UNSUPPORTED("""COMPUTED_VALUE"""),"Normalidade")</f>
        <v>Normalidade</v>
      </c>
    </row>
    <row r="511" spans="1:12" ht="12.75">
      <c r="A511" s="3" t="str">
        <f ca="1">IFERROR(__xludf.UNSUPPORTED("""COMPUTED_VALUE"""),"ec1a3b1f")</f>
        <v>ec1a3b1f</v>
      </c>
      <c r="B511" s="4">
        <f ca="1">IFERROR(__xludf.UNSUPPORTED("""COMPUTED_VALUE"""),44934.4306481481)</f>
        <v>44934.430648148104</v>
      </c>
      <c r="C511" s="8" t="str">
        <f ca="1">IFERROR(__xludf.UNSUPPORTED("""COMPUTED_VALUE"""),"Cabedelo")</f>
        <v>Cabedelo</v>
      </c>
      <c r="D511" s="3" t="str">
        <f ca="1">IFERROR(__xludf.UNSUPPORTED("""COMPUTED_VALUE"""),"🚢 REGULAR")</f>
        <v>🚢 REGULAR</v>
      </c>
      <c r="E511" s="3" t="str">
        <f ca="1">IFERROR(__xludf.UNSUPPORTED("""COMPUTED_VALUE"""),"🚛 LIBERADO")</f>
        <v>🚛 LIBERADO</v>
      </c>
      <c r="F511" s="5">
        <f ca="1">IFERROR(__xludf.UNSUPPORTED("""COMPUTED_VALUE"""),0)</f>
        <v>0</v>
      </c>
      <c r="G511" s="3" t="str">
        <f ca="1">IFERROR(__xludf.UNSUPPORTED("""COMPUTED_VALUE"""),"Normalidade")</f>
        <v>Normalidade</v>
      </c>
      <c r="H511" s="4">
        <f ca="1">IFERROR(__xludf.UNSUPPORTED("""COMPUTED_VALUE"""),44934.4306481481)</f>
        <v>44934.430648148104</v>
      </c>
      <c r="I511" s="3">
        <f ca="1">IFERROR(__xludf.UNSUPPORTED("""COMPUTED_VALUE"""),24)</f>
        <v>24</v>
      </c>
      <c r="J511" s="4">
        <f ca="1">IFERROR(__xludf.UNSUPPORTED("""COMPUTED_VALUE"""),44935.4306481481)</f>
        <v>44935.430648148104</v>
      </c>
      <c r="L511" s="3" t="str">
        <f ca="1">IFERROR(__xludf.UNSUPPORTED("""COMPUTED_VALUE"""),"Normalidade")</f>
        <v>Normalidade</v>
      </c>
    </row>
    <row r="512" spans="1:12" ht="12.75">
      <c r="A512" s="3" t="str">
        <f ca="1">IFERROR(__xludf.UNSUPPORTED("""COMPUTED_VALUE"""),"265fbdba")</f>
        <v>265fbdba</v>
      </c>
      <c r="B512" s="4">
        <f ca="1">IFERROR(__xludf.UNSUPPORTED("""COMPUTED_VALUE"""),44935.3491782407)</f>
        <v>44935.3491782407</v>
      </c>
      <c r="C512" s="8" t="str">
        <f ca="1">IFERROR(__xludf.UNSUPPORTED("""COMPUTED_VALUE"""),"Cabedelo")</f>
        <v>Cabedelo</v>
      </c>
      <c r="D512" s="3" t="str">
        <f ca="1">IFERROR(__xludf.UNSUPPORTED("""COMPUTED_VALUE"""),"🚢 REGULAR")</f>
        <v>🚢 REGULAR</v>
      </c>
      <c r="E512" s="3" t="str">
        <f ca="1">IFERROR(__xludf.UNSUPPORTED("""COMPUTED_VALUE"""),"🚛 LIBERADO")</f>
        <v>🚛 LIBERADO</v>
      </c>
      <c r="F512" s="5">
        <f ca="1">IFERROR(__xludf.UNSUPPORTED("""COMPUTED_VALUE"""),0)</f>
        <v>0</v>
      </c>
      <c r="G512" s="3" t="str">
        <f ca="1">IFERROR(__xludf.UNSUPPORTED("""COMPUTED_VALUE"""),"Normalidade")</f>
        <v>Normalidade</v>
      </c>
      <c r="H512" s="4">
        <f ca="1">IFERROR(__xludf.UNSUPPORTED("""COMPUTED_VALUE"""),44935.3491782407)</f>
        <v>44935.3491782407</v>
      </c>
      <c r="I512" s="3">
        <f ca="1">IFERROR(__xludf.UNSUPPORTED("""COMPUTED_VALUE"""),24)</f>
        <v>24</v>
      </c>
      <c r="J512" s="4">
        <f ca="1">IFERROR(__xludf.UNSUPPORTED("""COMPUTED_VALUE"""),44936.3491782407)</f>
        <v>44936.3491782407</v>
      </c>
      <c r="L512" s="3" t="str">
        <f ca="1">IFERROR(__xludf.UNSUPPORTED("""COMPUTED_VALUE"""),"Normalidade")</f>
        <v>Normalidade</v>
      </c>
    </row>
    <row r="513" spans="1:12" ht="12.75">
      <c r="A513" s="3" t="str">
        <f ca="1">IFERROR(__xludf.UNSUPPORTED("""COMPUTED_VALUE"""),"ac6bbf15")</f>
        <v>ac6bbf15</v>
      </c>
      <c r="B513" s="4">
        <f ca="1">IFERROR(__xludf.UNSUPPORTED("""COMPUTED_VALUE"""),44936.358912037)</f>
        <v>44936.358912037002</v>
      </c>
      <c r="C513" s="7" t="str">
        <f ca="1">IFERROR(__xludf.UNSUPPORTED("""COMPUTED_VALUE"""),"Cabedelo")</f>
        <v>Cabedelo</v>
      </c>
      <c r="D513" s="3" t="str">
        <f ca="1">IFERROR(__xludf.UNSUPPORTED("""COMPUTED_VALUE"""),"🚢 REGULAR")</f>
        <v>🚢 REGULAR</v>
      </c>
      <c r="E513" s="3" t="str">
        <f ca="1">IFERROR(__xludf.UNSUPPORTED("""COMPUTED_VALUE"""),"🚛 LIBERADO")</f>
        <v>🚛 LIBERADO</v>
      </c>
      <c r="F513" s="5">
        <f ca="1">IFERROR(__xludf.UNSUPPORTED("""COMPUTED_VALUE"""),0)</f>
        <v>0</v>
      </c>
      <c r="G513" s="3" t="str">
        <f ca="1">IFERROR(__xludf.UNSUPPORTED("""COMPUTED_VALUE"""),"Normalidade")</f>
        <v>Normalidade</v>
      </c>
      <c r="H513" s="4">
        <f ca="1">IFERROR(__xludf.UNSUPPORTED("""COMPUTED_VALUE"""),44936.358912037)</f>
        <v>44936.358912037002</v>
      </c>
      <c r="I513" s="3">
        <f ca="1">IFERROR(__xludf.UNSUPPORTED("""COMPUTED_VALUE"""),24)</f>
        <v>24</v>
      </c>
      <c r="J513" s="4">
        <f ca="1">IFERROR(__xludf.UNSUPPORTED("""COMPUTED_VALUE"""),44937.358912037)</f>
        <v>44937.358912037002</v>
      </c>
      <c r="L513" s="3" t="str">
        <f ca="1">IFERROR(__xludf.UNSUPPORTED("""COMPUTED_VALUE"""),"Normalidade")</f>
        <v>Normalidade</v>
      </c>
    </row>
    <row r="514" spans="1:12" ht="12.75">
      <c r="A514" s="3" t="str">
        <f ca="1">IFERROR(__xludf.UNSUPPORTED("""COMPUTED_VALUE"""),"8165150f")</f>
        <v>8165150f</v>
      </c>
      <c r="B514" s="4">
        <f ca="1">IFERROR(__xludf.UNSUPPORTED("""COMPUTED_VALUE"""),44937.3415856481)</f>
        <v>44937.341585648101</v>
      </c>
      <c r="C514" s="7" t="str">
        <f ca="1">IFERROR(__xludf.UNSUPPORTED("""COMPUTED_VALUE"""),"Cabedelo")</f>
        <v>Cabedelo</v>
      </c>
      <c r="D514" s="3" t="str">
        <f ca="1">IFERROR(__xludf.UNSUPPORTED("""COMPUTED_VALUE"""),"🚢 REGULAR")</f>
        <v>🚢 REGULAR</v>
      </c>
      <c r="E514" s="3" t="str">
        <f ca="1">IFERROR(__xludf.UNSUPPORTED("""COMPUTED_VALUE"""),"🚛 LIBERADO")</f>
        <v>🚛 LIBERADO</v>
      </c>
      <c r="F514" s="5">
        <f ca="1">IFERROR(__xludf.UNSUPPORTED("""COMPUTED_VALUE"""),0)</f>
        <v>0</v>
      </c>
      <c r="G514" s="3" t="str">
        <f ca="1">IFERROR(__xludf.UNSUPPORTED("""COMPUTED_VALUE"""),"Normalidade")</f>
        <v>Normalidade</v>
      </c>
      <c r="H514" s="4">
        <f ca="1">IFERROR(__xludf.UNSUPPORTED("""COMPUTED_VALUE"""),44937.3415856481)</f>
        <v>44937.341585648101</v>
      </c>
      <c r="I514" s="3">
        <f ca="1">IFERROR(__xludf.UNSUPPORTED("""COMPUTED_VALUE"""),24)</f>
        <v>24</v>
      </c>
      <c r="J514" s="4">
        <f ca="1">IFERROR(__xludf.UNSUPPORTED("""COMPUTED_VALUE"""),44938.3415856481)</f>
        <v>44938.341585648101</v>
      </c>
      <c r="L514" s="3" t="str">
        <f ca="1">IFERROR(__xludf.UNSUPPORTED("""COMPUTED_VALUE"""),"Normalidade")</f>
        <v>Normalidade</v>
      </c>
    </row>
    <row r="515" spans="1:12" ht="12.75">
      <c r="A515" s="3" t="str">
        <f ca="1">IFERROR(__xludf.UNSUPPORTED("""COMPUTED_VALUE"""),"7ae5a6bb")</f>
        <v>7ae5a6bb</v>
      </c>
      <c r="B515" s="4">
        <f ca="1">IFERROR(__xludf.UNSUPPORTED("""COMPUTED_VALUE"""),44939.2916087962)</f>
        <v>44939.2916087962</v>
      </c>
      <c r="C515" s="8" t="str">
        <f ca="1">IFERROR(__xludf.UNSUPPORTED("""COMPUTED_VALUE"""),"Cabedelo")</f>
        <v>Cabedelo</v>
      </c>
      <c r="D515" s="3" t="str">
        <f ca="1">IFERROR(__xludf.UNSUPPORTED("""COMPUTED_VALUE"""),"🚢 REGULAR")</f>
        <v>🚢 REGULAR</v>
      </c>
      <c r="E515" s="3" t="str">
        <f ca="1">IFERROR(__xludf.UNSUPPORTED("""COMPUTED_VALUE"""),"🚛 LIBERADO")</f>
        <v>🚛 LIBERADO</v>
      </c>
      <c r="F515" s="5">
        <f ca="1">IFERROR(__xludf.UNSUPPORTED("""COMPUTED_VALUE"""),0)</f>
        <v>0</v>
      </c>
      <c r="G515" s="3" t="str">
        <f ca="1">IFERROR(__xludf.UNSUPPORTED("""COMPUTED_VALUE"""),"Normalidade")</f>
        <v>Normalidade</v>
      </c>
      <c r="H515" s="4">
        <f ca="1">IFERROR(__xludf.UNSUPPORTED("""COMPUTED_VALUE"""),44939.2916087962)</f>
        <v>44939.2916087962</v>
      </c>
      <c r="I515" s="3">
        <f ca="1">IFERROR(__xludf.UNSUPPORTED("""COMPUTED_VALUE"""),24)</f>
        <v>24</v>
      </c>
      <c r="J515" s="4">
        <f ca="1">IFERROR(__xludf.UNSUPPORTED("""COMPUTED_VALUE"""),44940.2916087962)</f>
        <v>44940.2916087962</v>
      </c>
      <c r="L515" s="3" t="str">
        <f ca="1">IFERROR(__xludf.UNSUPPORTED("""COMPUTED_VALUE"""),"Normalidade")</f>
        <v>Normalidade</v>
      </c>
    </row>
    <row r="516" spans="1:12" ht="12.75">
      <c r="A516" s="3" t="str">
        <f ca="1">IFERROR(__xludf.UNSUPPORTED("""COMPUTED_VALUE"""),"079dc3ee")</f>
        <v>079dc3ee</v>
      </c>
      <c r="B516" s="4">
        <f ca="1">IFERROR(__xludf.UNSUPPORTED("""COMPUTED_VALUE"""),44940.4095023148)</f>
        <v>44940.409502314797</v>
      </c>
      <c r="C516" s="8" t="str">
        <f ca="1">IFERROR(__xludf.UNSUPPORTED("""COMPUTED_VALUE"""),"Cabedelo")</f>
        <v>Cabedelo</v>
      </c>
      <c r="D516" s="3" t="str">
        <f ca="1">IFERROR(__xludf.UNSUPPORTED("""COMPUTED_VALUE"""),"🚢 REGULAR")</f>
        <v>🚢 REGULAR</v>
      </c>
      <c r="E516" s="3" t="str">
        <f ca="1">IFERROR(__xludf.UNSUPPORTED("""COMPUTED_VALUE"""),"🚛 LIBERADO")</f>
        <v>🚛 LIBERADO</v>
      </c>
      <c r="F516" s="5">
        <f ca="1">IFERROR(__xludf.UNSUPPORTED("""COMPUTED_VALUE"""),0)</f>
        <v>0</v>
      </c>
      <c r="G516" s="3" t="str">
        <f ca="1">IFERROR(__xludf.UNSUPPORTED("""COMPUTED_VALUE"""),"Normalidade")</f>
        <v>Normalidade</v>
      </c>
      <c r="H516" s="4">
        <f ca="1">IFERROR(__xludf.UNSUPPORTED("""COMPUTED_VALUE"""),44940.4095023148)</f>
        <v>44940.409502314797</v>
      </c>
      <c r="I516" s="3">
        <f ca="1">IFERROR(__xludf.UNSUPPORTED("""COMPUTED_VALUE"""),24)</f>
        <v>24</v>
      </c>
      <c r="J516" s="4">
        <f ca="1">IFERROR(__xludf.UNSUPPORTED("""COMPUTED_VALUE"""),44941.4095023148)</f>
        <v>44941.409502314797</v>
      </c>
      <c r="L516" s="3" t="str">
        <f ca="1">IFERROR(__xludf.UNSUPPORTED("""COMPUTED_VALUE"""),"Normalidade")</f>
        <v>Normalidade</v>
      </c>
    </row>
    <row r="517" spans="1:12" ht="12.75">
      <c r="A517" s="3" t="str">
        <f ca="1">IFERROR(__xludf.UNSUPPORTED("""COMPUTED_VALUE"""),"e2d47dd4")</f>
        <v>e2d47dd4</v>
      </c>
      <c r="B517" s="4">
        <f ca="1">IFERROR(__xludf.UNSUPPORTED("""COMPUTED_VALUE"""),44941.7245949074)</f>
        <v>44941.724594907399</v>
      </c>
      <c r="C517" s="8" t="str">
        <f ca="1">IFERROR(__xludf.UNSUPPORTED("""COMPUTED_VALUE"""),"Cabedelo")</f>
        <v>Cabedelo</v>
      </c>
      <c r="D517" s="3" t="str">
        <f ca="1">IFERROR(__xludf.UNSUPPORTED("""COMPUTED_VALUE"""),"🚢 REGULAR")</f>
        <v>🚢 REGULAR</v>
      </c>
      <c r="E517" s="3" t="str">
        <f ca="1">IFERROR(__xludf.UNSUPPORTED("""COMPUTED_VALUE"""),"🚛 LIBERADO")</f>
        <v>🚛 LIBERADO</v>
      </c>
      <c r="F517" s="5">
        <f ca="1">IFERROR(__xludf.UNSUPPORTED("""COMPUTED_VALUE"""),0)</f>
        <v>0</v>
      </c>
      <c r="G517" s="3" t="str">
        <f ca="1">IFERROR(__xludf.UNSUPPORTED("""COMPUTED_VALUE"""),"Normalidade")</f>
        <v>Normalidade</v>
      </c>
      <c r="H517" s="4">
        <f ca="1">IFERROR(__xludf.UNSUPPORTED("""COMPUTED_VALUE"""),44941.7245949074)</f>
        <v>44941.724594907399</v>
      </c>
      <c r="I517" s="3">
        <f ca="1">IFERROR(__xludf.UNSUPPORTED("""COMPUTED_VALUE"""),24)</f>
        <v>24</v>
      </c>
      <c r="J517" s="4">
        <f ca="1">IFERROR(__xludf.UNSUPPORTED("""COMPUTED_VALUE"""),44942.7245949074)</f>
        <v>44942.724594907399</v>
      </c>
      <c r="L517" s="3" t="str">
        <f ca="1">IFERROR(__xludf.UNSUPPORTED("""COMPUTED_VALUE"""),"Normalidade")</f>
        <v>Normalidade</v>
      </c>
    </row>
    <row r="518" spans="1:12" ht="12.75">
      <c r="A518" s="3" t="str">
        <f ca="1">IFERROR(__xludf.UNSUPPORTED("""COMPUTED_VALUE"""),"b9975806")</f>
        <v>b9975806</v>
      </c>
      <c r="B518" s="4">
        <f ca="1">IFERROR(__xludf.UNSUPPORTED("""COMPUTED_VALUE"""),44942.5849537037)</f>
        <v>44942.584953703699</v>
      </c>
      <c r="C518" s="7" t="str">
        <f ca="1">IFERROR(__xludf.UNSUPPORTED("""COMPUTED_VALUE"""),"Cabedelo")</f>
        <v>Cabedelo</v>
      </c>
      <c r="D518" s="3" t="str">
        <f ca="1">IFERROR(__xludf.UNSUPPORTED("""COMPUTED_VALUE"""),"🚢 REGULAR")</f>
        <v>🚢 REGULAR</v>
      </c>
      <c r="E518" s="3" t="str">
        <f ca="1">IFERROR(__xludf.UNSUPPORTED("""COMPUTED_VALUE"""),"🚛 LIBERADO")</f>
        <v>🚛 LIBERADO</v>
      </c>
      <c r="F518" s="5">
        <f ca="1">IFERROR(__xludf.UNSUPPORTED("""COMPUTED_VALUE"""),0)</f>
        <v>0</v>
      </c>
      <c r="G518" s="3" t="str">
        <f ca="1">IFERROR(__xludf.UNSUPPORTED("""COMPUTED_VALUE"""),"Normalidade")</f>
        <v>Normalidade</v>
      </c>
      <c r="H518" s="4">
        <f ca="1">IFERROR(__xludf.UNSUPPORTED("""COMPUTED_VALUE"""),44942.5849537037)</f>
        <v>44942.584953703699</v>
      </c>
      <c r="I518" s="3">
        <f ca="1">IFERROR(__xludf.UNSUPPORTED("""COMPUTED_VALUE"""),24)</f>
        <v>24</v>
      </c>
      <c r="J518" s="4">
        <f ca="1">IFERROR(__xludf.UNSUPPORTED("""COMPUTED_VALUE"""),44943.5849537037)</f>
        <v>44943.584953703699</v>
      </c>
      <c r="L518" s="3" t="str">
        <f ca="1">IFERROR(__xludf.UNSUPPORTED("""COMPUTED_VALUE"""),"Normalidade")</f>
        <v>Normalidade</v>
      </c>
    </row>
    <row r="519" spans="1:12" ht="12.75">
      <c r="A519" s="3" t="str">
        <f ca="1">IFERROR(__xludf.UNSUPPORTED("""COMPUTED_VALUE"""),"3d546f77")</f>
        <v>3d546f77</v>
      </c>
      <c r="B519" s="4">
        <f ca="1">IFERROR(__xludf.UNSUPPORTED("""COMPUTED_VALUE"""),44943.3621759259)</f>
        <v>44943.362175925897</v>
      </c>
      <c r="C519" s="7" t="str">
        <f ca="1">IFERROR(__xludf.UNSUPPORTED("""COMPUTED_VALUE"""),"Cabedelo")</f>
        <v>Cabedelo</v>
      </c>
      <c r="D519" s="3" t="str">
        <f ca="1">IFERROR(__xludf.UNSUPPORTED("""COMPUTED_VALUE"""),"🚢 REGULAR")</f>
        <v>🚢 REGULAR</v>
      </c>
      <c r="E519" s="3" t="str">
        <f ca="1">IFERROR(__xludf.UNSUPPORTED("""COMPUTED_VALUE"""),"🚛 LIBERADO")</f>
        <v>🚛 LIBERADO</v>
      </c>
      <c r="F519" s="5">
        <f ca="1">IFERROR(__xludf.UNSUPPORTED("""COMPUTED_VALUE"""),0)</f>
        <v>0</v>
      </c>
      <c r="G519" s="3" t="str">
        <f ca="1">IFERROR(__xludf.UNSUPPORTED("""COMPUTED_VALUE"""),"Normalidade")</f>
        <v>Normalidade</v>
      </c>
      <c r="H519" s="4">
        <f ca="1">IFERROR(__xludf.UNSUPPORTED("""COMPUTED_VALUE"""),44943.3621759259)</f>
        <v>44943.362175925897</v>
      </c>
      <c r="I519" s="3">
        <f ca="1">IFERROR(__xludf.UNSUPPORTED("""COMPUTED_VALUE"""),24)</f>
        <v>24</v>
      </c>
      <c r="J519" s="4">
        <f ca="1">IFERROR(__xludf.UNSUPPORTED("""COMPUTED_VALUE"""),44944.3621759259)</f>
        <v>44944.362175925897</v>
      </c>
      <c r="L519" s="3" t="str">
        <f ca="1">IFERROR(__xludf.UNSUPPORTED("""COMPUTED_VALUE"""),"Normalidade")</f>
        <v>Normalidade</v>
      </c>
    </row>
    <row r="520" spans="1:12" ht="12.75">
      <c r="A520" s="3" t="str">
        <f ca="1">IFERROR(__xludf.UNSUPPORTED("""COMPUTED_VALUE"""),"68cb6b1a")</f>
        <v>68cb6b1a</v>
      </c>
      <c r="B520" s="4">
        <f ca="1">IFERROR(__xludf.UNSUPPORTED("""COMPUTED_VALUE"""),44945.3373148148)</f>
        <v>44945.337314814802</v>
      </c>
      <c r="C520" s="7" t="str">
        <f ca="1">IFERROR(__xludf.UNSUPPORTED("""COMPUTED_VALUE"""),"Cabedelo")</f>
        <v>Cabedelo</v>
      </c>
      <c r="D520" s="3" t="str">
        <f ca="1">IFERROR(__xludf.UNSUPPORTED("""COMPUTED_VALUE"""),"🚢 REGULAR")</f>
        <v>🚢 REGULAR</v>
      </c>
      <c r="E520" s="3" t="str">
        <f ca="1">IFERROR(__xludf.UNSUPPORTED("""COMPUTED_VALUE"""),"🚛 LIBERADO")</f>
        <v>🚛 LIBERADO</v>
      </c>
      <c r="F520" s="5">
        <f ca="1">IFERROR(__xludf.UNSUPPORTED("""COMPUTED_VALUE"""),0)</f>
        <v>0</v>
      </c>
      <c r="G520" s="3" t="str">
        <f ca="1">IFERROR(__xludf.UNSUPPORTED("""COMPUTED_VALUE"""),"Normalidade")</f>
        <v>Normalidade</v>
      </c>
      <c r="H520" s="4">
        <f ca="1">IFERROR(__xludf.UNSUPPORTED("""COMPUTED_VALUE"""),44945.3373148148)</f>
        <v>44945.337314814802</v>
      </c>
      <c r="I520" s="3">
        <f ca="1">IFERROR(__xludf.UNSUPPORTED("""COMPUTED_VALUE"""),24)</f>
        <v>24</v>
      </c>
      <c r="J520" s="4">
        <f ca="1">IFERROR(__xludf.UNSUPPORTED("""COMPUTED_VALUE"""),44946.3373148148)</f>
        <v>44946.337314814802</v>
      </c>
    </row>
    <row r="521" spans="1:12" ht="12.75">
      <c r="A521" s="3" t="str">
        <f ca="1">IFERROR(__xludf.UNSUPPORTED("""COMPUTED_VALUE"""),"bc57304d")</f>
        <v>bc57304d</v>
      </c>
      <c r="B521" s="4">
        <f ca="1">IFERROR(__xludf.UNSUPPORTED("""COMPUTED_VALUE"""),44959.3091203703)</f>
        <v>44959.309120370301</v>
      </c>
      <c r="C521" s="7" t="str">
        <f ca="1">IFERROR(__xludf.UNSUPPORTED("""COMPUTED_VALUE"""),"Cabedelo")</f>
        <v>Cabedelo</v>
      </c>
      <c r="D521" s="3" t="str">
        <f ca="1">IFERROR(__xludf.UNSUPPORTED("""COMPUTED_VALUE"""),"🚢 REGULAR")</f>
        <v>🚢 REGULAR</v>
      </c>
      <c r="E521" s="3" t="str">
        <f ca="1">IFERROR(__xludf.UNSUPPORTED("""COMPUTED_VALUE"""),"🚛 LIBERADO")</f>
        <v>🚛 LIBERADO</v>
      </c>
      <c r="F521" s="5">
        <f ca="1">IFERROR(__xludf.UNSUPPORTED("""COMPUTED_VALUE"""),0)</f>
        <v>0</v>
      </c>
      <c r="G521" s="3" t="str">
        <f ca="1">IFERROR(__xludf.UNSUPPORTED("""COMPUTED_VALUE"""),"Normalidade")</f>
        <v>Normalidade</v>
      </c>
      <c r="H521" s="4">
        <f ca="1">IFERROR(__xludf.UNSUPPORTED("""COMPUTED_VALUE"""),44959.3091203703)</f>
        <v>44959.309120370301</v>
      </c>
      <c r="I521" s="3">
        <f ca="1">IFERROR(__xludf.UNSUPPORTED("""COMPUTED_VALUE"""),24)</f>
        <v>24</v>
      </c>
      <c r="J521" s="4">
        <f ca="1">IFERROR(__xludf.UNSUPPORTED("""COMPUTED_VALUE"""),44960.3091203703)</f>
        <v>44960.309120370301</v>
      </c>
      <c r="L521" s="3" t="str">
        <f ca="1">IFERROR(__xludf.UNSUPPORTED("""COMPUTED_VALUE"""),"Normalidade")</f>
        <v>Normalidade</v>
      </c>
    </row>
    <row r="522" spans="1:12" ht="12.75">
      <c r="A522" s="3" t="str">
        <f ca="1">IFERROR(__xludf.UNSUPPORTED("""COMPUTED_VALUE"""),"d330a68a")</f>
        <v>d330a68a</v>
      </c>
      <c r="B522" s="4">
        <f ca="1">IFERROR(__xludf.UNSUPPORTED("""COMPUTED_VALUE"""),44866.469849537)</f>
        <v>44866.469849537003</v>
      </c>
      <c r="C522" s="8" t="str">
        <f ca="1">IFERROR(__xludf.UNSUPPORTED("""COMPUTED_VALUE"""),"Forno")</f>
        <v>Forno</v>
      </c>
      <c r="D522" s="3" t="str">
        <f ca="1">IFERROR(__xludf.UNSUPPORTED("""COMPUTED_VALUE"""),"🚢 REGULAR")</f>
        <v>🚢 REGULAR</v>
      </c>
      <c r="E522" s="3" t="str">
        <f ca="1">IFERROR(__xludf.UNSUPPORTED("""COMPUTED_VALUE"""),"🚛 LIBERADO")</f>
        <v>🚛 LIBERADO</v>
      </c>
      <c r="F522" s="5">
        <f ca="1">IFERROR(__xludf.UNSUPPORTED("""COMPUTED_VALUE"""),0)</f>
        <v>0</v>
      </c>
      <c r="G522" s="3" t="str">
        <f ca="1">IFERROR(__xludf.UNSUPPORTED("""COMPUTED_VALUE"""),"Porto sem operações previstas")</f>
        <v>Porto sem operações previstas</v>
      </c>
      <c r="H522" s="4">
        <f ca="1">IFERROR(__xludf.UNSUPPORTED("""COMPUTED_VALUE"""),44866.469849537)</f>
        <v>44866.469849537003</v>
      </c>
      <c r="I522" s="3">
        <f ca="1">IFERROR(__xludf.UNSUPPORTED("""COMPUTED_VALUE"""),24)</f>
        <v>24</v>
      </c>
      <c r="J522" s="4">
        <f ca="1">IFERROR(__xludf.UNSUPPORTED("""COMPUTED_VALUE"""),44867.469849537)</f>
        <v>44867.469849537003</v>
      </c>
    </row>
    <row r="523" spans="1:12" ht="12.75">
      <c r="A523" s="3" t="str">
        <f ca="1">IFERROR(__xludf.UNSUPPORTED("""COMPUTED_VALUE"""),"c598172f")</f>
        <v>c598172f</v>
      </c>
      <c r="B523" s="4">
        <f ca="1">IFERROR(__xludf.UNSUPPORTED("""COMPUTED_VALUE"""),44868.4224884259)</f>
        <v>44868.422488425902</v>
      </c>
      <c r="C523" s="7" t="str">
        <f ca="1">IFERROR(__xludf.UNSUPPORTED("""COMPUTED_VALUE"""),"Forno")</f>
        <v>Forno</v>
      </c>
      <c r="D523" s="3" t="str">
        <f ca="1">IFERROR(__xludf.UNSUPPORTED("""COMPUTED_VALUE"""),"🚢 REGULAR")</f>
        <v>🚢 REGULAR</v>
      </c>
      <c r="E523" s="3" t="str">
        <f ca="1">IFERROR(__xludf.UNSUPPORTED("""COMPUTED_VALUE"""),"🚛 LIBERADO")</f>
        <v>🚛 LIBERADO</v>
      </c>
      <c r="F523" s="5">
        <f ca="1">IFERROR(__xludf.UNSUPPORTED("""COMPUTED_VALUE"""),0)</f>
        <v>0</v>
      </c>
      <c r="G523" s="3" t="str">
        <f ca="1">IFERROR(__xludf.UNSUPPORTED("""COMPUTED_VALUE"""),"Normal")</f>
        <v>Normal</v>
      </c>
      <c r="H523" s="4">
        <f ca="1">IFERROR(__xludf.UNSUPPORTED("""COMPUTED_VALUE"""),44868.4224884259)</f>
        <v>44868.422488425902</v>
      </c>
      <c r="I523" s="3">
        <f ca="1">IFERROR(__xludf.UNSUPPORTED("""COMPUTED_VALUE"""),8)</f>
        <v>8</v>
      </c>
      <c r="J523" s="4">
        <f ca="1">IFERROR(__xludf.UNSUPPORTED("""COMPUTED_VALUE"""),44868.7558217592)</f>
        <v>44868.755821759201</v>
      </c>
    </row>
    <row r="524" spans="1:12" ht="12.75">
      <c r="A524" s="3" t="str">
        <f ca="1">IFERROR(__xludf.UNSUPPORTED("""COMPUTED_VALUE"""),"7b5f7a83")</f>
        <v>7b5f7a83</v>
      </c>
      <c r="B524" s="4">
        <f ca="1">IFERROR(__xludf.UNSUPPORTED("""COMPUTED_VALUE"""),44869.4488425925)</f>
        <v>44869.448842592501</v>
      </c>
      <c r="C524" s="7" t="str">
        <f ca="1">IFERROR(__xludf.UNSUPPORTED("""COMPUTED_VALUE"""),"Forno")</f>
        <v>Forno</v>
      </c>
      <c r="D524" s="3" t="str">
        <f ca="1">IFERROR(__xludf.UNSUPPORTED("""COMPUTED_VALUE"""),"🚢 REGULAR")</f>
        <v>🚢 REGULAR</v>
      </c>
      <c r="E524" s="3" t="str">
        <f ca="1">IFERROR(__xludf.UNSUPPORTED("""COMPUTED_VALUE"""),"🚛 LIBERADO")</f>
        <v>🚛 LIBERADO</v>
      </c>
      <c r="F524" s="5">
        <f ca="1">IFERROR(__xludf.UNSUPPORTED("""COMPUTED_VALUE"""),0)</f>
        <v>0</v>
      </c>
      <c r="G524" s="3" t="str">
        <f ca="1">IFERROR(__xludf.UNSUPPORTED("""COMPUTED_VALUE"""),"Situação normal.")</f>
        <v>Situação normal.</v>
      </c>
      <c r="H524" s="4">
        <f ca="1">IFERROR(__xludf.UNSUPPORTED("""COMPUTED_VALUE"""),44869.4488425925)</f>
        <v>44869.448842592501</v>
      </c>
      <c r="I524" s="3">
        <f ca="1">IFERROR(__xludf.UNSUPPORTED("""COMPUTED_VALUE"""),24)</f>
        <v>24</v>
      </c>
      <c r="J524" s="4">
        <f ca="1">IFERROR(__xludf.UNSUPPORTED("""COMPUTED_VALUE"""),44870.4488425925)</f>
        <v>44870.448842592501</v>
      </c>
    </row>
    <row r="525" spans="1:12" ht="12.75">
      <c r="A525" s="3" t="str">
        <f ca="1">IFERROR(__xludf.UNSUPPORTED("""COMPUTED_VALUE"""),"1b47a88a")</f>
        <v>1b47a88a</v>
      </c>
      <c r="B525" s="4">
        <f ca="1">IFERROR(__xludf.UNSUPPORTED("""COMPUTED_VALUE"""),44885.4084027777)</f>
        <v>44885.408402777699</v>
      </c>
      <c r="C525" s="8" t="str">
        <f ca="1">IFERROR(__xludf.UNSUPPORTED("""COMPUTED_VALUE"""),"Forno")</f>
        <v>Forno</v>
      </c>
      <c r="D525" s="3" t="str">
        <f ca="1">IFERROR(__xludf.UNSUPPORTED("""COMPUTED_VALUE"""),"🚢 REGULAR")</f>
        <v>🚢 REGULAR</v>
      </c>
      <c r="E525" s="3" t="str">
        <f ca="1">IFERROR(__xludf.UNSUPPORTED("""COMPUTED_VALUE"""),"🚛 LIBERADO")</f>
        <v>🚛 LIBERADO</v>
      </c>
      <c r="F525" s="5">
        <f ca="1">IFERROR(__xludf.UNSUPPORTED("""COMPUTED_VALUE"""),0)</f>
        <v>0</v>
      </c>
      <c r="G525" s="3" t="str">
        <f ca="1">IFERROR(__xludf.UNSUPPORTED("""COMPUTED_VALUE"""),"Situação Normal")</f>
        <v>Situação Normal</v>
      </c>
      <c r="H525" s="4">
        <f ca="1">IFERROR(__xludf.UNSUPPORTED("""COMPUTED_VALUE"""),44887.9827083333)</f>
        <v>44887.9827083333</v>
      </c>
      <c r="I525" s="3">
        <f ca="1">IFERROR(__xludf.UNSUPPORTED("""COMPUTED_VALUE"""),24)</f>
        <v>24</v>
      </c>
      <c r="J525" s="4">
        <f ca="1">IFERROR(__xludf.UNSUPPORTED("""COMPUTED_VALUE"""),44888.9827083333)</f>
        <v>44888.9827083333</v>
      </c>
    </row>
    <row r="526" spans="1:12" ht="12.75">
      <c r="A526" s="3" t="str">
        <f ca="1">IFERROR(__xludf.UNSUPPORTED("""COMPUTED_VALUE"""),"d46c5f95")</f>
        <v>d46c5f95</v>
      </c>
      <c r="B526" s="4">
        <f ca="1">IFERROR(__xludf.UNSUPPORTED("""COMPUTED_VALUE"""),44890.2504861111)</f>
        <v>44890.250486111101</v>
      </c>
      <c r="C526" s="7" t="str">
        <f ca="1">IFERROR(__xludf.UNSUPPORTED("""COMPUTED_VALUE"""),"Forno")</f>
        <v>Forno</v>
      </c>
      <c r="D526" s="3" t="str">
        <f ca="1">IFERROR(__xludf.UNSUPPORTED("""COMPUTED_VALUE"""),"🚢 REGULAR")</f>
        <v>🚢 REGULAR</v>
      </c>
      <c r="E526" s="3" t="str">
        <f ca="1">IFERROR(__xludf.UNSUPPORTED("""COMPUTED_VALUE"""),"🚛 LIBERADO")</f>
        <v>🚛 LIBERADO</v>
      </c>
      <c r="F526" s="5">
        <f ca="1">IFERROR(__xludf.UNSUPPORTED("""COMPUTED_VALUE"""),0)</f>
        <v>0</v>
      </c>
      <c r="G526" s="3" t="str">
        <f ca="1">IFERROR(__xludf.UNSUPPORTED("""COMPUTED_VALUE"""),"Situação Normal")</f>
        <v>Situação Normal</v>
      </c>
      <c r="H526" s="4">
        <f ca="1">IFERROR(__xludf.UNSUPPORTED("""COMPUTED_VALUE"""),44890.2504861111)</f>
        <v>44890.250486111101</v>
      </c>
      <c r="I526" s="3">
        <f ca="1">IFERROR(__xludf.UNSUPPORTED("""COMPUTED_VALUE"""),24)</f>
        <v>24</v>
      </c>
      <c r="J526" s="4">
        <f ca="1">IFERROR(__xludf.UNSUPPORTED("""COMPUTED_VALUE"""),44891.2504861111)</f>
        <v>44891.250486111101</v>
      </c>
    </row>
    <row r="527" spans="1:12" ht="12.75">
      <c r="A527" s="3" t="str">
        <f ca="1">IFERROR(__xludf.UNSUPPORTED("""COMPUTED_VALUE"""),"c38229b0")</f>
        <v>c38229b0</v>
      </c>
      <c r="B527" s="4">
        <f ca="1">IFERROR(__xludf.UNSUPPORTED("""COMPUTED_VALUE"""),44893.4044212963)</f>
        <v>44893.404421296298</v>
      </c>
      <c r="C527" s="8" t="str">
        <f ca="1">IFERROR(__xludf.UNSUPPORTED("""COMPUTED_VALUE"""),"Forno")</f>
        <v>Forno</v>
      </c>
      <c r="D527" s="3" t="str">
        <f ca="1">IFERROR(__xludf.UNSUPPORTED("""COMPUTED_VALUE"""),"🚢 REGULAR")</f>
        <v>🚢 REGULAR</v>
      </c>
      <c r="E527" s="3" t="str">
        <f ca="1">IFERROR(__xludf.UNSUPPORTED("""COMPUTED_VALUE"""),"🚛 LIBERADO")</f>
        <v>🚛 LIBERADO</v>
      </c>
      <c r="F527" s="5">
        <f ca="1">IFERROR(__xludf.UNSUPPORTED("""COMPUTED_VALUE"""),0)</f>
        <v>0</v>
      </c>
      <c r="G527" s="3" t="str">
        <f ca="1">IFERROR(__xludf.UNSUPPORTED("""COMPUTED_VALUE"""),"Situação normal")</f>
        <v>Situação normal</v>
      </c>
      <c r="H527" s="4">
        <f ca="1">IFERROR(__xludf.UNSUPPORTED("""COMPUTED_VALUE"""),44893.4044212963)</f>
        <v>44893.404421296298</v>
      </c>
      <c r="I527" s="3">
        <f ca="1">IFERROR(__xludf.UNSUPPORTED("""COMPUTED_VALUE"""),24)</f>
        <v>24</v>
      </c>
      <c r="J527" s="4">
        <f ca="1">IFERROR(__xludf.UNSUPPORTED("""COMPUTED_VALUE"""),44894.4044212963)</f>
        <v>44894.404421296298</v>
      </c>
    </row>
    <row r="528" spans="1:12" ht="12.75">
      <c r="A528" s="3" t="str">
        <f ca="1">IFERROR(__xludf.UNSUPPORTED("""COMPUTED_VALUE"""),"dabaecdf")</f>
        <v>dabaecdf</v>
      </c>
      <c r="B528" s="4">
        <f ca="1">IFERROR(__xludf.UNSUPPORTED("""COMPUTED_VALUE"""),44894.4259606481)</f>
        <v>44894.425960648099</v>
      </c>
      <c r="C528" s="7" t="str">
        <f ca="1">IFERROR(__xludf.UNSUPPORTED("""COMPUTED_VALUE"""),"Forno")</f>
        <v>Forno</v>
      </c>
      <c r="D528" s="3" t="str">
        <f ca="1">IFERROR(__xludf.UNSUPPORTED("""COMPUTED_VALUE"""),"🚢 REGULAR")</f>
        <v>🚢 REGULAR</v>
      </c>
      <c r="E528" s="3" t="str">
        <f ca="1">IFERROR(__xludf.UNSUPPORTED("""COMPUTED_VALUE"""),"🚛 LIBERADO")</f>
        <v>🚛 LIBERADO</v>
      </c>
      <c r="F528" s="5">
        <f ca="1">IFERROR(__xludf.UNSUPPORTED("""COMPUTED_VALUE"""),0)</f>
        <v>0</v>
      </c>
      <c r="G528" s="3" t="str">
        <f ca="1">IFERROR(__xludf.UNSUPPORTED("""COMPUTED_VALUE"""),"Situação normal")</f>
        <v>Situação normal</v>
      </c>
      <c r="H528" s="4">
        <f ca="1">IFERROR(__xludf.UNSUPPORTED("""COMPUTED_VALUE"""),44894.4259606481)</f>
        <v>44894.425960648099</v>
      </c>
      <c r="I528" s="3">
        <f ca="1">IFERROR(__xludf.UNSUPPORTED("""COMPUTED_VALUE"""),24)</f>
        <v>24</v>
      </c>
      <c r="J528" s="4">
        <f ca="1">IFERROR(__xludf.UNSUPPORTED("""COMPUTED_VALUE"""),44895.4259606481)</f>
        <v>44895.425960648099</v>
      </c>
    </row>
    <row r="529" spans="1:12" ht="12.75">
      <c r="A529" s="3" t="str">
        <f ca="1">IFERROR(__xludf.UNSUPPORTED("""COMPUTED_VALUE"""),"2f6f3ebf")</f>
        <v>2f6f3ebf</v>
      </c>
      <c r="B529" s="4">
        <f ca="1">IFERROR(__xludf.UNSUPPORTED("""COMPUTED_VALUE"""),44895.3885416666)</f>
        <v>44895.388541666602</v>
      </c>
      <c r="C529" s="7" t="str">
        <f ca="1">IFERROR(__xludf.UNSUPPORTED("""COMPUTED_VALUE"""),"Forno")</f>
        <v>Forno</v>
      </c>
      <c r="D529" s="3" t="str">
        <f ca="1">IFERROR(__xludf.UNSUPPORTED("""COMPUTED_VALUE"""),"🚢 REGULAR")</f>
        <v>🚢 REGULAR</v>
      </c>
      <c r="E529" s="3" t="str">
        <f ca="1">IFERROR(__xludf.UNSUPPORTED("""COMPUTED_VALUE"""),"🚛 LIBERADO")</f>
        <v>🚛 LIBERADO</v>
      </c>
      <c r="F529" s="5">
        <f ca="1">IFERROR(__xludf.UNSUPPORTED("""COMPUTED_VALUE"""),0)</f>
        <v>0</v>
      </c>
      <c r="G529" s="3" t="str">
        <f ca="1">IFERROR(__xludf.UNSUPPORTED("""COMPUTED_VALUE"""),"Situação normal")</f>
        <v>Situação normal</v>
      </c>
      <c r="H529" s="4">
        <f ca="1">IFERROR(__xludf.UNSUPPORTED("""COMPUTED_VALUE"""),44896.346875)</f>
        <v>44896.346875000003</v>
      </c>
      <c r="I529" s="3">
        <f ca="1">IFERROR(__xludf.UNSUPPORTED("""COMPUTED_VALUE"""),24)</f>
        <v>24</v>
      </c>
      <c r="J529" s="4">
        <f ca="1">IFERROR(__xludf.UNSUPPORTED("""COMPUTED_VALUE"""),44897.346875)</f>
        <v>44897.346875000003</v>
      </c>
    </row>
    <row r="530" spans="1:12" ht="12.75">
      <c r="A530" s="3" t="str">
        <f ca="1">IFERROR(__xludf.UNSUPPORTED("""COMPUTED_VALUE"""),"4e99ac59")</f>
        <v>4e99ac59</v>
      </c>
      <c r="B530" s="4">
        <f ca="1">IFERROR(__xludf.UNSUPPORTED("""COMPUTED_VALUE"""),44897.3183101851)</f>
        <v>44897.318310185103</v>
      </c>
      <c r="C530" s="8" t="str">
        <f ca="1">IFERROR(__xludf.UNSUPPORTED("""COMPUTED_VALUE"""),"Forno")</f>
        <v>Forno</v>
      </c>
      <c r="D530" s="3" t="str">
        <f ca="1">IFERROR(__xludf.UNSUPPORTED("""COMPUTED_VALUE"""),"🚢 REGULAR")</f>
        <v>🚢 REGULAR</v>
      </c>
      <c r="E530" s="3" t="str">
        <f ca="1">IFERROR(__xludf.UNSUPPORTED("""COMPUTED_VALUE"""),"🚛 LIBERADO")</f>
        <v>🚛 LIBERADO</v>
      </c>
      <c r="F530" s="5">
        <f ca="1">IFERROR(__xludf.UNSUPPORTED("""COMPUTED_VALUE"""),0)</f>
        <v>0</v>
      </c>
      <c r="G530" s="3" t="str">
        <f ca="1">IFERROR(__xludf.UNSUPPORTED("""COMPUTED_VALUE"""),"Situação normal")</f>
        <v>Situação normal</v>
      </c>
      <c r="H530" s="4">
        <f ca="1">IFERROR(__xludf.UNSUPPORTED("""COMPUTED_VALUE"""),44897.3183101851)</f>
        <v>44897.318310185103</v>
      </c>
      <c r="I530" s="3">
        <f ca="1">IFERROR(__xludf.UNSUPPORTED("""COMPUTED_VALUE"""),24)</f>
        <v>24</v>
      </c>
      <c r="J530" s="4">
        <f ca="1">IFERROR(__xludf.UNSUPPORTED("""COMPUTED_VALUE"""),44898.3183101851)</f>
        <v>44898.318310185103</v>
      </c>
    </row>
    <row r="531" spans="1:12" ht="12.75">
      <c r="A531" s="3" t="str">
        <f ca="1">IFERROR(__xludf.UNSUPPORTED("""COMPUTED_VALUE"""),"825fcf14")</f>
        <v>825fcf14</v>
      </c>
      <c r="B531" s="4">
        <f ca="1">IFERROR(__xludf.UNSUPPORTED("""COMPUTED_VALUE"""),44900.4091435185)</f>
        <v>44900.409143518496</v>
      </c>
      <c r="C531" s="7" t="str">
        <f ca="1">IFERROR(__xludf.UNSUPPORTED("""COMPUTED_VALUE"""),"Forno")</f>
        <v>Forno</v>
      </c>
      <c r="D531" s="3" t="str">
        <f ca="1">IFERROR(__xludf.UNSUPPORTED("""COMPUTED_VALUE"""),"🚢 REGULAR")</f>
        <v>🚢 REGULAR</v>
      </c>
      <c r="E531" s="3" t="str">
        <f ca="1">IFERROR(__xludf.UNSUPPORTED("""COMPUTED_VALUE"""),"🚛 LIBERADO")</f>
        <v>🚛 LIBERADO</v>
      </c>
      <c r="F531" s="5">
        <f ca="1">IFERROR(__xludf.UNSUPPORTED("""COMPUTED_VALUE"""),0)</f>
        <v>0</v>
      </c>
      <c r="G531" s="3" t="str">
        <f ca="1">IFERROR(__xludf.UNSUPPORTED("""COMPUTED_VALUE"""),"Situação normal")</f>
        <v>Situação normal</v>
      </c>
      <c r="H531" s="4">
        <f ca="1">IFERROR(__xludf.UNSUPPORTED("""COMPUTED_VALUE"""),44900.4091435185)</f>
        <v>44900.409143518496</v>
      </c>
      <c r="I531" s="3">
        <f ca="1">IFERROR(__xludf.UNSUPPORTED("""COMPUTED_VALUE"""),24)</f>
        <v>24</v>
      </c>
      <c r="J531" s="4">
        <f ca="1">IFERROR(__xludf.UNSUPPORTED("""COMPUTED_VALUE"""),44901.4091435185)</f>
        <v>44901.409143518496</v>
      </c>
    </row>
    <row r="532" spans="1:12" ht="12.75">
      <c r="A532" s="3" t="str">
        <f ca="1">IFERROR(__xludf.UNSUPPORTED("""COMPUTED_VALUE"""),"2780a6df")</f>
        <v>2780a6df</v>
      </c>
      <c r="B532" s="4">
        <f ca="1">IFERROR(__xludf.UNSUPPORTED("""COMPUTED_VALUE"""),44901.4190162037)</f>
        <v>44901.419016203698</v>
      </c>
      <c r="C532" s="8" t="str">
        <f ca="1">IFERROR(__xludf.UNSUPPORTED("""COMPUTED_VALUE"""),"Forno")</f>
        <v>Forno</v>
      </c>
      <c r="D532" s="3" t="str">
        <f ca="1">IFERROR(__xludf.UNSUPPORTED("""COMPUTED_VALUE"""),"🚢 REGULAR")</f>
        <v>🚢 REGULAR</v>
      </c>
      <c r="E532" s="3" t="str">
        <f ca="1">IFERROR(__xludf.UNSUPPORTED("""COMPUTED_VALUE"""),"🚛 LIBERADO")</f>
        <v>🚛 LIBERADO</v>
      </c>
      <c r="F532" s="5">
        <f ca="1">IFERROR(__xludf.UNSUPPORTED("""COMPUTED_VALUE"""),0)</f>
        <v>0</v>
      </c>
      <c r="G532" s="3" t="str">
        <f ca="1">IFERROR(__xludf.UNSUPPORTED("""COMPUTED_VALUE"""),"Situação Normal")</f>
        <v>Situação Normal</v>
      </c>
      <c r="H532" s="4">
        <f ca="1">IFERROR(__xludf.UNSUPPORTED("""COMPUTED_VALUE"""),44903.2919328703)</f>
        <v>44903.291932870299</v>
      </c>
      <c r="I532" s="3">
        <f ca="1">IFERROR(__xludf.UNSUPPORTED("""COMPUTED_VALUE"""),24)</f>
        <v>24</v>
      </c>
      <c r="J532" s="4">
        <f ca="1">IFERROR(__xludf.UNSUPPORTED("""COMPUTED_VALUE"""),44904.2919328703)</f>
        <v>44904.291932870299</v>
      </c>
    </row>
    <row r="533" spans="1:12" ht="12.75">
      <c r="A533" s="3" t="str">
        <f ca="1">IFERROR(__xludf.UNSUPPORTED("""COMPUTED_VALUE"""),"c0e0dc12")</f>
        <v>c0e0dc12</v>
      </c>
      <c r="B533" s="4">
        <f ca="1">IFERROR(__xludf.UNSUPPORTED("""COMPUTED_VALUE"""),44907.5079282407)</f>
        <v>44907.507928240702</v>
      </c>
      <c r="C533" s="7" t="str">
        <f ca="1">IFERROR(__xludf.UNSUPPORTED("""COMPUTED_VALUE"""),"Forno")</f>
        <v>Forno</v>
      </c>
      <c r="D533" s="3" t="str">
        <f ca="1">IFERROR(__xludf.UNSUPPORTED("""COMPUTED_VALUE"""),"🚢 REGULAR")</f>
        <v>🚢 REGULAR</v>
      </c>
      <c r="E533" s="3" t="str">
        <f ca="1">IFERROR(__xludf.UNSUPPORTED("""COMPUTED_VALUE"""),"🚛 LIBERADO")</f>
        <v>🚛 LIBERADO</v>
      </c>
      <c r="F533" s="5">
        <f ca="1">IFERROR(__xludf.UNSUPPORTED("""COMPUTED_VALUE"""),0)</f>
        <v>0</v>
      </c>
      <c r="G533" s="3" t="str">
        <f ca="1">IFERROR(__xludf.UNSUPPORTED("""COMPUTED_VALUE"""),"Situação normal")</f>
        <v>Situação normal</v>
      </c>
      <c r="H533" s="4">
        <f ca="1">IFERROR(__xludf.UNSUPPORTED("""COMPUTED_VALUE"""),44907.4236111111)</f>
        <v>44907.423611111102</v>
      </c>
      <c r="I533" s="3">
        <f ca="1">IFERROR(__xludf.UNSUPPORTED("""COMPUTED_VALUE"""),24)</f>
        <v>24</v>
      </c>
      <c r="J533" s="4">
        <f ca="1">IFERROR(__xludf.UNSUPPORTED("""COMPUTED_VALUE"""),44908.4236111111)</f>
        <v>44908.423611111102</v>
      </c>
    </row>
    <row r="534" spans="1:12" ht="12.75">
      <c r="A534" s="3" t="str">
        <f ca="1">IFERROR(__xludf.UNSUPPORTED("""COMPUTED_VALUE"""),"f8fbd434")</f>
        <v>f8fbd434</v>
      </c>
      <c r="B534" s="4">
        <f ca="1">IFERROR(__xludf.UNSUPPORTED("""COMPUTED_VALUE"""),44928.3870833333)</f>
        <v>44928.387083333299</v>
      </c>
      <c r="C534" s="8" t="str">
        <f ca="1">IFERROR(__xludf.UNSUPPORTED("""COMPUTED_VALUE"""),"Forno")</f>
        <v>Forno</v>
      </c>
      <c r="D534" s="3" t="str">
        <f ca="1">IFERROR(__xludf.UNSUPPORTED("""COMPUTED_VALUE"""),"🚢 REGULAR")</f>
        <v>🚢 REGULAR</v>
      </c>
      <c r="E534" s="3" t="str">
        <f ca="1">IFERROR(__xludf.UNSUPPORTED("""COMPUTED_VALUE"""),"🚛 LIBERADO")</f>
        <v>🚛 LIBERADO</v>
      </c>
      <c r="F534" s="5">
        <f ca="1">IFERROR(__xludf.UNSUPPORTED("""COMPUTED_VALUE"""),0)</f>
        <v>0</v>
      </c>
      <c r="G534" s="3" t="str">
        <f ca="1">IFERROR(__xludf.UNSUPPORTED("""COMPUTED_VALUE"""),"Situação Normal")</f>
        <v>Situação Normal</v>
      </c>
      <c r="H534" s="4">
        <f ca="1">IFERROR(__xludf.UNSUPPORTED("""COMPUTED_VALUE"""),44928.3870833333)</f>
        <v>44928.387083333299</v>
      </c>
      <c r="I534" s="3">
        <f ca="1">IFERROR(__xludf.UNSUPPORTED("""COMPUTED_VALUE"""),24)</f>
        <v>24</v>
      </c>
      <c r="J534" s="4">
        <f ca="1">IFERROR(__xludf.UNSUPPORTED("""COMPUTED_VALUE"""),44929.3870833333)</f>
        <v>44929.387083333299</v>
      </c>
    </row>
    <row r="535" spans="1:12" ht="12.75">
      <c r="A535" s="3" t="str">
        <f ca="1">IFERROR(__xludf.UNSUPPORTED("""COMPUTED_VALUE"""),"d845937c")</f>
        <v>d845937c</v>
      </c>
      <c r="B535" s="4">
        <f ca="1">IFERROR(__xludf.UNSUPPORTED("""COMPUTED_VALUE"""),44935.5007291666)</f>
        <v>44935.500729166597</v>
      </c>
      <c r="C535" s="8" t="str">
        <f ca="1">IFERROR(__xludf.UNSUPPORTED("""COMPUTED_VALUE"""),"Forno")</f>
        <v>Forno</v>
      </c>
      <c r="D535" s="3" t="str">
        <f ca="1">IFERROR(__xludf.UNSUPPORTED("""COMPUTED_VALUE"""),"🚢 REGULAR")</f>
        <v>🚢 REGULAR</v>
      </c>
      <c r="E535" s="3" t="str">
        <f ca="1">IFERROR(__xludf.UNSUPPORTED("""COMPUTED_VALUE"""),"🚛 LIBERADO")</f>
        <v>🚛 LIBERADO</v>
      </c>
      <c r="F535" s="5">
        <f ca="1">IFERROR(__xludf.UNSUPPORTED("""COMPUTED_VALUE"""),0)</f>
        <v>0</v>
      </c>
      <c r="G535" s="3" t="str">
        <f ca="1">IFERROR(__xludf.UNSUPPORTED("""COMPUTED_VALUE"""),"Normalidade")</f>
        <v>Normalidade</v>
      </c>
      <c r="H535" s="4">
        <f ca="1">IFERROR(__xludf.UNSUPPORTED("""COMPUTED_VALUE"""),44935.5007291666)</f>
        <v>44935.500729166597</v>
      </c>
      <c r="I535" s="3">
        <f ca="1">IFERROR(__xludf.UNSUPPORTED("""COMPUTED_VALUE"""),24)</f>
        <v>24</v>
      </c>
      <c r="J535" s="4">
        <f ca="1">IFERROR(__xludf.UNSUPPORTED("""COMPUTED_VALUE"""),44936.5007291666)</f>
        <v>44936.500729166597</v>
      </c>
      <c r="L535" s="3" t="str">
        <f ca="1">IFERROR(__xludf.UNSUPPORTED("""COMPUTED_VALUE"""),"Normalidade")</f>
        <v>Normalidade</v>
      </c>
    </row>
    <row r="536" spans="1:12" ht="12.75">
      <c r="A536" s="3" t="str">
        <f ca="1">IFERROR(__xludf.UNSUPPORTED("""COMPUTED_VALUE"""),"d65f490c")</f>
        <v>d65f490c</v>
      </c>
      <c r="B536" s="4">
        <f ca="1">IFERROR(__xludf.UNSUPPORTED("""COMPUTED_VALUE"""),44938.546099537)</f>
        <v>44938.546099537001</v>
      </c>
      <c r="C536" s="8" t="str">
        <f ca="1">IFERROR(__xludf.UNSUPPORTED("""COMPUTED_VALUE"""),"Forno")</f>
        <v>Forno</v>
      </c>
      <c r="D536" s="3" t="str">
        <f ca="1">IFERROR(__xludf.UNSUPPORTED("""COMPUTED_VALUE"""),"❗️ PARALISADA")</f>
        <v>❗️ PARALISADA</v>
      </c>
      <c r="E536" s="3" t="str">
        <f ca="1">IFERROR(__xludf.UNSUPPORTED("""COMPUTED_VALUE"""),"🚛 LIBERADO")</f>
        <v>🚛 LIBERADO</v>
      </c>
      <c r="F536" s="5">
        <f ca="1">IFERROR(__xludf.UNSUPPORTED("""COMPUTED_VALUE"""),1)</f>
        <v>1</v>
      </c>
      <c r="G536" s="3" t="str">
        <f ca="1">IFERROR(__xludf.UNSUPPORTED("""COMPUTED_VALUE"""),"Porto embargado pelo IBAMA")</f>
        <v>Porto embargado pelo IBAMA</v>
      </c>
      <c r="H536" s="4">
        <f ca="1">IFERROR(__xludf.UNSUPPORTED("""COMPUTED_VALUE"""),44938.546099537)</f>
        <v>44938.546099537001</v>
      </c>
      <c r="I536" s="3">
        <f ca="1">IFERROR(__xludf.UNSUPPORTED("""COMPUTED_VALUE"""),24)</f>
        <v>24</v>
      </c>
      <c r="J536" s="4">
        <f ca="1">IFERROR(__xludf.UNSUPPORTED("""COMPUTED_VALUE"""),44939.546099537)</f>
        <v>44939.546099537001</v>
      </c>
      <c r="L536" s="3" t="str">
        <f ca="1">IFERROR(__xludf.UNSUPPORTED("""COMPUTED_VALUE"""),"Crítico")</f>
        <v>Crítico</v>
      </c>
    </row>
    <row r="537" spans="1:12" ht="12.75">
      <c r="A537" s="3" t="str">
        <f ca="1">IFERROR(__xludf.UNSUPPORTED("""COMPUTED_VALUE"""),"0c6df603")</f>
        <v>0c6df603</v>
      </c>
      <c r="B537" s="4">
        <f ca="1">IFERROR(__xludf.UNSUPPORTED("""COMPUTED_VALUE"""),45120.6368518518)</f>
        <v>45120.636851851799</v>
      </c>
      <c r="C537" s="8" t="str">
        <f ca="1">IFERROR(__xludf.UNSUPPORTED("""COMPUTED_VALUE"""),"Forno")</f>
        <v>Forno</v>
      </c>
      <c r="D537" s="3" t="str">
        <f ca="1">IFERROR(__xludf.UNSUPPORTED("""COMPUTED_VALUE"""),"🚢 REGULAR")</f>
        <v>🚢 REGULAR</v>
      </c>
      <c r="E537" s="3" t="str">
        <f ca="1">IFERROR(__xludf.UNSUPPORTED("""COMPUTED_VALUE"""),"🚛 LIBERADO")</f>
        <v>🚛 LIBERADO</v>
      </c>
      <c r="F537" s="5">
        <f ca="1">IFERROR(__xludf.UNSUPPORTED("""COMPUTED_VALUE"""),0)</f>
        <v>0</v>
      </c>
      <c r="G537" s="3" t="str">
        <f ca="1">IFERROR(__xludf.UNSUPPORTED("""COMPUTED_VALUE"""),"Normalidade")</f>
        <v>Normalidade</v>
      </c>
      <c r="H537" s="4">
        <f ca="1">IFERROR(__xludf.UNSUPPORTED("""COMPUTED_VALUE"""),45120.6368518518)</f>
        <v>45120.636851851799</v>
      </c>
      <c r="I537" s="3">
        <f ca="1">IFERROR(__xludf.UNSUPPORTED("""COMPUTED_VALUE"""),24)</f>
        <v>24</v>
      </c>
      <c r="J537" s="4">
        <f ca="1">IFERROR(__xludf.UNSUPPORTED("""COMPUTED_VALUE"""),45121.6368518518)</f>
        <v>45121.636851851799</v>
      </c>
      <c r="L537" s="3" t="str">
        <f ca="1">IFERROR(__xludf.UNSUPPORTED("""COMPUTED_VALUE"""),"Normalidade")</f>
        <v>Normalidade</v>
      </c>
    </row>
    <row r="538" spans="1:12" ht="12.75">
      <c r="A538" s="3" t="str">
        <f ca="1">IFERROR(__xludf.UNSUPPORTED("""COMPUTED_VALUE"""),"DXmCNgrs")</f>
        <v>DXmCNgrs</v>
      </c>
      <c r="B538" s="4">
        <f ca="1">IFERROR(__xludf.UNSUPPORTED("""COMPUTED_VALUE"""),44589.5)</f>
        <v>44589.5</v>
      </c>
      <c r="C538" s="7" t="str">
        <f ca="1">IFERROR(__xludf.UNSUPPORTED("""COMPUTED_VALUE"""),"Fortaleza")</f>
        <v>Fortaleza</v>
      </c>
      <c r="D538" s="3" t="str">
        <f ca="1">IFERROR(__xludf.UNSUPPORTED("""COMPUTED_VALUE"""),"🚢 REGULAR")</f>
        <v>🚢 REGULAR</v>
      </c>
      <c r="E538" s="3" t="str">
        <f ca="1">IFERROR(__xludf.UNSUPPORTED("""COMPUTED_VALUE"""),"🚛 LIBERADO")</f>
        <v>🚛 LIBERADO</v>
      </c>
      <c r="F538" s="5">
        <f ca="1">IFERROR(__xludf.UNSUPPORTED("""COMPUTED_VALUE"""),0)</f>
        <v>0</v>
      </c>
      <c r="G538" s="3" t="str">
        <f ca="1">IFERROR(__xludf.UNSUPPORTED("""COMPUTED_VALUE"""),"Sem alterações.")</f>
        <v>Sem alterações.</v>
      </c>
      <c r="H538" s="4">
        <f ca="1">IFERROR(__xludf.UNSUPPORTED("""COMPUTED_VALUE"""),44589.4006944444)</f>
        <v>44589.400694444397</v>
      </c>
      <c r="I538" s="3">
        <f ca="1">IFERROR(__xludf.UNSUPPORTED("""COMPUTED_VALUE"""),3)</f>
        <v>3</v>
      </c>
      <c r="J538" s="4">
        <f ca="1">IFERROR(__xludf.UNSUPPORTED("""COMPUTED_VALUE"""),44589.5256944444)</f>
        <v>44589.525694444397</v>
      </c>
    </row>
    <row r="539" spans="1:12" ht="12.75">
      <c r="A539" s="3" t="str">
        <f ca="1">IFERROR(__xludf.UNSUPPORTED("""COMPUTED_VALUE"""),"fe237ff4")</f>
        <v>fe237ff4</v>
      </c>
      <c r="B539" s="4">
        <f ca="1">IFERROR(__xludf.UNSUPPORTED("""COMPUTED_VALUE"""),44866.4188310184)</f>
        <v>44866.418831018404</v>
      </c>
      <c r="C539" s="8" t="str">
        <f ca="1">IFERROR(__xludf.UNSUPPORTED("""COMPUTED_VALUE"""),"Fortaleza")</f>
        <v>Fortaleza</v>
      </c>
      <c r="D539" s="3" t="str">
        <f ca="1">IFERROR(__xludf.UNSUPPORTED("""COMPUTED_VALUE"""),"🚢 REGULAR")</f>
        <v>🚢 REGULAR</v>
      </c>
      <c r="E539" s="3" t="str">
        <f ca="1">IFERROR(__xludf.UNSUPPORTED("""COMPUTED_VALUE"""),"🚛 LIBERADO")</f>
        <v>🚛 LIBERADO</v>
      </c>
      <c r="F539" s="5">
        <f ca="1">IFERROR(__xludf.UNSUPPORTED("""COMPUTED_VALUE"""),0)</f>
        <v>0</v>
      </c>
      <c r="G539" s="3" t="str">
        <f ca="1">IFERROR(__xludf.UNSUPPORTED("""COMPUTED_VALUE"""),"operação normal")</f>
        <v>operação normal</v>
      </c>
      <c r="H539" s="4">
        <f ca="1">IFERROR(__xludf.UNSUPPORTED("""COMPUTED_VALUE"""),44871.8125)</f>
        <v>44871.8125</v>
      </c>
      <c r="I539" s="3">
        <f ca="1">IFERROR(__xludf.UNSUPPORTED("""COMPUTED_VALUE"""),24)</f>
        <v>24</v>
      </c>
      <c r="J539" s="4">
        <f ca="1">IFERROR(__xludf.UNSUPPORTED("""COMPUTED_VALUE"""),44872.8125)</f>
        <v>44872.8125</v>
      </c>
    </row>
    <row r="540" spans="1:12" ht="12.75">
      <c r="A540" s="3" t="str">
        <f ca="1">IFERROR(__xludf.UNSUPPORTED("""COMPUTED_VALUE"""),"a6727e35")</f>
        <v>a6727e35</v>
      </c>
      <c r="B540" s="4">
        <f ca="1">IFERROR(__xludf.UNSUPPORTED("""COMPUTED_VALUE"""),44884.4560069444)</f>
        <v>44884.456006944398</v>
      </c>
      <c r="C540" s="8" t="str">
        <f ca="1">IFERROR(__xludf.UNSUPPORTED("""COMPUTED_VALUE"""),"Fortaleza")</f>
        <v>Fortaleza</v>
      </c>
      <c r="D540" s="3" t="str">
        <f ca="1">IFERROR(__xludf.UNSUPPORTED("""COMPUTED_VALUE"""),"🚢 REGULAR")</f>
        <v>🚢 REGULAR</v>
      </c>
      <c r="E540" s="3" t="str">
        <f ca="1">IFERROR(__xludf.UNSUPPORTED("""COMPUTED_VALUE"""),"🚛 LIBERADO")</f>
        <v>🚛 LIBERADO</v>
      </c>
      <c r="F540" s="5">
        <f ca="1">IFERROR(__xludf.UNSUPPORTED("""COMPUTED_VALUE"""),0)</f>
        <v>0</v>
      </c>
      <c r="G540" s="3" t="str">
        <f ca="1">IFERROR(__xludf.UNSUPPORTED("""COMPUTED_VALUE"""),"normal")</f>
        <v>normal</v>
      </c>
      <c r="H540" s="4">
        <f ca="1">IFERROR(__xludf.UNSUPPORTED("""COMPUTED_VALUE"""),44884.4560069444)</f>
        <v>44884.456006944398</v>
      </c>
      <c r="I540" s="3">
        <f ca="1">IFERROR(__xludf.UNSUPPORTED("""COMPUTED_VALUE"""),24)</f>
        <v>24</v>
      </c>
      <c r="J540" s="4">
        <f ca="1">IFERROR(__xludf.UNSUPPORTED("""COMPUTED_VALUE"""),44885.4560069444)</f>
        <v>44885.456006944398</v>
      </c>
    </row>
    <row r="541" spans="1:12" ht="12.75">
      <c r="A541" s="3" t="str">
        <f ca="1">IFERROR(__xludf.UNSUPPORTED("""COMPUTED_VALUE"""),"0700c4ae")</f>
        <v>0700c4ae</v>
      </c>
      <c r="B541" s="4">
        <f ca="1">IFERROR(__xludf.UNSUPPORTED("""COMPUTED_VALUE"""),44886.3910648148)</f>
        <v>44886.391064814801</v>
      </c>
      <c r="C541" s="7" t="str">
        <f ca="1">IFERROR(__xludf.UNSUPPORTED("""COMPUTED_VALUE"""),"Fortaleza")</f>
        <v>Fortaleza</v>
      </c>
      <c r="D541" s="3" t="str">
        <f ca="1">IFERROR(__xludf.UNSUPPORTED("""COMPUTED_VALUE"""),"🚢 REGULAR")</f>
        <v>🚢 REGULAR</v>
      </c>
      <c r="E541" s="3" t="str">
        <f ca="1">IFERROR(__xludf.UNSUPPORTED("""COMPUTED_VALUE"""),"🚛 LIBERADO")</f>
        <v>🚛 LIBERADO</v>
      </c>
      <c r="F541" s="5">
        <f ca="1">IFERROR(__xludf.UNSUPPORTED("""COMPUTED_VALUE"""),0)</f>
        <v>0</v>
      </c>
      <c r="G541" s="3" t="str">
        <f ca="1">IFERROR(__xludf.UNSUPPORTED("""COMPUTED_VALUE"""),"normalidade")</f>
        <v>normalidade</v>
      </c>
      <c r="H541" s="4">
        <f ca="1">IFERROR(__xludf.UNSUPPORTED("""COMPUTED_VALUE"""),44887.3910648148)</f>
        <v>44887.391064814801</v>
      </c>
      <c r="I541" s="3">
        <f ca="1">IFERROR(__xludf.UNSUPPORTED("""COMPUTED_VALUE"""),24)</f>
        <v>24</v>
      </c>
      <c r="J541" s="4">
        <f ca="1">IFERROR(__xludf.UNSUPPORTED("""COMPUTED_VALUE"""),44888.3910648148)</f>
        <v>44888.391064814801</v>
      </c>
    </row>
    <row r="542" spans="1:12" ht="12.75">
      <c r="A542" s="3" t="str">
        <f ca="1">IFERROR(__xludf.UNSUPPORTED("""COMPUTED_VALUE"""),"2002caab")</f>
        <v>2002caab</v>
      </c>
      <c r="B542" s="4">
        <f ca="1">IFERROR(__xludf.UNSUPPORTED("""COMPUTED_VALUE"""),44888.3847569444)</f>
        <v>44888.384756944397</v>
      </c>
      <c r="C542" s="7" t="str">
        <f ca="1">IFERROR(__xludf.UNSUPPORTED("""COMPUTED_VALUE"""),"Fortaleza")</f>
        <v>Fortaleza</v>
      </c>
      <c r="D542" s="3" t="str">
        <f ca="1">IFERROR(__xludf.UNSUPPORTED("""COMPUTED_VALUE"""),"🚢 REGULAR")</f>
        <v>🚢 REGULAR</v>
      </c>
      <c r="E542" s="3" t="str">
        <f ca="1">IFERROR(__xludf.UNSUPPORTED("""COMPUTED_VALUE"""),"🚛 LIBERADO")</f>
        <v>🚛 LIBERADO</v>
      </c>
      <c r="F542" s="5">
        <f ca="1">IFERROR(__xludf.UNSUPPORTED("""COMPUTED_VALUE"""),0)</f>
        <v>0</v>
      </c>
      <c r="G542" s="3" t="str">
        <f ca="1">IFERROR(__xludf.UNSUPPORTED("""COMPUTED_VALUE"""),"Normalidade")</f>
        <v>Normalidade</v>
      </c>
      <c r="H542" s="4">
        <f ca="1">IFERROR(__xludf.UNSUPPORTED("""COMPUTED_VALUE"""),44888.3847569444)</f>
        <v>44888.384756944397</v>
      </c>
      <c r="I542" s="3">
        <f ca="1">IFERROR(__xludf.UNSUPPORTED("""COMPUTED_VALUE"""),24)</f>
        <v>24</v>
      </c>
      <c r="J542" s="4">
        <f ca="1">IFERROR(__xludf.UNSUPPORTED("""COMPUTED_VALUE"""),44889.3847569444)</f>
        <v>44889.384756944397</v>
      </c>
    </row>
    <row r="543" spans="1:12" ht="12.75">
      <c r="A543" s="3" t="str">
        <f ca="1">IFERROR(__xludf.UNSUPPORTED("""COMPUTED_VALUE"""),"2f7bdba1")</f>
        <v>2f7bdba1</v>
      </c>
      <c r="B543" s="4">
        <f ca="1">IFERROR(__xludf.UNSUPPORTED("""COMPUTED_VALUE"""),44889.4671064814)</f>
        <v>44889.467106481403</v>
      </c>
      <c r="C543" s="7" t="str">
        <f ca="1">IFERROR(__xludf.UNSUPPORTED("""COMPUTED_VALUE"""),"Fortaleza")</f>
        <v>Fortaleza</v>
      </c>
      <c r="D543" s="3" t="str">
        <f ca="1">IFERROR(__xludf.UNSUPPORTED("""COMPUTED_VALUE"""),"🚢 REGULAR")</f>
        <v>🚢 REGULAR</v>
      </c>
      <c r="E543" s="3" t="str">
        <f ca="1">IFERROR(__xludf.UNSUPPORTED("""COMPUTED_VALUE"""),"🚛 LIBERADO")</f>
        <v>🚛 LIBERADO</v>
      </c>
      <c r="F543" s="5">
        <f ca="1">IFERROR(__xludf.UNSUPPORTED("""COMPUTED_VALUE"""),0)</f>
        <v>0</v>
      </c>
      <c r="G543" s="3" t="str">
        <f ca="1">IFERROR(__xludf.UNSUPPORTED("""COMPUTED_VALUE"""),"Normalidade")</f>
        <v>Normalidade</v>
      </c>
      <c r="H543" s="4">
        <f ca="1">IFERROR(__xludf.UNSUPPORTED("""COMPUTED_VALUE"""),44891.4270833333)</f>
        <v>44891.427083333299</v>
      </c>
      <c r="I543" s="3">
        <f ca="1">IFERROR(__xludf.UNSUPPORTED("""COMPUTED_VALUE"""),24)</f>
        <v>24</v>
      </c>
      <c r="J543" s="4">
        <f ca="1">IFERROR(__xludf.UNSUPPORTED("""COMPUTED_VALUE"""),44892.4270833333)</f>
        <v>44892.427083333299</v>
      </c>
    </row>
    <row r="544" spans="1:12" ht="12.75">
      <c r="A544" s="3" t="str">
        <f ca="1">IFERROR(__xludf.UNSUPPORTED("""COMPUTED_VALUE"""),"a268a537")</f>
        <v>a268a537</v>
      </c>
      <c r="B544" s="4">
        <f ca="1">IFERROR(__xludf.UNSUPPORTED("""COMPUTED_VALUE"""),44892.6644444444)</f>
        <v>44892.664444444403</v>
      </c>
      <c r="C544" s="8" t="str">
        <f ca="1">IFERROR(__xludf.UNSUPPORTED("""COMPUTED_VALUE"""),"Fortaleza")</f>
        <v>Fortaleza</v>
      </c>
      <c r="D544" s="3" t="str">
        <f ca="1">IFERROR(__xludf.UNSUPPORTED("""COMPUTED_VALUE"""),"🚢 REGULAR")</f>
        <v>🚢 REGULAR</v>
      </c>
      <c r="E544" s="3" t="str">
        <f ca="1">IFERROR(__xludf.UNSUPPORTED("""COMPUTED_VALUE"""),"🚛 LIBERADO")</f>
        <v>🚛 LIBERADO</v>
      </c>
      <c r="F544" s="5">
        <f ca="1">IFERROR(__xludf.UNSUPPORTED("""COMPUTED_VALUE"""),0)</f>
        <v>0</v>
      </c>
      <c r="G544" s="3" t="str">
        <f ca="1">IFERROR(__xludf.UNSUPPORTED("""COMPUTED_VALUE"""),"Normalidade")</f>
        <v>Normalidade</v>
      </c>
      <c r="H544" s="4">
        <f ca="1">IFERROR(__xludf.UNSUPPORTED("""COMPUTED_VALUE"""),44892.6644444444)</f>
        <v>44892.664444444403</v>
      </c>
      <c r="I544" s="3">
        <f ca="1">IFERROR(__xludf.UNSUPPORTED("""COMPUTED_VALUE"""),24)</f>
        <v>24</v>
      </c>
      <c r="J544" s="4">
        <f ca="1">IFERROR(__xludf.UNSUPPORTED("""COMPUTED_VALUE"""),44893.6644444444)</f>
        <v>44893.664444444403</v>
      </c>
    </row>
    <row r="545" spans="1:10" ht="12.75">
      <c r="A545" s="3" t="str">
        <f ca="1">IFERROR(__xludf.UNSUPPORTED("""COMPUTED_VALUE"""),"ac93d2bc")</f>
        <v>ac93d2bc</v>
      </c>
      <c r="B545" s="4">
        <f ca="1">IFERROR(__xludf.UNSUPPORTED("""COMPUTED_VALUE"""),44893.4500462963)</f>
        <v>44893.450046296297</v>
      </c>
      <c r="C545" s="7" t="str">
        <f ca="1">IFERROR(__xludf.UNSUPPORTED("""COMPUTED_VALUE"""),"Fortaleza")</f>
        <v>Fortaleza</v>
      </c>
      <c r="D545" s="3" t="str">
        <f ca="1">IFERROR(__xludf.UNSUPPORTED("""COMPUTED_VALUE"""),"🚢 REGULAR")</f>
        <v>🚢 REGULAR</v>
      </c>
      <c r="E545" s="3" t="str">
        <f ca="1">IFERROR(__xludf.UNSUPPORTED("""COMPUTED_VALUE"""),"🚛 LIBERADO")</f>
        <v>🚛 LIBERADO</v>
      </c>
      <c r="F545" s="5">
        <f ca="1">IFERROR(__xludf.UNSUPPORTED("""COMPUTED_VALUE"""),0)</f>
        <v>0</v>
      </c>
      <c r="G545" s="3" t="str">
        <f ca="1">IFERROR(__xludf.UNSUPPORTED("""COMPUTED_VALUE"""),"Normalidade")</f>
        <v>Normalidade</v>
      </c>
      <c r="H545" s="4">
        <f ca="1">IFERROR(__xludf.UNSUPPORTED("""COMPUTED_VALUE"""),44895.375)</f>
        <v>44895.375</v>
      </c>
      <c r="I545" s="3">
        <f ca="1">IFERROR(__xludf.UNSUPPORTED("""COMPUTED_VALUE"""),24)</f>
        <v>24</v>
      </c>
      <c r="J545" s="4">
        <f ca="1">IFERROR(__xludf.UNSUPPORTED("""COMPUTED_VALUE"""),44896.375)</f>
        <v>44896.375</v>
      </c>
    </row>
    <row r="546" spans="1:10" ht="12.75">
      <c r="A546" s="3" t="str">
        <f ca="1">IFERROR(__xludf.UNSUPPORTED("""COMPUTED_VALUE"""),"9224b5a9")</f>
        <v>9224b5a9</v>
      </c>
      <c r="B546" s="4">
        <f ca="1">IFERROR(__xludf.UNSUPPORTED("""COMPUTED_VALUE"""),44896.3224999999)</f>
        <v>44896.3224999999</v>
      </c>
      <c r="C546" s="7" t="str">
        <f ca="1">IFERROR(__xludf.UNSUPPORTED("""COMPUTED_VALUE"""),"Fortaleza")</f>
        <v>Fortaleza</v>
      </c>
      <c r="D546" s="3" t="str">
        <f ca="1">IFERROR(__xludf.UNSUPPORTED("""COMPUTED_VALUE"""),"🚢 REGULAR")</f>
        <v>🚢 REGULAR</v>
      </c>
      <c r="E546" s="3" t="str">
        <f ca="1">IFERROR(__xludf.UNSUPPORTED("""COMPUTED_VALUE"""),"🚛 LIBERADO")</f>
        <v>🚛 LIBERADO</v>
      </c>
      <c r="F546" s="5">
        <f ca="1">IFERROR(__xludf.UNSUPPORTED("""COMPUTED_VALUE"""),0)</f>
        <v>0</v>
      </c>
      <c r="G546" s="3" t="str">
        <f ca="1">IFERROR(__xludf.UNSUPPORTED("""COMPUTED_VALUE"""),"Normalidade")</f>
        <v>Normalidade</v>
      </c>
      <c r="H546" s="4">
        <f ca="1">IFERROR(__xludf.UNSUPPORTED("""COMPUTED_VALUE"""),44896.3224999999)</f>
        <v>44896.3224999999</v>
      </c>
      <c r="I546" s="3">
        <f ca="1">IFERROR(__xludf.UNSUPPORTED("""COMPUTED_VALUE"""),24)</f>
        <v>24</v>
      </c>
      <c r="J546" s="4">
        <f ca="1">IFERROR(__xludf.UNSUPPORTED("""COMPUTED_VALUE"""),44897.3224999999)</f>
        <v>44897.3224999999</v>
      </c>
    </row>
    <row r="547" spans="1:10" ht="12.75">
      <c r="A547" s="3" t="str">
        <f ca="1">IFERROR(__xludf.UNSUPPORTED("""COMPUTED_VALUE"""),"095bc633")</f>
        <v>095bc633</v>
      </c>
      <c r="B547" s="4">
        <f ca="1">IFERROR(__xludf.UNSUPPORTED("""COMPUTED_VALUE"""),44897.3523726851)</f>
        <v>44897.352372685098</v>
      </c>
      <c r="C547" s="7" t="str">
        <f ca="1">IFERROR(__xludf.UNSUPPORTED("""COMPUTED_VALUE"""),"Fortaleza")</f>
        <v>Fortaleza</v>
      </c>
      <c r="D547" s="3" t="str">
        <f ca="1">IFERROR(__xludf.UNSUPPORTED("""COMPUTED_VALUE"""),"🚢 REGULAR")</f>
        <v>🚢 REGULAR</v>
      </c>
      <c r="E547" s="3" t="str">
        <f ca="1">IFERROR(__xludf.UNSUPPORTED("""COMPUTED_VALUE"""),"🚛 LIBERADO")</f>
        <v>🚛 LIBERADO</v>
      </c>
      <c r="F547" s="5">
        <f ca="1">IFERROR(__xludf.UNSUPPORTED("""COMPUTED_VALUE"""),0)</f>
        <v>0</v>
      </c>
      <c r="G547" s="3" t="str">
        <f ca="1">IFERROR(__xludf.UNSUPPORTED("""COMPUTED_VALUE"""),"Normalidade")</f>
        <v>Normalidade</v>
      </c>
      <c r="H547" s="4">
        <f ca="1">IFERROR(__xludf.UNSUPPORTED("""COMPUTED_VALUE"""),44897.3523726851)</f>
        <v>44897.352372685098</v>
      </c>
      <c r="I547" s="3">
        <f ca="1">IFERROR(__xludf.UNSUPPORTED("""COMPUTED_VALUE"""),24)</f>
        <v>24</v>
      </c>
      <c r="J547" s="4">
        <f ca="1">IFERROR(__xludf.UNSUPPORTED("""COMPUTED_VALUE"""),44898.3523726851)</f>
        <v>44898.352372685098</v>
      </c>
    </row>
    <row r="548" spans="1:10" ht="12.75">
      <c r="A548" s="3" t="str">
        <f ca="1">IFERROR(__xludf.UNSUPPORTED("""COMPUTED_VALUE"""),"ddc3d685")</f>
        <v>ddc3d685</v>
      </c>
      <c r="B548" s="4">
        <f ca="1">IFERROR(__xludf.UNSUPPORTED("""COMPUTED_VALUE"""),44900.4272106481)</f>
        <v>44900.4272106481</v>
      </c>
      <c r="C548" s="8" t="str">
        <f ca="1">IFERROR(__xludf.UNSUPPORTED("""COMPUTED_VALUE"""),"Fortaleza")</f>
        <v>Fortaleza</v>
      </c>
      <c r="D548" s="3" t="str">
        <f ca="1">IFERROR(__xludf.UNSUPPORTED("""COMPUTED_VALUE"""),"🚢 REGULAR")</f>
        <v>🚢 REGULAR</v>
      </c>
      <c r="E548" s="3" t="str">
        <f ca="1">IFERROR(__xludf.UNSUPPORTED("""COMPUTED_VALUE"""),"🚛 LIBERADO")</f>
        <v>🚛 LIBERADO</v>
      </c>
      <c r="F548" s="5">
        <f ca="1">IFERROR(__xludf.UNSUPPORTED("""COMPUTED_VALUE"""),0)</f>
        <v>0</v>
      </c>
      <c r="G548" s="3" t="str">
        <f ca="1">IFERROR(__xludf.UNSUPPORTED("""COMPUTED_VALUE"""),"Normalidade")</f>
        <v>Normalidade</v>
      </c>
      <c r="H548" s="4">
        <f ca="1">IFERROR(__xludf.UNSUPPORTED("""COMPUTED_VALUE"""),44900.4272106481)</f>
        <v>44900.4272106481</v>
      </c>
      <c r="I548" s="3">
        <f ca="1">IFERROR(__xludf.UNSUPPORTED("""COMPUTED_VALUE"""),24)</f>
        <v>24</v>
      </c>
      <c r="J548" s="4">
        <f ca="1">IFERROR(__xludf.UNSUPPORTED("""COMPUTED_VALUE"""),44901.4272106481)</f>
        <v>44901.4272106481</v>
      </c>
    </row>
    <row r="549" spans="1:10" ht="12.75">
      <c r="A549" s="3" t="str">
        <f ca="1">IFERROR(__xludf.UNSUPPORTED("""COMPUTED_VALUE"""),"d8d6b9c0")</f>
        <v>d8d6b9c0</v>
      </c>
      <c r="B549" s="4">
        <f ca="1">IFERROR(__xludf.UNSUPPORTED("""COMPUTED_VALUE"""),44901.3713194444)</f>
        <v>44901.371319444399</v>
      </c>
      <c r="C549" s="8" t="str">
        <f ca="1">IFERROR(__xludf.UNSUPPORTED("""COMPUTED_VALUE"""),"Fortaleza")</f>
        <v>Fortaleza</v>
      </c>
      <c r="D549" s="3" t="str">
        <f ca="1">IFERROR(__xludf.UNSUPPORTED("""COMPUTED_VALUE"""),"🚢 REGULAR")</f>
        <v>🚢 REGULAR</v>
      </c>
      <c r="E549" s="3" t="str">
        <f ca="1">IFERROR(__xludf.UNSUPPORTED("""COMPUTED_VALUE"""),"🚛 LIBERADO")</f>
        <v>🚛 LIBERADO</v>
      </c>
      <c r="F549" s="5">
        <f ca="1">IFERROR(__xludf.UNSUPPORTED("""COMPUTED_VALUE"""),0)</f>
        <v>0</v>
      </c>
      <c r="G549" s="3" t="str">
        <f ca="1">IFERROR(__xludf.UNSUPPORTED("""COMPUTED_VALUE"""),"Normalidade")</f>
        <v>Normalidade</v>
      </c>
      <c r="H549" s="4">
        <f ca="1">IFERROR(__xludf.UNSUPPORTED("""COMPUTED_VALUE"""),44901.3713194444)</f>
        <v>44901.371319444399</v>
      </c>
      <c r="I549" s="3">
        <f ca="1">IFERROR(__xludf.UNSUPPORTED("""COMPUTED_VALUE"""),24)</f>
        <v>24</v>
      </c>
      <c r="J549" s="4">
        <f ca="1">IFERROR(__xludf.UNSUPPORTED("""COMPUTED_VALUE"""),44902.3713194444)</f>
        <v>44902.371319444399</v>
      </c>
    </row>
    <row r="550" spans="1:10" ht="12.75">
      <c r="A550" s="3" t="str">
        <f ca="1">IFERROR(__xludf.UNSUPPORTED("""COMPUTED_VALUE"""),"43cd11c1")</f>
        <v>43cd11c1</v>
      </c>
      <c r="B550" s="4">
        <f ca="1">IFERROR(__xludf.UNSUPPORTED("""COMPUTED_VALUE"""),44902.391412037)</f>
        <v>44902.391412037003</v>
      </c>
      <c r="C550" s="7" t="str">
        <f ca="1">IFERROR(__xludf.UNSUPPORTED("""COMPUTED_VALUE"""),"Fortaleza")</f>
        <v>Fortaleza</v>
      </c>
      <c r="D550" s="3" t="str">
        <f ca="1">IFERROR(__xludf.UNSUPPORTED("""COMPUTED_VALUE"""),"🚢 REGULAR")</f>
        <v>🚢 REGULAR</v>
      </c>
      <c r="E550" s="3" t="str">
        <f ca="1">IFERROR(__xludf.UNSUPPORTED("""COMPUTED_VALUE"""),"🚛 LIBERADO")</f>
        <v>🚛 LIBERADO</v>
      </c>
      <c r="F550" s="5">
        <f ca="1">IFERROR(__xludf.UNSUPPORTED("""COMPUTED_VALUE"""),0)</f>
        <v>0</v>
      </c>
      <c r="G550" s="3" t="str">
        <f ca="1">IFERROR(__xludf.UNSUPPORTED("""COMPUTED_VALUE"""),"Normalidade")</f>
        <v>Normalidade</v>
      </c>
      <c r="H550" s="4">
        <f ca="1">IFERROR(__xludf.UNSUPPORTED("""COMPUTED_VALUE"""),44902.391412037)</f>
        <v>44902.391412037003</v>
      </c>
      <c r="I550" s="3">
        <f ca="1">IFERROR(__xludf.UNSUPPORTED("""COMPUTED_VALUE"""),24)</f>
        <v>24</v>
      </c>
      <c r="J550" s="4">
        <f ca="1">IFERROR(__xludf.UNSUPPORTED("""COMPUTED_VALUE"""),44903.391412037)</f>
        <v>44903.391412037003</v>
      </c>
    </row>
    <row r="551" spans="1:10" ht="12.75">
      <c r="A551" s="3" t="str">
        <f ca="1">IFERROR(__xludf.UNSUPPORTED("""COMPUTED_VALUE"""),"b14a0d44")</f>
        <v>b14a0d44</v>
      </c>
      <c r="B551" s="4">
        <f ca="1">IFERROR(__xludf.UNSUPPORTED("""COMPUTED_VALUE"""),44903.3633449074)</f>
        <v>44903.363344907397</v>
      </c>
      <c r="C551" s="7" t="str">
        <f ca="1">IFERROR(__xludf.UNSUPPORTED("""COMPUTED_VALUE"""),"Fortaleza")</f>
        <v>Fortaleza</v>
      </c>
      <c r="D551" s="3" t="str">
        <f ca="1">IFERROR(__xludf.UNSUPPORTED("""COMPUTED_VALUE"""),"🚢 REGULAR")</f>
        <v>🚢 REGULAR</v>
      </c>
      <c r="E551" s="3" t="str">
        <f ca="1">IFERROR(__xludf.UNSUPPORTED("""COMPUTED_VALUE"""),"🚛 LIBERADO")</f>
        <v>🚛 LIBERADO</v>
      </c>
      <c r="F551" s="5">
        <f ca="1">IFERROR(__xludf.UNSUPPORTED("""COMPUTED_VALUE"""),0)</f>
        <v>0</v>
      </c>
      <c r="G551" s="3" t="str">
        <f ca="1">IFERROR(__xludf.UNSUPPORTED("""COMPUTED_VALUE"""),"Normalidade")</f>
        <v>Normalidade</v>
      </c>
      <c r="H551" s="4">
        <f ca="1">IFERROR(__xludf.UNSUPPORTED("""COMPUTED_VALUE"""),44903.3633449074)</f>
        <v>44903.363344907397</v>
      </c>
      <c r="I551" s="3">
        <f ca="1">IFERROR(__xludf.UNSUPPORTED("""COMPUTED_VALUE"""),24)</f>
        <v>24</v>
      </c>
      <c r="J551" s="4">
        <f ca="1">IFERROR(__xludf.UNSUPPORTED("""COMPUTED_VALUE"""),44904.3633449074)</f>
        <v>44904.363344907397</v>
      </c>
    </row>
    <row r="552" spans="1:10" ht="12.75">
      <c r="A552" s="3" t="str">
        <f ca="1">IFERROR(__xludf.UNSUPPORTED("""COMPUTED_VALUE"""),"dcb9302d")</f>
        <v>dcb9302d</v>
      </c>
      <c r="B552" s="4">
        <f ca="1">IFERROR(__xludf.UNSUPPORTED("""COMPUTED_VALUE"""),44904.3761921296)</f>
        <v>44904.376192129603</v>
      </c>
      <c r="C552" s="8" t="str">
        <f ca="1">IFERROR(__xludf.UNSUPPORTED("""COMPUTED_VALUE"""),"Fortaleza")</f>
        <v>Fortaleza</v>
      </c>
      <c r="D552" s="3" t="str">
        <f ca="1">IFERROR(__xludf.UNSUPPORTED("""COMPUTED_VALUE"""),"🚢 REGULAR")</f>
        <v>🚢 REGULAR</v>
      </c>
      <c r="E552" s="3" t="str">
        <f ca="1">IFERROR(__xludf.UNSUPPORTED("""COMPUTED_VALUE"""),"🚛 LIBERADO")</f>
        <v>🚛 LIBERADO</v>
      </c>
      <c r="F552" s="5">
        <f ca="1">IFERROR(__xludf.UNSUPPORTED("""COMPUTED_VALUE"""),0)</f>
        <v>0</v>
      </c>
      <c r="G552" s="3" t="str">
        <f ca="1">IFERROR(__xludf.UNSUPPORTED("""COMPUTED_VALUE"""),"Normalidade")</f>
        <v>Normalidade</v>
      </c>
      <c r="H552" s="4">
        <f ca="1">IFERROR(__xludf.UNSUPPORTED("""COMPUTED_VALUE"""),44904.3761921296)</f>
        <v>44904.376192129603</v>
      </c>
      <c r="I552" s="3">
        <f ca="1">IFERROR(__xludf.UNSUPPORTED("""COMPUTED_VALUE"""),24)</f>
        <v>24</v>
      </c>
      <c r="J552" s="4">
        <f ca="1">IFERROR(__xludf.UNSUPPORTED("""COMPUTED_VALUE"""),44905.3761921296)</f>
        <v>44905.376192129603</v>
      </c>
    </row>
    <row r="553" spans="1:10" ht="12.75">
      <c r="A553" s="3" t="str">
        <f ca="1">IFERROR(__xludf.UNSUPPORTED("""COMPUTED_VALUE"""),"40bec31d")</f>
        <v>40bec31d</v>
      </c>
      <c r="B553" s="4">
        <f ca="1">IFERROR(__xludf.UNSUPPORTED("""COMPUTED_VALUE"""),44905.4140509259)</f>
        <v>44905.414050925901</v>
      </c>
      <c r="C553" s="8" t="str">
        <f ca="1">IFERROR(__xludf.UNSUPPORTED("""COMPUTED_VALUE"""),"Fortaleza")</f>
        <v>Fortaleza</v>
      </c>
      <c r="D553" s="3" t="str">
        <f ca="1">IFERROR(__xludf.UNSUPPORTED("""COMPUTED_VALUE"""),"🚢 REGULAR")</f>
        <v>🚢 REGULAR</v>
      </c>
      <c r="E553" s="3" t="str">
        <f ca="1">IFERROR(__xludf.UNSUPPORTED("""COMPUTED_VALUE"""),"🚛 LIBERADO")</f>
        <v>🚛 LIBERADO</v>
      </c>
      <c r="F553" s="5">
        <f ca="1">IFERROR(__xludf.UNSUPPORTED("""COMPUTED_VALUE"""),0)</f>
        <v>0</v>
      </c>
      <c r="G553" s="3" t="str">
        <f ca="1">IFERROR(__xludf.UNSUPPORTED("""COMPUTED_VALUE"""),"Normalidade")</f>
        <v>Normalidade</v>
      </c>
      <c r="H553" s="4">
        <f ca="1">IFERROR(__xludf.UNSUPPORTED("""COMPUTED_VALUE"""),44905.4140509259)</f>
        <v>44905.414050925901</v>
      </c>
      <c r="I553" s="3">
        <f ca="1">IFERROR(__xludf.UNSUPPORTED("""COMPUTED_VALUE"""),24)</f>
        <v>24</v>
      </c>
      <c r="J553" s="4">
        <f ca="1">IFERROR(__xludf.UNSUPPORTED("""COMPUTED_VALUE"""),44906.4140509259)</f>
        <v>44906.414050925901</v>
      </c>
    </row>
    <row r="554" spans="1:10" ht="12.75">
      <c r="A554" s="3" t="str">
        <f ca="1">IFERROR(__xludf.UNSUPPORTED("""COMPUTED_VALUE"""),"b31231d2")</f>
        <v>b31231d2</v>
      </c>
      <c r="B554" s="4">
        <f ca="1">IFERROR(__xludf.UNSUPPORTED("""COMPUTED_VALUE"""),44907.3991782407)</f>
        <v>44907.399178240703</v>
      </c>
      <c r="C554" s="7" t="str">
        <f ca="1">IFERROR(__xludf.UNSUPPORTED("""COMPUTED_VALUE"""),"Fortaleza")</f>
        <v>Fortaleza</v>
      </c>
      <c r="D554" s="3" t="str">
        <f ca="1">IFERROR(__xludf.UNSUPPORTED("""COMPUTED_VALUE"""),"🚢 REGULAR")</f>
        <v>🚢 REGULAR</v>
      </c>
      <c r="E554" s="3" t="str">
        <f ca="1">IFERROR(__xludf.UNSUPPORTED("""COMPUTED_VALUE"""),"🚛 LIBERADO")</f>
        <v>🚛 LIBERADO</v>
      </c>
      <c r="F554" s="5">
        <f ca="1">IFERROR(__xludf.UNSUPPORTED("""COMPUTED_VALUE"""),0)</f>
        <v>0</v>
      </c>
      <c r="G554" s="3" t="str">
        <f ca="1">IFERROR(__xludf.UNSUPPORTED("""COMPUTED_VALUE"""),"Normalidade")</f>
        <v>Normalidade</v>
      </c>
      <c r="H554" s="4">
        <f ca="1">IFERROR(__xludf.UNSUPPORTED("""COMPUTED_VALUE"""),44907.3991782407)</f>
        <v>44907.399178240703</v>
      </c>
      <c r="I554" s="3">
        <f ca="1">IFERROR(__xludf.UNSUPPORTED("""COMPUTED_VALUE"""),24)</f>
        <v>24</v>
      </c>
      <c r="J554" s="4">
        <f ca="1">IFERROR(__xludf.UNSUPPORTED("""COMPUTED_VALUE"""),44908.3991782407)</f>
        <v>44908.399178240703</v>
      </c>
    </row>
    <row r="555" spans="1:10" ht="12.75">
      <c r="A555" s="3" t="str">
        <f ca="1">IFERROR(__xludf.UNSUPPORTED("""COMPUTED_VALUE"""),"e9e9be84")</f>
        <v>e9e9be84</v>
      </c>
      <c r="B555" s="4">
        <f ca="1">IFERROR(__xludf.UNSUPPORTED("""COMPUTED_VALUE"""),44908.4047685185)</f>
        <v>44908.4047685185</v>
      </c>
      <c r="C555" s="7" t="str">
        <f ca="1">IFERROR(__xludf.UNSUPPORTED("""COMPUTED_VALUE"""),"Fortaleza")</f>
        <v>Fortaleza</v>
      </c>
      <c r="D555" s="3" t="str">
        <f ca="1">IFERROR(__xludf.UNSUPPORTED("""COMPUTED_VALUE"""),"🚢 REGULAR")</f>
        <v>🚢 REGULAR</v>
      </c>
      <c r="E555" s="3" t="str">
        <f ca="1">IFERROR(__xludf.UNSUPPORTED("""COMPUTED_VALUE"""),"🚛 LIBERADO")</f>
        <v>🚛 LIBERADO</v>
      </c>
      <c r="F555" s="5">
        <f ca="1">IFERROR(__xludf.UNSUPPORTED("""COMPUTED_VALUE"""),0)</f>
        <v>0</v>
      </c>
      <c r="G555" s="3" t="str">
        <f ca="1">IFERROR(__xludf.UNSUPPORTED("""COMPUTED_VALUE"""),"Normalidade")</f>
        <v>Normalidade</v>
      </c>
      <c r="H555" s="4">
        <f ca="1">IFERROR(__xludf.UNSUPPORTED("""COMPUTED_VALUE"""),44908.4047685185)</f>
        <v>44908.4047685185</v>
      </c>
      <c r="I555" s="3">
        <f ca="1">IFERROR(__xludf.UNSUPPORTED("""COMPUTED_VALUE"""),24)</f>
        <v>24</v>
      </c>
      <c r="J555" s="4">
        <f ca="1">IFERROR(__xludf.UNSUPPORTED("""COMPUTED_VALUE"""),44909.4047685185)</f>
        <v>44909.4047685185</v>
      </c>
    </row>
    <row r="556" spans="1:10" ht="12.75">
      <c r="A556" s="3" t="str">
        <f ca="1">IFERROR(__xludf.UNSUPPORTED("""COMPUTED_VALUE"""),"b70720c6")</f>
        <v>b70720c6</v>
      </c>
      <c r="B556" s="4">
        <f ca="1">IFERROR(__xludf.UNSUPPORTED("""COMPUTED_VALUE"""),44910.4298842592)</f>
        <v>44910.429884259203</v>
      </c>
      <c r="C556" s="7" t="str">
        <f ca="1">IFERROR(__xludf.UNSUPPORTED("""COMPUTED_VALUE"""),"Fortaleza")</f>
        <v>Fortaleza</v>
      </c>
      <c r="D556" s="3" t="str">
        <f ca="1">IFERROR(__xludf.UNSUPPORTED("""COMPUTED_VALUE"""),"🚢 REGULAR")</f>
        <v>🚢 REGULAR</v>
      </c>
      <c r="E556" s="3" t="str">
        <f ca="1">IFERROR(__xludf.UNSUPPORTED("""COMPUTED_VALUE"""),"🚛 LIBERADO")</f>
        <v>🚛 LIBERADO</v>
      </c>
      <c r="F556" s="5">
        <f ca="1">IFERROR(__xludf.UNSUPPORTED("""COMPUTED_VALUE"""),0)</f>
        <v>0</v>
      </c>
      <c r="G556" s="3" t="str">
        <f ca="1">IFERROR(__xludf.UNSUPPORTED("""COMPUTED_VALUE"""),"Normalidade")</f>
        <v>Normalidade</v>
      </c>
      <c r="H556" s="4">
        <f ca="1">IFERROR(__xludf.UNSUPPORTED("""COMPUTED_VALUE"""),44910.4298842592)</f>
        <v>44910.429884259203</v>
      </c>
      <c r="I556" s="3">
        <f ca="1">IFERROR(__xludf.UNSUPPORTED("""COMPUTED_VALUE"""),24)</f>
        <v>24</v>
      </c>
      <c r="J556" s="4">
        <f ca="1">IFERROR(__xludf.UNSUPPORTED("""COMPUTED_VALUE"""),44911.4298842592)</f>
        <v>44911.429884259203</v>
      </c>
    </row>
    <row r="557" spans="1:10" ht="12.75">
      <c r="A557" s="3" t="str">
        <f ca="1">IFERROR(__xludf.UNSUPPORTED("""COMPUTED_VALUE"""),"835ac125")</f>
        <v>835ac125</v>
      </c>
      <c r="B557" s="4">
        <f ca="1">IFERROR(__xludf.UNSUPPORTED("""COMPUTED_VALUE"""),44911.4899305555)</f>
        <v>44911.489930555501</v>
      </c>
      <c r="C557" s="7" t="str">
        <f ca="1">IFERROR(__xludf.UNSUPPORTED("""COMPUTED_VALUE"""),"Fortaleza")</f>
        <v>Fortaleza</v>
      </c>
      <c r="D557" s="3" t="str">
        <f ca="1">IFERROR(__xludf.UNSUPPORTED("""COMPUTED_VALUE"""),"🚢 REGULAR")</f>
        <v>🚢 REGULAR</v>
      </c>
      <c r="E557" s="3" t="str">
        <f ca="1">IFERROR(__xludf.UNSUPPORTED("""COMPUTED_VALUE"""),"🚛 LIBERADO")</f>
        <v>🚛 LIBERADO</v>
      </c>
      <c r="F557" s="5">
        <f ca="1">IFERROR(__xludf.UNSUPPORTED("""COMPUTED_VALUE"""),0)</f>
        <v>0</v>
      </c>
      <c r="G557" s="3" t="str">
        <f ca="1">IFERROR(__xludf.UNSUPPORTED("""COMPUTED_VALUE"""),"Normalidade")</f>
        <v>Normalidade</v>
      </c>
      <c r="H557" s="4">
        <f ca="1">IFERROR(__xludf.UNSUPPORTED("""COMPUTED_VALUE"""),44911.4899305555)</f>
        <v>44911.489930555501</v>
      </c>
      <c r="I557" s="3">
        <f ca="1">IFERROR(__xludf.UNSUPPORTED("""COMPUTED_VALUE"""),24)</f>
        <v>24</v>
      </c>
      <c r="J557" s="4">
        <f ca="1">IFERROR(__xludf.UNSUPPORTED("""COMPUTED_VALUE"""),44912.4899305555)</f>
        <v>44912.489930555501</v>
      </c>
    </row>
    <row r="558" spans="1:10" ht="12.75">
      <c r="A558" s="3" t="str">
        <f ca="1">IFERROR(__xludf.UNSUPPORTED("""COMPUTED_VALUE"""),"b8c00770")</f>
        <v>b8c00770</v>
      </c>
      <c r="B558" s="4">
        <f ca="1">IFERROR(__xludf.UNSUPPORTED("""COMPUTED_VALUE"""),44912.5136689814)</f>
        <v>44912.513668981403</v>
      </c>
      <c r="C558" s="8" t="str">
        <f ca="1">IFERROR(__xludf.UNSUPPORTED("""COMPUTED_VALUE"""),"Fortaleza")</f>
        <v>Fortaleza</v>
      </c>
      <c r="D558" s="3" t="str">
        <f ca="1">IFERROR(__xludf.UNSUPPORTED("""COMPUTED_VALUE"""),"🚢 REGULAR")</f>
        <v>🚢 REGULAR</v>
      </c>
      <c r="E558" s="3" t="str">
        <f ca="1">IFERROR(__xludf.UNSUPPORTED("""COMPUTED_VALUE"""),"🚛 LIBERADO")</f>
        <v>🚛 LIBERADO</v>
      </c>
      <c r="F558" s="5">
        <f ca="1">IFERROR(__xludf.UNSUPPORTED("""COMPUTED_VALUE"""),0)</f>
        <v>0</v>
      </c>
      <c r="G558" s="3" t="str">
        <f ca="1">IFERROR(__xludf.UNSUPPORTED("""COMPUTED_VALUE"""),"Normalidade")</f>
        <v>Normalidade</v>
      </c>
      <c r="H558" s="4">
        <f ca="1">IFERROR(__xludf.UNSUPPORTED("""COMPUTED_VALUE"""),44912.5136689814)</f>
        <v>44912.513668981403</v>
      </c>
      <c r="I558" s="3">
        <f ca="1">IFERROR(__xludf.UNSUPPORTED("""COMPUTED_VALUE"""),24)</f>
        <v>24</v>
      </c>
      <c r="J558" s="4">
        <f ca="1">IFERROR(__xludf.UNSUPPORTED("""COMPUTED_VALUE"""),44913.5136689814)</f>
        <v>44913.513668981403</v>
      </c>
    </row>
    <row r="559" spans="1:10" ht="12.75">
      <c r="A559" s="3" t="str">
        <f ca="1">IFERROR(__xludf.UNSUPPORTED("""COMPUTED_VALUE"""),"e3799ba7")</f>
        <v>e3799ba7</v>
      </c>
      <c r="B559" s="4">
        <f ca="1">IFERROR(__xludf.UNSUPPORTED("""COMPUTED_VALUE"""),44914.3766435185)</f>
        <v>44914.376643518503</v>
      </c>
      <c r="C559" s="7" t="str">
        <f ca="1">IFERROR(__xludf.UNSUPPORTED("""COMPUTED_VALUE"""),"Fortaleza")</f>
        <v>Fortaleza</v>
      </c>
      <c r="D559" s="3" t="str">
        <f ca="1">IFERROR(__xludf.UNSUPPORTED("""COMPUTED_VALUE"""),"🚢 REGULAR")</f>
        <v>🚢 REGULAR</v>
      </c>
      <c r="E559" s="3" t="str">
        <f ca="1">IFERROR(__xludf.UNSUPPORTED("""COMPUTED_VALUE"""),"🚛 LIBERADO")</f>
        <v>🚛 LIBERADO</v>
      </c>
      <c r="F559" s="5">
        <f ca="1">IFERROR(__xludf.UNSUPPORTED("""COMPUTED_VALUE"""),0)</f>
        <v>0</v>
      </c>
      <c r="G559" s="3" t="str">
        <f ca="1">IFERROR(__xludf.UNSUPPORTED("""COMPUTED_VALUE"""),"Normalidade")</f>
        <v>Normalidade</v>
      </c>
      <c r="H559" s="4">
        <f ca="1">IFERROR(__xludf.UNSUPPORTED("""COMPUTED_VALUE"""),44914.3766435185)</f>
        <v>44914.376643518503</v>
      </c>
      <c r="I559" s="3">
        <f ca="1">IFERROR(__xludf.UNSUPPORTED("""COMPUTED_VALUE"""),24)</f>
        <v>24</v>
      </c>
      <c r="J559" s="4">
        <f ca="1">IFERROR(__xludf.UNSUPPORTED("""COMPUTED_VALUE"""),44915.3766435185)</f>
        <v>44915.376643518503</v>
      </c>
    </row>
    <row r="560" spans="1:10" ht="12.75">
      <c r="A560" s="3" t="str">
        <f ca="1">IFERROR(__xludf.UNSUPPORTED("""COMPUTED_VALUE"""),"7b355bd0")</f>
        <v>7b355bd0</v>
      </c>
      <c r="B560" s="4">
        <f ca="1">IFERROR(__xludf.UNSUPPORTED("""COMPUTED_VALUE"""),44915.436261574)</f>
        <v>44915.436261574003</v>
      </c>
      <c r="C560" s="7" t="str">
        <f ca="1">IFERROR(__xludf.UNSUPPORTED("""COMPUTED_VALUE"""),"Fortaleza")</f>
        <v>Fortaleza</v>
      </c>
      <c r="D560" s="3" t="str">
        <f ca="1">IFERROR(__xludf.UNSUPPORTED("""COMPUTED_VALUE"""),"🚢 REGULAR")</f>
        <v>🚢 REGULAR</v>
      </c>
      <c r="E560" s="3" t="str">
        <f ca="1">IFERROR(__xludf.UNSUPPORTED("""COMPUTED_VALUE"""),"🚛 LIBERADO")</f>
        <v>🚛 LIBERADO</v>
      </c>
      <c r="F560" s="5">
        <f ca="1">IFERROR(__xludf.UNSUPPORTED("""COMPUTED_VALUE"""),0)</f>
        <v>0</v>
      </c>
      <c r="G560" s="3" t="str">
        <f ca="1">IFERROR(__xludf.UNSUPPORTED("""COMPUTED_VALUE"""),"Normalidade")</f>
        <v>Normalidade</v>
      </c>
      <c r="H560" s="4">
        <f ca="1">IFERROR(__xludf.UNSUPPORTED("""COMPUTED_VALUE"""),44915.436261574)</f>
        <v>44915.436261574003</v>
      </c>
      <c r="I560" s="3">
        <f ca="1">IFERROR(__xludf.UNSUPPORTED("""COMPUTED_VALUE"""),24)</f>
        <v>24</v>
      </c>
      <c r="J560" s="4">
        <f ca="1">IFERROR(__xludf.UNSUPPORTED("""COMPUTED_VALUE"""),44916.436261574)</f>
        <v>44916.436261574003</v>
      </c>
    </row>
    <row r="561" spans="1:12" ht="12.75">
      <c r="A561" s="3" t="str">
        <f ca="1">IFERROR(__xludf.UNSUPPORTED("""COMPUTED_VALUE"""),"44a9e4c8")</f>
        <v>44a9e4c8</v>
      </c>
      <c r="B561" s="4">
        <f ca="1">IFERROR(__xludf.UNSUPPORTED("""COMPUTED_VALUE"""),44917.3947106481)</f>
        <v>44917.394710648099</v>
      </c>
      <c r="C561" s="8" t="str">
        <f ca="1">IFERROR(__xludf.UNSUPPORTED("""COMPUTED_VALUE"""),"Fortaleza")</f>
        <v>Fortaleza</v>
      </c>
      <c r="D561" s="3" t="str">
        <f ca="1">IFERROR(__xludf.UNSUPPORTED("""COMPUTED_VALUE"""),"🚢 REGULAR")</f>
        <v>🚢 REGULAR</v>
      </c>
      <c r="E561" s="3" t="str">
        <f ca="1">IFERROR(__xludf.UNSUPPORTED("""COMPUTED_VALUE"""),"🚛 LIBERADO")</f>
        <v>🚛 LIBERADO</v>
      </c>
      <c r="F561" s="5">
        <f ca="1">IFERROR(__xludf.UNSUPPORTED("""COMPUTED_VALUE"""),0)</f>
        <v>0</v>
      </c>
      <c r="G561" s="3" t="str">
        <f ca="1">IFERROR(__xludf.UNSUPPORTED("""COMPUTED_VALUE"""),"Normalidade")</f>
        <v>Normalidade</v>
      </c>
      <c r="H561" s="4">
        <f ca="1">IFERROR(__xludf.UNSUPPORTED("""COMPUTED_VALUE"""),44917.3947106481)</f>
        <v>44917.394710648099</v>
      </c>
      <c r="I561" s="3">
        <f ca="1">IFERROR(__xludf.UNSUPPORTED("""COMPUTED_VALUE"""),24)</f>
        <v>24</v>
      </c>
      <c r="J561" s="4">
        <f ca="1">IFERROR(__xludf.UNSUPPORTED("""COMPUTED_VALUE"""),44918.3947106481)</f>
        <v>44918.394710648099</v>
      </c>
    </row>
    <row r="562" spans="1:12" ht="12.75">
      <c r="A562" s="3" t="str">
        <f ca="1">IFERROR(__xludf.UNSUPPORTED("""COMPUTED_VALUE"""),"c851ce72")</f>
        <v>c851ce72</v>
      </c>
      <c r="B562" s="4">
        <f ca="1">IFERROR(__xludf.UNSUPPORTED("""COMPUTED_VALUE"""),44918.4288773148)</f>
        <v>44918.4288773148</v>
      </c>
      <c r="C562" s="7" t="str">
        <f ca="1">IFERROR(__xludf.UNSUPPORTED("""COMPUTED_VALUE"""),"Fortaleza")</f>
        <v>Fortaleza</v>
      </c>
      <c r="D562" s="3" t="str">
        <f ca="1">IFERROR(__xludf.UNSUPPORTED("""COMPUTED_VALUE"""),"🚢 REGULAR")</f>
        <v>🚢 REGULAR</v>
      </c>
      <c r="E562" s="3" t="str">
        <f ca="1">IFERROR(__xludf.UNSUPPORTED("""COMPUTED_VALUE"""),"🚛 LIBERADO")</f>
        <v>🚛 LIBERADO</v>
      </c>
      <c r="F562" s="5">
        <f ca="1">IFERROR(__xludf.UNSUPPORTED("""COMPUTED_VALUE"""),0)</f>
        <v>0</v>
      </c>
      <c r="G562" s="3" t="str">
        <f ca="1">IFERROR(__xludf.UNSUPPORTED("""COMPUTED_VALUE"""),"Normalidade")</f>
        <v>Normalidade</v>
      </c>
      <c r="H562" s="4">
        <f ca="1">IFERROR(__xludf.UNSUPPORTED("""COMPUTED_VALUE"""),44918.4288773148)</f>
        <v>44918.4288773148</v>
      </c>
      <c r="I562" s="3">
        <f ca="1">IFERROR(__xludf.UNSUPPORTED("""COMPUTED_VALUE"""),24)</f>
        <v>24</v>
      </c>
      <c r="J562" s="4">
        <f ca="1">IFERROR(__xludf.UNSUPPORTED("""COMPUTED_VALUE"""),44919.4288773148)</f>
        <v>44919.4288773148</v>
      </c>
    </row>
    <row r="563" spans="1:12" ht="12.75">
      <c r="A563" s="3" t="str">
        <f ca="1">IFERROR(__xludf.UNSUPPORTED("""COMPUTED_VALUE"""),"be3527d7")</f>
        <v>be3527d7</v>
      </c>
      <c r="B563" s="4">
        <f ca="1">IFERROR(__xludf.UNSUPPORTED("""COMPUTED_VALUE"""),44923.4149652777)</f>
        <v>44923.414965277698</v>
      </c>
      <c r="C563" s="8" t="str">
        <f ca="1">IFERROR(__xludf.UNSUPPORTED("""COMPUTED_VALUE"""),"Fortaleza")</f>
        <v>Fortaleza</v>
      </c>
      <c r="D563" s="3" t="str">
        <f ca="1">IFERROR(__xludf.UNSUPPORTED("""COMPUTED_VALUE"""),"🚢 REGULAR")</f>
        <v>🚢 REGULAR</v>
      </c>
      <c r="E563" s="3" t="str">
        <f ca="1">IFERROR(__xludf.UNSUPPORTED("""COMPUTED_VALUE"""),"🚛 LIBERADO")</f>
        <v>🚛 LIBERADO</v>
      </c>
      <c r="F563" s="5">
        <f ca="1">IFERROR(__xludf.UNSUPPORTED("""COMPUTED_VALUE"""),0)</f>
        <v>0</v>
      </c>
      <c r="G563" s="3" t="str">
        <f ca="1">IFERROR(__xludf.UNSUPPORTED("""COMPUTED_VALUE"""),"Normalidade")</f>
        <v>Normalidade</v>
      </c>
      <c r="H563" s="4">
        <f ca="1">IFERROR(__xludf.UNSUPPORTED("""COMPUTED_VALUE"""),44923.4149652777)</f>
        <v>44923.414965277698</v>
      </c>
      <c r="I563" s="3">
        <f ca="1">IFERROR(__xludf.UNSUPPORTED("""COMPUTED_VALUE"""),24)</f>
        <v>24</v>
      </c>
      <c r="J563" s="4">
        <f ca="1">IFERROR(__xludf.UNSUPPORTED("""COMPUTED_VALUE"""),44924.4149652777)</f>
        <v>44924.414965277698</v>
      </c>
    </row>
    <row r="564" spans="1:12" ht="12.75">
      <c r="A564" s="3" t="str">
        <f ca="1">IFERROR(__xludf.UNSUPPORTED("""COMPUTED_VALUE"""),"dd90000d")</f>
        <v>dd90000d</v>
      </c>
      <c r="B564" s="4">
        <f ca="1">IFERROR(__xludf.UNSUPPORTED("""COMPUTED_VALUE"""),44935.3308449074)</f>
        <v>44935.330844907403</v>
      </c>
      <c r="C564" s="8" t="str">
        <f ca="1">IFERROR(__xludf.UNSUPPORTED("""COMPUTED_VALUE"""),"Fortaleza")</f>
        <v>Fortaleza</v>
      </c>
      <c r="D564" s="3" t="str">
        <f ca="1">IFERROR(__xludf.UNSUPPORTED("""COMPUTED_VALUE"""),"🚢 REGULAR")</f>
        <v>🚢 REGULAR</v>
      </c>
      <c r="E564" s="3" t="str">
        <f ca="1">IFERROR(__xludf.UNSUPPORTED("""COMPUTED_VALUE"""),"🚛 LIBERADO")</f>
        <v>🚛 LIBERADO</v>
      </c>
      <c r="F564" s="5">
        <f ca="1">IFERROR(__xludf.UNSUPPORTED("""COMPUTED_VALUE"""),0)</f>
        <v>0</v>
      </c>
      <c r="G564" s="3" t="str">
        <f ca="1">IFERROR(__xludf.UNSUPPORTED("""COMPUTED_VALUE"""),"Normalidade")</f>
        <v>Normalidade</v>
      </c>
      <c r="H564" s="4">
        <f ca="1">IFERROR(__xludf.UNSUPPORTED("""COMPUTED_VALUE"""),44935.3308449074)</f>
        <v>44935.330844907403</v>
      </c>
      <c r="I564" s="3">
        <f ca="1">IFERROR(__xludf.UNSUPPORTED("""COMPUTED_VALUE"""),24)</f>
        <v>24</v>
      </c>
      <c r="J564" s="4">
        <f ca="1">IFERROR(__xludf.UNSUPPORTED("""COMPUTED_VALUE"""),44936.3308449074)</f>
        <v>44936.330844907403</v>
      </c>
      <c r="L564" s="3" t="str">
        <f ca="1">IFERROR(__xludf.UNSUPPORTED("""COMPUTED_VALUE"""),"Normalidade")</f>
        <v>Normalidade</v>
      </c>
    </row>
    <row r="565" spans="1:12" ht="12.75">
      <c r="A565" s="3" t="str">
        <f ca="1">IFERROR(__xludf.UNSUPPORTED("""COMPUTED_VALUE"""),"a1179f2f")</f>
        <v>a1179f2f</v>
      </c>
      <c r="B565" s="4">
        <f ca="1">IFERROR(__xludf.UNSUPPORTED("""COMPUTED_VALUE"""),44936.4223032407)</f>
        <v>44936.422303240703</v>
      </c>
      <c r="C565" s="7" t="str">
        <f ca="1">IFERROR(__xludf.UNSUPPORTED("""COMPUTED_VALUE"""),"Fortaleza")</f>
        <v>Fortaleza</v>
      </c>
      <c r="D565" s="3" t="str">
        <f ca="1">IFERROR(__xludf.UNSUPPORTED("""COMPUTED_VALUE"""),"🚢 REGULAR")</f>
        <v>🚢 REGULAR</v>
      </c>
      <c r="E565" s="3" t="str">
        <f ca="1">IFERROR(__xludf.UNSUPPORTED("""COMPUTED_VALUE"""),"🚛 LIBERADO")</f>
        <v>🚛 LIBERADO</v>
      </c>
      <c r="F565" s="5">
        <f ca="1">IFERROR(__xludf.UNSUPPORTED("""COMPUTED_VALUE"""),0)</f>
        <v>0</v>
      </c>
      <c r="G565" s="3" t="str">
        <f ca="1">IFERROR(__xludf.UNSUPPORTED("""COMPUTED_VALUE"""),"Normalidade")</f>
        <v>Normalidade</v>
      </c>
      <c r="H565" s="4">
        <f ca="1">IFERROR(__xludf.UNSUPPORTED("""COMPUTED_VALUE"""),44936.4223032407)</f>
        <v>44936.422303240703</v>
      </c>
      <c r="I565" s="3">
        <f ca="1">IFERROR(__xludf.UNSUPPORTED("""COMPUTED_VALUE"""),24)</f>
        <v>24</v>
      </c>
      <c r="J565" s="4">
        <f ca="1">IFERROR(__xludf.UNSUPPORTED("""COMPUTED_VALUE"""),44937.4223032407)</f>
        <v>44937.422303240703</v>
      </c>
      <c r="L565" s="3" t="str">
        <f ca="1">IFERROR(__xludf.UNSUPPORTED("""COMPUTED_VALUE"""),"Normalidade")</f>
        <v>Normalidade</v>
      </c>
    </row>
    <row r="566" spans="1:12" ht="12.75">
      <c r="A566" s="3" t="str">
        <f ca="1">IFERROR(__xludf.UNSUPPORTED("""COMPUTED_VALUE"""),"50cd0ef6")</f>
        <v>50cd0ef6</v>
      </c>
      <c r="B566" s="4">
        <f ca="1">IFERROR(__xludf.UNSUPPORTED("""COMPUTED_VALUE"""),44937.4146759259)</f>
        <v>44937.414675925902</v>
      </c>
      <c r="C566" s="7" t="str">
        <f ca="1">IFERROR(__xludf.UNSUPPORTED("""COMPUTED_VALUE"""),"Fortaleza")</f>
        <v>Fortaleza</v>
      </c>
      <c r="D566" s="3" t="str">
        <f ca="1">IFERROR(__xludf.UNSUPPORTED("""COMPUTED_VALUE"""),"🚢 REGULAR")</f>
        <v>🚢 REGULAR</v>
      </c>
      <c r="E566" s="3" t="str">
        <f ca="1">IFERROR(__xludf.UNSUPPORTED("""COMPUTED_VALUE"""),"🚛 LIBERADO")</f>
        <v>🚛 LIBERADO</v>
      </c>
      <c r="F566" s="5">
        <f ca="1">IFERROR(__xludf.UNSUPPORTED("""COMPUTED_VALUE"""),0)</f>
        <v>0</v>
      </c>
      <c r="G566" s="3" t="str">
        <f ca="1">IFERROR(__xludf.UNSUPPORTED("""COMPUTED_VALUE"""),"Normalidade")</f>
        <v>Normalidade</v>
      </c>
      <c r="H566" s="4">
        <f ca="1">IFERROR(__xludf.UNSUPPORTED("""COMPUTED_VALUE"""),44937.4146759259)</f>
        <v>44937.414675925902</v>
      </c>
      <c r="I566" s="3">
        <f ca="1">IFERROR(__xludf.UNSUPPORTED("""COMPUTED_VALUE"""),24)</f>
        <v>24</v>
      </c>
      <c r="J566" s="4">
        <f ca="1">IFERROR(__xludf.UNSUPPORTED("""COMPUTED_VALUE"""),44938.4146759259)</f>
        <v>44938.414675925902</v>
      </c>
      <c r="L566" s="3" t="str">
        <f ca="1">IFERROR(__xludf.UNSUPPORTED("""COMPUTED_VALUE"""),"Normalidade")</f>
        <v>Normalidade</v>
      </c>
    </row>
    <row r="567" spans="1:12" ht="12.75">
      <c r="A567" s="3" t="str">
        <f ca="1">IFERROR(__xludf.UNSUPPORTED("""COMPUTED_VALUE"""),"f2786894")</f>
        <v>f2786894</v>
      </c>
      <c r="B567" s="4">
        <f ca="1">IFERROR(__xludf.UNSUPPORTED("""COMPUTED_VALUE"""),44938.478460648)</f>
        <v>44938.478460648003</v>
      </c>
      <c r="C567" s="7" t="str">
        <f ca="1">IFERROR(__xludf.UNSUPPORTED("""COMPUTED_VALUE"""),"Fortaleza")</f>
        <v>Fortaleza</v>
      </c>
      <c r="D567" s="3" t="str">
        <f ca="1">IFERROR(__xludf.UNSUPPORTED("""COMPUTED_VALUE"""),"🚢 REGULAR")</f>
        <v>🚢 REGULAR</v>
      </c>
      <c r="E567" s="3" t="str">
        <f ca="1">IFERROR(__xludf.UNSUPPORTED("""COMPUTED_VALUE"""),"🚛 LIBERADO")</f>
        <v>🚛 LIBERADO</v>
      </c>
      <c r="F567" s="5">
        <f ca="1">IFERROR(__xludf.UNSUPPORTED("""COMPUTED_VALUE"""),0)</f>
        <v>0</v>
      </c>
      <c r="G567" s="3" t="str">
        <f ca="1">IFERROR(__xludf.UNSUPPORTED("""COMPUTED_VALUE"""),"Normalidade")</f>
        <v>Normalidade</v>
      </c>
      <c r="H567" s="4">
        <f ca="1">IFERROR(__xludf.UNSUPPORTED("""COMPUTED_VALUE"""),44938.478460648)</f>
        <v>44938.478460648003</v>
      </c>
      <c r="I567" s="3">
        <f ca="1">IFERROR(__xludf.UNSUPPORTED("""COMPUTED_VALUE"""),24)</f>
        <v>24</v>
      </c>
      <c r="J567" s="4">
        <f ca="1">IFERROR(__xludf.UNSUPPORTED("""COMPUTED_VALUE"""),44939.478460648)</f>
        <v>44939.478460648003</v>
      </c>
      <c r="L567" s="3" t="str">
        <f ca="1">IFERROR(__xludf.UNSUPPORTED("""COMPUTED_VALUE"""),"Normalidade")</f>
        <v>Normalidade</v>
      </c>
    </row>
    <row r="568" spans="1:12" ht="12.75">
      <c r="A568" s="3" t="str">
        <f ca="1">IFERROR(__xludf.UNSUPPORTED("""COMPUTED_VALUE"""),"71a38626")</f>
        <v>71a38626</v>
      </c>
      <c r="B568" s="4">
        <f ca="1">IFERROR(__xludf.UNSUPPORTED("""COMPUTED_VALUE"""),44939.4253009259)</f>
        <v>44939.425300925897</v>
      </c>
      <c r="C568" s="7" t="str">
        <f ca="1">IFERROR(__xludf.UNSUPPORTED("""COMPUTED_VALUE"""),"Fortaleza")</f>
        <v>Fortaleza</v>
      </c>
      <c r="D568" s="3" t="str">
        <f ca="1">IFERROR(__xludf.UNSUPPORTED("""COMPUTED_VALUE"""),"🚢 REGULAR")</f>
        <v>🚢 REGULAR</v>
      </c>
      <c r="E568" s="3" t="str">
        <f ca="1">IFERROR(__xludf.UNSUPPORTED("""COMPUTED_VALUE"""),"🚛 LIBERADO")</f>
        <v>🚛 LIBERADO</v>
      </c>
      <c r="F568" s="5">
        <f ca="1">IFERROR(__xludf.UNSUPPORTED("""COMPUTED_VALUE"""),0)</f>
        <v>0</v>
      </c>
      <c r="G568" s="3" t="str">
        <f ca="1">IFERROR(__xludf.UNSUPPORTED("""COMPUTED_VALUE"""),"Normalidade")</f>
        <v>Normalidade</v>
      </c>
      <c r="H568" s="4">
        <f ca="1">IFERROR(__xludf.UNSUPPORTED("""COMPUTED_VALUE"""),44939.4253009259)</f>
        <v>44939.425300925897</v>
      </c>
      <c r="I568" s="3">
        <f ca="1">IFERROR(__xludf.UNSUPPORTED("""COMPUTED_VALUE"""),24)</f>
        <v>24</v>
      </c>
      <c r="J568" s="4">
        <f ca="1">IFERROR(__xludf.UNSUPPORTED("""COMPUTED_VALUE"""),44940.4253009259)</f>
        <v>44940.425300925897</v>
      </c>
      <c r="L568" s="3" t="str">
        <f ca="1">IFERROR(__xludf.UNSUPPORTED("""COMPUTED_VALUE"""),"Normalidade")</f>
        <v>Normalidade</v>
      </c>
    </row>
    <row r="569" spans="1:12" ht="12.75">
      <c r="A569" s="3" t="str">
        <f ca="1">IFERROR(__xludf.UNSUPPORTED("""COMPUTED_VALUE"""),"29bc0805")</f>
        <v>29bc0805</v>
      </c>
      <c r="B569" s="4">
        <f ca="1">IFERROR(__xludf.UNSUPPORTED("""COMPUTED_VALUE"""),44943.3883101851)</f>
        <v>44943.388310185102</v>
      </c>
      <c r="C569" s="7" t="str">
        <f ca="1">IFERROR(__xludf.UNSUPPORTED("""COMPUTED_VALUE"""),"Fortaleza")</f>
        <v>Fortaleza</v>
      </c>
      <c r="D569" s="3" t="str">
        <f ca="1">IFERROR(__xludf.UNSUPPORTED("""COMPUTED_VALUE"""),"🚢 REGULAR")</f>
        <v>🚢 REGULAR</v>
      </c>
      <c r="E569" s="3" t="str">
        <f ca="1">IFERROR(__xludf.UNSUPPORTED("""COMPUTED_VALUE"""),"🚛 LIBERADO")</f>
        <v>🚛 LIBERADO</v>
      </c>
      <c r="F569" s="5">
        <f ca="1">IFERROR(__xludf.UNSUPPORTED("""COMPUTED_VALUE"""),0)</f>
        <v>0</v>
      </c>
      <c r="G569" s="3" t="str">
        <f ca="1">IFERROR(__xludf.UNSUPPORTED("""COMPUTED_VALUE"""),"Normalidade")</f>
        <v>Normalidade</v>
      </c>
      <c r="H569" s="4">
        <f ca="1">IFERROR(__xludf.UNSUPPORTED("""COMPUTED_VALUE"""),44943.3883101851)</f>
        <v>44943.388310185102</v>
      </c>
      <c r="I569" s="3">
        <f ca="1">IFERROR(__xludf.UNSUPPORTED("""COMPUTED_VALUE"""),24)</f>
        <v>24</v>
      </c>
      <c r="J569" s="4">
        <f ca="1">IFERROR(__xludf.UNSUPPORTED("""COMPUTED_VALUE"""),44944.3883101851)</f>
        <v>44944.388310185102</v>
      </c>
      <c r="L569" s="3" t="str">
        <f ca="1">IFERROR(__xludf.UNSUPPORTED("""COMPUTED_VALUE"""),"Normalidade")</f>
        <v>Normalidade</v>
      </c>
    </row>
    <row r="570" spans="1:12" ht="12.75">
      <c r="A570" s="3" t="str">
        <f ca="1">IFERROR(__xludf.UNSUPPORTED("""COMPUTED_VALUE"""),"36ca91e4")</f>
        <v>36ca91e4</v>
      </c>
      <c r="B570" s="4">
        <f ca="1">IFERROR(__xludf.UNSUPPORTED("""COMPUTED_VALUE"""),44944.3484375)</f>
        <v>44944.348437499997</v>
      </c>
      <c r="C570" s="7" t="str">
        <f ca="1">IFERROR(__xludf.UNSUPPORTED("""COMPUTED_VALUE"""),"Fortaleza")</f>
        <v>Fortaleza</v>
      </c>
      <c r="D570" s="3" t="str">
        <f ca="1">IFERROR(__xludf.UNSUPPORTED("""COMPUTED_VALUE"""),"🚢 REGULAR")</f>
        <v>🚢 REGULAR</v>
      </c>
      <c r="E570" s="3" t="str">
        <f ca="1">IFERROR(__xludf.UNSUPPORTED("""COMPUTED_VALUE"""),"🚛 LIBERADO")</f>
        <v>🚛 LIBERADO</v>
      </c>
      <c r="F570" s="5">
        <f ca="1">IFERROR(__xludf.UNSUPPORTED("""COMPUTED_VALUE"""),0)</f>
        <v>0</v>
      </c>
      <c r="G570" s="3" t="str">
        <f ca="1">IFERROR(__xludf.UNSUPPORTED("""COMPUTED_VALUE"""),"Normalidade")</f>
        <v>Normalidade</v>
      </c>
      <c r="H570" s="4">
        <f ca="1">IFERROR(__xludf.UNSUPPORTED("""COMPUTED_VALUE"""),44944.3484375)</f>
        <v>44944.348437499997</v>
      </c>
      <c r="I570" s="3">
        <f ca="1">IFERROR(__xludf.UNSUPPORTED("""COMPUTED_VALUE"""),24)</f>
        <v>24</v>
      </c>
      <c r="J570" s="4">
        <f ca="1">IFERROR(__xludf.UNSUPPORTED("""COMPUTED_VALUE"""),44945.3484375)</f>
        <v>44945.348437499997</v>
      </c>
      <c r="L570" s="3" t="str">
        <f ca="1">IFERROR(__xludf.UNSUPPORTED("""COMPUTED_VALUE"""),"Normalidade")</f>
        <v>Normalidade</v>
      </c>
    </row>
    <row r="571" spans="1:12" ht="12.75">
      <c r="A571" s="3" t="str">
        <f ca="1">IFERROR(__xludf.UNSUPPORTED("""COMPUTED_VALUE"""),"0b8243f5")</f>
        <v>0b8243f5</v>
      </c>
      <c r="B571" s="4">
        <f ca="1">IFERROR(__xludf.UNSUPPORTED("""COMPUTED_VALUE"""),44945.3495254629)</f>
        <v>44945.349525462902</v>
      </c>
      <c r="C571" s="8" t="str">
        <f ca="1">IFERROR(__xludf.UNSUPPORTED("""COMPUTED_VALUE"""),"Fortaleza")</f>
        <v>Fortaleza</v>
      </c>
      <c r="D571" s="3" t="str">
        <f ca="1">IFERROR(__xludf.UNSUPPORTED("""COMPUTED_VALUE"""),"🚢 REGULAR")</f>
        <v>🚢 REGULAR</v>
      </c>
      <c r="E571" s="3" t="str">
        <f ca="1">IFERROR(__xludf.UNSUPPORTED("""COMPUTED_VALUE"""),"🚛 LIBERADO")</f>
        <v>🚛 LIBERADO</v>
      </c>
      <c r="F571" s="5">
        <f ca="1">IFERROR(__xludf.UNSUPPORTED("""COMPUTED_VALUE"""),0)</f>
        <v>0</v>
      </c>
      <c r="G571" s="3" t="str">
        <f ca="1">IFERROR(__xludf.UNSUPPORTED("""COMPUTED_VALUE"""),"Normalidade")</f>
        <v>Normalidade</v>
      </c>
      <c r="H571" s="4">
        <f ca="1">IFERROR(__xludf.UNSUPPORTED("""COMPUTED_VALUE"""),44945.3495254629)</f>
        <v>44945.349525462902</v>
      </c>
      <c r="I571" s="3">
        <f ca="1">IFERROR(__xludf.UNSUPPORTED("""COMPUTED_VALUE"""),24)</f>
        <v>24</v>
      </c>
      <c r="J571" s="4">
        <f ca="1">IFERROR(__xludf.UNSUPPORTED("""COMPUTED_VALUE"""),44946.3495254629)</f>
        <v>44946.349525462902</v>
      </c>
      <c r="L571" s="3" t="str">
        <f ca="1">IFERROR(__xludf.UNSUPPORTED("""COMPUTED_VALUE"""),"Normalidade")</f>
        <v>Normalidade</v>
      </c>
    </row>
    <row r="572" spans="1:12" ht="12.75">
      <c r="A572" s="3" t="str">
        <f ca="1">IFERROR(__xludf.UNSUPPORTED("""COMPUTED_VALUE"""),"5b47ff5f")</f>
        <v>5b47ff5f</v>
      </c>
      <c r="B572" s="4">
        <f ca="1">IFERROR(__xludf.UNSUPPORTED("""COMPUTED_VALUE"""),44946.3395717592)</f>
        <v>44946.339571759199</v>
      </c>
      <c r="C572" s="7" t="str">
        <f ca="1">IFERROR(__xludf.UNSUPPORTED("""COMPUTED_VALUE"""),"Fortaleza")</f>
        <v>Fortaleza</v>
      </c>
      <c r="D572" s="3" t="str">
        <f ca="1">IFERROR(__xludf.UNSUPPORTED("""COMPUTED_VALUE"""),"🚢 REGULAR")</f>
        <v>🚢 REGULAR</v>
      </c>
      <c r="E572" s="3" t="str">
        <f ca="1">IFERROR(__xludf.UNSUPPORTED("""COMPUTED_VALUE"""),"🚛 LIBERADO")</f>
        <v>🚛 LIBERADO</v>
      </c>
      <c r="F572" s="5">
        <f ca="1">IFERROR(__xludf.UNSUPPORTED("""COMPUTED_VALUE"""),0)</f>
        <v>0</v>
      </c>
      <c r="G572" s="3" t="str">
        <f ca="1">IFERROR(__xludf.UNSUPPORTED("""COMPUTED_VALUE"""),"Normalidade")</f>
        <v>Normalidade</v>
      </c>
      <c r="H572" s="4">
        <f ca="1">IFERROR(__xludf.UNSUPPORTED("""COMPUTED_VALUE"""),44946.3395717592)</f>
        <v>44946.339571759199</v>
      </c>
      <c r="I572" s="3">
        <f ca="1">IFERROR(__xludf.UNSUPPORTED("""COMPUTED_VALUE"""),24)</f>
        <v>24</v>
      </c>
      <c r="J572" s="4">
        <f ca="1">IFERROR(__xludf.UNSUPPORTED("""COMPUTED_VALUE"""),44947.3395717592)</f>
        <v>44947.339571759199</v>
      </c>
      <c r="L572" s="3" t="str">
        <f ca="1">IFERROR(__xludf.UNSUPPORTED("""COMPUTED_VALUE"""),"Normalidade")</f>
        <v>Normalidade</v>
      </c>
    </row>
    <row r="573" spans="1:12" ht="12.75">
      <c r="A573" s="3" t="str">
        <f ca="1">IFERROR(__xludf.UNSUPPORTED("""COMPUTED_VALUE"""),"86291dd1")</f>
        <v>86291dd1</v>
      </c>
      <c r="B573" s="4">
        <f ca="1">IFERROR(__xludf.UNSUPPORTED("""COMPUTED_VALUE"""),44949.502662037)</f>
        <v>44949.502662036997</v>
      </c>
      <c r="C573" s="7" t="str">
        <f ca="1">IFERROR(__xludf.UNSUPPORTED("""COMPUTED_VALUE"""),"Fortaleza")</f>
        <v>Fortaleza</v>
      </c>
      <c r="D573" s="3" t="str">
        <f ca="1">IFERROR(__xludf.UNSUPPORTED("""COMPUTED_VALUE"""),"🚢 REGULAR")</f>
        <v>🚢 REGULAR</v>
      </c>
      <c r="E573" s="3" t="str">
        <f ca="1">IFERROR(__xludf.UNSUPPORTED("""COMPUTED_VALUE"""),"🚛 LIBERADO")</f>
        <v>🚛 LIBERADO</v>
      </c>
      <c r="F573" s="5">
        <f ca="1">IFERROR(__xludf.UNSUPPORTED("""COMPUTED_VALUE"""),0)</f>
        <v>0</v>
      </c>
      <c r="G573" s="3" t="str">
        <f ca="1">IFERROR(__xludf.UNSUPPORTED("""COMPUTED_VALUE"""),"Normalidade")</f>
        <v>Normalidade</v>
      </c>
      <c r="H573" s="4">
        <f ca="1">IFERROR(__xludf.UNSUPPORTED("""COMPUTED_VALUE"""),44949.502662037)</f>
        <v>44949.502662036997</v>
      </c>
      <c r="I573" s="3">
        <f ca="1">IFERROR(__xludf.UNSUPPORTED("""COMPUTED_VALUE"""),24)</f>
        <v>24</v>
      </c>
      <c r="J573" s="4">
        <f ca="1">IFERROR(__xludf.UNSUPPORTED("""COMPUTED_VALUE"""),44950.502662037)</f>
        <v>44950.502662036997</v>
      </c>
      <c r="L573" s="3" t="str">
        <f ca="1">IFERROR(__xludf.UNSUPPORTED("""COMPUTED_VALUE"""),"Normalidade")</f>
        <v>Normalidade</v>
      </c>
    </row>
    <row r="574" spans="1:12" ht="12.75">
      <c r="A574" s="3" t="str">
        <f ca="1">IFERROR(__xludf.UNSUPPORTED("""COMPUTED_VALUE"""),"e623e926")</f>
        <v>e623e926</v>
      </c>
      <c r="B574" s="4">
        <f ca="1">IFERROR(__xludf.UNSUPPORTED("""COMPUTED_VALUE"""),44950.3504166666)</f>
        <v>44950.350416666603</v>
      </c>
      <c r="C574" s="7" t="str">
        <f ca="1">IFERROR(__xludf.UNSUPPORTED("""COMPUTED_VALUE"""),"Fortaleza")</f>
        <v>Fortaleza</v>
      </c>
      <c r="D574" s="3" t="str">
        <f ca="1">IFERROR(__xludf.UNSUPPORTED("""COMPUTED_VALUE"""),"🚢 REGULAR")</f>
        <v>🚢 REGULAR</v>
      </c>
      <c r="E574" s="3" t="str">
        <f ca="1">IFERROR(__xludf.UNSUPPORTED("""COMPUTED_VALUE"""),"🚛 LIBERADO")</f>
        <v>🚛 LIBERADO</v>
      </c>
      <c r="F574" s="5">
        <f ca="1">IFERROR(__xludf.UNSUPPORTED("""COMPUTED_VALUE"""),0)</f>
        <v>0</v>
      </c>
      <c r="G574" s="3" t="str">
        <f ca="1">IFERROR(__xludf.UNSUPPORTED("""COMPUTED_VALUE"""),"Normalidade")</f>
        <v>Normalidade</v>
      </c>
      <c r="H574" s="4">
        <f ca="1">IFERROR(__xludf.UNSUPPORTED("""COMPUTED_VALUE"""),44950.3504166666)</f>
        <v>44950.350416666603</v>
      </c>
      <c r="I574" s="3">
        <f ca="1">IFERROR(__xludf.UNSUPPORTED("""COMPUTED_VALUE"""),24)</f>
        <v>24</v>
      </c>
      <c r="J574" s="4">
        <f ca="1">IFERROR(__xludf.UNSUPPORTED("""COMPUTED_VALUE"""),44951.3504166666)</f>
        <v>44951.350416666603</v>
      </c>
      <c r="L574" s="3" t="str">
        <f ca="1">IFERROR(__xludf.UNSUPPORTED("""COMPUTED_VALUE"""),"Normalidade")</f>
        <v>Normalidade</v>
      </c>
    </row>
    <row r="575" spans="1:12" ht="12.75">
      <c r="A575" s="3" t="str">
        <f ca="1">IFERROR(__xludf.UNSUPPORTED("""COMPUTED_VALUE"""),"c96a307b")</f>
        <v>c96a307b</v>
      </c>
      <c r="B575" s="4">
        <f ca="1">IFERROR(__xludf.UNSUPPORTED("""COMPUTED_VALUE"""),44951.3948379629)</f>
        <v>44951.3948379629</v>
      </c>
      <c r="C575" s="7" t="str">
        <f ca="1">IFERROR(__xludf.UNSUPPORTED("""COMPUTED_VALUE"""),"Fortaleza")</f>
        <v>Fortaleza</v>
      </c>
      <c r="D575" s="3" t="str">
        <f ca="1">IFERROR(__xludf.UNSUPPORTED("""COMPUTED_VALUE"""),"🚢 REGULAR")</f>
        <v>🚢 REGULAR</v>
      </c>
      <c r="E575" s="3" t="str">
        <f ca="1">IFERROR(__xludf.UNSUPPORTED("""COMPUTED_VALUE"""),"🚛 LIBERADO")</f>
        <v>🚛 LIBERADO</v>
      </c>
      <c r="F575" s="5">
        <f ca="1">IFERROR(__xludf.UNSUPPORTED("""COMPUTED_VALUE"""),0)</f>
        <v>0</v>
      </c>
      <c r="G575" s="3" t="str">
        <f ca="1">IFERROR(__xludf.UNSUPPORTED("""COMPUTED_VALUE"""),"Normalidade")</f>
        <v>Normalidade</v>
      </c>
      <c r="H575" s="4">
        <f ca="1">IFERROR(__xludf.UNSUPPORTED("""COMPUTED_VALUE"""),44951.3948379629)</f>
        <v>44951.3948379629</v>
      </c>
      <c r="I575" s="3">
        <f ca="1">IFERROR(__xludf.UNSUPPORTED("""COMPUTED_VALUE"""),24)</f>
        <v>24</v>
      </c>
      <c r="J575" s="4">
        <f ca="1">IFERROR(__xludf.UNSUPPORTED("""COMPUTED_VALUE"""),44952.3948379629)</f>
        <v>44952.3948379629</v>
      </c>
      <c r="L575" s="3" t="str">
        <f ca="1">IFERROR(__xludf.UNSUPPORTED("""COMPUTED_VALUE"""),"Normalidade")</f>
        <v>Normalidade</v>
      </c>
    </row>
    <row r="576" spans="1:12" ht="12.75">
      <c r="A576" s="3" t="str">
        <f ca="1">IFERROR(__xludf.UNSUPPORTED("""COMPUTED_VALUE"""),"20928e6a")</f>
        <v>20928e6a</v>
      </c>
      <c r="B576" s="4">
        <f ca="1">IFERROR(__xludf.UNSUPPORTED("""COMPUTED_VALUE"""),44952.469386574)</f>
        <v>44952.469386573997</v>
      </c>
      <c r="C576" s="8" t="str">
        <f ca="1">IFERROR(__xludf.UNSUPPORTED("""COMPUTED_VALUE"""),"Fortaleza")</f>
        <v>Fortaleza</v>
      </c>
      <c r="D576" s="3" t="str">
        <f ca="1">IFERROR(__xludf.UNSUPPORTED("""COMPUTED_VALUE"""),"🚢 REGULAR")</f>
        <v>🚢 REGULAR</v>
      </c>
      <c r="E576" s="3" t="str">
        <f ca="1">IFERROR(__xludf.UNSUPPORTED("""COMPUTED_VALUE"""),"🚛 LIBERADO")</f>
        <v>🚛 LIBERADO</v>
      </c>
      <c r="F576" s="5">
        <f ca="1">IFERROR(__xludf.UNSUPPORTED("""COMPUTED_VALUE"""),0)</f>
        <v>0</v>
      </c>
      <c r="G576" s="3" t="str">
        <f ca="1">IFERROR(__xludf.UNSUPPORTED("""COMPUTED_VALUE"""),"Normalidade")</f>
        <v>Normalidade</v>
      </c>
      <c r="H576" s="4">
        <f ca="1">IFERROR(__xludf.UNSUPPORTED("""COMPUTED_VALUE"""),44952.469386574)</f>
        <v>44952.469386573997</v>
      </c>
      <c r="I576" s="3">
        <f ca="1">IFERROR(__xludf.UNSUPPORTED("""COMPUTED_VALUE"""),24)</f>
        <v>24</v>
      </c>
      <c r="J576" s="4">
        <f ca="1">IFERROR(__xludf.UNSUPPORTED("""COMPUTED_VALUE"""),44953.469386574)</f>
        <v>44953.469386573997</v>
      </c>
      <c r="L576" s="3" t="str">
        <f ca="1">IFERROR(__xludf.UNSUPPORTED("""COMPUTED_VALUE"""),"Normalidade")</f>
        <v>Normalidade</v>
      </c>
    </row>
    <row r="577" spans="1:12" ht="12.75">
      <c r="A577" s="3" t="str">
        <f ca="1">IFERROR(__xludf.UNSUPPORTED("""COMPUTED_VALUE"""),"cf71baf8")</f>
        <v>cf71baf8</v>
      </c>
      <c r="B577" s="4">
        <f ca="1">IFERROR(__xludf.UNSUPPORTED("""COMPUTED_VALUE"""),44953.3592129629)</f>
        <v>44953.359212962903</v>
      </c>
      <c r="C577" s="8" t="str">
        <f ca="1">IFERROR(__xludf.UNSUPPORTED("""COMPUTED_VALUE"""),"Fortaleza")</f>
        <v>Fortaleza</v>
      </c>
      <c r="D577" s="3" t="str">
        <f ca="1">IFERROR(__xludf.UNSUPPORTED("""COMPUTED_VALUE"""),"🚢 REGULAR")</f>
        <v>🚢 REGULAR</v>
      </c>
      <c r="E577" s="3" t="str">
        <f ca="1">IFERROR(__xludf.UNSUPPORTED("""COMPUTED_VALUE"""),"🚛 LIBERADO")</f>
        <v>🚛 LIBERADO</v>
      </c>
      <c r="F577" s="5">
        <f ca="1">IFERROR(__xludf.UNSUPPORTED("""COMPUTED_VALUE"""),0)</f>
        <v>0</v>
      </c>
      <c r="G577" s="3" t="str">
        <f ca="1">IFERROR(__xludf.UNSUPPORTED("""COMPUTED_VALUE"""),"Normalidade")</f>
        <v>Normalidade</v>
      </c>
      <c r="H577" s="4">
        <f ca="1">IFERROR(__xludf.UNSUPPORTED("""COMPUTED_VALUE"""),44953.3592129629)</f>
        <v>44953.359212962903</v>
      </c>
      <c r="I577" s="3">
        <f ca="1">IFERROR(__xludf.UNSUPPORTED("""COMPUTED_VALUE"""),24)</f>
        <v>24</v>
      </c>
      <c r="J577" s="4">
        <f ca="1">IFERROR(__xludf.UNSUPPORTED("""COMPUTED_VALUE"""),44954.3592129629)</f>
        <v>44954.359212962903</v>
      </c>
      <c r="L577" s="3" t="str">
        <f ca="1">IFERROR(__xludf.UNSUPPORTED("""COMPUTED_VALUE"""),"Normalidade")</f>
        <v>Normalidade</v>
      </c>
    </row>
    <row r="578" spans="1:12" ht="12.75">
      <c r="A578" s="3" t="str">
        <f ca="1">IFERROR(__xludf.UNSUPPORTED("""COMPUTED_VALUE"""),"534913fd")</f>
        <v>534913fd</v>
      </c>
      <c r="B578" s="4">
        <f ca="1">IFERROR(__xludf.UNSUPPORTED("""COMPUTED_VALUE"""),44956.3416666666)</f>
        <v>44956.341666666602</v>
      </c>
      <c r="C578" s="8" t="str">
        <f ca="1">IFERROR(__xludf.UNSUPPORTED("""COMPUTED_VALUE"""),"Fortaleza")</f>
        <v>Fortaleza</v>
      </c>
      <c r="D578" s="3" t="str">
        <f ca="1">IFERROR(__xludf.UNSUPPORTED("""COMPUTED_VALUE"""),"🚢 REGULAR")</f>
        <v>🚢 REGULAR</v>
      </c>
      <c r="E578" s="3" t="str">
        <f ca="1">IFERROR(__xludf.UNSUPPORTED("""COMPUTED_VALUE"""),"🚛 LIBERADO")</f>
        <v>🚛 LIBERADO</v>
      </c>
      <c r="F578" s="5">
        <f ca="1">IFERROR(__xludf.UNSUPPORTED("""COMPUTED_VALUE"""),0)</f>
        <v>0</v>
      </c>
      <c r="G578" s="3" t="str">
        <f ca="1">IFERROR(__xludf.UNSUPPORTED("""COMPUTED_VALUE"""),"Normalidade")</f>
        <v>Normalidade</v>
      </c>
      <c r="H578" s="4">
        <f ca="1">IFERROR(__xludf.UNSUPPORTED("""COMPUTED_VALUE"""),44956.3416666666)</f>
        <v>44956.341666666602</v>
      </c>
      <c r="I578" s="3">
        <f ca="1">IFERROR(__xludf.UNSUPPORTED("""COMPUTED_VALUE"""),24)</f>
        <v>24</v>
      </c>
      <c r="J578" s="4">
        <f ca="1">IFERROR(__xludf.UNSUPPORTED("""COMPUTED_VALUE"""),44957.3416666666)</f>
        <v>44957.341666666602</v>
      </c>
      <c r="L578" s="3" t="str">
        <f ca="1">IFERROR(__xludf.UNSUPPORTED("""COMPUTED_VALUE"""),"Normalidade")</f>
        <v>Normalidade</v>
      </c>
    </row>
    <row r="579" spans="1:12" ht="12.75">
      <c r="A579" s="3" t="str">
        <f ca="1">IFERROR(__xludf.UNSUPPORTED("""COMPUTED_VALUE"""),"2419f64c")</f>
        <v>2419f64c</v>
      </c>
      <c r="B579" s="4">
        <f ca="1">IFERROR(__xludf.UNSUPPORTED("""COMPUTED_VALUE"""),44959.3424884259)</f>
        <v>44959.3424884259</v>
      </c>
      <c r="C579" s="8" t="str">
        <f ca="1">IFERROR(__xludf.UNSUPPORTED("""COMPUTED_VALUE"""),"Fortaleza")</f>
        <v>Fortaleza</v>
      </c>
      <c r="D579" s="3" t="str">
        <f ca="1">IFERROR(__xludf.UNSUPPORTED("""COMPUTED_VALUE"""),"🚢 REGULAR")</f>
        <v>🚢 REGULAR</v>
      </c>
      <c r="E579" s="3" t="str">
        <f ca="1">IFERROR(__xludf.UNSUPPORTED("""COMPUTED_VALUE"""),"🚛 LIBERADO")</f>
        <v>🚛 LIBERADO</v>
      </c>
      <c r="F579" s="5">
        <f ca="1">IFERROR(__xludf.UNSUPPORTED("""COMPUTED_VALUE"""),0)</f>
        <v>0</v>
      </c>
      <c r="G579" s="3" t="str">
        <f ca="1">IFERROR(__xludf.UNSUPPORTED("""COMPUTED_VALUE"""),"Normalidade")</f>
        <v>Normalidade</v>
      </c>
      <c r="H579" s="4">
        <f ca="1">IFERROR(__xludf.UNSUPPORTED("""COMPUTED_VALUE"""),44959.3424884259)</f>
        <v>44959.3424884259</v>
      </c>
      <c r="I579" s="3">
        <f ca="1">IFERROR(__xludf.UNSUPPORTED("""COMPUTED_VALUE"""),24)</f>
        <v>24</v>
      </c>
      <c r="J579" s="4">
        <f ca="1">IFERROR(__xludf.UNSUPPORTED("""COMPUTED_VALUE"""),44960.3424884259)</f>
        <v>44960.3424884259</v>
      </c>
      <c r="L579" s="3" t="str">
        <f ca="1">IFERROR(__xludf.UNSUPPORTED("""COMPUTED_VALUE"""),"Normalidade")</f>
        <v>Normalidade</v>
      </c>
    </row>
    <row r="580" spans="1:12" ht="12.75">
      <c r="A580" s="3" t="str">
        <f ca="1">IFERROR(__xludf.UNSUPPORTED("""COMPUTED_VALUE"""),"12c8ab57")</f>
        <v>12c8ab57</v>
      </c>
      <c r="B580" s="4">
        <f ca="1">IFERROR(__xludf.UNSUPPORTED("""COMPUTED_VALUE"""),44963.3503703703)</f>
        <v>44963.350370370303</v>
      </c>
      <c r="C580" s="7" t="str">
        <f ca="1">IFERROR(__xludf.UNSUPPORTED("""COMPUTED_VALUE"""),"Fortaleza")</f>
        <v>Fortaleza</v>
      </c>
      <c r="D580" s="3" t="str">
        <f ca="1">IFERROR(__xludf.UNSUPPORTED("""COMPUTED_VALUE"""),"🚢 REGULAR")</f>
        <v>🚢 REGULAR</v>
      </c>
      <c r="E580" s="3" t="str">
        <f ca="1">IFERROR(__xludf.UNSUPPORTED("""COMPUTED_VALUE"""),"🚛 LIBERADO")</f>
        <v>🚛 LIBERADO</v>
      </c>
      <c r="F580" s="5">
        <f ca="1">IFERROR(__xludf.UNSUPPORTED("""COMPUTED_VALUE"""),0)</f>
        <v>0</v>
      </c>
      <c r="G580" s="3" t="str">
        <f ca="1">IFERROR(__xludf.UNSUPPORTED("""COMPUTED_VALUE"""),"Normalidade")</f>
        <v>Normalidade</v>
      </c>
      <c r="H580" s="4">
        <f ca="1">IFERROR(__xludf.UNSUPPORTED("""COMPUTED_VALUE"""),44963.3503703703)</f>
        <v>44963.350370370303</v>
      </c>
      <c r="I580" s="3">
        <f ca="1">IFERROR(__xludf.UNSUPPORTED("""COMPUTED_VALUE"""),24)</f>
        <v>24</v>
      </c>
      <c r="J580" s="4">
        <f ca="1">IFERROR(__xludf.UNSUPPORTED("""COMPUTED_VALUE"""),44964.3503703703)</f>
        <v>44964.350370370303</v>
      </c>
      <c r="L580" s="3" t="str">
        <f ca="1">IFERROR(__xludf.UNSUPPORTED("""COMPUTED_VALUE"""),"Normalidade")</f>
        <v>Normalidade</v>
      </c>
    </row>
    <row r="581" spans="1:12" ht="12.75">
      <c r="A581" s="3" t="str">
        <f ca="1">IFERROR(__xludf.UNSUPPORTED("""COMPUTED_VALUE"""),"1b1792dc")</f>
        <v>1b1792dc</v>
      </c>
      <c r="B581" s="4">
        <f ca="1">IFERROR(__xludf.UNSUPPORTED("""COMPUTED_VALUE"""),44965.3859027777)</f>
        <v>44965.3859027777</v>
      </c>
      <c r="C581" s="7" t="str">
        <f ca="1">IFERROR(__xludf.UNSUPPORTED("""COMPUTED_VALUE"""),"Fortaleza")</f>
        <v>Fortaleza</v>
      </c>
      <c r="D581" s="3" t="str">
        <f ca="1">IFERROR(__xludf.UNSUPPORTED("""COMPUTED_VALUE"""),"🚢 REGULAR")</f>
        <v>🚢 REGULAR</v>
      </c>
      <c r="E581" s="3" t="str">
        <f ca="1">IFERROR(__xludf.UNSUPPORTED("""COMPUTED_VALUE"""),"🚛 LIBERADO")</f>
        <v>🚛 LIBERADO</v>
      </c>
      <c r="F581" s="5">
        <f ca="1">IFERROR(__xludf.UNSUPPORTED("""COMPUTED_VALUE"""),0)</f>
        <v>0</v>
      </c>
      <c r="G581" s="3" t="str">
        <f ca="1">IFERROR(__xludf.UNSUPPORTED("""COMPUTED_VALUE"""),"Normalidade")</f>
        <v>Normalidade</v>
      </c>
      <c r="H581" s="4">
        <f ca="1">IFERROR(__xludf.UNSUPPORTED("""COMPUTED_VALUE"""),44965.3859027777)</f>
        <v>44965.3859027777</v>
      </c>
      <c r="I581" s="3">
        <f ca="1">IFERROR(__xludf.UNSUPPORTED("""COMPUTED_VALUE"""),24)</f>
        <v>24</v>
      </c>
      <c r="J581" s="4">
        <f ca="1">IFERROR(__xludf.UNSUPPORTED("""COMPUTED_VALUE"""),44966.3859027777)</f>
        <v>44966.3859027777</v>
      </c>
      <c r="L581" s="3" t="str">
        <f ca="1">IFERROR(__xludf.UNSUPPORTED("""COMPUTED_VALUE"""),"Normalidade")</f>
        <v>Normalidade</v>
      </c>
    </row>
    <row r="582" spans="1:12" ht="12.75">
      <c r="A582" s="3" t="str">
        <f ca="1">IFERROR(__xludf.UNSUPPORTED("""COMPUTED_VALUE"""),"3b5125d8")</f>
        <v>3b5125d8</v>
      </c>
      <c r="B582" s="4">
        <f ca="1">IFERROR(__xludf.UNSUPPORTED("""COMPUTED_VALUE"""),45120.6747916666)</f>
        <v>45120.674791666599</v>
      </c>
      <c r="C582" s="7" t="str">
        <f ca="1">IFERROR(__xludf.UNSUPPORTED("""COMPUTED_VALUE"""),"Fortaleza")</f>
        <v>Fortaleza</v>
      </c>
      <c r="D582" s="3" t="str">
        <f ca="1">IFERROR(__xludf.UNSUPPORTED("""COMPUTED_VALUE"""),"🚢 REGULAR")</f>
        <v>🚢 REGULAR</v>
      </c>
      <c r="E582" s="3" t="str">
        <f ca="1">IFERROR(__xludf.UNSUPPORTED("""COMPUTED_VALUE"""),"🚛 LIBERADO")</f>
        <v>🚛 LIBERADO</v>
      </c>
      <c r="F582" s="5">
        <f ca="1">IFERROR(__xludf.UNSUPPORTED("""COMPUTED_VALUE"""),0)</f>
        <v>0</v>
      </c>
      <c r="G582" s="3" t="str">
        <f ca="1">IFERROR(__xludf.UNSUPPORTED("""COMPUTED_VALUE"""),"Normalidade")</f>
        <v>Normalidade</v>
      </c>
      <c r="H582" s="4">
        <f ca="1">IFERROR(__xludf.UNSUPPORTED("""COMPUTED_VALUE"""),45120.6747916666)</f>
        <v>45120.674791666599</v>
      </c>
      <c r="I582" s="3">
        <f ca="1">IFERROR(__xludf.UNSUPPORTED("""COMPUTED_VALUE"""),24)</f>
        <v>24</v>
      </c>
      <c r="J582" s="4">
        <f ca="1">IFERROR(__xludf.UNSUPPORTED("""COMPUTED_VALUE"""),45121.6747916666)</f>
        <v>45121.674791666599</v>
      </c>
    </row>
    <row r="583" spans="1:12" ht="12.75">
      <c r="A583" s="3" t="str">
        <f ca="1">IFERROR(__xludf.UNSUPPORTED("""COMPUTED_VALUE"""),"b4511edc")</f>
        <v>b4511edc</v>
      </c>
      <c r="B583" s="4">
        <f ca="1">IFERROR(__xludf.UNSUPPORTED("""COMPUTED_VALUE"""),45120.6751851851)</f>
        <v>45120.6751851851</v>
      </c>
      <c r="C583" s="8" t="str">
        <f ca="1">IFERROR(__xludf.UNSUPPORTED("""COMPUTED_VALUE"""),"Fortaleza")</f>
        <v>Fortaleza</v>
      </c>
      <c r="D583" s="3" t="str">
        <f ca="1">IFERROR(__xludf.UNSUPPORTED("""COMPUTED_VALUE"""),"🚢 REGULAR")</f>
        <v>🚢 REGULAR</v>
      </c>
      <c r="E583" s="3" t="str">
        <f ca="1">IFERROR(__xludf.UNSUPPORTED("""COMPUTED_VALUE"""),"🚛 LIBERADO")</f>
        <v>🚛 LIBERADO</v>
      </c>
      <c r="F583" s="5">
        <f ca="1">IFERROR(__xludf.UNSUPPORTED("""COMPUTED_VALUE"""),0)</f>
        <v>0</v>
      </c>
      <c r="G583" s="3" t="str">
        <f ca="1">IFERROR(__xludf.UNSUPPORTED("""COMPUTED_VALUE"""),"Normalidade")</f>
        <v>Normalidade</v>
      </c>
      <c r="H583" s="4">
        <f ca="1">IFERROR(__xludf.UNSUPPORTED("""COMPUTED_VALUE"""),45120.6751851851)</f>
        <v>45120.6751851851</v>
      </c>
      <c r="I583" s="3">
        <f ca="1">IFERROR(__xludf.UNSUPPORTED("""COMPUTED_VALUE"""),24)</f>
        <v>24</v>
      </c>
      <c r="J583" s="4">
        <f ca="1">IFERROR(__xludf.UNSUPPORTED("""COMPUTED_VALUE"""),45121.6751851851)</f>
        <v>45121.6751851851</v>
      </c>
      <c r="L583" s="3" t="str">
        <f ca="1">IFERROR(__xludf.UNSUPPORTED("""COMPUTED_VALUE"""),"Normalidade")</f>
        <v>Normalidade</v>
      </c>
    </row>
    <row r="584" spans="1:12" ht="12.75">
      <c r="A584" s="3" t="str">
        <f ca="1">IFERROR(__xludf.UNSUPPORTED("""COMPUTED_VALUE"""),"fffb9b6e")</f>
        <v>fffb9b6e</v>
      </c>
      <c r="B584" s="4">
        <f ca="1">IFERROR(__xludf.UNSUPPORTED("""COMPUTED_VALUE"""),45400.344537037)</f>
        <v>45400.344537037003</v>
      </c>
      <c r="C584" s="8" t="str">
        <f ca="1">IFERROR(__xludf.UNSUPPORTED("""COMPUTED_VALUE"""),"Fortaleza")</f>
        <v>Fortaleza</v>
      </c>
      <c r="D584" s="3" t="str">
        <f ca="1">IFERROR(__xludf.UNSUPPORTED("""COMPUTED_VALUE"""),"❗️ PARALISADA")</f>
        <v>❗️ PARALISADA</v>
      </c>
      <c r="E584" s="3" t="str">
        <f ca="1">IFERROR(__xludf.UNSUPPORTED("""COMPUTED_VALUE"""),"🚛 LIBERADO")</f>
        <v>🚛 LIBERADO</v>
      </c>
      <c r="F584" s="5">
        <f ca="1">IFERROR(__xludf.UNSUPPORTED("""COMPUTED_VALUE"""),0.25)</f>
        <v>0.25</v>
      </c>
      <c r="G584" s="3" t="str">
        <f ca="1">IFERROR(__xludf.UNSUPPORTED("""COMPUTED_VALUE"""),"Paralização da categorias contra a instalação da comissão que altera a lei 12815")</f>
        <v>Paralização da categorias contra a instalação da comissão que altera a lei 12815</v>
      </c>
      <c r="H584" s="4">
        <f ca="1">IFERROR(__xludf.UNSUPPORTED("""COMPUTED_VALUE"""),45400.2916666666)</f>
        <v>45400.291666666599</v>
      </c>
      <c r="I584" s="3">
        <f ca="1">IFERROR(__xludf.UNSUPPORTED("""COMPUTED_VALUE"""),6)</f>
        <v>6</v>
      </c>
      <c r="J584" s="4">
        <f ca="1">IFERROR(__xludf.UNSUPPORTED("""COMPUTED_VALUE"""),45400.5416666666)</f>
        <v>45400.541666666599</v>
      </c>
      <c r="K584" s="3" t="str">
        <f ca="1">IFERROR(__xludf.UNSUPPORTED("""COMPUTED_VALUE"""),"Edital de convocação SINDEPOR")</f>
        <v>Edital de convocação SINDEPOR</v>
      </c>
      <c r="L584" s="3" t="str">
        <f ca="1">IFERROR(__xludf.UNSUPPORTED("""COMPUTED_VALUE"""),"Crítico")</f>
        <v>Crítico</v>
      </c>
    </row>
    <row r="585" spans="1:12" ht="12.75">
      <c r="A585" s="3" t="str">
        <f ca="1">IFERROR(__xludf.UNSUPPORTED("""COMPUTED_VALUE"""),"92e6dad3")</f>
        <v>92e6dad3</v>
      </c>
      <c r="B585" s="4">
        <f ca="1">IFERROR(__xludf.UNSUPPORTED("""COMPUTED_VALUE"""),44865.8937152777)</f>
        <v>44865.8937152777</v>
      </c>
      <c r="C585" s="7" t="str">
        <f ca="1">IFERROR(__xludf.UNSUPPORTED("""COMPUTED_VALUE"""),"Ilhéus")</f>
        <v>Ilhéus</v>
      </c>
      <c r="D585" s="3" t="str">
        <f ca="1">IFERROR(__xludf.UNSUPPORTED("""COMPUTED_VALUE"""),"🚢 REGULAR")</f>
        <v>🚢 REGULAR</v>
      </c>
      <c r="E585" s="3" t="str">
        <f ca="1">IFERROR(__xludf.UNSUPPORTED("""COMPUTED_VALUE"""),"🚛 LIBERADO")</f>
        <v>🚛 LIBERADO</v>
      </c>
      <c r="F585" s="5">
        <f ca="1">IFERROR(__xludf.UNSUPPORTED("""COMPUTED_VALUE"""),0)</f>
        <v>0</v>
      </c>
      <c r="G585" s="3" t="str">
        <f ca="1">IFERROR(__xludf.UNSUPPORTED("""COMPUTED_VALUE"""),"Normal")</f>
        <v>Normal</v>
      </c>
      <c r="H585" s="4">
        <f ca="1">IFERROR(__xludf.UNSUPPORTED("""COMPUTED_VALUE"""),44868.2631944444)</f>
        <v>44868.2631944444</v>
      </c>
      <c r="I585" s="3">
        <f ca="1">IFERROR(__xludf.UNSUPPORTED("""COMPUTED_VALUE"""),23)</f>
        <v>23</v>
      </c>
      <c r="J585" s="4">
        <f ca="1">IFERROR(__xludf.UNSUPPORTED("""COMPUTED_VALUE"""),44869.2215277777)</f>
        <v>44869.2215277777</v>
      </c>
    </row>
    <row r="586" spans="1:12" ht="12.75">
      <c r="A586" s="3" t="str">
        <f ca="1">IFERROR(__xludf.UNSUPPORTED("""COMPUTED_VALUE"""),"8de0cc91")</f>
        <v>8de0cc91</v>
      </c>
      <c r="B586" s="4">
        <f ca="1">IFERROR(__xludf.UNSUPPORTED("""COMPUTED_VALUE"""),44868.4471759259)</f>
        <v>44868.447175925903</v>
      </c>
      <c r="C586" s="7" t="str">
        <f ca="1">IFERROR(__xludf.UNSUPPORTED("""COMPUTED_VALUE"""),"Ilhéus")</f>
        <v>Ilhéus</v>
      </c>
      <c r="D586" s="3" t="str">
        <f ca="1">IFERROR(__xludf.UNSUPPORTED("""COMPUTED_VALUE"""),"🚢 REGULAR")</f>
        <v>🚢 REGULAR</v>
      </c>
      <c r="E586" s="3" t="str">
        <f ca="1">IFERROR(__xludf.UNSUPPORTED("""COMPUTED_VALUE"""),"🚛 LIBERADO")</f>
        <v>🚛 LIBERADO</v>
      </c>
      <c r="F586" s="5">
        <f ca="1">IFERROR(__xludf.UNSUPPORTED("""COMPUTED_VALUE"""),0)</f>
        <v>0</v>
      </c>
      <c r="G586" s="3" t="str">
        <f ca="1">IFERROR(__xludf.UNSUPPORTED("""COMPUTED_VALUE"""),"Normal")</f>
        <v>Normal</v>
      </c>
      <c r="H586" s="4">
        <f ca="1">IFERROR(__xludf.UNSUPPORTED("""COMPUTED_VALUE"""),44868.4471759259)</f>
        <v>44868.447175925903</v>
      </c>
      <c r="I586" s="3">
        <f ca="1">IFERROR(__xludf.UNSUPPORTED("""COMPUTED_VALUE"""),23)</f>
        <v>23</v>
      </c>
      <c r="J586" s="4">
        <f ca="1">IFERROR(__xludf.UNSUPPORTED("""COMPUTED_VALUE"""),44869.4055092592)</f>
        <v>44869.405509259203</v>
      </c>
    </row>
    <row r="587" spans="1:12" ht="12.75">
      <c r="A587" s="3" t="str">
        <f ca="1">IFERROR(__xludf.UNSUPPORTED("""COMPUTED_VALUE"""),"f554da1f")</f>
        <v>f554da1f</v>
      </c>
      <c r="B587" s="4">
        <f ca="1">IFERROR(__xludf.UNSUPPORTED("""COMPUTED_VALUE"""),44869.3127430555)</f>
        <v>44869.312743055503</v>
      </c>
      <c r="C587" s="8" t="str">
        <f ca="1">IFERROR(__xludf.UNSUPPORTED("""COMPUTED_VALUE"""),"Ilhéus")</f>
        <v>Ilhéus</v>
      </c>
      <c r="D587" s="3" t="str">
        <f ca="1">IFERROR(__xludf.UNSUPPORTED("""COMPUTED_VALUE"""),"🚢 REGULAR")</f>
        <v>🚢 REGULAR</v>
      </c>
      <c r="E587" s="3" t="str">
        <f ca="1">IFERROR(__xludf.UNSUPPORTED("""COMPUTED_VALUE"""),"🚛 LIBERADO")</f>
        <v>🚛 LIBERADO</v>
      </c>
      <c r="F587" s="5">
        <f ca="1">IFERROR(__xludf.UNSUPPORTED("""COMPUTED_VALUE"""),0)</f>
        <v>0</v>
      </c>
      <c r="G587" s="3" t="str">
        <f ca="1">IFERROR(__xludf.UNSUPPORTED("""COMPUTED_VALUE"""),"Normalidade")</f>
        <v>Normalidade</v>
      </c>
      <c r="H587" s="4">
        <f ca="1">IFERROR(__xludf.UNSUPPORTED("""COMPUTED_VALUE"""),44869.3127430555)</f>
        <v>44869.312743055503</v>
      </c>
      <c r="I587" s="3">
        <f ca="1">IFERROR(__xludf.UNSUPPORTED("""COMPUTED_VALUE"""),24)</f>
        <v>24</v>
      </c>
      <c r="J587" s="4">
        <f ca="1">IFERROR(__xludf.UNSUPPORTED("""COMPUTED_VALUE"""),44870.3127430555)</f>
        <v>44870.312743055503</v>
      </c>
    </row>
    <row r="588" spans="1:12" ht="12.75">
      <c r="A588" s="3" t="str">
        <f ca="1">IFERROR(__xludf.UNSUPPORTED("""COMPUTED_VALUE"""),"e48447a1")</f>
        <v>e48447a1</v>
      </c>
      <c r="B588" s="4">
        <f ca="1">IFERROR(__xludf.UNSUPPORTED("""COMPUTED_VALUE"""),44870.3245138888)</f>
        <v>44870.324513888801</v>
      </c>
      <c r="C588" s="7" t="str">
        <f ca="1">IFERROR(__xludf.UNSUPPORTED("""COMPUTED_VALUE"""),"Ilhéus")</f>
        <v>Ilhéus</v>
      </c>
      <c r="D588" s="3" t="str">
        <f ca="1">IFERROR(__xludf.UNSUPPORTED("""COMPUTED_VALUE"""),"🚢 REGULAR")</f>
        <v>🚢 REGULAR</v>
      </c>
      <c r="E588" s="3" t="str">
        <f ca="1">IFERROR(__xludf.UNSUPPORTED("""COMPUTED_VALUE"""),"🚛 LIBERADO")</f>
        <v>🚛 LIBERADO</v>
      </c>
      <c r="F588" s="5">
        <f ca="1">IFERROR(__xludf.UNSUPPORTED("""COMPUTED_VALUE"""),0)</f>
        <v>0</v>
      </c>
      <c r="G588" s="3" t="str">
        <f ca="1">IFERROR(__xludf.UNSUPPORTED("""COMPUTED_VALUE"""),"Normalidade")</f>
        <v>Normalidade</v>
      </c>
      <c r="H588" s="4">
        <f ca="1">IFERROR(__xludf.UNSUPPORTED("""COMPUTED_VALUE"""),44870.3245138888)</f>
        <v>44870.324513888801</v>
      </c>
      <c r="I588" s="3">
        <f ca="1">IFERROR(__xludf.UNSUPPORTED("""COMPUTED_VALUE"""),24)</f>
        <v>24</v>
      </c>
      <c r="J588" s="4">
        <f ca="1">IFERROR(__xludf.UNSUPPORTED("""COMPUTED_VALUE"""),44871.3245138888)</f>
        <v>44871.324513888801</v>
      </c>
    </row>
    <row r="589" spans="1:12" ht="12.75">
      <c r="A589" s="3" t="str">
        <f ca="1">IFERROR(__xludf.UNSUPPORTED("""COMPUTED_VALUE"""),"df8accda")</f>
        <v>df8accda</v>
      </c>
      <c r="B589" s="4">
        <f ca="1">IFERROR(__xludf.UNSUPPORTED("""COMPUTED_VALUE"""),44871.4165509259)</f>
        <v>44871.416550925896</v>
      </c>
      <c r="C589" s="7" t="str">
        <f ca="1">IFERROR(__xludf.UNSUPPORTED("""COMPUTED_VALUE"""),"Ilhéus")</f>
        <v>Ilhéus</v>
      </c>
      <c r="D589" s="3" t="str">
        <f ca="1">IFERROR(__xludf.UNSUPPORTED("""COMPUTED_VALUE"""),"🚢 REGULAR")</f>
        <v>🚢 REGULAR</v>
      </c>
      <c r="E589" s="3" t="str">
        <f ca="1">IFERROR(__xludf.UNSUPPORTED("""COMPUTED_VALUE"""),"🚛 LIBERADO")</f>
        <v>🚛 LIBERADO</v>
      </c>
      <c r="F589" s="5">
        <f ca="1">IFERROR(__xludf.UNSUPPORTED("""COMPUTED_VALUE"""),0)</f>
        <v>0</v>
      </c>
      <c r="G589" s="3" t="str">
        <f ca="1">IFERROR(__xludf.UNSUPPORTED("""COMPUTED_VALUE"""),"Normalidade")</f>
        <v>Normalidade</v>
      </c>
      <c r="H589" s="4">
        <f ca="1">IFERROR(__xludf.UNSUPPORTED("""COMPUTED_VALUE"""),44871.4165509259)</f>
        <v>44871.416550925896</v>
      </c>
      <c r="I589" s="3">
        <f ca="1">IFERROR(__xludf.UNSUPPORTED("""COMPUTED_VALUE"""),24)</f>
        <v>24</v>
      </c>
      <c r="J589" s="4">
        <f ca="1">IFERROR(__xludf.UNSUPPORTED("""COMPUTED_VALUE"""),44872.4165509259)</f>
        <v>44872.416550925896</v>
      </c>
    </row>
    <row r="590" spans="1:12" ht="12.75">
      <c r="A590" s="3" t="str">
        <f ca="1">IFERROR(__xludf.UNSUPPORTED("""COMPUTED_VALUE"""),"b9f97df3")</f>
        <v>b9f97df3</v>
      </c>
      <c r="B590" s="4">
        <f ca="1">IFERROR(__xludf.UNSUPPORTED("""COMPUTED_VALUE"""),44872.41875)</f>
        <v>44872.418749999997</v>
      </c>
      <c r="C590" s="8" t="str">
        <f ca="1">IFERROR(__xludf.UNSUPPORTED("""COMPUTED_VALUE"""),"Ilhéus")</f>
        <v>Ilhéus</v>
      </c>
      <c r="D590" s="3" t="str">
        <f ca="1">IFERROR(__xludf.UNSUPPORTED("""COMPUTED_VALUE"""),"🚢 REGULAR")</f>
        <v>🚢 REGULAR</v>
      </c>
      <c r="E590" s="3" t="str">
        <f ca="1">IFERROR(__xludf.UNSUPPORTED("""COMPUTED_VALUE"""),"🚛 LIBERADO")</f>
        <v>🚛 LIBERADO</v>
      </c>
      <c r="F590" s="5">
        <f ca="1">IFERROR(__xludf.UNSUPPORTED("""COMPUTED_VALUE"""),0)</f>
        <v>0</v>
      </c>
      <c r="G590" s="3" t="str">
        <f ca="1">IFERROR(__xludf.UNSUPPORTED("""COMPUTED_VALUE"""),"Normalidade")</f>
        <v>Normalidade</v>
      </c>
      <c r="H590" s="4">
        <f ca="1">IFERROR(__xludf.UNSUPPORTED("""COMPUTED_VALUE"""),44872.41875)</f>
        <v>44872.418749999997</v>
      </c>
      <c r="I590" s="3">
        <f ca="1">IFERROR(__xludf.UNSUPPORTED("""COMPUTED_VALUE"""),24)</f>
        <v>24</v>
      </c>
      <c r="J590" s="4">
        <f ca="1">IFERROR(__xludf.UNSUPPORTED("""COMPUTED_VALUE"""),44873.41875)</f>
        <v>44873.418749999997</v>
      </c>
    </row>
    <row r="591" spans="1:12" ht="12.75">
      <c r="A591" s="3" t="str">
        <f ca="1">IFERROR(__xludf.UNSUPPORTED("""COMPUTED_VALUE"""),"920446a4")</f>
        <v>920446a4</v>
      </c>
      <c r="B591" s="4">
        <f ca="1">IFERROR(__xludf.UNSUPPORTED("""COMPUTED_VALUE"""),44873.4140393518)</f>
        <v>44873.414039351803</v>
      </c>
      <c r="C591" s="7" t="str">
        <f ca="1">IFERROR(__xludf.UNSUPPORTED("""COMPUTED_VALUE"""),"Ilhéus")</f>
        <v>Ilhéus</v>
      </c>
      <c r="D591" s="3" t="str">
        <f ca="1">IFERROR(__xludf.UNSUPPORTED("""COMPUTED_VALUE"""),"🚢 REGULAR")</f>
        <v>🚢 REGULAR</v>
      </c>
      <c r="E591" s="3" t="str">
        <f ca="1">IFERROR(__xludf.UNSUPPORTED("""COMPUTED_VALUE"""),"🚛 LIBERADO")</f>
        <v>🚛 LIBERADO</v>
      </c>
      <c r="F591" s="5">
        <f ca="1">IFERROR(__xludf.UNSUPPORTED("""COMPUTED_VALUE"""),0)</f>
        <v>0</v>
      </c>
      <c r="G591" s="3" t="str">
        <f ca="1">IFERROR(__xludf.UNSUPPORTED("""COMPUTED_VALUE"""),"Normalidade")</f>
        <v>Normalidade</v>
      </c>
      <c r="H591" s="4">
        <f ca="1">IFERROR(__xludf.UNSUPPORTED("""COMPUTED_VALUE"""),44873.4140393518)</f>
        <v>44873.414039351803</v>
      </c>
      <c r="I591" s="3">
        <f ca="1">IFERROR(__xludf.UNSUPPORTED("""COMPUTED_VALUE"""),24)</f>
        <v>24</v>
      </c>
      <c r="J591" s="4">
        <f ca="1">IFERROR(__xludf.UNSUPPORTED("""COMPUTED_VALUE"""),44874.4140393518)</f>
        <v>44874.414039351803</v>
      </c>
    </row>
    <row r="592" spans="1:12" ht="12.75">
      <c r="A592" s="3" t="str">
        <f ca="1">IFERROR(__xludf.UNSUPPORTED("""COMPUTED_VALUE"""),"777f3546")</f>
        <v>777f3546</v>
      </c>
      <c r="B592" s="4">
        <f ca="1">IFERROR(__xludf.UNSUPPORTED("""COMPUTED_VALUE"""),44874.2451504629)</f>
        <v>44874.245150462899</v>
      </c>
      <c r="C592" s="7" t="str">
        <f ca="1">IFERROR(__xludf.UNSUPPORTED("""COMPUTED_VALUE"""),"Ilhéus")</f>
        <v>Ilhéus</v>
      </c>
      <c r="D592" s="3" t="str">
        <f ca="1">IFERROR(__xludf.UNSUPPORTED("""COMPUTED_VALUE"""),"🚢 REGULAR")</f>
        <v>🚢 REGULAR</v>
      </c>
      <c r="E592" s="3" t="str">
        <f ca="1">IFERROR(__xludf.UNSUPPORTED("""COMPUTED_VALUE"""),"🚛 LIBERADO")</f>
        <v>🚛 LIBERADO</v>
      </c>
      <c r="F592" s="5">
        <f ca="1">IFERROR(__xludf.UNSUPPORTED("""COMPUTED_VALUE"""),0)</f>
        <v>0</v>
      </c>
      <c r="G592" s="3" t="str">
        <f ca="1">IFERROR(__xludf.UNSUPPORTED("""COMPUTED_VALUE"""),"Normalidade")</f>
        <v>Normalidade</v>
      </c>
      <c r="H592" s="4">
        <f ca="1">IFERROR(__xludf.UNSUPPORTED("""COMPUTED_VALUE"""),44874.2451504629)</f>
        <v>44874.245150462899</v>
      </c>
      <c r="I592" s="3">
        <f ca="1">IFERROR(__xludf.UNSUPPORTED("""COMPUTED_VALUE"""),24)</f>
        <v>24</v>
      </c>
      <c r="J592" s="4">
        <f ca="1">IFERROR(__xludf.UNSUPPORTED("""COMPUTED_VALUE"""),44875.2451504629)</f>
        <v>44875.245150462899</v>
      </c>
    </row>
    <row r="593" spans="1:10" ht="12.75">
      <c r="A593" s="3" t="str">
        <f ca="1">IFERROR(__xludf.UNSUPPORTED("""COMPUTED_VALUE"""),"c785431b")</f>
        <v>c785431b</v>
      </c>
      <c r="B593" s="4">
        <f ca="1">IFERROR(__xludf.UNSUPPORTED("""COMPUTED_VALUE"""),44875.4480902777)</f>
        <v>44875.4480902777</v>
      </c>
      <c r="C593" s="7" t="str">
        <f ca="1">IFERROR(__xludf.UNSUPPORTED("""COMPUTED_VALUE"""),"Ilhéus")</f>
        <v>Ilhéus</v>
      </c>
      <c r="D593" s="3" t="str">
        <f ca="1">IFERROR(__xludf.UNSUPPORTED("""COMPUTED_VALUE"""),"🚢 REGULAR")</f>
        <v>🚢 REGULAR</v>
      </c>
      <c r="E593" s="3" t="str">
        <f ca="1">IFERROR(__xludf.UNSUPPORTED("""COMPUTED_VALUE"""),"🚛 LIBERADO")</f>
        <v>🚛 LIBERADO</v>
      </c>
      <c r="F593" s="5">
        <f ca="1">IFERROR(__xludf.UNSUPPORTED("""COMPUTED_VALUE"""),0)</f>
        <v>0</v>
      </c>
      <c r="G593" s="3" t="str">
        <f ca="1">IFERROR(__xludf.UNSUPPORTED("""COMPUTED_VALUE"""),"Normalidade")</f>
        <v>Normalidade</v>
      </c>
      <c r="H593" s="4">
        <f ca="1">IFERROR(__xludf.UNSUPPORTED("""COMPUTED_VALUE"""),44875.4480902777)</f>
        <v>44875.4480902777</v>
      </c>
      <c r="I593" s="3">
        <f ca="1">IFERROR(__xludf.UNSUPPORTED("""COMPUTED_VALUE"""),24)</f>
        <v>24</v>
      </c>
      <c r="J593" s="4">
        <f ca="1">IFERROR(__xludf.UNSUPPORTED("""COMPUTED_VALUE"""),44876.4480902777)</f>
        <v>44876.4480902777</v>
      </c>
    </row>
    <row r="594" spans="1:10" ht="12.75">
      <c r="A594" s="3" t="str">
        <f ca="1">IFERROR(__xludf.UNSUPPORTED("""COMPUTED_VALUE"""),"c543376d")</f>
        <v>c543376d</v>
      </c>
      <c r="B594" s="4">
        <f ca="1">IFERROR(__xludf.UNSUPPORTED("""COMPUTED_VALUE"""),44876.3502546296)</f>
        <v>44876.3502546296</v>
      </c>
      <c r="C594" s="8" t="str">
        <f ca="1">IFERROR(__xludf.UNSUPPORTED("""COMPUTED_VALUE"""),"Ilhéus")</f>
        <v>Ilhéus</v>
      </c>
      <c r="D594" s="3" t="str">
        <f ca="1">IFERROR(__xludf.UNSUPPORTED("""COMPUTED_VALUE"""),"🚢 REGULAR")</f>
        <v>🚢 REGULAR</v>
      </c>
      <c r="E594" s="3" t="str">
        <f ca="1">IFERROR(__xludf.UNSUPPORTED("""COMPUTED_VALUE"""),"🚛 LIBERADO")</f>
        <v>🚛 LIBERADO</v>
      </c>
      <c r="F594" s="5">
        <f ca="1">IFERROR(__xludf.UNSUPPORTED("""COMPUTED_VALUE"""),0)</f>
        <v>0</v>
      </c>
      <c r="G594" s="3" t="str">
        <f ca="1">IFERROR(__xludf.UNSUPPORTED("""COMPUTED_VALUE"""),"Normalidade")</f>
        <v>Normalidade</v>
      </c>
      <c r="H594" s="4">
        <f ca="1">IFERROR(__xludf.UNSUPPORTED("""COMPUTED_VALUE"""),44876.3502546296)</f>
        <v>44876.3502546296</v>
      </c>
      <c r="I594" s="3">
        <f ca="1">IFERROR(__xludf.UNSUPPORTED("""COMPUTED_VALUE"""),24)</f>
        <v>24</v>
      </c>
      <c r="J594" s="4">
        <f ca="1">IFERROR(__xludf.UNSUPPORTED("""COMPUTED_VALUE"""),44877.3502546296)</f>
        <v>44877.3502546296</v>
      </c>
    </row>
    <row r="595" spans="1:10" ht="12.75">
      <c r="A595" s="3" t="str">
        <f ca="1">IFERROR(__xludf.UNSUPPORTED("""COMPUTED_VALUE"""),"608a807d")</f>
        <v>608a807d</v>
      </c>
      <c r="B595" s="4">
        <f ca="1">IFERROR(__xludf.UNSUPPORTED("""COMPUTED_VALUE"""),44877.3263078703)</f>
        <v>44877.326307870302</v>
      </c>
      <c r="C595" s="8" t="str">
        <f ca="1">IFERROR(__xludf.UNSUPPORTED("""COMPUTED_VALUE"""),"Ilhéus")</f>
        <v>Ilhéus</v>
      </c>
      <c r="D595" s="3" t="str">
        <f ca="1">IFERROR(__xludf.UNSUPPORTED("""COMPUTED_VALUE"""),"🚢 REGULAR")</f>
        <v>🚢 REGULAR</v>
      </c>
      <c r="E595" s="3" t="str">
        <f ca="1">IFERROR(__xludf.UNSUPPORTED("""COMPUTED_VALUE"""),"🚛 LIBERADO")</f>
        <v>🚛 LIBERADO</v>
      </c>
      <c r="F595" s="5">
        <f ca="1">IFERROR(__xludf.UNSUPPORTED("""COMPUTED_VALUE"""),0)</f>
        <v>0</v>
      </c>
      <c r="G595" s="3" t="str">
        <f ca="1">IFERROR(__xludf.UNSUPPORTED("""COMPUTED_VALUE"""),"Normalidade")</f>
        <v>Normalidade</v>
      </c>
      <c r="H595" s="4">
        <f ca="1">IFERROR(__xludf.UNSUPPORTED("""COMPUTED_VALUE"""),44877.3263078703)</f>
        <v>44877.326307870302</v>
      </c>
      <c r="I595" s="3">
        <f ca="1">IFERROR(__xludf.UNSUPPORTED("""COMPUTED_VALUE"""),24)</f>
        <v>24</v>
      </c>
      <c r="J595" s="4">
        <f ca="1">IFERROR(__xludf.UNSUPPORTED("""COMPUTED_VALUE"""),44878.3263078703)</f>
        <v>44878.326307870302</v>
      </c>
    </row>
    <row r="596" spans="1:10" ht="12.75">
      <c r="A596" s="3" t="str">
        <f ca="1">IFERROR(__xludf.UNSUPPORTED("""COMPUTED_VALUE"""),"d7a2c0e3")</f>
        <v>d7a2c0e3</v>
      </c>
      <c r="B596" s="4">
        <f ca="1">IFERROR(__xludf.UNSUPPORTED("""COMPUTED_VALUE"""),44878.4466898148)</f>
        <v>44878.446689814802</v>
      </c>
      <c r="C596" s="7" t="str">
        <f ca="1">IFERROR(__xludf.UNSUPPORTED("""COMPUTED_VALUE"""),"Ilhéus")</f>
        <v>Ilhéus</v>
      </c>
      <c r="D596" s="3" t="str">
        <f ca="1">IFERROR(__xludf.UNSUPPORTED("""COMPUTED_VALUE"""),"🚢 REGULAR")</f>
        <v>🚢 REGULAR</v>
      </c>
      <c r="E596" s="3" t="str">
        <f ca="1">IFERROR(__xludf.UNSUPPORTED("""COMPUTED_VALUE"""),"🚛 LIBERADO")</f>
        <v>🚛 LIBERADO</v>
      </c>
      <c r="F596" s="5">
        <f ca="1">IFERROR(__xludf.UNSUPPORTED("""COMPUTED_VALUE"""),0)</f>
        <v>0</v>
      </c>
      <c r="G596" s="3" t="str">
        <f ca="1">IFERROR(__xludf.UNSUPPORTED("""COMPUTED_VALUE"""),"Normalidade")</f>
        <v>Normalidade</v>
      </c>
      <c r="H596" s="4">
        <f ca="1">IFERROR(__xludf.UNSUPPORTED("""COMPUTED_VALUE"""),44878.4466898148)</f>
        <v>44878.446689814802</v>
      </c>
      <c r="I596" s="3">
        <f ca="1">IFERROR(__xludf.UNSUPPORTED("""COMPUTED_VALUE"""),24)</f>
        <v>24</v>
      </c>
      <c r="J596" s="4">
        <f ca="1">IFERROR(__xludf.UNSUPPORTED("""COMPUTED_VALUE"""),44879.4466898148)</f>
        <v>44879.446689814802</v>
      </c>
    </row>
    <row r="597" spans="1:10" ht="12.75">
      <c r="A597" s="3" t="str">
        <f ca="1">IFERROR(__xludf.UNSUPPORTED("""COMPUTED_VALUE"""),"2eb728b9")</f>
        <v>2eb728b9</v>
      </c>
      <c r="B597" s="4">
        <f ca="1">IFERROR(__xludf.UNSUPPORTED("""COMPUTED_VALUE"""),44879.2345949074)</f>
        <v>44879.234594907401</v>
      </c>
      <c r="C597" s="7" t="str">
        <f ca="1">IFERROR(__xludf.UNSUPPORTED("""COMPUTED_VALUE"""),"Ilhéus")</f>
        <v>Ilhéus</v>
      </c>
      <c r="D597" s="3" t="str">
        <f ca="1">IFERROR(__xludf.UNSUPPORTED("""COMPUTED_VALUE"""),"🚢 REGULAR")</f>
        <v>🚢 REGULAR</v>
      </c>
      <c r="E597" s="3" t="str">
        <f ca="1">IFERROR(__xludf.UNSUPPORTED("""COMPUTED_VALUE"""),"🚛 LIBERADO")</f>
        <v>🚛 LIBERADO</v>
      </c>
      <c r="F597" s="5">
        <f ca="1">IFERROR(__xludf.UNSUPPORTED("""COMPUTED_VALUE"""),0)</f>
        <v>0</v>
      </c>
      <c r="G597" s="3" t="str">
        <f ca="1">IFERROR(__xludf.UNSUPPORTED("""COMPUTED_VALUE"""),"Normalidade")</f>
        <v>Normalidade</v>
      </c>
      <c r="H597" s="4">
        <f ca="1">IFERROR(__xludf.UNSUPPORTED("""COMPUTED_VALUE"""),44879.2345949074)</f>
        <v>44879.234594907401</v>
      </c>
      <c r="I597" s="3">
        <f ca="1">IFERROR(__xludf.UNSUPPORTED("""COMPUTED_VALUE"""),24)</f>
        <v>24</v>
      </c>
      <c r="J597" s="4">
        <f ca="1">IFERROR(__xludf.UNSUPPORTED("""COMPUTED_VALUE"""),44880.2345949074)</f>
        <v>44880.234594907401</v>
      </c>
    </row>
    <row r="598" spans="1:10" ht="12.75">
      <c r="A598" s="3" t="str">
        <f ca="1">IFERROR(__xludf.UNSUPPORTED("""COMPUTED_VALUE"""),"e39f4de9")</f>
        <v>e39f4de9</v>
      </c>
      <c r="B598" s="4">
        <f ca="1">IFERROR(__xludf.UNSUPPORTED("""COMPUTED_VALUE"""),44880.2954629629)</f>
        <v>44880.295462962902</v>
      </c>
      <c r="C598" s="8" t="str">
        <f ca="1">IFERROR(__xludf.UNSUPPORTED("""COMPUTED_VALUE"""),"Ilhéus")</f>
        <v>Ilhéus</v>
      </c>
      <c r="D598" s="3" t="str">
        <f ca="1">IFERROR(__xludf.UNSUPPORTED("""COMPUTED_VALUE"""),"🚢 REGULAR")</f>
        <v>🚢 REGULAR</v>
      </c>
      <c r="E598" s="3" t="str">
        <f ca="1">IFERROR(__xludf.UNSUPPORTED("""COMPUTED_VALUE"""),"🚛 LIBERADO")</f>
        <v>🚛 LIBERADO</v>
      </c>
      <c r="F598" s="5">
        <f ca="1">IFERROR(__xludf.UNSUPPORTED("""COMPUTED_VALUE"""),0)</f>
        <v>0</v>
      </c>
      <c r="G598" s="3" t="str">
        <f ca="1">IFERROR(__xludf.UNSUPPORTED("""COMPUTED_VALUE"""),"Normalidade")</f>
        <v>Normalidade</v>
      </c>
      <c r="H598" s="4">
        <f ca="1">IFERROR(__xludf.UNSUPPORTED("""COMPUTED_VALUE"""),44880.2954629629)</f>
        <v>44880.295462962902</v>
      </c>
      <c r="I598" s="3">
        <f ca="1">IFERROR(__xludf.UNSUPPORTED("""COMPUTED_VALUE"""),24)</f>
        <v>24</v>
      </c>
      <c r="J598" s="4">
        <f ca="1">IFERROR(__xludf.UNSUPPORTED("""COMPUTED_VALUE"""),44881.2954629629)</f>
        <v>44881.295462962902</v>
      </c>
    </row>
    <row r="599" spans="1:10" ht="12.75">
      <c r="A599" s="3" t="str">
        <f ca="1">IFERROR(__xludf.UNSUPPORTED("""COMPUTED_VALUE"""),"fc9b30b3")</f>
        <v>fc9b30b3</v>
      </c>
      <c r="B599" s="4">
        <f ca="1">IFERROR(__xludf.UNSUPPORTED("""COMPUTED_VALUE"""),44881.3517476851)</f>
        <v>44881.351747685098</v>
      </c>
      <c r="C599" s="7" t="str">
        <f ca="1">IFERROR(__xludf.UNSUPPORTED("""COMPUTED_VALUE"""),"Ilhéus")</f>
        <v>Ilhéus</v>
      </c>
      <c r="D599" s="3" t="str">
        <f ca="1">IFERROR(__xludf.UNSUPPORTED("""COMPUTED_VALUE"""),"🚢 REGULAR")</f>
        <v>🚢 REGULAR</v>
      </c>
      <c r="E599" s="3" t="str">
        <f ca="1">IFERROR(__xludf.UNSUPPORTED("""COMPUTED_VALUE"""),"🚛 LIBERADO")</f>
        <v>🚛 LIBERADO</v>
      </c>
      <c r="F599" s="5">
        <f ca="1">IFERROR(__xludf.UNSUPPORTED("""COMPUTED_VALUE"""),0)</f>
        <v>0</v>
      </c>
      <c r="G599" s="3" t="str">
        <f ca="1">IFERROR(__xludf.UNSUPPORTED("""COMPUTED_VALUE"""),"Normalidade")</f>
        <v>Normalidade</v>
      </c>
      <c r="H599" s="4">
        <f ca="1">IFERROR(__xludf.UNSUPPORTED("""COMPUTED_VALUE"""),44881.3517476851)</f>
        <v>44881.351747685098</v>
      </c>
      <c r="I599" s="3">
        <f ca="1">IFERROR(__xludf.UNSUPPORTED("""COMPUTED_VALUE"""),24)</f>
        <v>24</v>
      </c>
      <c r="J599" s="4">
        <f ca="1">IFERROR(__xludf.UNSUPPORTED("""COMPUTED_VALUE"""),44882.3517476851)</f>
        <v>44882.351747685098</v>
      </c>
    </row>
    <row r="600" spans="1:10" ht="12.75">
      <c r="A600" s="3" t="str">
        <f ca="1">IFERROR(__xludf.UNSUPPORTED("""COMPUTED_VALUE"""),"11cf999f")</f>
        <v>11cf999f</v>
      </c>
      <c r="B600" s="4">
        <f ca="1">IFERROR(__xludf.UNSUPPORTED("""COMPUTED_VALUE"""),44882.2889351851)</f>
        <v>44882.288935185097</v>
      </c>
      <c r="C600" s="7" t="str">
        <f ca="1">IFERROR(__xludf.UNSUPPORTED("""COMPUTED_VALUE"""),"Ilhéus")</f>
        <v>Ilhéus</v>
      </c>
      <c r="D600" s="3" t="str">
        <f ca="1">IFERROR(__xludf.UNSUPPORTED("""COMPUTED_VALUE"""),"🚢 REGULAR")</f>
        <v>🚢 REGULAR</v>
      </c>
      <c r="E600" s="3" t="str">
        <f ca="1">IFERROR(__xludf.UNSUPPORTED("""COMPUTED_VALUE"""),"🚛 LIBERADO")</f>
        <v>🚛 LIBERADO</v>
      </c>
      <c r="F600" s="5">
        <f ca="1">IFERROR(__xludf.UNSUPPORTED("""COMPUTED_VALUE"""),0)</f>
        <v>0</v>
      </c>
      <c r="G600" s="3" t="str">
        <f ca="1">IFERROR(__xludf.UNSUPPORTED("""COMPUTED_VALUE"""),"Normalidade")</f>
        <v>Normalidade</v>
      </c>
      <c r="H600" s="4">
        <f ca="1">IFERROR(__xludf.UNSUPPORTED("""COMPUTED_VALUE"""),44882.2889351851)</f>
        <v>44882.288935185097</v>
      </c>
      <c r="I600" s="3">
        <f ca="1">IFERROR(__xludf.UNSUPPORTED("""COMPUTED_VALUE"""),24)</f>
        <v>24</v>
      </c>
      <c r="J600" s="4">
        <f ca="1">IFERROR(__xludf.UNSUPPORTED("""COMPUTED_VALUE"""),44883.2889351851)</f>
        <v>44883.288935185097</v>
      </c>
    </row>
    <row r="601" spans="1:10" ht="12.75">
      <c r="A601" s="3" t="str">
        <f ca="1">IFERROR(__xludf.UNSUPPORTED("""COMPUTED_VALUE"""),"c1007778")</f>
        <v>c1007778</v>
      </c>
      <c r="B601" s="4">
        <f ca="1">IFERROR(__xludf.UNSUPPORTED("""COMPUTED_VALUE"""),44883.4956018518)</f>
        <v>44883.495601851799</v>
      </c>
      <c r="C601" s="7" t="str">
        <f ca="1">IFERROR(__xludf.UNSUPPORTED("""COMPUTED_VALUE"""),"Ilhéus")</f>
        <v>Ilhéus</v>
      </c>
      <c r="D601" s="3" t="str">
        <f ca="1">IFERROR(__xludf.UNSUPPORTED("""COMPUTED_VALUE"""),"🚢 REGULAR")</f>
        <v>🚢 REGULAR</v>
      </c>
      <c r="E601" s="3" t="str">
        <f ca="1">IFERROR(__xludf.UNSUPPORTED("""COMPUTED_VALUE"""),"🚛 LIBERADO")</f>
        <v>🚛 LIBERADO</v>
      </c>
      <c r="F601" s="5">
        <f ca="1">IFERROR(__xludf.UNSUPPORTED("""COMPUTED_VALUE"""),0)</f>
        <v>0</v>
      </c>
      <c r="G601" s="3" t="str">
        <f ca="1">IFERROR(__xludf.UNSUPPORTED("""COMPUTED_VALUE"""),"Normalidade")</f>
        <v>Normalidade</v>
      </c>
      <c r="H601" s="4">
        <f ca="1">IFERROR(__xludf.UNSUPPORTED("""COMPUTED_VALUE"""),44883.4956018518)</f>
        <v>44883.495601851799</v>
      </c>
      <c r="I601" s="3">
        <f ca="1">IFERROR(__xludf.UNSUPPORTED("""COMPUTED_VALUE"""),24)</f>
        <v>24</v>
      </c>
      <c r="J601" s="4">
        <f ca="1">IFERROR(__xludf.UNSUPPORTED("""COMPUTED_VALUE"""),44884.4956018518)</f>
        <v>44884.495601851799</v>
      </c>
    </row>
    <row r="602" spans="1:10" ht="12.75">
      <c r="A602" s="3" t="str">
        <f ca="1">IFERROR(__xludf.UNSUPPORTED("""COMPUTED_VALUE"""),"dbaec655")</f>
        <v>dbaec655</v>
      </c>
      <c r="B602" s="4">
        <f ca="1">IFERROR(__xludf.UNSUPPORTED("""COMPUTED_VALUE"""),44884.4)</f>
        <v>44884.4</v>
      </c>
      <c r="C602" s="8" t="str">
        <f ca="1">IFERROR(__xludf.UNSUPPORTED("""COMPUTED_VALUE"""),"Ilhéus")</f>
        <v>Ilhéus</v>
      </c>
      <c r="D602" s="3" t="str">
        <f ca="1">IFERROR(__xludf.UNSUPPORTED("""COMPUTED_VALUE"""),"🚢 REGULAR")</f>
        <v>🚢 REGULAR</v>
      </c>
      <c r="E602" s="3" t="str">
        <f ca="1">IFERROR(__xludf.UNSUPPORTED("""COMPUTED_VALUE"""),"🚛 LIBERADO")</f>
        <v>🚛 LIBERADO</v>
      </c>
      <c r="F602" s="5">
        <f ca="1">IFERROR(__xludf.UNSUPPORTED("""COMPUTED_VALUE"""),0)</f>
        <v>0</v>
      </c>
      <c r="G602" s="3" t="str">
        <f ca="1">IFERROR(__xludf.UNSUPPORTED("""COMPUTED_VALUE"""),"Normalidade")</f>
        <v>Normalidade</v>
      </c>
      <c r="H602" s="4">
        <f ca="1">IFERROR(__xludf.UNSUPPORTED("""COMPUTED_VALUE"""),44884.4)</f>
        <v>44884.4</v>
      </c>
      <c r="I602" s="3">
        <f ca="1">IFERROR(__xludf.UNSUPPORTED("""COMPUTED_VALUE"""),24)</f>
        <v>24</v>
      </c>
      <c r="J602" s="4">
        <f ca="1">IFERROR(__xludf.UNSUPPORTED("""COMPUTED_VALUE"""),44885.4)</f>
        <v>44885.4</v>
      </c>
    </row>
    <row r="603" spans="1:10" ht="12.75">
      <c r="A603" s="3" t="str">
        <f ca="1">IFERROR(__xludf.UNSUPPORTED("""COMPUTED_VALUE"""),"89a9f2a8")</f>
        <v>89a9f2a8</v>
      </c>
      <c r="B603" s="4">
        <f ca="1">IFERROR(__xludf.UNSUPPORTED("""COMPUTED_VALUE"""),44886.3346064814)</f>
        <v>44886.334606481403</v>
      </c>
      <c r="C603" s="7" t="str">
        <f ca="1">IFERROR(__xludf.UNSUPPORTED("""COMPUTED_VALUE"""),"Ilhéus")</f>
        <v>Ilhéus</v>
      </c>
      <c r="D603" s="3" t="str">
        <f ca="1">IFERROR(__xludf.UNSUPPORTED("""COMPUTED_VALUE"""),"🚢 REGULAR")</f>
        <v>🚢 REGULAR</v>
      </c>
      <c r="E603" s="3" t="str">
        <f ca="1">IFERROR(__xludf.UNSUPPORTED("""COMPUTED_VALUE"""),"🚛 LIBERADO")</f>
        <v>🚛 LIBERADO</v>
      </c>
      <c r="F603" s="5">
        <f ca="1">IFERROR(__xludf.UNSUPPORTED("""COMPUTED_VALUE"""),0)</f>
        <v>0</v>
      </c>
      <c r="G603" s="3" t="str">
        <f ca="1">IFERROR(__xludf.UNSUPPORTED("""COMPUTED_VALUE"""),"Normalidade")</f>
        <v>Normalidade</v>
      </c>
      <c r="H603" s="4">
        <f ca="1">IFERROR(__xludf.UNSUPPORTED("""COMPUTED_VALUE"""),44886.3346064814)</f>
        <v>44886.334606481403</v>
      </c>
      <c r="I603" s="3">
        <f ca="1">IFERROR(__xludf.UNSUPPORTED("""COMPUTED_VALUE"""),24)</f>
        <v>24</v>
      </c>
      <c r="J603" s="4">
        <f ca="1">IFERROR(__xludf.UNSUPPORTED("""COMPUTED_VALUE"""),44887.3346064814)</f>
        <v>44887.334606481403</v>
      </c>
    </row>
    <row r="604" spans="1:10" ht="12.75">
      <c r="A604" s="3" t="str">
        <f ca="1">IFERROR(__xludf.UNSUPPORTED("""COMPUTED_VALUE"""),"07f2da17")</f>
        <v>07f2da17</v>
      </c>
      <c r="B604" s="4">
        <f ca="1">IFERROR(__xludf.UNSUPPORTED("""COMPUTED_VALUE"""),44888.2601388888)</f>
        <v>44888.2601388888</v>
      </c>
      <c r="C604" s="7" t="str">
        <f ca="1">IFERROR(__xludf.UNSUPPORTED("""COMPUTED_VALUE"""),"Ilhéus")</f>
        <v>Ilhéus</v>
      </c>
      <c r="D604" s="3" t="str">
        <f ca="1">IFERROR(__xludf.UNSUPPORTED("""COMPUTED_VALUE"""),"🚢 REGULAR")</f>
        <v>🚢 REGULAR</v>
      </c>
      <c r="E604" s="3" t="str">
        <f ca="1">IFERROR(__xludf.UNSUPPORTED("""COMPUTED_VALUE"""),"🚛 LIBERADO")</f>
        <v>🚛 LIBERADO</v>
      </c>
      <c r="F604" s="5">
        <f ca="1">IFERROR(__xludf.UNSUPPORTED("""COMPUTED_VALUE"""),0)</f>
        <v>0</v>
      </c>
      <c r="G604" s="3" t="str">
        <f ca="1">IFERROR(__xludf.UNSUPPORTED("""COMPUTED_VALUE"""),"Normalidade")</f>
        <v>Normalidade</v>
      </c>
      <c r="H604" s="4">
        <f ca="1">IFERROR(__xludf.UNSUPPORTED("""COMPUTED_VALUE"""),44888.2601388888)</f>
        <v>44888.2601388888</v>
      </c>
      <c r="I604" s="3">
        <f ca="1">IFERROR(__xludf.UNSUPPORTED("""COMPUTED_VALUE"""),24)</f>
        <v>24</v>
      </c>
      <c r="J604" s="4">
        <f ca="1">IFERROR(__xludf.UNSUPPORTED("""COMPUTED_VALUE"""),44889.2601388888)</f>
        <v>44889.2601388888</v>
      </c>
    </row>
    <row r="605" spans="1:10" ht="12.75">
      <c r="A605" s="3" t="str">
        <f ca="1">IFERROR(__xludf.UNSUPPORTED("""COMPUTED_VALUE"""),"b697cc79")</f>
        <v>b697cc79</v>
      </c>
      <c r="B605" s="4">
        <f ca="1">IFERROR(__xludf.UNSUPPORTED("""COMPUTED_VALUE"""),44890.1367013888)</f>
        <v>44890.136701388801</v>
      </c>
      <c r="C605" s="7" t="str">
        <f ca="1">IFERROR(__xludf.UNSUPPORTED("""COMPUTED_VALUE"""),"Ilhéus")</f>
        <v>Ilhéus</v>
      </c>
      <c r="D605" s="3" t="str">
        <f ca="1">IFERROR(__xludf.UNSUPPORTED("""COMPUTED_VALUE"""),"🚢 REGULAR")</f>
        <v>🚢 REGULAR</v>
      </c>
      <c r="E605" s="3" t="str">
        <f ca="1">IFERROR(__xludf.UNSUPPORTED("""COMPUTED_VALUE"""),"🚛 LIBERADO")</f>
        <v>🚛 LIBERADO</v>
      </c>
      <c r="F605" s="5">
        <f ca="1">IFERROR(__xludf.UNSUPPORTED("""COMPUTED_VALUE"""),0)</f>
        <v>0</v>
      </c>
      <c r="G605" s="3" t="str">
        <f ca="1">IFERROR(__xludf.UNSUPPORTED("""COMPUTED_VALUE"""),"Normalidade")</f>
        <v>Normalidade</v>
      </c>
      <c r="H605" s="4">
        <f ca="1">IFERROR(__xludf.UNSUPPORTED("""COMPUTED_VALUE"""),44890.1367013888)</f>
        <v>44890.136701388801</v>
      </c>
      <c r="I605" s="3">
        <f ca="1">IFERROR(__xludf.UNSUPPORTED("""COMPUTED_VALUE"""),24)</f>
        <v>24</v>
      </c>
      <c r="J605" s="4">
        <f ca="1">IFERROR(__xludf.UNSUPPORTED("""COMPUTED_VALUE"""),44891.1367013888)</f>
        <v>44891.136701388801</v>
      </c>
    </row>
    <row r="606" spans="1:10" ht="12.75">
      <c r="A606" s="3" t="str">
        <f ca="1">IFERROR(__xludf.UNSUPPORTED("""COMPUTED_VALUE"""),"e9cd4267")</f>
        <v>e9cd4267</v>
      </c>
      <c r="B606" s="4">
        <f ca="1">IFERROR(__xludf.UNSUPPORTED("""COMPUTED_VALUE"""),44892.4602314814)</f>
        <v>44892.460231481396</v>
      </c>
      <c r="C606" s="7" t="str">
        <f ca="1">IFERROR(__xludf.UNSUPPORTED("""COMPUTED_VALUE"""),"Ilhéus")</f>
        <v>Ilhéus</v>
      </c>
      <c r="D606" s="3" t="str">
        <f ca="1">IFERROR(__xludf.UNSUPPORTED("""COMPUTED_VALUE"""),"🚢 REGULAR")</f>
        <v>🚢 REGULAR</v>
      </c>
      <c r="E606" s="3" t="str">
        <f ca="1">IFERROR(__xludf.UNSUPPORTED("""COMPUTED_VALUE"""),"🚛 LIBERADO")</f>
        <v>🚛 LIBERADO</v>
      </c>
      <c r="F606" s="5">
        <f ca="1">IFERROR(__xludf.UNSUPPORTED("""COMPUTED_VALUE"""),0)</f>
        <v>0</v>
      </c>
      <c r="G606" s="3" t="str">
        <f ca="1">IFERROR(__xludf.UNSUPPORTED("""COMPUTED_VALUE"""),"Normalidade")</f>
        <v>Normalidade</v>
      </c>
      <c r="H606" s="4">
        <f ca="1">IFERROR(__xludf.UNSUPPORTED("""COMPUTED_VALUE"""),44892.4602314814)</f>
        <v>44892.460231481396</v>
      </c>
      <c r="I606" s="3">
        <f ca="1">IFERROR(__xludf.UNSUPPORTED("""COMPUTED_VALUE"""),24)</f>
        <v>24</v>
      </c>
      <c r="J606" s="4">
        <f ca="1">IFERROR(__xludf.UNSUPPORTED("""COMPUTED_VALUE"""),44893.4602314814)</f>
        <v>44893.460231481396</v>
      </c>
    </row>
    <row r="607" spans="1:10" ht="12.75">
      <c r="A607" s="3" t="str">
        <f ca="1">IFERROR(__xludf.UNSUPPORTED("""COMPUTED_VALUE"""),"0cffd166")</f>
        <v>0cffd166</v>
      </c>
      <c r="B607" s="4">
        <f ca="1">IFERROR(__xludf.UNSUPPORTED("""COMPUTED_VALUE"""),44893.3768518518)</f>
        <v>44893.376851851797</v>
      </c>
      <c r="C607" s="8" t="str">
        <f ca="1">IFERROR(__xludf.UNSUPPORTED("""COMPUTED_VALUE"""),"Ilhéus")</f>
        <v>Ilhéus</v>
      </c>
      <c r="D607" s="3" t="str">
        <f ca="1">IFERROR(__xludf.UNSUPPORTED("""COMPUTED_VALUE"""),"🚢 REGULAR")</f>
        <v>🚢 REGULAR</v>
      </c>
      <c r="E607" s="3" t="str">
        <f ca="1">IFERROR(__xludf.UNSUPPORTED("""COMPUTED_VALUE"""),"🚛 LIBERADO")</f>
        <v>🚛 LIBERADO</v>
      </c>
      <c r="F607" s="5">
        <f ca="1">IFERROR(__xludf.UNSUPPORTED("""COMPUTED_VALUE"""),0)</f>
        <v>0</v>
      </c>
      <c r="G607" s="3" t="str">
        <f ca="1">IFERROR(__xludf.UNSUPPORTED("""COMPUTED_VALUE"""),"Normalidade")</f>
        <v>Normalidade</v>
      </c>
      <c r="H607" s="4">
        <f ca="1">IFERROR(__xludf.UNSUPPORTED("""COMPUTED_VALUE"""),44893.3768518518)</f>
        <v>44893.376851851797</v>
      </c>
      <c r="I607" s="3">
        <f ca="1">IFERROR(__xludf.UNSUPPORTED("""COMPUTED_VALUE"""),24)</f>
        <v>24</v>
      </c>
      <c r="J607" s="4">
        <f ca="1">IFERROR(__xludf.UNSUPPORTED("""COMPUTED_VALUE"""),44894.3768518518)</f>
        <v>44894.376851851797</v>
      </c>
    </row>
    <row r="608" spans="1:10" ht="12.75">
      <c r="A608" s="3" t="str">
        <f ca="1">IFERROR(__xludf.UNSUPPORTED("""COMPUTED_VALUE"""),"02a2e819")</f>
        <v>02a2e819</v>
      </c>
      <c r="B608" s="4">
        <f ca="1">IFERROR(__xludf.UNSUPPORTED("""COMPUTED_VALUE"""),44894.3698032407)</f>
        <v>44894.369803240697</v>
      </c>
      <c r="C608" s="7" t="str">
        <f ca="1">IFERROR(__xludf.UNSUPPORTED("""COMPUTED_VALUE"""),"Ilhéus")</f>
        <v>Ilhéus</v>
      </c>
      <c r="D608" s="3" t="str">
        <f ca="1">IFERROR(__xludf.UNSUPPORTED("""COMPUTED_VALUE"""),"🚢 REGULAR")</f>
        <v>🚢 REGULAR</v>
      </c>
      <c r="E608" s="3" t="str">
        <f ca="1">IFERROR(__xludf.UNSUPPORTED("""COMPUTED_VALUE"""),"🚛 LIBERADO")</f>
        <v>🚛 LIBERADO</v>
      </c>
      <c r="F608" s="5">
        <f ca="1">IFERROR(__xludf.UNSUPPORTED("""COMPUTED_VALUE"""),0)</f>
        <v>0</v>
      </c>
      <c r="G608" s="3" t="str">
        <f ca="1">IFERROR(__xludf.UNSUPPORTED("""COMPUTED_VALUE"""),"Normalidade")</f>
        <v>Normalidade</v>
      </c>
      <c r="H608" s="4">
        <f ca="1">IFERROR(__xludf.UNSUPPORTED("""COMPUTED_VALUE"""),44894.3698032407)</f>
        <v>44894.369803240697</v>
      </c>
      <c r="I608" s="3">
        <f ca="1">IFERROR(__xludf.UNSUPPORTED("""COMPUTED_VALUE"""),24)</f>
        <v>24</v>
      </c>
      <c r="J608" s="4">
        <f ca="1">IFERROR(__xludf.UNSUPPORTED("""COMPUTED_VALUE"""),44895.3698032407)</f>
        <v>44895.369803240697</v>
      </c>
    </row>
    <row r="609" spans="1:10" ht="12.75">
      <c r="A609" s="3" t="str">
        <f ca="1">IFERROR(__xludf.UNSUPPORTED("""COMPUTED_VALUE"""),"9c106472")</f>
        <v>9c106472</v>
      </c>
      <c r="B609" s="4">
        <f ca="1">IFERROR(__xludf.UNSUPPORTED("""COMPUTED_VALUE"""),44895.2892476851)</f>
        <v>44895.289247685098</v>
      </c>
      <c r="C609" s="8" t="str">
        <f ca="1">IFERROR(__xludf.UNSUPPORTED("""COMPUTED_VALUE"""),"Ilhéus")</f>
        <v>Ilhéus</v>
      </c>
      <c r="D609" s="3" t="str">
        <f ca="1">IFERROR(__xludf.UNSUPPORTED("""COMPUTED_VALUE"""),"🚢 REGULAR")</f>
        <v>🚢 REGULAR</v>
      </c>
      <c r="E609" s="3" t="str">
        <f ca="1">IFERROR(__xludf.UNSUPPORTED("""COMPUTED_VALUE"""),"🚛 LIBERADO")</f>
        <v>🚛 LIBERADO</v>
      </c>
      <c r="F609" s="5">
        <f ca="1">IFERROR(__xludf.UNSUPPORTED("""COMPUTED_VALUE"""),0)</f>
        <v>0</v>
      </c>
      <c r="G609" s="3" t="str">
        <f ca="1">IFERROR(__xludf.UNSUPPORTED("""COMPUTED_VALUE"""),"Normalidade")</f>
        <v>Normalidade</v>
      </c>
      <c r="H609" s="4">
        <f ca="1">IFERROR(__xludf.UNSUPPORTED("""COMPUTED_VALUE"""),44895.2892476851)</f>
        <v>44895.289247685098</v>
      </c>
      <c r="I609" s="3">
        <f ca="1">IFERROR(__xludf.UNSUPPORTED("""COMPUTED_VALUE"""),24)</f>
        <v>24</v>
      </c>
      <c r="J609" s="4">
        <f ca="1">IFERROR(__xludf.UNSUPPORTED("""COMPUTED_VALUE"""),44896.2892476851)</f>
        <v>44896.289247685098</v>
      </c>
    </row>
    <row r="610" spans="1:10" ht="12.75">
      <c r="A610" s="3" t="str">
        <f ca="1">IFERROR(__xludf.UNSUPPORTED("""COMPUTED_VALUE"""),"4a7d3825")</f>
        <v>4a7d3825</v>
      </c>
      <c r="B610" s="4">
        <f ca="1">IFERROR(__xludf.UNSUPPORTED("""COMPUTED_VALUE"""),44896.4341550925)</f>
        <v>44896.434155092502</v>
      </c>
      <c r="C610" s="7" t="str">
        <f ca="1">IFERROR(__xludf.UNSUPPORTED("""COMPUTED_VALUE"""),"Ilhéus")</f>
        <v>Ilhéus</v>
      </c>
      <c r="D610" s="3" t="str">
        <f ca="1">IFERROR(__xludf.UNSUPPORTED("""COMPUTED_VALUE"""),"🚢 REGULAR")</f>
        <v>🚢 REGULAR</v>
      </c>
      <c r="E610" s="3" t="str">
        <f ca="1">IFERROR(__xludf.UNSUPPORTED("""COMPUTED_VALUE"""),"🚛 LIBERADO")</f>
        <v>🚛 LIBERADO</v>
      </c>
      <c r="F610" s="5">
        <f ca="1">IFERROR(__xludf.UNSUPPORTED("""COMPUTED_VALUE"""),0)</f>
        <v>0</v>
      </c>
      <c r="G610" s="3" t="str">
        <f ca="1">IFERROR(__xludf.UNSUPPORTED("""COMPUTED_VALUE"""),"Normalidade")</f>
        <v>Normalidade</v>
      </c>
      <c r="H610" s="4">
        <f ca="1">IFERROR(__xludf.UNSUPPORTED("""COMPUTED_VALUE"""),44896.4341550925)</f>
        <v>44896.434155092502</v>
      </c>
      <c r="I610" s="3">
        <f ca="1">IFERROR(__xludf.UNSUPPORTED("""COMPUTED_VALUE"""),24)</f>
        <v>24</v>
      </c>
      <c r="J610" s="4">
        <f ca="1">IFERROR(__xludf.UNSUPPORTED("""COMPUTED_VALUE"""),44897.4341550925)</f>
        <v>44897.434155092502</v>
      </c>
    </row>
    <row r="611" spans="1:10" ht="12.75">
      <c r="A611" s="3" t="str">
        <f ca="1">IFERROR(__xludf.UNSUPPORTED("""COMPUTED_VALUE"""),"3fde7647")</f>
        <v>3fde7647</v>
      </c>
      <c r="B611" s="4">
        <f ca="1">IFERROR(__xludf.UNSUPPORTED("""COMPUTED_VALUE"""),44897.4078356481)</f>
        <v>44897.407835648097</v>
      </c>
      <c r="C611" s="8" t="str">
        <f ca="1">IFERROR(__xludf.UNSUPPORTED("""COMPUTED_VALUE"""),"Ilhéus")</f>
        <v>Ilhéus</v>
      </c>
      <c r="D611" s="3" t="str">
        <f ca="1">IFERROR(__xludf.UNSUPPORTED("""COMPUTED_VALUE"""),"🚢 REGULAR")</f>
        <v>🚢 REGULAR</v>
      </c>
      <c r="E611" s="3" t="str">
        <f ca="1">IFERROR(__xludf.UNSUPPORTED("""COMPUTED_VALUE"""),"🚛 LIBERADO")</f>
        <v>🚛 LIBERADO</v>
      </c>
      <c r="F611" s="5">
        <f ca="1">IFERROR(__xludf.UNSUPPORTED("""COMPUTED_VALUE"""),0)</f>
        <v>0</v>
      </c>
      <c r="G611" s="3" t="str">
        <f ca="1">IFERROR(__xludf.UNSUPPORTED("""COMPUTED_VALUE"""),"Normalidade")</f>
        <v>Normalidade</v>
      </c>
      <c r="H611" s="4">
        <f ca="1">IFERROR(__xludf.UNSUPPORTED("""COMPUTED_VALUE"""),44897.4078356481)</f>
        <v>44897.407835648097</v>
      </c>
      <c r="I611" s="3">
        <f ca="1">IFERROR(__xludf.UNSUPPORTED("""COMPUTED_VALUE"""),24)</f>
        <v>24</v>
      </c>
      <c r="J611" s="4">
        <f ca="1">IFERROR(__xludf.UNSUPPORTED("""COMPUTED_VALUE"""),44898.4078356481)</f>
        <v>44898.407835648097</v>
      </c>
    </row>
    <row r="612" spans="1:10" ht="12.75">
      <c r="A612" s="3" t="str">
        <f ca="1">IFERROR(__xludf.UNSUPPORTED("""COMPUTED_VALUE"""),"a2527bf1")</f>
        <v>a2527bf1</v>
      </c>
      <c r="B612" s="4">
        <f ca="1">IFERROR(__xludf.UNSUPPORTED("""COMPUTED_VALUE"""),44898.2934375)</f>
        <v>44898.293437499997</v>
      </c>
      <c r="C612" s="7" t="str">
        <f ca="1">IFERROR(__xludf.UNSUPPORTED("""COMPUTED_VALUE"""),"Ilhéus")</f>
        <v>Ilhéus</v>
      </c>
      <c r="D612" s="3" t="str">
        <f ca="1">IFERROR(__xludf.UNSUPPORTED("""COMPUTED_VALUE"""),"🚢 REGULAR")</f>
        <v>🚢 REGULAR</v>
      </c>
      <c r="E612" s="3" t="str">
        <f ca="1">IFERROR(__xludf.UNSUPPORTED("""COMPUTED_VALUE"""),"🚛 LIBERADO")</f>
        <v>🚛 LIBERADO</v>
      </c>
      <c r="F612" s="5">
        <f ca="1">IFERROR(__xludf.UNSUPPORTED("""COMPUTED_VALUE"""),0)</f>
        <v>0</v>
      </c>
      <c r="G612" s="3" t="str">
        <f ca="1">IFERROR(__xludf.UNSUPPORTED("""COMPUTED_VALUE"""),"Normalidade")</f>
        <v>Normalidade</v>
      </c>
      <c r="H612" s="4">
        <f ca="1">IFERROR(__xludf.UNSUPPORTED("""COMPUTED_VALUE"""),44898.2934375)</f>
        <v>44898.293437499997</v>
      </c>
      <c r="I612" s="3">
        <f ca="1">IFERROR(__xludf.UNSUPPORTED("""COMPUTED_VALUE"""),24)</f>
        <v>24</v>
      </c>
      <c r="J612" s="4">
        <f ca="1">IFERROR(__xludf.UNSUPPORTED("""COMPUTED_VALUE"""),44899.2934375)</f>
        <v>44899.293437499997</v>
      </c>
    </row>
    <row r="613" spans="1:10" ht="12.75">
      <c r="A613" s="3" t="str">
        <f ca="1">IFERROR(__xludf.UNSUPPORTED("""COMPUTED_VALUE"""),"bc27e3bd")</f>
        <v>bc27e3bd</v>
      </c>
      <c r="B613" s="4">
        <f ca="1">IFERROR(__xludf.UNSUPPORTED("""COMPUTED_VALUE"""),44899.251099537)</f>
        <v>44899.251099537003</v>
      </c>
      <c r="C613" s="7" t="str">
        <f ca="1">IFERROR(__xludf.UNSUPPORTED("""COMPUTED_VALUE"""),"Ilhéus")</f>
        <v>Ilhéus</v>
      </c>
      <c r="D613" s="3" t="str">
        <f ca="1">IFERROR(__xludf.UNSUPPORTED("""COMPUTED_VALUE"""),"🚢 REGULAR")</f>
        <v>🚢 REGULAR</v>
      </c>
      <c r="E613" s="3" t="str">
        <f ca="1">IFERROR(__xludf.UNSUPPORTED("""COMPUTED_VALUE"""),"🚛 LIBERADO")</f>
        <v>🚛 LIBERADO</v>
      </c>
      <c r="F613" s="5">
        <f ca="1">IFERROR(__xludf.UNSUPPORTED("""COMPUTED_VALUE"""),0)</f>
        <v>0</v>
      </c>
      <c r="G613" s="3" t="str">
        <f ca="1">IFERROR(__xludf.UNSUPPORTED("""COMPUTED_VALUE"""),"Normalidade")</f>
        <v>Normalidade</v>
      </c>
      <c r="H613" s="4">
        <f ca="1">IFERROR(__xludf.UNSUPPORTED("""COMPUTED_VALUE"""),44899.251099537)</f>
        <v>44899.251099537003</v>
      </c>
      <c r="I613" s="3">
        <f ca="1">IFERROR(__xludf.UNSUPPORTED("""COMPUTED_VALUE"""),24)</f>
        <v>24</v>
      </c>
      <c r="J613" s="4">
        <f ca="1">IFERROR(__xludf.UNSUPPORTED("""COMPUTED_VALUE"""),44900.251099537)</f>
        <v>44900.251099537003</v>
      </c>
    </row>
    <row r="614" spans="1:10" ht="12.75">
      <c r="A614" s="3" t="str">
        <f ca="1">IFERROR(__xludf.UNSUPPORTED("""COMPUTED_VALUE"""),"bb1faae6")</f>
        <v>bb1faae6</v>
      </c>
      <c r="B614" s="4">
        <f ca="1">IFERROR(__xludf.UNSUPPORTED("""COMPUTED_VALUE"""),44900.386261574)</f>
        <v>44900.386261574</v>
      </c>
      <c r="C614" s="8" t="str">
        <f ca="1">IFERROR(__xludf.UNSUPPORTED("""COMPUTED_VALUE"""),"Ilhéus")</f>
        <v>Ilhéus</v>
      </c>
      <c r="D614" s="3" t="str">
        <f ca="1">IFERROR(__xludf.UNSUPPORTED("""COMPUTED_VALUE"""),"🚢 REGULAR")</f>
        <v>🚢 REGULAR</v>
      </c>
      <c r="E614" s="3" t="str">
        <f ca="1">IFERROR(__xludf.UNSUPPORTED("""COMPUTED_VALUE"""),"🚛 LIBERADO")</f>
        <v>🚛 LIBERADO</v>
      </c>
      <c r="F614" s="5">
        <f ca="1">IFERROR(__xludf.UNSUPPORTED("""COMPUTED_VALUE"""),0)</f>
        <v>0</v>
      </c>
      <c r="G614" s="3" t="str">
        <f ca="1">IFERROR(__xludf.UNSUPPORTED("""COMPUTED_VALUE"""),"Sem registros de bloqueios.")</f>
        <v>Sem registros de bloqueios.</v>
      </c>
      <c r="H614" s="4">
        <f ca="1">IFERROR(__xludf.UNSUPPORTED("""COMPUTED_VALUE"""),44900.386261574)</f>
        <v>44900.386261574</v>
      </c>
      <c r="I614" s="3">
        <f ca="1">IFERROR(__xludf.UNSUPPORTED("""COMPUTED_VALUE"""),24)</f>
        <v>24</v>
      </c>
      <c r="J614" s="4">
        <f ca="1">IFERROR(__xludf.UNSUPPORTED("""COMPUTED_VALUE"""),44901.386261574)</f>
        <v>44901.386261574</v>
      </c>
    </row>
    <row r="615" spans="1:10" ht="12.75">
      <c r="A615" s="3" t="str">
        <f ca="1">IFERROR(__xludf.UNSUPPORTED("""COMPUTED_VALUE"""),"0b74b194")</f>
        <v>0b74b194</v>
      </c>
      <c r="B615" s="4">
        <f ca="1">IFERROR(__xludf.UNSUPPORTED("""COMPUTED_VALUE"""),44901.3130439814)</f>
        <v>44901.313043981398</v>
      </c>
      <c r="C615" s="8" t="str">
        <f ca="1">IFERROR(__xludf.UNSUPPORTED("""COMPUTED_VALUE"""),"Ilhéus")</f>
        <v>Ilhéus</v>
      </c>
      <c r="D615" s="3" t="str">
        <f ca="1">IFERROR(__xludf.UNSUPPORTED("""COMPUTED_VALUE"""),"🚢 REGULAR")</f>
        <v>🚢 REGULAR</v>
      </c>
      <c r="E615" s="3" t="str">
        <f ca="1">IFERROR(__xludf.UNSUPPORTED("""COMPUTED_VALUE"""),"🚛 LIBERADO")</f>
        <v>🚛 LIBERADO</v>
      </c>
      <c r="F615" s="5">
        <f ca="1">IFERROR(__xludf.UNSUPPORTED("""COMPUTED_VALUE"""),0)</f>
        <v>0</v>
      </c>
      <c r="G615" s="3" t="str">
        <f ca="1">IFERROR(__xludf.UNSUPPORTED("""COMPUTED_VALUE"""),"Sem ocorrências de bloqueios.")</f>
        <v>Sem ocorrências de bloqueios.</v>
      </c>
      <c r="H615" s="4">
        <f ca="1">IFERROR(__xludf.UNSUPPORTED("""COMPUTED_VALUE"""),44901.3130439814)</f>
        <v>44901.313043981398</v>
      </c>
      <c r="I615" s="3">
        <f ca="1">IFERROR(__xludf.UNSUPPORTED("""COMPUTED_VALUE"""),24)</f>
        <v>24</v>
      </c>
      <c r="J615" s="4">
        <f ca="1">IFERROR(__xludf.UNSUPPORTED("""COMPUTED_VALUE"""),44902.3130439814)</f>
        <v>44902.313043981398</v>
      </c>
    </row>
    <row r="616" spans="1:10" ht="12.75">
      <c r="A616" s="3" t="str">
        <f ca="1">IFERROR(__xludf.UNSUPPORTED("""COMPUTED_VALUE"""),"8d3e70e2")</f>
        <v>8d3e70e2</v>
      </c>
      <c r="B616" s="4">
        <f ca="1">IFERROR(__xludf.UNSUPPORTED("""COMPUTED_VALUE"""),44902.3518634259)</f>
        <v>44902.351863425902</v>
      </c>
      <c r="C616" s="7" t="str">
        <f ca="1">IFERROR(__xludf.UNSUPPORTED("""COMPUTED_VALUE"""),"Ilhéus")</f>
        <v>Ilhéus</v>
      </c>
      <c r="D616" s="3" t="str">
        <f ca="1">IFERROR(__xludf.UNSUPPORTED("""COMPUTED_VALUE"""),"🚢 REGULAR")</f>
        <v>🚢 REGULAR</v>
      </c>
      <c r="E616" s="3" t="str">
        <f ca="1">IFERROR(__xludf.UNSUPPORTED("""COMPUTED_VALUE"""),"🚛 LIBERADO")</f>
        <v>🚛 LIBERADO</v>
      </c>
      <c r="F616" s="5">
        <f ca="1">IFERROR(__xludf.UNSUPPORTED("""COMPUTED_VALUE"""),0)</f>
        <v>0</v>
      </c>
      <c r="G616" s="3" t="str">
        <f ca="1">IFERROR(__xludf.UNSUPPORTED("""COMPUTED_VALUE"""),"Sem ocorrências de bloqueios.")</f>
        <v>Sem ocorrências de bloqueios.</v>
      </c>
      <c r="H616" s="4">
        <f ca="1">IFERROR(__xludf.UNSUPPORTED("""COMPUTED_VALUE"""),44902.3518634259)</f>
        <v>44902.351863425902</v>
      </c>
      <c r="I616" s="3">
        <f ca="1">IFERROR(__xludf.UNSUPPORTED("""COMPUTED_VALUE"""),24)</f>
        <v>24</v>
      </c>
      <c r="J616" s="4">
        <f ca="1">IFERROR(__xludf.UNSUPPORTED("""COMPUTED_VALUE"""),44903.3518634259)</f>
        <v>44903.351863425902</v>
      </c>
    </row>
    <row r="617" spans="1:10" ht="12.75">
      <c r="A617" s="3" t="str">
        <f ca="1">IFERROR(__xludf.UNSUPPORTED("""COMPUTED_VALUE"""),"1a74736c")</f>
        <v>1a74736c</v>
      </c>
      <c r="B617" s="4">
        <f ca="1">IFERROR(__xludf.UNSUPPORTED("""COMPUTED_VALUE"""),44903.6686342592)</f>
        <v>44903.6686342592</v>
      </c>
      <c r="C617" s="8" t="str">
        <f ca="1">IFERROR(__xludf.UNSUPPORTED("""COMPUTED_VALUE"""),"Ilhéus")</f>
        <v>Ilhéus</v>
      </c>
      <c r="D617" s="3" t="str">
        <f ca="1">IFERROR(__xludf.UNSUPPORTED("""COMPUTED_VALUE"""),"🚢 REGULAR")</f>
        <v>🚢 REGULAR</v>
      </c>
      <c r="E617" s="3" t="str">
        <f ca="1">IFERROR(__xludf.UNSUPPORTED("""COMPUTED_VALUE"""),"🚛 LIBERADO")</f>
        <v>🚛 LIBERADO</v>
      </c>
      <c r="F617" s="5">
        <f ca="1">IFERROR(__xludf.UNSUPPORTED("""COMPUTED_VALUE"""),0)</f>
        <v>0</v>
      </c>
      <c r="G617" s="3" t="str">
        <f ca="1">IFERROR(__xludf.UNSUPPORTED("""COMPUTED_VALUE"""),"Sem registros de bloqueios.")</f>
        <v>Sem registros de bloqueios.</v>
      </c>
      <c r="H617" s="4">
        <f ca="1">IFERROR(__xludf.UNSUPPORTED("""COMPUTED_VALUE"""),44903.6686342592)</f>
        <v>44903.6686342592</v>
      </c>
      <c r="I617" s="3">
        <f ca="1">IFERROR(__xludf.UNSUPPORTED("""COMPUTED_VALUE"""),24)</f>
        <v>24</v>
      </c>
      <c r="J617" s="4">
        <f ca="1">IFERROR(__xludf.UNSUPPORTED("""COMPUTED_VALUE"""),44904.6686342592)</f>
        <v>44904.6686342592</v>
      </c>
    </row>
    <row r="618" spans="1:10" ht="12.75">
      <c r="A618" s="3" t="str">
        <f ca="1">IFERROR(__xludf.UNSUPPORTED("""COMPUTED_VALUE"""),"00f823ad")</f>
        <v>00f823ad</v>
      </c>
      <c r="B618" s="4">
        <f ca="1">IFERROR(__xludf.UNSUPPORTED("""COMPUTED_VALUE"""),44904.3452430555)</f>
        <v>44904.345243055497</v>
      </c>
      <c r="C618" s="8" t="str">
        <f ca="1">IFERROR(__xludf.UNSUPPORTED("""COMPUTED_VALUE"""),"Ilhéus")</f>
        <v>Ilhéus</v>
      </c>
      <c r="D618" s="3" t="str">
        <f ca="1">IFERROR(__xludf.UNSUPPORTED("""COMPUTED_VALUE"""),"🚢 REGULAR")</f>
        <v>🚢 REGULAR</v>
      </c>
      <c r="E618" s="3" t="str">
        <f ca="1">IFERROR(__xludf.UNSUPPORTED("""COMPUTED_VALUE"""),"🚛 LIBERADO")</f>
        <v>🚛 LIBERADO</v>
      </c>
      <c r="F618" s="5">
        <f ca="1">IFERROR(__xludf.UNSUPPORTED("""COMPUTED_VALUE"""),0)</f>
        <v>0</v>
      </c>
      <c r="G618" s="3" t="str">
        <f ca="1">IFERROR(__xludf.UNSUPPORTED("""COMPUTED_VALUE"""),"Sem registros de bloqueios.")</f>
        <v>Sem registros de bloqueios.</v>
      </c>
      <c r="H618" s="4">
        <f ca="1">IFERROR(__xludf.UNSUPPORTED("""COMPUTED_VALUE"""),44904.3452430555)</f>
        <v>44904.345243055497</v>
      </c>
      <c r="I618" s="3">
        <f ca="1">IFERROR(__xludf.UNSUPPORTED("""COMPUTED_VALUE"""),24)</f>
        <v>24</v>
      </c>
      <c r="J618" s="4">
        <f ca="1">IFERROR(__xludf.UNSUPPORTED("""COMPUTED_VALUE"""),44905.3452430555)</f>
        <v>44905.345243055497</v>
      </c>
    </row>
    <row r="619" spans="1:10" ht="12.75">
      <c r="A619" s="3" t="str">
        <f ca="1">IFERROR(__xludf.UNSUPPORTED("""COMPUTED_VALUE"""),"7a2d1cce")</f>
        <v>7a2d1cce</v>
      </c>
      <c r="B619" s="4">
        <f ca="1">IFERROR(__xludf.UNSUPPORTED("""COMPUTED_VALUE"""),44906.309699074)</f>
        <v>44906.309699074001</v>
      </c>
      <c r="C619" s="7" t="str">
        <f ca="1">IFERROR(__xludf.UNSUPPORTED("""COMPUTED_VALUE"""),"Ilhéus")</f>
        <v>Ilhéus</v>
      </c>
      <c r="D619" s="3" t="str">
        <f ca="1">IFERROR(__xludf.UNSUPPORTED("""COMPUTED_VALUE"""),"🚢 REGULAR")</f>
        <v>🚢 REGULAR</v>
      </c>
      <c r="E619" s="3" t="str">
        <f ca="1">IFERROR(__xludf.UNSUPPORTED("""COMPUTED_VALUE"""),"🚛 LIBERADO")</f>
        <v>🚛 LIBERADO</v>
      </c>
      <c r="F619" s="5">
        <f ca="1">IFERROR(__xludf.UNSUPPORTED("""COMPUTED_VALUE"""),0)</f>
        <v>0</v>
      </c>
      <c r="G619" s="3" t="str">
        <f ca="1">IFERROR(__xludf.UNSUPPORTED("""COMPUTED_VALUE"""),"Sem bloqueios registrados.")</f>
        <v>Sem bloqueios registrados.</v>
      </c>
      <c r="H619" s="4">
        <f ca="1">IFERROR(__xludf.UNSUPPORTED("""COMPUTED_VALUE"""),44906.309699074)</f>
        <v>44906.309699074001</v>
      </c>
      <c r="I619" s="3">
        <f ca="1">IFERROR(__xludf.UNSUPPORTED("""COMPUTED_VALUE"""),24)</f>
        <v>24</v>
      </c>
      <c r="J619" s="4">
        <f ca="1">IFERROR(__xludf.UNSUPPORTED("""COMPUTED_VALUE"""),44907.309699074)</f>
        <v>44907.309699074001</v>
      </c>
    </row>
    <row r="620" spans="1:10" ht="12.75">
      <c r="A620" s="3" t="str">
        <f ca="1">IFERROR(__xludf.UNSUPPORTED("""COMPUTED_VALUE"""),"55482436")</f>
        <v>55482436</v>
      </c>
      <c r="B620" s="4">
        <f ca="1">IFERROR(__xludf.UNSUPPORTED("""COMPUTED_VALUE"""),44907.224074074)</f>
        <v>44907.224074074002</v>
      </c>
      <c r="C620" s="8" t="str">
        <f ca="1">IFERROR(__xludf.UNSUPPORTED("""COMPUTED_VALUE"""),"Ilhéus")</f>
        <v>Ilhéus</v>
      </c>
      <c r="D620" s="3" t="str">
        <f ca="1">IFERROR(__xludf.UNSUPPORTED("""COMPUTED_VALUE"""),"🚢 REGULAR")</f>
        <v>🚢 REGULAR</v>
      </c>
      <c r="E620" s="3" t="str">
        <f ca="1">IFERROR(__xludf.UNSUPPORTED("""COMPUTED_VALUE"""),"🚛 LIBERADO")</f>
        <v>🚛 LIBERADO</v>
      </c>
      <c r="F620" s="5">
        <f ca="1">IFERROR(__xludf.UNSUPPORTED("""COMPUTED_VALUE"""),0)</f>
        <v>0</v>
      </c>
      <c r="G620" s="3" t="str">
        <f ca="1">IFERROR(__xludf.UNSUPPORTED("""COMPUTED_VALUE"""),"Sem bloqueios registrados.")</f>
        <v>Sem bloqueios registrados.</v>
      </c>
      <c r="H620" s="4">
        <f ca="1">IFERROR(__xludf.UNSUPPORTED("""COMPUTED_VALUE"""),44907.224074074)</f>
        <v>44907.224074074002</v>
      </c>
      <c r="I620" s="3">
        <f ca="1">IFERROR(__xludf.UNSUPPORTED("""COMPUTED_VALUE"""),24)</f>
        <v>24</v>
      </c>
      <c r="J620" s="4">
        <f ca="1">IFERROR(__xludf.UNSUPPORTED("""COMPUTED_VALUE"""),44908.224074074)</f>
        <v>44908.224074074002</v>
      </c>
    </row>
    <row r="621" spans="1:10" ht="12.75">
      <c r="A621" s="3" t="str">
        <f ca="1">IFERROR(__xludf.UNSUPPORTED("""COMPUTED_VALUE"""),"b05bbf55")</f>
        <v>b05bbf55</v>
      </c>
      <c r="B621" s="4">
        <f ca="1">IFERROR(__xludf.UNSUPPORTED("""COMPUTED_VALUE"""),44908.3628472222)</f>
        <v>44908.362847222197</v>
      </c>
      <c r="C621" s="7" t="str">
        <f ca="1">IFERROR(__xludf.UNSUPPORTED("""COMPUTED_VALUE"""),"Ilhéus")</f>
        <v>Ilhéus</v>
      </c>
      <c r="D621" s="3" t="str">
        <f ca="1">IFERROR(__xludf.UNSUPPORTED("""COMPUTED_VALUE"""),"🚢 REGULAR")</f>
        <v>🚢 REGULAR</v>
      </c>
      <c r="E621" s="3" t="str">
        <f ca="1">IFERROR(__xludf.UNSUPPORTED("""COMPUTED_VALUE"""),"🚛 LIBERADO")</f>
        <v>🚛 LIBERADO</v>
      </c>
      <c r="F621" s="5">
        <f ca="1">IFERROR(__xludf.UNSUPPORTED("""COMPUTED_VALUE"""),0)</f>
        <v>0</v>
      </c>
      <c r="G621" s="3" t="str">
        <f ca="1">IFERROR(__xludf.UNSUPPORTED("""COMPUTED_VALUE"""),"Sem registros de bloqueios.")</f>
        <v>Sem registros de bloqueios.</v>
      </c>
      <c r="H621" s="4">
        <f ca="1">IFERROR(__xludf.UNSUPPORTED("""COMPUTED_VALUE"""),44908.3628472222)</f>
        <v>44908.362847222197</v>
      </c>
      <c r="I621" s="3">
        <f ca="1">IFERROR(__xludf.UNSUPPORTED("""COMPUTED_VALUE"""),24)</f>
        <v>24</v>
      </c>
      <c r="J621" s="4">
        <f ca="1">IFERROR(__xludf.UNSUPPORTED("""COMPUTED_VALUE"""),44909.3628472222)</f>
        <v>44909.362847222197</v>
      </c>
    </row>
    <row r="622" spans="1:10" ht="12.75">
      <c r="A622" s="3" t="str">
        <f ca="1">IFERROR(__xludf.UNSUPPORTED("""COMPUTED_VALUE"""),"b8b3fecd")</f>
        <v>b8b3fecd</v>
      </c>
      <c r="B622" s="4">
        <f ca="1">IFERROR(__xludf.UNSUPPORTED("""COMPUTED_VALUE"""),44909.3295833333)</f>
        <v>44909.329583333303</v>
      </c>
      <c r="C622" s="8" t="str">
        <f ca="1">IFERROR(__xludf.UNSUPPORTED("""COMPUTED_VALUE"""),"Ilhéus")</f>
        <v>Ilhéus</v>
      </c>
      <c r="D622" s="3" t="str">
        <f ca="1">IFERROR(__xludf.UNSUPPORTED("""COMPUTED_VALUE"""),"🚢 REGULAR")</f>
        <v>🚢 REGULAR</v>
      </c>
      <c r="E622" s="3" t="str">
        <f ca="1">IFERROR(__xludf.UNSUPPORTED("""COMPUTED_VALUE"""),"🚛 LIBERADO")</f>
        <v>🚛 LIBERADO</v>
      </c>
      <c r="F622" s="5">
        <f ca="1">IFERROR(__xludf.UNSUPPORTED("""COMPUTED_VALUE"""),0)</f>
        <v>0</v>
      </c>
      <c r="G622" s="3" t="str">
        <f ca="1">IFERROR(__xludf.UNSUPPORTED("""COMPUTED_VALUE"""),"Sem registros de bloqueios.")</f>
        <v>Sem registros de bloqueios.</v>
      </c>
      <c r="H622" s="4">
        <f ca="1">IFERROR(__xludf.UNSUPPORTED("""COMPUTED_VALUE"""),44909.3295833333)</f>
        <v>44909.329583333303</v>
      </c>
      <c r="I622" s="3">
        <f ca="1">IFERROR(__xludf.UNSUPPORTED("""COMPUTED_VALUE"""),24)</f>
        <v>24</v>
      </c>
      <c r="J622" s="4">
        <f ca="1">IFERROR(__xludf.UNSUPPORTED("""COMPUTED_VALUE"""),44910.3295833333)</f>
        <v>44910.329583333303</v>
      </c>
    </row>
    <row r="623" spans="1:10" ht="12.75">
      <c r="A623" s="3" t="str">
        <f ca="1">IFERROR(__xludf.UNSUPPORTED("""COMPUTED_VALUE"""),"dcd3c81d")</f>
        <v>dcd3c81d</v>
      </c>
      <c r="B623" s="4">
        <f ca="1">IFERROR(__xludf.UNSUPPORTED("""COMPUTED_VALUE"""),44910.4661458333)</f>
        <v>44910.466145833299</v>
      </c>
      <c r="C623" s="8" t="str">
        <f ca="1">IFERROR(__xludf.UNSUPPORTED("""COMPUTED_VALUE"""),"Ilhéus")</f>
        <v>Ilhéus</v>
      </c>
      <c r="D623" s="3" t="str">
        <f ca="1">IFERROR(__xludf.UNSUPPORTED("""COMPUTED_VALUE"""),"🚢 REGULAR")</f>
        <v>🚢 REGULAR</v>
      </c>
      <c r="E623" s="3" t="str">
        <f ca="1">IFERROR(__xludf.UNSUPPORTED("""COMPUTED_VALUE"""),"🚛 LIBERADO")</f>
        <v>🚛 LIBERADO</v>
      </c>
      <c r="F623" s="5">
        <f ca="1">IFERROR(__xludf.UNSUPPORTED("""COMPUTED_VALUE"""),0)</f>
        <v>0</v>
      </c>
      <c r="G623" s="3" t="str">
        <f ca="1">IFERROR(__xludf.UNSUPPORTED("""COMPUTED_VALUE"""),"Sem registros de bloqueios.")</f>
        <v>Sem registros de bloqueios.</v>
      </c>
      <c r="H623" s="4">
        <f ca="1">IFERROR(__xludf.UNSUPPORTED("""COMPUTED_VALUE"""),44910.4661458333)</f>
        <v>44910.466145833299</v>
      </c>
      <c r="I623" s="3">
        <f ca="1">IFERROR(__xludf.UNSUPPORTED("""COMPUTED_VALUE"""),24)</f>
        <v>24</v>
      </c>
      <c r="J623" s="4">
        <f ca="1">IFERROR(__xludf.UNSUPPORTED("""COMPUTED_VALUE"""),44911.4661458333)</f>
        <v>44911.466145833299</v>
      </c>
    </row>
    <row r="624" spans="1:10" ht="12.75">
      <c r="A624" s="3" t="str">
        <f ca="1">IFERROR(__xludf.UNSUPPORTED("""COMPUTED_VALUE"""),"cc349661")</f>
        <v>cc349661</v>
      </c>
      <c r="B624" s="4">
        <f ca="1">IFERROR(__xludf.UNSUPPORTED("""COMPUTED_VALUE"""),44911.325474537)</f>
        <v>44911.325474537</v>
      </c>
      <c r="C624" s="8" t="str">
        <f ca="1">IFERROR(__xludf.UNSUPPORTED("""COMPUTED_VALUE"""),"Ilhéus")</f>
        <v>Ilhéus</v>
      </c>
      <c r="D624" s="3" t="str">
        <f ca="1">IFERROR(__xludf.UNSUPPORTED("""COMPUTED_VALUE"""),"🚢 REGULAR")</f>
        <v>🚢 REGULAR</v>
      </c>
      <c r="E624" s="3" t="str">
        <f ca="1">IFERROR(__xludf.UNSUPPORTED("""COMPUTED_VALUE"""),"🚛 LIBERADO")</f>
        <v>🚛 LIBERADO</v>
      </c>
      <c r="F624" s="5">
        <f ca="1">IFERROR(__xludf.UNSUPPORTED("""COMPUTED_VALUE"""),0)</f>
        <v>0</v>
      </c>
      <c r="G624" s="3" t="str">
        <f ca="1">IFERROR(__xludf.UNSUPPORTED("""COMPUTED_VALUE"""),"Sem registros de bloqueios.")</f>
        <v>Sem registros de bloqueios.</v>
      </c>
      <c r="H624" s="4">
        <f ca="1">IFERROR(__xludf.UNSUPPORTED("""COMPUTED_VALUE"""),44911.325474537)</f>
        <v>44911.325474537</v>
      </c>
      <c r="I624" s="3">
        <f ca="1">IFERROR(__xludf.UNSUPPORTED("""COMPUTED_VALUE"""),24)</f>
        <v>24</v>
      </c>
      <c r="J624" s="4">
        <f ca="1">IFERROR(__xludf.UNSUPPORTED("""COMPUTED_VALUE"""),44912.325474537)</f>
        <v>44912.325474537</v>
      </c>
    </row>
    <row r="625" spans="1:10" ht="12.75">
      <c r="A625" s="3" t="str">
        <f ca="1">IFERROR(__xludf.UNSUPPORTED("""COMPUTED_VALUE"""),"6911810e")</f>
        <v>6911810e</v>
      </c>
      <c r="B625" s="4">
        <f ca="1">IFERROR(__xludf.UNSUPPORTED("""COMPUTED_VALUE"""),44913.3755902777)</f>
        <v>44913.375590277697</v>
      </c>
      <c r="C625" s="8" t="str">
        <f ca="1">IFERROR(__xludf.UNSUPPORTED("""COMPUTED_VALUE"""),"Ilhéus")</f>
        <v>Ilhéus</v>
      </c>
      <c r="D625" s="3" t="str">
        <f ca="1">IFERROR(__xludf.UNSUPPORTED("""COMPUTED_VALUE"""),"🚢 REGULAR")</f>
        <v>🚢 REGULAR</v>
      </c>
      <c r="E625" s="3" t="str">
        <f ca="1">IFERROR(__xludf.UNSUPPORTED("""COMPUTED_VALUE"""),"🚛 LIBERADO")</f>
        <v>🚛 LIBERADO</v>
      </c>
      <c r="F625" s="5">
        <f ca="1">IFERROR(__xludf.UNSUPPORTED("""COMPUTED_VALUE"""),0)</f>
        <v>0</v>
      </c>
      <c r="G625" s="3" t="str">
        <f ca="1">IFERROR(__xludf.UNSUPPORTED("""COMPUTED_VALUE"""),"Sem registros de bloqueios.")</f>
        <v>Sem registros de bloqueios.</v>
      </c>
      <c r="H625" s="4">
        <f ca="1">IFERROR(__xludf.UNSUPPORTED("""COMPUTED_VALUE"""),44913.3755902777)</f>
        <v>44913.375590277697</v>
      </c>
      <c r="I625" s="3">
        <f ca="1">IFERROR(__xludf.UNSUPPORTED("""COMPUTED_VALUE"""),24)</f>
        <v>24</v>
      </c>
      <c r="J625" s="4">
        <f ca="1">IFERROR(__xludf.UNSUPPORTED("""COMPUTED_VALUE"""),44914.3755902777)</f>
        <v>44914.375590277697</v>
      </c>
    </row>
    <row r="626" spans="1:10" ht="12.75">
      <c r="A626" s="3" t="str">
        <f ca="1">IFERROR(__xludf.UNSUPPORTED("""COMPUTED_VALUE"""),"14f77827")</f>
        <v>14f77827</v>
      </c>
      <c r="B626" s="4">
        <f ca="1">IFERROR(__xludf.UNSUPPORTED("""COMPUTED_VALUE"""),44914.8373032407)</f>
        <v>44914.837303240703</v>
      </c>
      <c r="C626" s="7" t="str">
        <f ca="1">IFERROR(__xludf.UNSUPPORTED("""COMPUTED_VALUE"""),"Ilhéus")</f>
        <v>Ilhéus</v>
      </c>
      <c r="D626" s="3" t="str">
        <f ca="1">IFERROR(__xludf.UNSUPPORTED("""COMPUTED_VALUE"""),"🚢 REGULAR")</f>
        <v>🚢 REGULAR</v>
      </c>
      <c r="E626" s="3" t="str">
        <f ca="1">IFERROR(__xludf.UNSUPPORTED("""COMPUTED_VALUE"""),"🚛 LIBERADO")</f>
        <v>🚛 LIBERADO</v>
      </c>
      <c r="F626" s="5">
        <f ca="1">IFERROR(__xludf.UNSUPPORTED("""COMPUTED_VALUE"""),0)</f>
        <v>0</v>
      </c>
      <c r="G626" s="3" t="str">
        <f ca="1">IFERROR(__xludf.UNSUPPORTED("""COMPUTED_VALUE"""),"Sem registros de bloqueios.")</f>
        <v>Sem registros de bloqueios.</v>
      </c>
      <c r="H626" s="4">
        <f ca="1">IFERROR(__xludf.UNSUPPORTED("""COMPUTED_VALUE"""),44914.8373032407)</f>
        <v>44914.837303240703</v>
      </c>
      <c r="I626" s="3">
        <f ca="1">IFERROR(__xludf.UNSUPPORTED("""COMPUTED_VALUE"""),24)</f>
        <v>24</v>
      </c>
      <c r="J626" s="4">
        <f ca="1">IFERROR(__xludf.UNSUPPORTED("""COMPUTED_VALUE"""),44915.8373032407)</f>
        <v>44915.837303240703</v>
      </c>
    </row>
    <row r="627" spans="1:10" ht="12.75">
      <c r="A627" s="3" t="str">
        <f ca="1">IFERROR(__xludf.UNSUPPORTED("""COMPUTED_VALUE"""),"17424e1b")</f>
        <v>17424e1b</v>
      </c>
      <c r="B627" s="4">
        <f ca="1">IFERROR(__xludf.UNSUPPORTED("""COMPUTED_VALUE"""),44915.3080787037)</f>
        <v>44915.308078703703</v>
      </c>
      <c r="C627" s="7" t="str">
        <f ca="1">IFERROR(__xludf.UNSUPPORTED("""COMPUTED_VALUE"""),"Ilhéus")</f>
        <v>Ilhéus</v>
      </c>
      <c r="D627" s="3" t="str">
        <f ca="1">IFERROR(__xludf.UNSUPPORTED("""COMPUTED_VALUE"""),"🚢 REGULAR")</f>
        <v>🚢 REGULAR</v>
      </c>
      <c r="E627" s="3" t="str">
        <f ca="1">IFERROR(__xludf.UNSUPPORTED("""COMPUTED_VALUE"""),"🚛 LIBERADO")</f>
        <v>🚛 LIBERADO</v>
      </c>
      <c r="F627" s="5">
        <f ca="1">IFERROR(__xludf.UNSUPPORTED("""COMPUTED_VALUE"""),0)</f>
        <v>0</v>
      </c>
      <c r="G627" s="3" t="str">
        <f ca="1">IFERROR(__xludf.UNSUPPORTED("""COMPUTED_VALUE"""),"Sem registros de bloqueios.")</f>
        <v>Sem registros de bloqueios.</v>
      </c>
      <c r="H627" s="4">
        <f ca="1">IFERROR(__xludf.UNSUPPORTED("""COMPUTED_VALUE"""),44915.3080787037)</f>
        <v>44915.308078703703</v>
      </c>
      <c r="I627" s="3">
        <f ca="1">IFERROR(__xludf.UNSUPPORTED("""COMPUTED_VALUE"""),24)</f>
        <v>24</v>
      </c>
      <c r="J627" s="4">
        <f ca="1">IFERROR(__xludf.UNSUPPORTED("""COMPUTED_VALUE"""),44916.3080787037)</f>
        <v>44916.308078703703</v>
      </c>
    </row>
    <row r="628" spans="1:10" ht="12.75">
      <c r="A628" s="3" t="str">
        <f ca="1">IFERROR(__xludf.UNSUPPORTED("""COMPUTED_VALUE"""),"bb81caba")</f>
        <v>bb81caba</v>
      </c>
      <c r="B628" s="4">
        <f ca="1">IFERROR(__xludf.UNSUPPORTED("""COMPUTED_VALUE"""),44916.4088194444)</f>
        <v>44916.408819444398</v>
      </c>
      <c r="C628" s="7" t="str">
        <f ca="1">IFERROR(__xludf.UNSUPPORTED("""COMPUTED_VALUE"""),"Ilhéus")</f>
        <v>Ilhéus</v>
      </c>
      <c r="D628" s="3" t="str">
        <f ca="1">IFERROR(__xludf.UNSUPPORTED("""COMPUTED_VALUE"""),"🚢 REGULAR")</f>
        <v>🚢 REGULAR</v>
      </c>
      <c r="E628" s="3" t="str">
        <f ca="1">IFERROR(__xludf.UNSUPPORTED("""COMPUTED_VALUE"""),"🚛 LIBERADO")</f>
        <v>🚛 LIBERADO</v>
      </c>
      <c r="F628" s="5">
        <f ca="1">IFERROR(__xludf.UNSUPPORTED("""COMPUTED_VALUE"""),0)</f>
        <v>0</v>
      </c>
      <c r="G628" s="3" t="str">
        <f ca="1">IFERROR(__xludf.UNSUPPORTED("""COMPUTED_VALUE"""),"Sem registros de bloqueios.")</f>
        <v>Sem registros de bloqueios.</v>
      </c>
      <c r="H628" s="4">
        <f ca="1">IFERROR(__xludf.UNSUPPORTED("""COMPUTED_VALUE"""),44916.4088194444)</f>
        <v>44916.408819444398</v>
      </c>
      <c r="I628" s="3">
        <f ca="1">IFERROR(__xludf.UNSUPPORTED("""COMPUTED_VALUE"""),24)</f>
        <v>24</v>
      </c>
      <c r="J628" s="4">
        <f ca="1">IFERROR(__xludf.UNSUPPORTED("""COMPUTED_VALUE"""),44917.4088194444)</f>
        <v>44917.408819444398</v>
      </c>
    </row>
    <row r="629" spans="1:10" ht="12.75">
      <c r="A629" s="3" t="str">
        <f ca="1">IFERROR(__xludf.UNSUPPORTED("""COMPUTED_VALUE"""),"e3c355a9")</f>
        <v>e3c355a9</v>
      </c>
      <c r="B629" s="4">
        <f ca="1">IFERROR(__xludf.UNSUPPORTED("""COMPUTED_VALUE"""),44917.1907060185)</f>
        <v>44917.190706018497</v>
      </c>
      <c r="C629" s="7" t="str">
        <f ca="1">IFERROR(__xludf.UNSUPPORTED("""COMPUTED_VALUE"""),"Ilhéus")</f>
        <v>Ilhéus</v>
      </c>
      <c r="D629" s="3" t="str">
        <f ca="1">IFERROR(__xludf.UNSUPPORTED("""COMPUTED_VALUE"""),"🚢 REGULAR")</f>
        <v>🚢 REGULAR</v>
      </c>
      <c r="E629" s="3" t="str">
        <f ca="1">IFERROR(__xludf.UNSUPPORTED("""COMPUTED_VALUE"""),"🚛 LIBERADO")</f>
        <v>🚛 LIBERADO</v>
      </c>
      <c r="F629" s="5">
        <f ca="1">IFERROR(__xludf.UNSUPPORTED("""COMPUTED_VALUE"""),0)</f>
        <v>0</v>
      </c>
      <c r="G629" s="3" t="str">
        <f ca="1">IFERROR(__xludf.UNSUPPORTED("""COMPUTED_VALUE"""),"Normalidade")</f>
        <v>Normalidade</v>
      </c>
      <c r="H629" s="4">
        <f ca="1">IFERROR(__xludf.UNSUPPORTED("""COMPUTED_VALUE"""),44917.1907060185)</f>
        <v>44917.190706018497</v>
      </c>
      <c r="I629" s="3">
        <f ca="1">IFERROR(__xludf.UNSUPPORTED("""COMPUTED_VALUE"""),24)</f>
        <v>24</v>
      </c>
      <c r="J629" s="4">
        <f ca="1">IFERROR(__xludf.UNSUPPORTED("""COMPUTED_VALUE"""),44918.1907060185)</f>
        <v>44918.190706018497</v>
      </c>
    </row>
    <row r="630" spans="1:10" ht="12.75">
      <c r="A630" s="3" t="str">
        <f ca="1">IFERROR(__xludf.UNSUPPORTED("""COMPUTED_VALUE"""),"74f6b0c5")</f>
        <v>74f6b0c5</v>
      </c>
      <c r="B630" s="4">
        <f ca="1">IFERROR(__xludf.UNSUPPORTED("""COMPUTED_VALUE"""),44918.2614004629)</f>
        <v>44918.261400462899</v>
      </c>
      <c r="C630" s="7" t="str">
        <f ca="1">IFERROR(__xludf.UNSUPPORTED("""COMPUTED_VALUE"""),"Ilhéus")</f>
        <v>Ilhéus</v>
      </c>
      <c r="D630" s="3" t="str">
        <f ca="1">IFERROR(__xludf.UNSUPPORTED("""COMPUTED_VALUE"""),"🚢 REGULAR")</f>
        <v>🚢 REGULAR</v>
      </c>
      <c r="E630" s="3" t="str">
        <f ca="1">IFERROR(__xludf.UNSUPPORTED("""COMPUTED_VALUE"""),"🚛 LIBERADO")</f>
        <v>🚛 LIBERADO</v>
      </c>
      <c r="F630" s="5">
        <f ca="1">IFERROR(__xludf.UNSUPPORTED("""COMPUTED_VALUE"""),0)</f>
        <v>0</v>
      </c>
      <c r="G630" s="3" t="str">
        <f ca="1">IFERROR(__xludf.UNSUPPORTED("""COMPUTED_VALUE"""),"Normalidade")</f>
        <v>Normalidade</v>
      </c>
      <c r="H630" s="4">
        <f ca="1">IFERROR(__xludf.UNSUPPORTED("""COMPUTED_VALUE"""),44918.2614004629)</f>
        <v>44918.261400462899</v>
      </c>
      <c r="I630" s="3">
        <f ca="1">IFERROR(__xludf.UNSUPPORTED("""COMPUTED_VALUE"""),24)</f>
        <v>24</v>
      </c>
      <c r="J630" s="4">
        <f ca="1">IFERROR(__xludf.UNSUPPORTED("""COMPUTED_VALUE"""),44919.2614004629)</f>
        <v>44919.261400462899</v>
      </c>
    </row>
    <row r="631" spans="1:10" ht="12.75">
      <c r="A631" s="3" t="str">
        <f ca="1">IFERROR(__xludf.UNSUPPORTED("""COMPUTED_VALUE"""),"5d83d601")</f>
        <v>5d83d601</v>
      </c>
      <c r="B631" s="4">
        <f ca="1">IFERROR(__xludf.UNSUPPORTED("""COMPUTED_VALUE"""),44919.5185532407)</f>
        <v>44919.518553240698</v>
      </c>
      <c r="C631" s="7" t="str">
        <f ca="1">IFERROR(__xludf.UNSUPPORTED("""COMPUTED_VALUE"""),"Ilhéus")</f>
        <v>Ilhéus</v>
      </c>
      <c r="D631" s="3" t="str">
        <f ca="1">IFERROR(__xludf.UNSUPPORTED("""COMPUTED_VALUE"""),"🚢 REGULAR")</f>
        <v>🚢 REGULAR</v>
      </c>
      <c r="E631" s="3" t="str">
        <f ca="1">IFERROR(__xludf.UNSUPPORTED("""COMPUTED_VALUE"""),"🚛 LIBERADO")</f>
        <v>🚛 LIBERADO</v>
      </c>
      <c r="F631" s="5">
        <f ca="1">IFERROR(__xludf.UNSUPPORTED("""COMPUTED_VALUE"""),0)</f>
        <v>0</v>
      </c>
      <c r="G631" s="3" t="str">
        <f ca="1">IFERROR(__xludf.UNSUPPORTED("""COMPUTED_VALUE"""),"Normalidade")</f>
        <v>Normalidade</v>
      </c>
      <c r="H631" s="4">
        <f ca="1">IFERROR(__xludf.UNSUPPORTED("""COMPUTED_VALUE"""),44919.5185532407)</f>
        <v>44919.518553240698</v>
      </c>
      <c r="I631" s="3">
        <f ca="1">IFERROR(__xludf.UNSUPPORTED("""COMPUTED_VALUE"""),24)</f>
        <v>24</v>
      </c>
      <c r="J631" s="4">
        <f ca="1">IFERROR(__xludf.UNSUPPORTED("""COMPUTED_VALUE"""),44920.5185532407)</f>
        <v>44920.518553240698</v>
      </c>
    </row>
    <row r="632" spans="1:10" ht="12.75">
      <c r="A632" s="3" t="str">
        <f ca="1">IFERROR(__xludf.UNSUPPORTED("""COMPUTED_VALUE"""),"b0467cba")</f>
        <v>b0467cba</v>
      </c>
      <c r="B632" s="4">
        <f ca="1">IFERROR(__xludf.UNSUPPORTED("""COMPUTED_VALUE"""),44920.5098032407)</f>
        <v>44920.509803240697</v>
      </c>
      <c r="C632" s="8" t="str">
        <f ca="1">IFERROR(__xludf.UNSUPPORTED("""COMPUTED_VALUE"""),"Ilhéus")</f>
        <v>Ilhéus</v>
      </c>
      <c r="D632" s="3" t="str">
        <f ca="1">IFERROR(__xludf.UNSUPPORTED("""COMPUTED_VALUE"""),"🚢 REGULAR")</f>
        <v>🚢 REGULAR</v>
      </c>
      <c r="E632" s="3" t="str">
        <f ca="1">IFERROR(__xludf.UNSUPPORTED("""COMPUTED_VALUE"""),"🚛 LIBERADO")</f>
        <v>🚛 LIBERADO</v>
      </c>
      <c r="F632" s="5">
        <f ca="1">IFERROR(__xludf.UNSUPPORTED("""COMPUTED_VALUE"""),0)</f>
        <v>0</v>
      </c>
      <c r="G632" s="3" t="str">
        <f ca="1">IFERROR(__xludf.UNSUPPORTED("""COMPUTED_VALUE"""),"Normalidade")</f>
        <v>Normalidade</v>
      </c>
      <c r="H632" s="4">
        <f ca="1">IFERROR(__xludf.UNSUPPORTED("""COMPUTED_VALUE"""),44920.5098032407)</f>
        <v>44920.509803240697</v>
      </c>
      <c r="I632" s="3">
        <f ca="1">IFERROR(__xludf.UNSUPPORTED("""COMPUTED_VALUE"""),24)</f>
        <v>24</v>
      </c>
      <c r="J632" s="4">
        <f ca="1">IFERROR(__xludf.UNSUPPORTED("""COMPUTED_VALUE"""),44921.5098032407)</f>
        <v>44921.509803240697</v>
      </c>
    </row>
    <row r="633" spans="1:10" ht="12.75">
      <c r="A633" s="3" t="str">
        <f ca="1">IFERROR(__xludf.UNSUPPORTED("""COMPUTED_VALUE"""),"941af648")</f>
        <v>941af648</v>
      </c>
      <c r="B633" s="4">
        <f ca="1">IFERROR(__xludf.UNSUPPORTED("""COMPUTED_VALUE"""),44921.2962384259)</f>
        <v>44921.296238425901</v>
      </c>
      <c r="C633" s="8" t="str">
        <f ca="1">IFERROR(__xludf.UNSUPPORTED("""COMPUTED_VALUE"""),"Ilhéus")</f>
        <v>Ilhéus</v>
      </c>
      <c r="D633" s="3" t="str">
        <f ca="1">IFERROR(__xludf.UNSUPPORTED("""COMPUTED_VALUE"""),"🚢 REGULAR")</f>
        <v>🚢 REGULAR</v>
      </c>
      <c r="E633" s="3" t="str">
        <f ca="1">IFERROR(__xludf.UNSUPPORTED("""COMPUTED_VALUE"""),"🚛 LIBERADO")</f>
        <v>🚛 LIBERADO</v>
      </c>
      <c r="F633" s="5">
        <f ca="1">IFERROR(__xludf.UNSUPPORTED("""COMPUTED_VALUE"""),0)</f>
        <v>0</v>
      </c>
      <c r="G633" s="3" t="str">
        <f ca="1">IFERROR(__xludf.UNSUPPORTED("""COMPUTED_VALUE"""),"Normalidade")</f>
        <v>Normalidade</v>
      </c>
      <c r="H633" s="4">
        <f ca="1">IFERROR(__xludf.UNSUPPORTED("""COMPUTED_VALUE"""),44921.2962384259)</f>
        <v>44921.296238425901</v>
      </c>
      <c r="I633" s="3">
        <f ca="1">IFERROR(__xludf.UNSUPPORTED("""COMPUTED_VALUE"""),24)</f>
        <v>24</v>
      </c>
      <c r="J633" s="4">
        <f ca="1">IFERROR(__xludf.UNSUPPORTED("""COMPUTED_VALUE"""),44922.2962384259)</f>
        <v>44922.296238425901</v>
      </c>
    </row>
    <row r="634" spans="1:10" ht="12.75">
      <c r="A634" s="3" t="str">
        <f ca="1">IFERROR(__xludf.UNSUPPORTED("""COMPUTED_VALUE"""),"bf1f8ac9")</f>
        <v>bf1f8ac9</v>
      </c>
      <c r="B634" s="4">
        <f ca="1">IFERROR(__xludf.UNSUPPORTED("""COMPUTED_VALUE"""),44922.2627546295)</f>
        <v>44922.262754629497</v>
      </c>
      <c r="C634" s="7" t="str">
        <f ca="1">IFERROR(__xludf.UNSUPPORTED("""COMPUTED_VALUE"""),"Ilhéus")</f>
        <v>Ilhéus</v>
      </c>
      <c r="D634" s="3" t="str">
        <f ca="1">IFERROR(__xludf.UNSUPPORTED("""COMPUTED_VALUE"""),"🚢 REGULAR")</f>
        <v>🚢 REGULAR</v>
      </c>
      <c r="E634" s="3" t="str">
        <f ca="1">IFERROR(__xludf.UNSUPPORTED("""COMPUTED_VALUE"""),"🚛 LIBERADO")</f>
        <v>🚛 LIBERADO</v>
      </c>
      <c r="F634" s="5">
        <f ca="1">IFERROR(__xludf.UNSUPPORTED("""COMPUTED_VALUE"""),0)</f>
        <v>0</v>
      </c>
      <c r="G634" s="3" t="str">
        <f ca="1">IFERROR(__xludf.UNSUPPORTED("""COMPUTED_VALUE"""),"Normalidade")</f>
        <v>Normalidade</v>
      </c>
      <c r="H634" s="4">
        <f ca="1">IFERROR(__xludf.UNSUPPORTED("""COMPUTED_VALUE"""),44922.2627546295)</f>
        <v>44922.262754629497</v>
      </c>
      <c r="I634" s="3">
        <f ca="1">IFERROR(__xludf.UNSUPPORTED("""COMPUTED_VALUE"""),24)</f>
        <v>24</v>
      </c>
      <c r="J634" s="4">
        <f ca="1">IFERROR(__xludf.UNSUPPORTED("""COMPUTED_VALUE"""),44923.2627546295)</f>
        <v>44923.262754629497</v>
      </c>
    </row>
    <row r="635" spans="1:10" ht="12.75">
      <c r="A635" s="3" t="str">
        <f ca="1">IFERROR(__xludf.UNSUPPORTED("""COMPUTED_VALUE"""),"8fad9cfa")</f>
        <v>8fad9cfa</v>
      </c>
      <c r="B635" s="4">
        <f ca="1">IFERROR(__xludf.UNSUPPORTED("""COMPUTED_VALUE"""),44923.2750694444)</f>
        <v>44923.275069444397</v>
      </c>
      <c r="C635" s="8" t="str">
        <f ca="1">IFERROR(__xludf.UNSUPPORTED("""COMPUTED_VALUE"""),"Ilhéus")</f>
        <v>Ilhéus</v>
      </c>
      <c r="D635" s="3" t="str">
        <f ca="1">IFERROR(__xludf.UNSUPPORTED("""COMPUTED_VALUE"""),"🚢 REGULAR")</f>
        <v>🚢 REGULAR</v>
      </c>
      <c r="E635" s="3" t="str">
        <f ca="1">IFERROR(__xludf.UNSUPPORTED("""COMPUTED_VALUE"""),"🚛 LIBERADO")</f>
        <v>🚛 LIBERADO</v>
      </c>
      <c r="F635" s="5">
        <f ca="1">IFERROR(__xludf.UNSUPPORTED("""COMPUTED_VALUE"""),0)</f>
        <v>0</v>
      </c>
      <c r="G635" s="3" t="str">
        <f ca="1">IFERROR(__xludf.UNSUPPORTED("""COMPUTED_VALUE"""),"Normalidade")</f>
        <v>Normalidade</v>
      </c>
      <c r="H635" s="4">
        <f ca="1">IFERROR(__xludf.UNSUPPORTED("""COMPUTED_VALUE"""),44923.2750694444)</f>
        <v>44923.275069444397</v>
      </c>
      <c r="I635" s="3">
        <f ca="1">IFERROR(__xludf.UNSUPPORTED("""COMPUTED_VALUE"""),24)</f>
        <v>24</v>
      </c>
      <c r="J635" s="4">
        <f ca="1">IFERROR(__xludf.UNSUPPORTED("""COMPUTED_VALUE"""),44924.2750694444)</f>
        <v>44924.275069444397</v>
      </c>
    </row>
    <row r="636" spans="1:10" ht="12.75">
      <c r="A636" s="3" t="str">
        <f ca="1">IFERROR(__xludf.UNSUPPORTED("""COMPUTED_VALUE"""),"b75633c3")</f>
        <v>b75633c3</v>
      </c>
      <c r="B636" s="4">
        <f ca="1">IFERROR(__xludf.UNSUPPORTED("""COMPUTED_VALUE"""),44924.2570138887)</f>
        <v>44924.257013888702</v>
      </c>
      <c r="C636" s="8" t="str">
        <f ca="1">IFERROR(__xludf.UNSUPPORTED("""COMPUTED_VALUE"""),"Ilhéus")</f>
        <v>Ilhéus</v>
      </c>
      <c r="D636" s="3" t="str">
        <f ca="1">IFERROR(__xludf.UNSUPPORTED("""COMPUTED_VALUE"""),"🚢 REGULAR")</f>
        <v>🚢 REGULAR</v>
      </c>
      <c r="E636" s="3" t="str">
        <f ca="1">IFERROR(__xludf.UNSUPPORTED("""COMPUTED_VALUE"""),"🚛 LIBERADO")</f>
        <v>🚛 LIBERADO</v>
      </c>
      <c r="F636" s="5">
        <f ca="1">IFERROR(__xludf.UNSUPPORTED("""COMPUTED_VALUE"""),0)</f>
        <v>0</v>
      </c>
      <c r="G636" s="3" t="str">
        <f ca="1">IFERROR(__xludf.UNSUPPORTED("""COMPUTED_VALUE"""),"Normalidade")</f>
        <v>Normalidade</v>
      </c>
      <c r="H636" s="4">
        <f ca="1">IFERROR(__xludf.UNSUPPORTED("""COMPUTED_VALUE"""),44924.2570138887)</f>
        <v>44924.257013888702</v>
      </c>
      <c r="I636" s="3">
        <f ca="1">IFERROR(__xludf.UNSUPPORTED("""COMPUTED_VALUE"""),24)</f>
        <v>24</v>
      </c>
      <c r="J636" s="4">
        <f ca="1">IFERROR(__xludf.UNSUPPORTED("""COMPUTED_VALUE"""),44925.2570138887)</f>
        <v>44925.257013888702</v>
      </c>
    </row>
    <row r="637" spans="1:10" ht="12.75">
      <c r="A637" s="3" t="str">
        <f ca="1">IFERROR(__xludf.UNSUPPORTED("""COMPUTED_VALUE"""),"8f2b9789")</f>
        <v>8f2b9789</v>
      </c>
      <c r="B637" s="4">
        <f ca="1">IFERROR(__xludf.UNSUPPORTED("""COMPUTED_VALUE"""),44925.2897569444)</f>
        <v>44925.289756944403</v>
      </c>
      <c r="C637" s="7" t="str">
        <f ca="1">IFERROR(__xludf.UNSUPPORTED("""COMPUTED_VALUE"""),"Ilhéus")</f>
        <v>Ilhéus</v>
      </c>
      <c r="D637" s="3" t="str">
        <f ca="1">IFERROR(__xludf.UNSUPPORTED("""COMPUTED_VALUE"""),"🚢 REGULAR")</f>
        <v>🚢 REGULAR</v>
      </c>
      <c r="E637" s="3" t="str">
        <f ca="1">IFERROR(__xludf.UNSUPPORTED("""COMPUTED_VALUE"""),"🚛 LIBERADO")</f>
        <v>🚛 LIBERADO</v>
      </c>
      <c r="F637" s="5">
        <f ca="1">IFERROR(__xludf.UNSUPPORTED("""COMPUTED_VALUE"""),0)</f>
        <v>0</v>
      </c>
      <c r="G637" s="3" t="str">
        <f ca="1">IFERROR(__xludf.UNSUPPORTED("""COMPUTED_VALUE"""),"Normalidade")</f>
        <v>Normalidade</v>
      </c>
      <c r="H637" s="4">
        <f ca="1">IFERROR(__xludf.UNSUPPORTED("""COMPUTED_VALUE"""),44925.2897569444)</f>
        <v>44925.289756944403</v>
      </c>
      <c r="I637" s="3">
        <f ca="1">IFERROR(__xludf.UNSUPPORTED("""COMPUTED_VALUE"""),24)</f>
        <v>24</v>
      </c>
      <c r="J637" s="4">
        <f ca="1">IFERROR(__xludf.UNSUPPORTED("""COMPUTED_VALUE"""),44926.2897569444)</f>
        <v>44926.289756944403</v>
      </c>
    </row>
    <row r="638" spans="1:10" ht="12.75">
      <c r="A638" s="3" t="str">
        <f ca="1">IFERROR(__xludf.UNSUPPORTED("""COMPUTED_VALUE"""),"ec991b16")</f>
        <v>ec991b16</v>
      </c>
      <c r="B638" s="4">
        <f ca="1">IFERROR(__xludf.UNSUPPORTED("""COMPUTED_VALUE"""),44926.4886689814)</f>
        <v>44926.488668981401</v>
      </c>
      <c r="C638" s="8" t="str">
        <f ca="1">IFERROR(__xludf.UNSUPPORTED("""COMPUTED_VALUE"""),"Ilhéus")</f>
        <v>Ilhéus</v>
      </c>
      <c r="D638" s="3" t="str">
        <f ca="1">IFERROR(__xludf.UNSUPPORTED("""COMPUTED_VALUE"""),"🚢 REGULAR")</f>
        <v>🚢 REGULAR</v>
      </c>
      <c r="E638" s="3" t="str">
        <f ca="1">IFERROR(__xludf.UNSUPPORTED("""COMPUTED_VALUE"""),"🚛 LIBERADO")</f>
        <v>🚛 LIBERADO</v>
      </c>
      <c r="F638" s="5">
        <f ca="1">IFERROR(__xludf.UNSUPPORTED("""COMPUTED_VALUE"""),0)</f>
        <v>0</v>
      </c>
      <c r="G638" s="3" t="str">
        <f ca="1">IFERROR(__xludf.UNSUPPORTED("""COMPUTED_VALUE"""),"Normalidade")</f>
        <v>Normalidade</v>
      </c>
      <c r="H638" s="4">
        <f ca="1">IFERROR(__xludf.UNSUPPORTED("""COMPUTED_VALUE"""),44926.4886689814)</f>
        <v>44926.488668981401</v>
      </c>
      <c r="I638" s="3">
        <f ca="1">IFERROR(__xludf.UNSUPPORTED("""COMPUTED_VALUE"""),24)</f>
        <v>24</v>
      </c>
      <c r="J638" s="4">
        <f ca="1">IFERROR(__xludf.UNSUPPORTED("""COMPUTED_VALUE"""),44927.4886689814)</f>
        <v>44927.488668981401</v>
      </c>
    </row>
    <row r="639" spans="1:10" ht="12.75">
      <c r="A639" s="3" t="str">
        <f ca="1">IFERROR(__xludf.UNSUPPORTED("""COMPUTED_VALUE"""),"8ce0e8be")</f>
        <v>8ce0e8be</v>
      </c>
      <c r="B639" s="4">
        <f ca="1">IFERROR(__xludf.UNSUPPORTED("""COMPUTED_VALUE"""),44927.341099537)</f>
        <v>44927.341099537</v>
      </c>
      <c r="C639" s="8" t="str">
        <f ca="1">IFERROR(__xludf.UNSUPPORTED("""COMPUTED_VALUE"""),"Ilhéus")</f>
        <v>Ilhéus</v>
      </c>
      <c r="D639" s="3" t="str">
        <f ca="1">IFERROR(__xludf.UNSUPPORTED("""COMPUTED_VALUE"""),"🚢 REGULAR")</f>
        <v>🚢 REGULAR</v>
      </c>
      <c r="E639" s="3" t="str">
        <f ca="1">IFERROR(__xludf.UNSUPPORTED("""COMPUTED_VALUE"""),"🚛 LIBERADO")</f>
        <v>🚛 LIBERADO</v>
      </c>
      <c r="F639" s="5">
        <f ca="1">IFERROR(__xludf.UNSUPPORTED("""COMPUTED_VALUE"""),0)</f>
        <v>0</v>
      </c>
      <c r="G639" s="3" t="str">
        <f ca="1">IFERROR(__xludf.UNSUPPORTED("""COMPUTED_VALUE"""),"Normalidade")</f>
        <v>Normalidade</v>
      </c>
      <c r="H639" s="4">
        <f ca="1">IFERROR(__xludf.UNSUPPORTED("""COMPUTED_VALUE"""),44927.341099537)</f>
        <v>44927.341099537</v>
      </c>
      <c r="I639" s="3">
        <f ca="1">IFERROR(__xludf.UNSUPPORTED("""COMPUTED_VALUE"""),24)</f>
        <v>24</v>
      </c>
      <c r="J639" s="4">
        <f ca="1">IFERROR(__xludf.UNSUPPORTED("""COMPUTED_VALUE"""),44928.341099537)</f>
        <v>44928.341099537</v>
      </c>
    </row>
    <row r="640" spans="1:10" ht="12.75">
      <c r="A640" s="3" t="str">
        <f ca="1">IFERROR(__xludf.UNSUPPORTED("""COMPUTED_VALUE"""),"2668a3b7")</f>
        <v>2668a3b7</v>
      </c>
      <c r="B640" s="4">
        <f ca="1">IFERROR(__xludf.UNSUPPORTED("""COMPUTED_VALUE"""),44928.3273958333)</f>
        <v>44928.327395833301</v>
      </c>
      <c r="C640" s="8" t="str">
        <f ca="1">IFERROR(__xludf.UNSUPPORTED("""COMPUTED_VALUE"""),"Ilhéus")</f>
        <v>Ilhéus</v>
      </c>
      <c r="D640" s="3" t="str">
        <f ca="1">IFERROR(__xludf.UNSUPPORTED("""COMPUTED_VALUE"""),"🚢 REGULAR")</f>
        <v>🚢 REGULAR</v>
      </c>
      <c r="E640" s="3" t="str">
        <f ca="1">IFERROR(__xludf.UNSUPPORTED("""COMPUTED_VALUE"""),"🚛 LIBERADO")</f>
        <v>🚛 LIBERADO</v>
      </c>
      <c r="F640" s="5">
        <f ca="1">IFERROR(__xludf.UNSUPPORTED("""COMPUTED_VALUE"""),0)</f>
        <v>0</v>
      </c>
      <c r="G640" s="3" t="str">
        <f ca="1">IFERROR(__xludf.UNSUPPORTED("""COMPUTED_VALUE"""),"Normalidade")</f>
        <v>Normalidade</v>
      </c>
      <c r="H640" s="4">
        <f ca="1">IFERROR(__xludf.UNSUPPORTED("""COMPUTED_VALUE"""),44928.3273958333)</f>
        <v>44928.327395833301</v>
      </c>
      <c r="I640" s="3">
        <f ca="1">IFERROR(__xludf.UNSUPPORTED("""COMPUTED_VALUE"""),24)</f>
        <v>24</v>
      </c>
      <c r="J640" s="4">
        <f ca="1">IFERROR(__xludf.UNSUPPORTED("""COMPUTED_VALUE"""),44929.3273958333)</f>
        <v>44929.327395833301</v>
      </c>
    </row>
    <row r="641" spans="1:12" ht="12.75">
      <c r="A641" s="3" t="str">
        <f ca="1">IFERROR(__xludf.UNSUPPORTED("""COMPUTED_VALUE"""),"44c9514c")</f>
        <v>44c9514c</v>
      </c>
      <c r="B641" s="4">
        <f ca="1">IFERROR(__xludf.UNSUPPORTED("""COMPUTED_VALUE"""),44930.4156597222)</f>
        <v>44930.415659722203</v>
      </c>
      <c r="C641" s="8" t="str">
        <f ca="1">IFERROR(__xludf.UNSUPPORTED("""COMPUTED_VALUE"""),"Ilhéus")</f>
        <v>Ilhéus</v>
      </c>
      <c r="D641" s="3" t="str">
        <f ca="1">IFERROR(__xludf.UNSUPPORTED("""COMPUTED_VALUE"""),"🚢 REGULAR")</f>
        <v>🚢 REGULAR</v>
      </c>
      <c r="E641" s="3" t="str">
        <f ca="1">IFERROR(__xludf.UNSUPPORTED("""COMPUTED_VALUE"""),"🚛 LIBERADO")</f>
        <v>🚛 LIBERADO</v>
      </c>
      <c r="F641" s="5">
        <f ca="1">IFERROR(__xludf.UNSUPPORTED("""COMPUTED_VALUE"""),0)</f>
        <v>0</v>
      </c>
      <c r="G641" s="3" t="str">
        <f ca="1">IFERROR(__xludf.UNSUPPORTED("""COMPUTED_VALUE"""),"Normalidade")</f>
        <v>Normalidade</v>
      </c>
      <c r="H641" s="4">
        <f ca="1">IFERROR(__xludf.UNSUPPORTED("""COMPUTED_VALUE"""),44930.4156597222)</f>
        <v>44930.415659722203</v>
      </c>
      <c r="I641" s="3">
        <f ca="1">IFERROR(__xludf.UNSUPPORTED("""COMPUTED_VALUE"""),24)</f>
        <v>24</v>
      </c>
      <c r="J641" s="4">
        <f ca="1">IFERROR(__xludf.UNSUPPORTED("""COMPUTED_VALUE"""),44931.4156597222)</f>
        <v>44931.415659722203</v>
      </c>
    </row>
    <row r="642" spans="1:12" ht="12.75">
      <c r="A642" s="3" t="str">
        <f ca="1">IFERROR(__xludf.UNSUPPORTED("""COMPUTED_VALUE"""),"4e7c5f9f")</f>
        <v>4e7c5f9f</v>
      </c>
      <c r="B642" s="4">
        <f ca="1">IFERROR(__xludf.UNSUPPORTED("""COMPUTED_VALUE"""),44932.6774421296)</f>
        <v>44932.6774421296</v>
      </c>
      <c r="C642" s="7" t="str">
        <f ca="1">IFERROR(__xludf.UNSUPPORTED("""COMPUTED_VALUE"""),"Ilhéus")</f>
        <v>Ilhéus</v>
      </c>
      <c r="D642" s="3" t="str">
        <f ca="1">IFERROR(__xludf.UNSUPPORTED("""COMPUTED_VALUE"""),"🚢 REGULAR")</f>
        <v>🚢 REGULAR</v>
      </c>
      <c r="E642" s="3" t="str">
        <f ca="1">IFERROR(__xludf.UNSUPPORTED("""COMPUTED_VALUE"""),"🚛 LIBERADO")</f>
        <v>🚛 LIBERADO</v>
      </c>
      <c r="F642" s="5">
        <f ca="1">IFERROR(__xludf.UNSUPPORTED("""COMPUTED_VALUE"""),0)</f>
        <v>0</v>
      </c>
      <c r="G642" s="3" t="str">
        <f ca="1">IFERROR(__xludf.UNSUPPORTED("""COMPUTED_VALUE"""),"Normalidade")</f>
        <v>Normalidade</v>
      </c>
      <c r="H642" s="4">
        <f ca="1">IFERROR(__xludf.UNSUPPORTED("""COMPUTED_VALUE"""),44932.6774421296)</f>
        <v>44932.6774421296</v>
      </c>
      <c r="I642" s="3">
        <f ca="1">IFERROR(__xludf.UNSUPPORTED("""COMPUTED_VALUE"""),24)</f>
        <v>24</v>
      </c>
      <c r="J642" s="4">
        <f ca="1">IFERROR(__xludf.UNSUPPORTED("""COMPUTED_VALUE"""),44933.6774421296)</f>
        <v>44933.6774421296</v>
      </c>
    </row>
    <row r="643" spans="1:12" ht="12.75">
      <c r="A643" s="3" t="str">
        <f ca="1">IFERROR(__xludf.UNSUPPORTED("""COMPUTED_VALUE"""),"9859618c")</f>
        <v>9859618c</v>
      </c>
      <c r="B643" s="4">
        <f ca="1">IFERROR(__xludf.UNSUPPORTED("""COMPUTED_VALUE"""),44933.8479976851)</f>
        <v>44933.847997685101</v>
      </c>
      <c r="C643" s="7" t="str">
        <f ca="1">IFERROR(__xludf.UNSUPPORTED("""COMPUTED_VALUE"""),"Ilhéus")</f>
        <v>Ilhéus</v>
      </c>
      <c r="D643" s="3" t="str">
        <f ca="1">IFERROR(__xludf.UNSUPPORTED("""COMPUTED_VALUE"""),"🚢 REGULAR")</f>
        <v>🚢 REGULAR</v>
      </c>
      <c r="E643" s="3" t="str">
        <f ca="1">IFERROR(__xludf.UNSUPPORTED("""COMPUTED_VALUE"""),"🚛 LIBERADO")</f>
        <v>🚛 LIBERADO</v>
      </c>
      <c r="F643" s="5">
        <f ca="1">IFERROR(__xludf.UNSUPPORTED("""COMPUTED_VALUE"""),0)</f>
        <v>0</v>
      </c>
      <c r="G643" s="3" t="str">
        <f ca="1">IFERROR(__xludf.UNSUPPORTED("""COMPUTED_VALUE"""),"Normalidade")</f>
        <v>Normalidade</v>
      </c>
      <c r="H643" s="4">
        <f ca="1">IFERROR(__xludf.UNSUPPORTED("""COMPUTED_VALUE"""),44933.8479976851)</f>
        <v>44933.847997685101</v>
      </c>
      <c r="I643" s="3">
        <f ca="1">IFERROR(__xludf.UNSUPPORTED("""COMPUTED_VALUE"""),24)</f>
        <v>24</v>
      </c>
      <c r="J643" s="4">
        <f ca="1">IFERROR(__xludf.UNSUPPORTED("""COMPUTED_VALUE"""),44934.8479976851)</f>
        <v>44934.847997685101</v>
      </c>
      <c r="L643" s="3" t="str">
        <f ca="1">IFERROR(__xludf.UNSUPPORTED("""COMPUTED_VALUE"""),"Normalidade")</f>
        <v>Normalidade</v>
      </c>
    </row>
    <row r="644" spans="1:12" ht="12.75">
      <c r="A644" s="3" t="str">
        <f ca="1">IFERROR(__xludf.UNSUPPORTED("""COMPUTED_VALUE"""),"1b34948e")</f>
        <v>1b34948e</v>
      </c>
      <c r="B644" s="4">
        <f ca="1">IFERROR(__xludf.UNSUPPORTED("""COMPUTED_VALUE"""),44934.2901388888)</f>
        <v>44934.290138888799</v>
      </c>
      <c r="C644" s="8" t="str">
        <f ca="1">IFERROR(__xludf.UNSUPPORTED("""COMPUTED_VALUE"""),"Ilhéus")</f>
        <v>Ilhéus</v>
      </c>
      <c r="D644" s="3" t="str">
        <f ca="1">IFERROR(__xludf.UNSUPPORTED("""COMPUTED_VALUE"""),"🚢 REGULAR")</f>
        <v>🚢 REGULAR</v>
      </c>
      <c r="E644" s="3" t="str">
        <f ca="1">IFERROR(__xludf.UNSUPPORTED("""COMPUTED_VALUE"""),"🚛 LIBERADO")</f>
        <v>🚛 LIBERADO</v>
      </c>
      <c r="F644" s="5">
        <f ca="1">IFERROR(__xludf.UNSUPPORTED("""COMPUTED_VALUE"""),0)</f>
        <v>0</v>
      </c>
      <c r="G644" s="3" t="str">
        <f ca="1">IFERROR(__xludf.UNSUPPORTED("""COMPUTED_VALUE"""),"Normalidade")</f>
        <v>Normalidade</v>
      </c>
      <c r="H644" s="4">
        <f ca="1">IFERROR(__xludf.UNSUPPORTED("""COMPUTED_VALUE"""),44934.2901388888)</f>
        <v>44934.290138888799</v>
      </c>
      <c r="I644" s="3">
        <f ca="1">IFERROR(__xludf.UNSUPPORTED("""COMPUTED_VALUE"""),24)</f>
        <v>24</v>
      </c>
      <c r="J644" s="4">
        <f ca="1">IFERROR(__xludf.UNSUPPORTED("""COMPUTED_VALUE"""),44935.2901388888)</f>
        <v>44935.290138888799</v>
      </c>
      <c r="L644" s="3" t="str">
        <f ca="1">IFERROR(__xludf.UNSUPPORTED("""COMPUTED_VALUE"""),"Normalidade")</f>
        <v>Normalidade</v>
      </c>
    </row>
    <row r="645" spans="1:12" ht="12.75">
      <c r="A645" s="3" t="str">
        <f ca="1">IFERROR(__xludf.UNSUPPORTED("""COMPUTED_VALUE"""),"839efbb7")</f>
        <v>839efbb7</v>
      </c>
      <c r="B645" s="4">
        <f ca="1">IFERROR(__xludf.UNSUPPORTED("""COMPUTED_VALUE"""),44934.2903009259)</f>
        <v>44934.290300925903</v>
      </c>
      <c r="C645" s="7" t="str">
        <f ca="1">IFERROR(__xludf.UNSUPPORTED("""COMPUTED_VALUE"""),"Ilhéus")</f>
        <v>Ilhéus</v>
      </c>
      <c r="D645" s="3" t="str">
        <f ca="1">IFERROR(__xludf.UNSUPPORTED("""COMPUTED_VALUE"""),"🚢 REGULAR")</f>
        <v>🚢 REGULAR</v>
      </c>
      <c r="E645" s="3" t="str">
        <f ca="1">IFERROR(__xludf.UNSUPPORTED("""COMPUTED_VALUE"""),"🚛 LIBERADO")</f>
        <v>🚛 LIBERADO</v>
      </c>
      <c r="F645" s="5">
        <f ca="1">IFERROR(__xludf.UNSUPPORTED("""COMPUTED_VALUE"""),0)</f>
        <v>0</v>
      </c>
      <c r="G645" s="3" t="str">
        <f ca="1">IFERROR(__xludf.UNSUPPORTED("""COMPUTED_VALUE"""),"Normalidade")</f>
        <v>Normalidade</v>
      </c>
      <c r="H645" s="4">
        <f ca="1">IFERROR(__xludf.UNSUPPORTED("""COMPUTED_VALUE"""),44934.2903009259)</f>
        <v>44934.290300925903</v>
      </c>
      <c r="I645" s="3">
        <f ca="1">IFERROR(__xludf.UNSUPPORTED("""COMPUTED_VALUE"""),24)</f>
        <v>24</v>
      </c>
      <c r="J645" s="4">
        <f ca="1">IFERROR(__xludf.UNSUPPORTED("""COMPUTED_VALUE"""),44935.2903009259)</f>
        <v>44935.290300925903</v>
      </c>
      <c r="L645" s="3" t="str">
        <f ca="1">IFERROR(__xludf.UNSUPPORTED("""COMPUTED_VALUE"""),"Normalidade")</f>
        <v>Normalidade</v>
      </c>
    </row>
    <row r="646" spans="1:12" ht="12.75">
      <c r="A646" s="3" t="str">
        <f ca="1">IFERROR(__xludf.UNSUPPORTED("""COMPUTED_VALUE"""),"f7fc71db")</f>
        <v>f7fc71db</v>
      </c>
      <c r="B646" s="4">
        <f ca="1">IFERROR(__xludf.UNSUPPORTED("""COMPUTED_VALUE"""),44935.3334837963)</f>
        <v>44935.333483796298</v>
      </c>
      <c r="C646" s="8" t="str">
        <f ca="1">IFERROR(__xludf.UNSUPPORTED("""COMPUTED_VALUE"""),"Ilhéus")</f>
        <v>Ilhéus</v>
      </c>
      <c r="D646" s="3" t="str">
        <f ca="1">IFERROR(__xludf.UNSUPPORTED("""COMPUTED_VALUE"""),"🚢 REGULAR")</f>
        <v>🚢 REGULAR</v>
      </c>
      <c r="E646" s="3" t="str">
        <f ca="1">IFERROR(__xludf.UNSUPPORTED("""COMPUTED_VALUE"""),"🚛 LIBERADO")</f>
        <v>🚛 LIBERADO</v>
      </c>
      <c r="F646" s="5">
        <f ca="1">IFERROR(__xludf.UNSUPPORTED("""COMPUTED_VALUE"""),0)</f>
        <v>0</v>
      </c>
      <c r="G646" s="3" t="str">
        <f ca="1">IFERROR(__xludf.UNSUPPORTED("""COMPUTED_VALUE"""),"Normalidade")</f>
        <v>Normalidade</v>
      </c>
      <c r="H646" s="4">
        <f ca="1">IFERROR(__xludf.UNSUPPORTED("""COMPUTED_VALUE"""),44935.3334837963)</f>
        <v>44935.333483796298</v>
      </c>
      <c r="I646" s="3">
        <f ca="1">IFERROR(__xludf.UNSUPPORTED("""COMPUTED_VALUE"""),24)</f>
        <v>24</v>
      </c>
      <c r="J646" s="4">
        <f ca="1">IFERROR(__xludf.UNSUPPORTED("""COMPUTED_VALUE"""),44936.3334837963)</f>
        <v>44936.333483796298</v>
      </c>
      <c r="L646" s="3" t="str">
        <f ca="1">IFERROR(__xludf.UNSUPPORTED("""COMPUTED_VALUE"""),"Normalidade")</f>
        <v>Normalidade</v>
      </c>
    </row>
    <row r="647" spans="1:12" ht="12.75">
      <c r="A647" s="3" t="str">
        <f ca="1">IFERROR(__xludf.UNSUPPORTED("""COMPUTED_VALUE"""),"bb85d66e")</f>
        <v>bb85d66e</v>
      </c>
      <c r="B647" s="4">
        <f ca="1">IFERROR(__xludf.UNSUPPORTED("""COMPUTED_VALUE"""),44937.2094791666)</f>
        <v>44937.209479166602</v>
      </c>
      <c r="C647" s="8" t="str">
        <f ca="1">IFERROR(__xludf.UNSUPPORTED("""COMPUTED_VALUE"""),"Ilhéus")</f>
        <v>Ilhéus</v>
      </c>
      <c r="D647" s="3" t="str">
        <f ca="1">IFERROR(__xludf.UNSUPPORTED("""COMPUTED_VALUE"""),"🚢 REGULAR")</f>
        <v>🚢 REGULAR</v>
      </c>
      <c r="E647" s="3" t="str">
        <f ca="1">IFERROR(__xludf.UNSUPPORTED("""COMPUTED_VALUE"""),"🚛 LIBERADO")</f>
        <v>🚛 LIBERADO</v>
      </c>
      <c r="F647" s="5">
        <f ca="1">IFERROR(__xludf.UNSUPPORTED("""COMPUTED_VALUE"""),0)</f>
        <v>0</v>
      </c>
      <c r="G647" s="3" t="str">
        <f ca="1">IFERROR(__xludf.UNSUPPORTED("""COMPUTED_VALUE"""),"Normalidade")</f>
        <v>Normalidade</v>
      </c>
      <c r="H647" s="4">
        <f ca="1">IFERROR(__xludf.UNSUPPORTED("""COMPUTED_VALUE"""),44937.2094791666)</f>
        <v>44937.209479166602</v>
      </c>
      <c r="I647" s="3">
        <f ca="1">IFERROR(__xludf.UNSUPPORTED("""COMPUTED_VALUE"""),24)</f>
        <v>24</v>
      </c>
      <c r="J647" s="4">
        <f ca="1">IFERROR(__xludf.UNSUPPORTED("""COMPUTED_VALUE"""),44938.2094791666)</f>
        <v>44938.209479166602</v>
      </c>
      <c r="L647" s="3" t="str">
        <f ca="1">IFERROR(__xludf.UNSUPPORTED("""COMPUTED_VALUE"""),"Normalidade")</f>
        <v>Normalidade</v>
      </c>
    </row>
    <row r="648" spans="1:12" ht="12.75">
      <c r="A648" s="3" t="str">
        <f ca="1">IFERROR(__xludf.UNSUPPORTED("""COMPUTED_VALUE"""),"bee9070e")</f>
        <v>bee9070e</v>
      </c>
      <c r="B648" s="4">
        <f ca="1">IFERROR(__xludf.UNSUPPORTED("""COMPUTED_VALUE"""),44939.8129166666)</f>
        <v>44939.812916666597</v>
      </c>
      <c r="C648" s="7" t="str">
        <f ca="1">IFERROR(__xludf.UNSUPPORTED("""COMPUTED_VALUE"""),"Ilhéus")</f>
        <v>Ilhéus</v>
      </c>
      <c r="D648" s="3" t="str">
        <f ca="1">IFERROR(__xludf.UNSUPPORTED("""COMPUTED_VALUE"""),"🚢 REGULAR")</f>
        <v>🚢 REGULAR</v>
      </c>
      <c r="E648" s="3" t="str">
        <f ca="1">IFERROR(__xludf.UNSUPPORTED("""COMPUTED_VALUE"""),"🚛 LIBERADO")</f>
        <v>🚛 LIBERADO</v>
      </c>
      <c r="F648" s="5">
        <f ca="1">IFERROR(__xludf.UNSUPPORTED("""COMPUTED_VALUE"""),0)</f>
        <v>0</v>
      </c>
      <c r="G648" s="3" t="str">
        <f ca="1">IFERROR(__xludf.UNSUPPORTED("""COMPUTED_VALUE"""),"Normalidade")</f>
        <v>Normalidade</v>
      </c>
      <c r="H648" s="4">
        <f ca="1">IFERROR(__xludf.UNSUPPORTED("""COMPUTED_VALUE"""),44939.8129166666)</f>
        <v>44939.812916666597</v>
      </c>
      <c r="I648" s="3">
        <f ca="1">IFERROR(__xludf.UNSUPPORTED("""COMPUTED_VALUE"""),24)</f>
        <v>24</v>
      </c>
      <c r="J648" s="4">
        <f ca="1">IFERROR(__xludf.UNSUPPORTED("""COMPUTED_VALUE"""),44940.8129166666)</f>
        <v>44940.812916666597</v>
      </c>
      <c r="L648" s="3" t="str">
        <f ca="1">IFERROR(__xludf.UNSUPPORTED("""COMPUTED_VALUE"""),"Normalidade")</f>
        <v>Normalidade</v>
      </c>
    </row>
    <row r="649" spans="1:12" ht="12.75">
      <c r="A649" s="3" t="str">
        <f ca="1">IFERROR(__xludf.UNSUPPORTED("""COMPUTED_VALUE"""),"813696f6")</f>
        <v>813696f6</v>
      </c>
      <c r="B649" s="4">
        <f ca="1">IFERROR(__xludf.UNSUPPORTED("""COMPUTED_VALUE"""),44940.5999652777)</f>
        <v>44940.599965277703</v>
      </c>
      <c r="C649" s="7" t="str">
        <f ca="1">IFERROR(__xludf.UNSUPPORTED("""COMPUTED_VALUE"""),"Ilhéus")</f>
        <v>Ilhéus</v>
      </c>
      <c r="D649" s="3" t="str">
        <f ca="1">IFERROR(__xludf.UNSUPPORTED("""COMPUTED_VALUE"""),"🚢 REGULAR")</f>
        <v>🚢 REGULAR</v>
      </c>
      <c r="E649" s="3" t="str">
        <f ca="1">IFERROR(__xludf.UNSUPPORTED("""COMPUTED_VALUE"""),"🚛 LIBERADO")</f>
        <v>🚛 LIBERADO</v>
      </c>
      <c r="F649" s="5">
        <f ca="1">IFERROR(__xludf.UNSUPPORTED("""COMPUTED_VALUE"""),0)</f>
        <v>0</v>
      </c>
      <c r="G649" s="3" t="str">
        <f ca="1">IFERROR(__xludf.UNSUPPORTED("""COMPUTED_VALUE"""),"Normalidade")</f>
        <v>Normalidade</v>
      </c>
      <c r="H649" s="4">
        <f ca="1">IFERROR(__xludf.UNSUPPORTED("""COMPUTED_VALUE"""),44940.5999652777)</f>
        <v>44940.599965277703</v>
      </c>
      <c r="I649" s="3">
        <f ca="1">IFERROR(__xludf.UNSUPPORTED("""COMPUTED_VALUE"""),24)</f>
        <v>24</v>
      </c>
      <c r="J649" s="4">
        <f ca="1">IFERROR(__xludf.UNSUPPORTED("""COMPUTED_VALUE"""),44941.5999652777)</f>
        <v>44941.599965277703</v>
      </c>
      <c r="L649" s="3" t="str">
        <f ca="1">IFERROR(__xludf.UNSUPPORTED("""COMPUTED_VALUE"""),"Normalidade")</f>
        <v>Normalidade</v>
      </c>
    </row>
    <row r="650" spans="1:12" ht="12.75">
      <c r="A650" s="3" t="str">
        <f ca="1">IFERROR(__xludf.UNSUPPORTED("""COMPUTED_VALUE"""),"3e28c511")</f>
        <v>3e28c511</v>
      </c>
      <c r="B650" s="4">
        <f ca="1">IFERROR(__xludf.UNSUPPORTED("""COMPUTED_VALUE"""),44941.4151273148)</f>
        <v>44941.415127314802</v>
      </c>
      <c r="C650" s="7" t="str">
        <f ca="1">IFERROR(__xludf.UNSUPPORTED("""COMPUTED_VALUE"""),"Ilhéus")</f>
        <v>Ilhéus</v>
      </c>
      <c r="D650" s="3" t="str">
        <f ca="1">IFERROR(__xludf.UNSUPPORTED("""COMPUTED_VALUE"""),"🚢 REGULAR")</f>
        <v>🚢 REGULAR</v>
      </c>
      <c r="E650" s="3" t="str">
        <f ca="1">IFERROR(__xludf.UNSUPPORTED("""COMPUTED_VALUE"""),"🚛 LIBERADO")</f>
        <v>🚛 LIBERADO</v>
      </c>
      <c r="F650" s="5">
        <f ca="1">IFERROR(__xludf.UNSUPPORTED("""COMPUTED_VALUE"""),0)</f>
        <v>0</v>
      </c>
      <c r="G650" s="3" t="str">
        <f ca="1">IFERROR(__xludf.UNSUPPORTED("""COMPUTED_VALUE"""),"Normalidade")</f>
        <v>Normalidade</v>
      </c>
      <c r="H650" s="4">
        <f ca="1">IFERROR(__xludf.UNSUPPORTED("""COMPUTED_VALUE"""),44941.4151273148)</f>
        <v>44941.415127314802</v>
      </c>
      <c r="I650" s="3">
        <f ca="1">IFERROR(__xludf.UNSUPPORTED("""COMPUTED_VALUE"""),24)</f>
        <v>24</v>
      </c>
      <c r="J650" s="4">
        <f ca="1">IFERROR(__xludf.UNSUPPORTED("""COMPUTED_VALUE"""),44942.4151273148)</f>
        <v>44942.415127314802</v>
      </c>
      <c r="L650" s="3" t="str">
        <f ca="1">IFERROR(__xludf.UNSUPPORTED("""COMPUTED_VALUE"""),"Normalidade")</f>
        <v>Normalidade</v>
      </c>
    </row>
    <row r="651" spans="1:12" ht="12.75">
      <c r="A651" s="3" t="str">
        <f ca="1">IFERROR(__xludf.UNSUPPORTED("""COMPUTED_VALUE"""),"ee761b30")</f>
        <v>ee761b30</v>
      </c>
      <c r="B651" s="4">
        <f ca="1">IFERROR(__xludf.UNSUPPORTED("""COMPUTED_VALUE"""),44942.3195486111)</f>
        <v>44942.3195486111</v>
      </c>
      <c r="C651" s="7" t="str">
        <f ca="1">IFERROR(__xludf.UNSUPPORTED("""COMPUTED_VALUE"""),"Ilhéus")</f>
        <v>Ilhéus</v>
      </c>
      <c r="D651" s="3" t="str">
        <f ca="1">IFERROR(__xludf.UNSUPPORTED("""COMPUTED_VALUE"""),"🚢 REGULAR")</f>
        <v>🚢 REGULAR</v>
      </c>
      <c r="E651" s="3" t="str">
        <f ca="1">IFERROR(__xludf.UNSUPPORTED("""COMPUTED_VALUE"""),"🚛 LIBERADO")</f>
        <v>🚛 LIBERADO</v>
      </c>
      <c r="F651" s="5">
        <f ca="1">IFERROR(__xludf.UNSUPPORTED("""COMPUTED_VALUE"""),0)</f>
        <v>0</v>
      </c>
      <c r="G651" s="3" t="str">
        <f ca="1">IFERROR(__xludf.UNSUPPORTED("""COMPUTED_VALUE"""),"Normalidade")</f>
        <v>Normalidade</v>
      </c>
      <c r="H651" s="4">
        <f ca="1">IFERROR(__xludf.UNSUPPORTED("""COMPUTED_VALUE"""),44942.3195486111)</f>
        <v>44942.3195486111</v>
      </c>
      <c r="I651" s="3">
        <f ca="1">IFERROR(__xludf.UNSUPPORTED("""COMPUTED_VALUE"""),24)</f>
        <v>24</v>
      </c>
      <c r="J651" s="4">
        <f ca="1">IFERROR(__xludf.UNSUPPORTED("""COMPUTED_VALUE"""),44943.3195486111)</f>
        <v>44943.3195486111</v>
      </c>
      <c r="L651" s="3" t="str">
        <f ca="1">IFERROR(__xludf.UNSUPPORTED("""COMPUTED_VALUE"""),"Normalidade")</f>
        <v>Normalidade</v>
      </c>
    </row>
    <row r="652" spans="1:12" ht="12.75">
      <c r="A652" s="3" t="str">
        <f ca="1">IFERROR(__xludf.UNSUPPORTED("""COMPUTED_VALUE"""),"5861f02d")</f>
        <v>5861f02d</v>
      </c>
      <c r="B652" s="4">
        <f ca="1">IFERROR(__xludf.UNSUPPORTED("""COMPUTED_VALUE"""),44943.3241898148)</f>
        <v>44943.324189814797</v>
      </c>
      <c r="C652" s="8" t="str">
        <f ca="1">IFERROR(__xludf.UNSUPPORTED("""COMPUTED_VALUE"""),"Ilhéus")</f>
        <v>Ilhéus</v>
      </c>
      <c r="D652" s="3" t="str">
        <f ca="1">IFERROR(__xludf.UNSUPPORTED("""COMPUTED_VALUE"""),"🚢 REGULAR")</f>
        <v>🚢 REGULAR</v>
      </c>
      <c r="E652" s="3" t="str">
        <f ca="1">IFERROR(__xludf.UNSUPPORTED("""COMPUTED_VALUE"""),"🚛 LIBERADO")</f>
        <v>🚛 LIBERADO</v>
      </c>
      <c r="F652" s="5">
        <f ca="1">IFERROR(__xludf.UNSUPPORTED("""COMPUTED_VALUE"""),0)</f>
        <v>0</v>
      </c>
      <c r="G652" s="3" t="str">
        <f ca="1">IFERROR(__xludf.UNSUPPORTED("""COMPUTED_VALUE"""),"Normalidade")</f>
        <v>Normalidade</v>
      </c>
      <c r="H652" s="4">
        <f ca="1">IFERROR(__xludf.UNSUPPORTED("""COMPUTED_VALUE"""),44943.3241898148)</f>
        <v>44943.324189814797</v>
      </c>
      <c r="I652" s="3">
        <f ca="1">IFERROR(__xludf.UNSUPPORTED("""COMPUTED_VALUE"""),24)</f>
        <v>24</v>
      </c>
      <c r="J652" s="4">
        <f ca="1">IFERROR(__xludf.UNSUPPORTED("""COMPUTED_VALUE"""),44944.3241898148)</f>
        <v>44944.324189814797</v>
      </c>
      <c r="L652" s="3" t="str">
        <f ca="1">IFERROR(__xludf.UNSUPPORTED("""COMPUTED_VALUE"""),"Normalidade")</f>
        <v>Normalidade</v>
      </c>
    </row>
    <row r="653" spans="1:12" ht="12.75">
      <c r="A653" s="3" t="str">
        <f ca="1">IFERROR(__xludf.UNSUPPORTED("""COMPUTED_VALUE"""),"97a4936d")</f>
        <v>97a4936d</v>
      </c>
      <c r="B653" s="4">
        <f ca="1">IFERROR(__xludf.UNSUPPORTED("""COMPUTED_VALUE"""),44943.3725462963)</f>
        <v>44943.372546296298</v>
      </c>
      <c r="C653" s="8" t="str">
        <f ca="1">IFERROR(__xludf.UNSUPPORTED("""COMPUTED_VALUE"""),"Ilhéus")</f>
        <v>Ilhéus</v>
      </c>
      <c r="D653" s="3" t="str">
        <f ca="1">IFERROR(__xludf.UNSUPPORTED("""COMPUTED_VALUE"""),"🚢 REGULAR")</f>
        <v>🚢 REGULAR</v>
      </c>
      <c r="E653" s="3" t="str">
        <f ca="1">IFERROR(__xludf.UNSUPPORTED("""COMPUTED_VALUE"""),"🚛 LIBERADO")</f>
        <v>🚛 LIBERADO</v>
      </c>
      <c r="F653" s="5">
        <f ca="1">IFERROR(__xludf.UNSUPPORTED("""COMPUTED_VALUE"""),0)</f>
        <v>0</v>
      </c>
      <c r="G653" s="3" t="str">
        <f ca="1">IFERROR(__xludf.UNSUPPORTED("""COMPUTED_VALUE"""),"Normalidade")</f>
        <v>Normalidade</v>
      </c>
      <c r="H653" s="4">
        <f ca="1">IFERROR(__xludf.UNSUPPORTED("""COMPUTED_VALUE"""),44943.3725462963)</f>
        <v>44943.372546296298</v>
      </c>
      <c r="I653" s="3">
        <f ca="1">IFERROR(__xludf.UNSUPPORTED("""COMPUTED_VALUE"""),24)</f>
        <v>24</v>
      </c>
      <c r="J653" s="4">
        <f ca="1">IFERROR(__xludf.UNSUPPORTED("""COMPUTED_VALUE"""),44944.3725462963)</f>
        <v>44944.372546296298</v>
      </c>
      <c r="L653" s="3" t="str">
        <f ca="1">IFERROR(__xludf.UNSUPPORTED("""COMPUTED_VALUE"""),"Normalidade")</f>
        <v>Normalidade</v>
      </c>
    </row>
    <row r="654" spans="1:12" ht="12.75">
      <c r="A654" s="3" t="str">
        <f ca="1">IFERROR(__xludf.UNSUPPORTED("""COMPUTED_VALUE"""),"1f822f9b")</f>
        <v>1f822f9b</v>
      </c>
      <c r="B654" s="4">
        <f ca="1">IFERROR(__xludf.UNSUPPORTED("""COMPUTED_VALUE"""),44944.4282754629)</f>
        <v>44944.428275462902</v>
      </c>
      <c r="C654" s="8" t="str">
        <f ca="1">IFERROR(__xludf.UNSUPPORTED("""COMPUTED_VALUE"""),"Ilhéus")</f>
        <v>Ilhéus</v>
      </c>
      <c r="D654" s="3" t="str">
        <f ca="1">IFERROR(__xludf.UNSUPPORTED("""COMPUTED_VALUE"""),"🚢 REGULAR")</f>
        <v>🚢 REGULAR</v>
      </c>
      <c r="E654" s="3" t="str">
        <f ca="1">IFERROR(__xludf.UNSUPPORTED("""COMPUTED_VALUE"""),"🚛 LIBERADO")</f>
        <v>🚛 LIBERADO</v>
      </c>
      <c r="F654" s="5">
        <f ca="1">IFERROR(__xludf.UNSUPPORTED("""COMPUTED_VALUE"""),0)</f>
        <v>0</v>
      </c>
      <c r="G654" s="3" t="str">
        <f ca="1">IFERROR(__xludf.UNSUPPORTED("""COMPUTED_VALUE"""),"Normalidade")</f>
        <v>Normalidade</v>
      </c>
      <c r="H654" s="4">
        <f ca="1">IFERROR(__xludf.UNSUPPORTED("""COMPUTED_VALUE"""),44944.4282754629)</f>
        <v>44944.428275462902</v>
      </c>
      <c r="I654" s="3">
        <f ca="1">IFERROR(__xludf.UNSUPPORTED("""COMPUTED_VALUE"""),24)</f>
        <v>24</v>
      </c>
      <c r="J654" s="4">
        <f ca="1">IFERROR(__xludf.UNSUPPORTED("""COMPUTED_VALUE"""),44945.4282754629)</f>
        <v>44945.428275462902</v>
      </c>
      <c r="L654" s="3" t="str">
        <f ca="1">IFERROR(__xludf.UNSUPPORTED("""COMPUTED_VALUE"""),"Normalidade")</f>
        <v>Normalidade</v>
      </c>
    </row>
    <row r="655" spans="1:12" ht="12.75">
      <c r="A655" s="3" t="str">
        <f ca="1">IFERROR(__xludf.UNSUPPORTED("""COMPUTED_VALUE"""),"4da728ba")</f>
        <v>4da728ba</v>
      </c>
      <c r="B655" s="4">
        <f ca="1">IFERROR(__xludf.UNSUPPORTED("""COMPUTED_VALUE"""),44945.3282407407)</f>
        <v>44945.328240740702</v>
      </c>
      <c r="C655" s="7" t="str">
        <f ca="1">IFERROR(__xludf.UNSUPPORTED("""COMPUTED_VALUE"""),"Ilhéus")</f>
        <v>Ilhéus</v>
      </c>
      <c r="D655" s="3" t="str">
        <f ca="1">IFERROR(__xludf.UNSUPPORTED("""COMPUTED_VALUE"""),"🚢 REGULAR")</f>
        <v>🚢 REGULAR</v>
      </c>
      <c r="E655" s="3" t="str">
        <f ca="1">IFERROR(__xludf.UNSUPPORTED("""COMPUTED_VALUE"""),"🚛 LIBERADO")</f>
        <v>🚛 LIBERADO</v>
      </c>
      <c r="F655" s="5">
        <f ca="1">IFERROR(__xludf.UNSUPPORTED("""COMPUTED_VALUE"""),0)</f>
        <v>0</v>
      </c>
      <c r="G655" s="3" t="str">
        <f ca="1">IFERROR(__xludf.UNSUPPORTED("""COMPUTED_VALUE"""),"Normalidade")</f>
        <v>Normalidade</v>
      </c>
      <c r="H655" s="4">
        <f ca="1">IFERROR(__xludf.UNSUPPORTED("""COMPUTED_VALUE"""),44945.3282407407)</f>
        <v>44945.328240740702</v>
      </c>
      <c r="I655" s="3">
        <f ca="1">IFERROR(__xludf.UNSUPPORTED("""COMPUTED_VALUE"""),24)</f>
        <v>24</v>
      </c>
      <c r="J655" s="4">
        <f ca="1">IFERROR(__xludf.UNSUPPORTED("""COMPUTED_VALUE"""),44946.3282407407)</f>
        <v>44946.328240740702</v>
      </c>
      <c r="L655" s="3" t="str">
        <f ca="1">IFERROR(__xludf.UNSUPPORTED("""COMPUTED_VALUE"""),"Normalidade")</f>
        <v>Normalidade</v>
      </c>
    </row>
    <row r="656" spans="1:12" ht="12.75">
      <c r="A656" s="3" t="str">
        <f ca="1">IFERROR(__xludf.UNSUPPORTED("""COMPUTED_VALUE"""),"d62db39c")</f>
        <v>d62db39c</v>
      </c>
      <c r="B656" s="4">
        <f ca="1">IFERROR(__xludf.UNSUPPORTED("""COMPUTED_VALUE"""),44946.3094791666)</f>
        <v>44946.309479166601</v>
      </c>
      <c r="C656" s="8" t="str">
        <f ca="1">IFERROR(__xludf.UNSUPPORTED("""COMPUTED_VALUE"""),"Ilhéus")</f>
        <v>Ilhéus</v>
      </c>
      <c r="D656" s="3" t="str">
        <f ca="1">IFERROR(__xludf.UNSUPPORTED("""COMPUTED_VALUE"""),"🚢 REGULAR")</f>
        <v>🚢 REGULAR</v>
      </c>
      <c r="E656" s="3" t="str">
        <f ca="1">IFERROR(__xludf.UNSUPPORTED("""COMPUTED_VALUE"""),"🚛 LIBERADO")</f>
        <v>🚛 LIBERADO</v>
      </c>
      <c r="F656" s="5">
        <f ca="1">IFERROR(__xludf.UNSUPPORTED("""COMPUTED_VALUE"""),0)</f>
        <v>0</v>
      </c>
      <c r="G656" s="3" t="str">
        <f ca="1">IFERROR(__xludf.UNSUPPORTED("""COMPUTED_VALUE"""),"Normalidade")</f>
        <v>Normalidade</v>
      </c>
      <c r="H656" s="4">
        <f ca="1">IFERROR(__xludf.UNSUPPORTED("""COMPUTED_VALUE"""),44946.3094907407)</f>
        <v>44946.309490740699</v>
      </c>
      <c r="I656" s="3">
        <f ca="1">IFERROR(__xludf.UNSUPPORTED("""COMPUTED_VALUE"""),24)</f>
        <v>24</v>
      </c>
      <c r="J656" s="4">
        <f ca="1">IFERROR(__xludf.UNSUPPORTED("""COMPUTED_VALUE"""),44947.3094907407)</f>
        <v>44947.309490740699</v>
      </c>
      <c r="L656" s="3" t="str">
        <f ca="1">IFERROR(__xludf.UNSUPPORTED("""COMPUTED_VALUE"""),"Normalidade")</f>
        <v>Normalidade</v>
      </c>
    </row>
    <row r="657" spans="1:12" ht="12.75">
      <c r="A657" s="3" t="str">
        <f ca="1">IFERROR(__xludf.UNSUPPORTED("""COMPUTED_VALUE"""),"228be2b9")</f>
        <v>228be2b9</v>
      </c>
      <c r="B657" s="4">
        <f ca="1">IFERROR(__xludf.UNSUPPORTED("""COMPUTED_VALUE"""),44948.3696064813)</f>
        <v>44948.369606481298</v>
      </c>
      <c r="C657" s="7" t="str">
        <f ca="1">IFERROR(__xludf.UNSUPPORTED("""COMPUTED_VALUE"""),"Ilhéus")</f>
        <v>Ilhéus</v>
      </c>
      <c r="D657" s="3" t="str">
        <f ca="1">IFERROR(__xludf.UNSUPPORTED("""COMPUTED_VALUE"""),"🚢 REGULAR")</f>
        <v>🚢 REGULAR</v>
      </c>
      <c r="E657" s="3" t="str">
        <f ca="1">IFERROR(__xludf.UNSUPPORTED("""COMPUTED_VALUE"""),"🚛 LIBERADO")</f>
        <v>🚛 LIBERADO</v>
      </c>
      <c r="F657" s="5">
        <f ca="1">IFERROR(__xludf.UNSUPPORTED("""COMPUTED_VALUE"""),0)</f>
        <v>0</v>
      </c>
      <c r="G657" s="3" t="str">
        <f ca="1">IFERROR(__xludf.UNSUPPORTED("""COMPUTED_VALUE"""),"Normalidade")</f>
        <v>Normalidade</v>
      </c>
      <c r="H657" s="4">
        <f ca="1">IFERROR(__xludf.UNSUPPORTED("""COMPUTED_VALUE"""),44948.3696064813)</f>
        <v>44948.369606481298</v>
      </c>
      <c r="I657" s="3">
        <f ca="1">IFERROR(__xludf.UNSUPPORTED("""COMPUTED_VALUE"""),24)</f>
        <v>24</v>
      </c>
      <c r="J657" s="4">
        <f ca="1">IFERROR(__xludf.UNSUPPORTED("""COMPUTED_VALUE"""),44949.3696064813)</f>
        <v>44949.369606481298</v>
      </c>
      <c r="L657" s="3" t="str">
        <f ca="1">IFERROR(__xludf.UNSUPPORTED("""COMPUTED_VALUE"""),"Normalidade")</f>
        <v>Normalidade</v>
      </c>
    </row>
    <row r="658" spans="1:12" ht="12.75">
      <c r="A658" s="3" t="str">
        <f ca="1">IFERROR(__xludf.UNSUPPORTED("""COMPUTED_VALUE"""),"8e07f21a")</f>
        <v>8e07f21a</v>
      </c>
      <c r="B658" s="4">
        <f ca="1">IFERROR(__xludf.UNSUPPORTED("""COMPUTED_VALUE"""),44950.3923726851)</f>
        <v>44950.392372685099</v>
      </c>
      <c r="C658" s="8" t="str">
        <f ca="1">IFERROR(__xludf.UNSUPPORTED("""COMPUTED_VALUE"""),"Ilhéus")</f>
        <v>Ilhéus</v>
      </c>
      <c r="D658" s="3" t="str">
        <f ca="1">IFERROR(__xludf.UNSUPPORTED("""COMPUTED_VALUE"""),"🚢 REGULAR")</f>
        <v>🚢 REGULAR</v>
      </c>
      <c r="E658" s="3" t="str">
        <f ca="1">IFERROR(__xludf.UNSUPPORTED("""COMPUTED_VALUE"""),"🚛 LIBERADO")</f>
        <v>🚛 LIBERADO</v>
      </c>
      <c r="F658" s="5">
        <f ca="1">IFERROR(__xludf.UNSUPPORTED("""COMPUTED_VALUE"""),0)</f>
        <v>0</v>
      </c>
      <c r="G658" s="3" t="str">
        <f ca="1">IFERROR(__xludf.UNSUPPORTED("""COMPUTED_VALUE"""),"Normalidade")</f>
        <v>Normalidade</v>
      </c>
      <c r="H658" s="4">
        <f ca="1">IFERROR(__xludf.UNSUPPORTED("""COMPUTED_VALUE"""),44950.3923726851)</f>
        <v>44950.392372685099</v>
      </c>
      <c r="I658" s="3">
        <f ca="1">IFERROR(__xludf.UNSUPPORTED("""COMPUTED_VALUE"""),24)</f>
        <v>24</v>
      </c>
      <c r="J658" s="4">
        <f ca="1">IFERROR(__xludf.UNSUPPORTED("""COMPUTED_VALUE"""),44951.3923726851)</f>
        <v>44951.392372685099</v>
      </c>
      <c r="L658" s="3" t="str">
        <f ca="1">IFERROR(__xludf.UNSUPPORTED("""COMPUTED_VALUE"""),"Normalidade")</f>
        <v>Normalidade</v>
      </c>
    </row>
    <row r="659" spans="1:12" ht="12.75">
      <c r="A659" s="3" t="str">
        <f ca="1">IFERROR(__xludf.UNSUPPORTED("""COMPUTED_VALUE"""),"164f639d")</f>
        <v>164f639d</v>
      </c>
      <c r="B659" s="4">
        <f ca="1">IFERROR(__xludf.UNSUPPORTED("""COMPUTED_VALUE"""),44951.3529282407)</f>
        <v>44951.352928240703</v>
      </c>
      <c r="C659" s="8" t="str">
        <f ca="1">IFERROR(__xludf.UNSUPPORTED("""COMPUTED_VALUE"""),"Ilhéus")</f>
        <v>Ilhéus</v>
      </c>
      <c r="D659" s="3" t="str">
        <f ca="1">IFERROR(__xludf.UNSUPPORTED("""COMPUTED_VALUE"""),"🚢 REGULAR")</f>
        <v>🚢 REGULAR</v>
      </c>
      <c r="E659" s="3" t="str">
        <f ca="1">IFERROR(__xludf.UNSUPPORTED("""COMPUTED_VALUE"""),"🚛 LIBERADO")</f>
        <v>🚛 LIBERADO</v>
      </c>
      <c r="F659" s="5">
        <f ca="1">IFERROR(__xludf.UNSUPPORTED("""COMPUTED_VALUE"""),0)</f>
        <v>0</v>
      </c>
      <c r="G659" s="3" t="str">
        <f ca="1">IFERROR(__xludf.UNSUPPORTED("""COMPUTED_VALUE"""),"Normalidade")</f>
        <v>Normalidade</v>
      </c>
      <c r="H659" s="4">
        <f ca="1">IFERROR(__xludf.UNSUPPORTED("""COMPUTED_VALUE"""),44951.3529282407)</f>
        <v>44951.352928240703</v>
      </c>
      <c r="I659" s="3">
        <f ca="1">IFERROR(__xludf.UNSUPPORTED("""COMPUTED_VALUE"""),24)</f>
        <v>24</v>
      </c>
      <c r="J659" s="4">
        <f ca="1">IFERROR(__xludf.UNSUPPORTED("""COMPUTED_VALUE"""),44952.3529282407)</f>
        <v>44952.352928240703</v>
      </c>
      <c r="L659" s="3" t="str">
        <f ca="1">IFERROR(__xludf.UNSUPPORTED("""COMPUTED_VALUE"""),"Normalidade")</f>
        <v>Normalidade</v>
      </c>
    </row>
    <row r="660" spans="1:12" ht="12.75">
      <c r="A660" s="3" t="str">
        <f ca="1">IFERROR(__xludf.UNSUPPORTED("""COMPUTED_VALUE"""),"a4f2970c")</f>
        <v>a4f2970c</v>
      </c>
      <c r="B660" s="4">
        <f ca="1">IFERROR(__xludf.UNSUPPORTED("""COMPUTED_VALUE"""),44952.6001967592)</f>
        <v>44952.600196759202</v>
      </c>
      <c r="C660" s="8" t="str">
        <f ca="1">IFERROR(__xludf.UNSUPPORTED("""COMPUTED_VALUE"""),"Ilhéus")</f>
        <v>Ilhéus</v>
      </c>
      <c r="D660" s="3" t="str">
        <f ca="1">IFERROR(__xludf.UNSUPPORTED("""COMPUTED_VALUE"""),"🚢 REGULAR")</f>
        <v>🚢 REGULAR</v>
      </c>
      <c r="E660" s="3" t="str">
        <f ca="1">IFERROR(__xludf.UNSUPPORTED("""COMPUTED_VALUE"""),"🚛 LIBERADO")</f>
        <v>🚛 LIBERADO</v>
      </c>
      <c r="F660" s="5">
        <f ca="1">IFERROR(__xludf.UNSUPPORTED("""COMPUTED_VALUE"""),0)</f>
        <v>0</v>
      </c>
      <c r="G660" s="3" t="str">
        <f ca="1">IFERROR(__xludf.UNSUPPORTED("""COMPUTED_VALUE"""),"Normalidade")</f>
        <v>Normalidade</v>
      </c>
      <c r="H660" s="4">
        <f ca="1">IFERROR(__xludf.UNSUPPORTED("""COMPUTED_VALUE"""),44952.6001967592)</f>
        <v>44952.600196759202</v>
      </c>
      <c r="I660" s="3">
        <f ca="1">IFERROR(__xludf.UNSUPPORTED("""COMPUTED_VALUE"""),24)</f>
        <v>24</v>
      </c>
      <c r="J660" s="4">
        <f ca="1">IFERROR(__xludf.UNSUPPORTED("""COMPUTED_VALUE"""),44953.6001967592)</f>
        <v>44953.600196759202</v>
      </c>
      <c r="L660" s="3" t="str">
        <f ca="1">IFERROR(__xludf.UNSUPPORTED("""COMPUTED_VALUE"""),"Normalidade")</f>
        <v>Normalidade</v>
      </c>
    </row>
    <row r="661" spans="1:12" ht="12.75">
      <c r="A661" s="3" t="str">
        <f ca="1">IFERROR(__xludf.UNSUPPORTED("""COMPUTED_VALUE"""),"ffd44f16")</f>
        <v>ffd44f16</v>
      </c>
      <c r="B661" s="4">
        <f ca="1">IFERROR(__xludf.UNSUPPORTED("""COMPUTED_VALUE"""),44953.3614004629)</f>
        <v>44953.361400462898</v>
      </c>
      <c r="C661" s="8" t="str">
        <f ca="1">IFERROR(__xludf.UNSUPPORTED("""COMPUTED_VALUE"""),"Ilhéus")</f>
        <v>Ilhéus</v>
      </c>
      <c r="D661" s="3" t="str">
        <f ca="1">IFERROR(__xludf.UNSUPPORTED("""COMPUTED_VALUE"""),"🚢 REGULAR")</f>
        <v>🚢 REGULAR</v>
      </c>
      <c r="E661" s="3" t="str">
        <f ca="1">IFERROR(__xludf.UNSUPPORTED("""COMPUTED_VALUE"""),"🚛 LIBERADO")</f>
        <v>🚛 LIBERADO</v>
      </c>
      <c r="F661" s="5">
        <f ca="1">IFERROR(__xludf.UNSUPPORTED("""COMPUTED_VALUE"""),0)</f>
        <v>0</v>
      </c>
      <c r="G661" s="3" t="str">
        <f ca="1">IFERROR(__xludf.UNSUPPORTED("""COMPUTED_VALUE"""),"Normalidade")</f>
        <v>Normalidade</v>
      </c>
      <c r="H661" s="4">
        <f ca="1">IFERROR(__xludf.UNSUPPORTED("""COMPUTED_VALUE"""),44953.3614004629)</f>
        <v>44953.361400462898</v>
      </c>
      <c r="I661" s="3">
        <f ca="1">IFERROR(__xludf.UNSUPPORTED("""COMPUTED_VALUE"""),24)</f>
        <v>24</v>
      </c>
      <c r="J661" s="4">
        <f ca="1">IFERROR(__xludf.UNSUPPORTED("""COMPUTED_VALUE"""),44954.3614004629)</f>
        <v>44954.361400462898</v>
      </c>
      <c r="L661" s="3" t="str">
        <f ca="1">IFERROR(__xludf.UNSUPPORTED("""COMPUTED_VALUE"""),"Normalidade")</f>
        <v>Normalidade</v>
      </c>
    </row>
    <row r="662" spans="1:12" ht="12.75">
      <c r="A662" s="3" t="str">
        <f ca="1">IFERROR(__xludf.UNSUPPORTED("""COMPUTED_VALUE"""),"0c9ecbce")</f>
        <v>0c9ecbce</v>
      </c>
      <c r="B662" s="4">
        <f ca="1">IFERROR(__xludf.UNSUPPORTED("""COMPUTED_VALUE"""),44956.3442939814)</f>
        <v>44956.344293981398</v>
      </c>
      <c r="C662" s="8" t="str">
        <f ca="1">IFERROR(__xludf.UNSUPPORTED("""COMPUTED_VALUE"""),"Ilhéus")</f>
        <v>Ilhéus</v>
      </c>
      <c r="D662" s="3" t="str">
        <f ca="1">IFERROR(__xludf.UNSUPPORTED("""COMPUTED_VALUE"""),"🚢 REGULAR")</f>
        <v>🚢 REGULAR</v>
      </c>
      <c r="E662" s="3" t="str">
        <f ca="1">IFERROR(__xludf.UNSUPPORTED("""COMPUTED_VALUE"""),"🚛 LIBERADO")</f>
        <v>🚛 LIBERADO</v>
      </c>
      <c r="F662" s="5">
        <f ca="1">IFERROR(__xludf.UNSUPPORTED("""COMPUTED_VALUE"""),0)</f>
        <v>0</v>
      </c>
      <c r="G662" s="3" t="str">
        <f ca="1">IFERROR(__xludf.UNSUPPORTED("""COMPUTED_VALUE"""),"Normalidade")</f>
        <v>Normalidade</v>
      </c>
      <c r="H662" s="4">
        <f ca="1">IFERROR(__xludf.UNSUPPORTED("""COMPUTED_VALUE"""),44956.3442939814)</f>
        <v>44956.344293981398</v>
      </c>
      <c r="I662" s="3">
        <f ca="1">IFERROR(__xludf.UNSUPPORTED("""COMPUTED_VALUE"""),24)</f>
        <v>24</v>
      </c>
      <c r="J662" s="4">
        <f ca="1">IFERROR(__xludf.UNSUPPORTED("""COMPUTED_VALUE"""),44957.3442939814)</f>
        <v>44957.344293981398</v>
      </c>
      <c r="L662" s="3" t="str">
        <f ca="1">IFERROR(__xludf.UNSUPPORTED("""COMPUTED_VALUE"""),"Normalidade")</f>
        <v>Normalidade</v>
      </c>
    </row>
    <row r="663" spans="1:12" ht="12.75">
      <c r="A663" s="3" t="str">
        <f ca="1">IFERROR(__xludf.UNSUPPORTED("""COMPUTED_VALUE"""),"4f20e825")</f>
        <v>4f20e825</v>
      </c>
      <c r="B663" s="4">
        <f ca="1">IFERROR(__xludf.UNSUPPORTED("""COMPUTED_VALUE"""),44957.3795486111)</f>
        <v>44957.379548611098</v>
      </c>
      <c r="C663" s="8" t="str">
        <f ca="1">IFERROR(__xludf.UNSUPPORTED("""COMPUTED_VALUE"""),"Ilhéus")</f>
        <v>Ilhéus</v>
      </c>
      <c r="D663" s="3" t="str">
        <f ca="1">IFERROR(__xludf.UNSUPPORTED("""COMPUTED_VALUE"""),"🚢 REGULAR")</f>
        <v>🚢 REGULAR</v>
      </c>
      <c r="E663" s="3" t="str">
        <f ca="1">IFERROR(__xludf.UNSUPPORTED("""COMPUTED_VALUE"""),"🚛 LIBERADO")</f>
        <v>🚛 LIBERADO</v>
      </c>
      <c r="F663" s="5">
        <f ca="1">IFERROR(__xludf.UNSUPPORTED("""COMPUTED_VALUE"""),0)</f>
        <v>0</v>
      </c>
      <c r="G663" s="3" t="str">
        <f ca="1">IFERROR(__xludf.UNSUPPORTED("""COMPUTED_VALUE"""),"Normalidade")</f>
        <v>Normalidade</v>
      </c>
      <c r="H663" s="4">
        <f ca="1">IFERROR(__xludf.UNSUPPORTED("""COMPUTED_VALUE"""),44957.3795486111)</f>
        <v>44957.379548611098</v>
      </c>
      <c r="I663" s="3">
        <f ca="1">IFERROR(__xludf.UNSUPPORTED("""COMPUTED_VALUE"""),24)</f>
        <v>24</v>
      </c>
      <c r="J663" s="4">
        <f ca="1">IFERROR(__xludf.UNSUPPORTED("""COMPUTED_VALUE"""),44958.3795486111)</f>
        <v>44958.379548611098</v>
      </c>
      <c r="L663" s="3" t="str">
        <f ca="1">IFERROR(__xludf.UNSUPPORTED("""COMPUTED_VALUE"""),"Normalidade")</f>
        <v>Normalidade</v>
      </c>
    </row>
    <row r="664" spans="1:12" ht="12.75">
      <c r="A664" s="3" t="str">
        <f ca="1">IFERROR(__xludf.UNSUPPORTED("""COMPUTED_VALUE"""),"234735a9")</f>
        <v>234735a9</v>
      </c>
      <c r="B664" s="4">
        <f ca="1">IFERROR(__xludf.UNSUPPORTED("""COMPUTED_VALUE"""),44958.2901273148)</f>
        <v>44958.290127314802</v>
      </c>
      <c r="C664" s="8" t="str">
        <f ca="1">IFERROR(__xludf.UNSUPPORTED("""COMPUTED_VALUE"""),"Ilhéus")</f>
        <v>Ilhéus</v>
      </c>
      <c r="D664" s="3" t="str">
        <f ca="1">IFERROR(__xludf.UNSUPPORTED("""COMPUTED_VALUE"""),"🚢 REGULAR")</f>
        <v>🚢 REGULAR</v>
      </c>
      <c r="E664" s="3" t="str">
        <f ca="1">IFERROR(__xludf.UNSUPPORTED("""COMPUTED_VALUE"""),"🚛 LIBERADO")</f>
        <v>🚛 LIBERADO</v>
      </c>
      <c r="F664" s="5">
        <f ca="1">IFERROR(__xludf.UNSUPPORTED("""COMPUTED_VALUE"""),0)</f>
        <v>0</v>
      </c>
      <c r="G664" s="3" t="str">
        <f ca="1">IFERROR(__xludf.UNSUPPORTED("""COMPUTED_VALUE"""),"Normalidade")</f>
        <v>Normalidade</v>
      </c>
      <c r="H664" s="4">
        <f ca="1">IFERROR(__xludf.UNSUPPORTED("""COMPUTED_VALUE"""),44958.2901273148)</f>
        <v>44958.290127314802</v>
      </c>
      <c r="I664" s="3">
        <f ca="1">IFERROR(__xludf.UNSUPPORTED("""COMPUTED_VALUE"""),24)</f>
        <v>24</v>
      </c>
      <c r="J664" s="4">
        <f ca="1">IFERROR(__xludf.UNSUPPORTED("""COMPUTED_VALUE"""),44959.2901273148)</f>
        <v>44959.290127314802</v>
      </c>
      <c r="L664" s="3" t="str">
        <f ca="1">IFERROR(__xludf.UNSUPPORTED("""COMPUTED_VALUE"""),"Normalidade")</f>
        <v>Normalidade</v>
      </c>
    </row>
    <row r="665" spans="1:12" ht="12.75">
      <c r="A665" s="3" t="str">
        <f ca="1">IFERROR(__xludf.UNSUPPORTED("""COMPUTED_VALUE"""),"d3a8c7f5")</f>
        <v>d3a8c7f5</v>
      </c>
      <c r="B665" s="4">
        <f ca="1">IFERROR(__xludf.UNSUPPORTED("""COMPUTED_VALUE"""),44960.4614699074)</f>
        <v>44960.461469907401</v>
      </c>
      <c r="C665" s="7" t="str">
        <f ca="1">IFERROR(__xludf.UNSUPPORTED("""COMPUTED_VALUE"""),"Ilhéus")</f>
        <v>Ilhéus</v>
      </c>
      <c r="D665" s="3" t="str">
        <f ca="1">IFERROR(__xludf.UNSUPPORTED("""COMPUTED_VALUE"""),"🚢 REGULAR")</f>
        <v>🚢 REGULAR</v>
      </c>
      <c r="E665" s="3" t="str">
        <f ca="1">IFERROR(__xludf.UNSUPPORTED("""COMPUTED_VALUE"""),"🚛 LIBERADO")</f>
        <v>🚛 LIBERADO</v>
      </c>
      <c r="F665" s="5">
        <f ca="1">IFERROR(__xludf.UNSUPPORTED("""COMPUTED_VALUE"""),0)</f>
        <v>0</v>
      </c>
      <c r="G665" s="3" t="str">
        <f ca="1">IFERROR(__xludf.UNSUPPORTED("""COMPUTED_VALUE"""),"Normalidade")</f>
        <v>Normalidade</v>
      </c>
      <c r="H665" s="4">
        <f ca="1">IFERROR(__xludf.UNSUPPORTED("""COMPUTED_VALUE"""),44960.4614699074)</f>
        <v>44960.461469907401</v>
      </c>
      <c r="I665" s="3">
        <f ca="1">IFERROR(__xludf.UNSUPPORTED("""COMPUTED_VALUE"""),24)</f>
        <v>24</v>
      </c>
      <c r="J665" s="4">
        <f ca="1">IFERROR(__xludf.UNSUPPORTED("""COMPUTED_VALUE"""),44961.4614699074)</f>
        <v>44961.461469907401</v>
      </c>
      <c r="L665" s="3" t="str">
        <f ca="1">IFERROR(__xludf.UNSUPPORTED("""COMPUTED_VALUE"""),"Normalidade")</f>
        <v>Normalidade</v>
      </c>
    </row>
    <row r="666" spans="1:12" ht="12.75">
      <c r="A666" s="3" t="str">
        <f ca="1">IFERROR(__xludf.UNSUPPORTED("""COMPUTED_VALUE"""),"5c631b6d")</f>
        <v>5c631b6d</v>
      </c>
      <c r="B666" s="4">
        <f ca="1">IFERROR(__xludf.UNSUPPORTED("""COMPUTED_VALUE"""),44962.4209027777)</f>
        <v>44962.420902777703</v>
      </c>
      <c r="C666" s="8" t="str">
        <f ca="1">IFERROR(__xludf.UNSUPPORTED("""COMPUTED_VALUE"""),"Ilhéus")</f>
        <v>Ilhéus</v>
      </c>
      <c r="D666" s="3" t="str">
        <f ca="1">IFERROR(__xludf.UNSUPPORTED("""COMPUTED_VALUE"""),"🚢 REGULAR")</f>
        <v>🚢 REGULAR</v>
      </c>
      <c r="E666" s="3" t="str">
        <f ca="1">IFERROR(__xludf.UNSUPPORTED("""COMPUTED_VALUE"""),"🚛 LIBERADO")</f>
        <v>🚛 LIBERADO</v>
      </c>
      <c r="F666" s="5">
        <f ca="1">IFERROR(__xludf.UNSUPPORTED("""COMPUTED_VALUE"""),0)</f>
        <v>0</v>
      </c>
      <c r="G666" s="3" t="str">
        <f ca="1">IFERROR(__xludf.UNSUPPORTED("""COMPUTED_VALUE"""),"Normalidade")</f>
        <v>Normalidade</v>
      </c>
      <c r="H666" s="4">
        <f ca="1">IFERROR(__xludf.UNSUPPORTED("""COMPUTED_VALUE"""),44962.4209027777)</f>
        <v>44962.420902777703</v>
      </c>
      <c r="I666" s="3">
        <f ca="1">IFERROR(__xludf.UNSUPPORTED("""COMPUTED_VALUE"""),24)</f>
        <v>24</v>
      </c>
      <c r="J666" s="4">
        <f ca="1">IFERROR(__xludf.UNSUPPORTED("""COMPUTED_VALUE"""),44963.4209027777)</f>
        <v>44963.420902777703</v>
      </c>
      <c r="L666" s="3" t="str">
        <f ca="1">IFERROR(__xludf.UNSUPPORTED("""COMPUTED_VALUE"""),"Normalidade")</f>
        <v>Normalidade</v>
      </c>
    </row>
    <row r="667" spans="1:12" ht="12.75">
      <c r="A667" s="3" t="str">
        <f ca="1">IFERROR(__xludf.UNSUPPORTED("""COMPUTED_VALUE"""),"aeab1d02")</f>
        <v>aeab1d02</v>
      </c>
      <c r="B667" s="4">
        <f ca="1">IFERROR(__xludf.UNSUPPORTED("""COMPUTED_VALUE"""),44963.4961805555)</f>
        <v>44963.496180555499</v>
      </c>
      <c r="C667" s="7" t="str">
        <f ca="1">IFERROR(__xludf.UNSUPPORTED("""COMPUTED_VALUE"""),"Ilhéus")</f>
        <v>Ilhéus</v>
      </c>
      <c r="D667" s="3" t="str">
        <f ca="1">IFERROR(__xludf.UNSUPPORTED("""COMPUTED_VALUE"""),"🚢 REGULAR")</f>
        <v>🚢 REGULAR</v>
      </c>
      <c r="E667" s="3" t="str">
        <f ca="1">IFERROR(__xludf.UNSUPPORTED("""COMPUTED_VALUE"""),"🚛 LIBERADO")</f>
        <v>🚛 LIBERADO</v>
      </c>
      <c r="F667" s="5">
        <f ca="1">IFERROR(__xludf.UNSUPPORTED("""COMPUTED_VALUE"""),0)</f>
        <v>0</v>
      </c>
      <c r="G667" s="3" t="str">
        <f ca="1">IFERROR(__xludf.UNSUPPORTED("""COMPUTED_VALUE"""),"Normalidade")</f>
        <v>Normalidade</v>
      </c>
      <c r="H667" s="4">
        <f ca="1">IFERROR(__xludf.UNSUPPORTED("""COMPUTED_VALUE"""),44963.4961805555)</f>
        <v>44963.496180555499</v>
      </c>
      <c r="I667" s="3">
        <f ca="1">IFERROR(__xludf.UNSUPPORTED("""COMPUTED_VALUE"""),24)</f>
        <v>24</v>
      </c>
      <c r="J667" s="4">
        <f ca="1">IFERROR(__xludf.UNSUPPORTED("""COMPUTED_VALUE"""),44964.4961805555)</f>
        <v>44964.496180555499</v>
      </c>
      <c r="L667" s="3" t="str">
        <f ca="1">IFERROR(__xludf.UNSUPPORTED("""COMPUTED_VALUE"""),"Normalidade")</f>
        <v>Normalidade</v>
      </c>
    </row>
    <row r="668" spans="1:12" ht="12.75">
      <c r="A668" s="3" t="str">
        <f ca="1">IFERROR(__xludf.UNSUPPORTED("""COMPUTED_VALUE"""),"132014ec")</f>
        <v>132014ec</v>
      </c>
      <c r="B668" s="4">
        <f ca="1">IFERROR(__xludf.UNSUPPORTED("""COMPUTED_VALUE"""),44964.4450810185)</f>
        <v>44964.445081018501</v>
      </c>
      <c r="C668" s="7" t="str">
        <f ca="1">IFERROR(__xludf.UNSUPPORTED("""COMPUTED_VALUE"""),"Ilhéus")</f>
        <v>Ilhéus</v>
      </c>
      <c r="D668" s="3" t="str">
        <f ca="1">IFERROR(__xludf.UNSUPPORTED("""COMPUTED_VALUE"""),"🚢 REGULAR")</f>
        <v>🚢 REGULAR</v>
      </c>
      <c r="E668" s="3" t="str">
        <f ca="1">IFERROR(__xludf.UNSUPPORTED("""COMPUTED_VALUE"""),"🚛 LIBERADO")</f>
        <v>🚛 LIBERADO</v>
      </c>
      <c r="F668" s="5">
        <f ca="1">IFERROR(__xludf.UNSUPPORTED("""COMPUTED_VALUE"""),0)</f>
        <v>0</v>
      </c>
      <c r="G668" s="3" t="str">
        <f ca="1">IFERROR(__xludf.UNSUPPORTED("""COMPUTED_VALUE"""),"Normalidade")</f>
        <v>Normalidade</v>
      </c>
      <c r="H668" s="4">
        <f ca="1">IFERROR(__xludf.UNSUPPORTED("""COMPUTED_VALUE"""),44964.4450810185)</f>
        <v>44964.445081018501</v>
      </c>
      <c r="I668" s="3">
        <f ca="1">IFERROR(__xludf.UNSUPPORTED("""COMPUTED_VALUE"""),24)</f>
        <v>24</v>
      </c>
      <c r="J668" s="4">
        <f ca="1">IFERROR(__xludf.UNSUPPORTED("""COMPUTED_VALUE"""),44965.4450810185)</f>
        <v>44965.445081018501</v>
      </c>
      <c r="L668" s="3" t="str">
        <f ca="1">IFERROR(__xludf.UNSUPPORTED("""COMPUTED_VALUE"""),"Normalidade")</f>
        <v>Normalidade</v>
      </c>
    </row>
    <row r="669" spans="1:12" ht="12.75">
      <c r="A669" s="3" t="str">
        <f ca="1">IFERROR(__xludf.UNSUPPORTED("""COMPUTED_VALUE"""),"ead1d2c7")</f>
        <v>ead1d2c7</v>
      </c>
      <c r="B669" s="4">
        <f ca="1">IFERROR(__xludf.UNSUPPORTED("""COMPUTED_VALUE"""),44965.5203703703)</f>
        <v>44965.520370370301</v>
      </c>
      <c r="C669" s="7" t="str">
        <f ca="1">IFERROR(__xludf.UNSUPPORTED("""COMPUTED_VALUE"""),"Ilhéus")</f>
        <v>Ilhéus</v>
      </c>
      <c r="D669" s="3" t="str">
        <f ca="1">IFERROR(__xludf.UNSUPPORTED("""COMPUTED_VALUE"""),"🚢 REGULAR")</f>
        <v>🚢 REGULAR</v>
      </c>
      <c r="E669" s="3" t="str">
        <f ca="1">IFERROR(__xludf.UNSUPPORTED("""COMPUTED_VALUE"""),"🚛 LIBERADO")</f>
        <v>🚛 LIBERADO</v>
      </c>
      <c r="F669" s="5">
        <f ca="1">IFERROR(__xludf.UNSUPPORTED("""COMPUTED_VALUE"""),0)</f>
        <v>0</v>
      </c>
      <c r="G669" s="3" t="str">
        <f ca="1">IFERROR(__xludf.UNSUPPORTED("""COMPUTED_VALUE"""),"Normalidade")</f>
        <v>Normalidade</v>
      </c>
      <c r="H669" s="4">
        <f ca="1">IFERROR(__xludf.UNSUPPORTED("""COMPUTED_VALUE"""),44965.5203703703)</f>
        <v>44965.520370370301</v>
      </c>
      <c r="I669" s="3">
        <f ca="1">IFERROR(__xludf.UNSUPPORTED("""COMPUTED_VALUE"""),24)</f>
        <v>24</v>
      </c>
      <c r="J669" s="4">
        <f ca="1">IFERROR(__xludf.UNSUPPORTED("""COMPUTED_VALUE"""),44966.5203703703)</f>
        <v>44966.520370370301</v>
      </c>
      <c r="L669" s="3" t="str">
        <f ca="1">IFERROR(__xludf.UNSUPPORTED("""COMPUTED_VALUE"""),"Normalidade")</f>
        <v>Normalidade</v>
      </c>
    </row>
    <row r="670" spans="1:12" ht="12.75">
      <c r="A670" s="3" t="str">
        <f ca="1">IFERROR(__xludf.UNSUPPORTED("""COMPUTED_VALUE"""),"ff9697e2")</f>
        <v>ff9697e2</v>
      </c>
      <c r="B670" s="4">
        <f ca="1">IFERROR(__xludf.UNSUPPORTED("""COMPUTED_VALUE"""),44967.40375)</f>
        <v>44967.403749999998</v>
      </c>
      <c r="C670" s="7" t="str">
        <f ca="1">IFERROR(__xludf.UNSUPPORTED("""COMPUTED_VALUE"""),"Ilhéus")</f>
        <v>Ilhéus</v>
      </c>
      <c r="D670" s="3" t="str">
        <f ca="1">IFERROR(__xludf.UNSUPPORTED("""COMPUTED_VALUE"""),"🚢 REGULAR")</f>
        <v>🚢 REGULAR</v>
      </c>
      <c r="E670" s="3" t="str">
        <f ca="1">IFERROR(__xludf.UNSUPPORTED("""COMPUTED_VALUE"""),"🚛 LIBERADO")</f>
        <v>🚛 LIBERADO</v>
      </c>
      <c r="F670" s="5">
        <f ca="1">IFERROR(__xludf.UNSUPPORTED("""COMPUTED_VALUE"""),0)</f>
        <v>0</v>
      </c>
      <c r="G670" s="3" t="str">
        <f ca="1">IFERROR(__xludf.UNSUPPORTED("""COMPUTED_VALUE"""),"Normalidade")</f>
        <v>Normalidade</v>
      </c>
      <c r="H670" s="4">
        <f ca="1">IFERROR(__xludf.UNSUPPORTED("""COMPUTED_VALUE"""),44967.40375)</f>
        <v>44967.403749999998</v>
      </c>
      <c r="I670" s="3">
        <f ca="1">IFERROR(__xludf.UNSUPPORTED("""COMPUTED_VALUE"""),24)</f>
        <v>24</v>
      </c>
      <c r="J670" s="4">
        <f ca="1">IFERROR(__xludf.UNSUPPORTED("""COMPUTED_VALUE"""),44968.40375)</f>
        <v>44968.403749999998</v>
      </c>
      <c r="L670" s="3" t="str">
        <f ca="1">IFERROR(__xludf.UNSUPPORTED("""COMPUTED_VALUE"""),"Normalidade")</f>
        <v>Normalidade</v>
      </c>
    </row>
    <row r="671" spans="1:12" ht="12.75">
      <c r="A671" s="3" t="str">
        <f ca="1">IFERROR(__xludf.UNSUPPORTED("""COMPUTED_VALUE"""),"f9cd07bd")</f>
        <v>f9cd07bd</v>
      </c>
      <c r="B671" s="4">
        <f ca="1">IFERROR(__xludf.UNSUPPORTED("""COMPUTED_VALUE"""),44970.3889351851)</f>
        <v>44970.388935185103</v>
      </c>
      <c r="C671" s="8" t="str">
        <f ca="1">IFERROR(__xludf.UNSUPPORTED("""COMPUTED_VALUE"""),"Ilhéus")</f>
        <v>Ilhéus</v>
      </c>
      <c r="D671" s="3" t="str">
        <f ca="1">IFERROR(__xludf.UNSUPPORTED("""COMPUTED_VALUE"""),"🚢 REGULAR")</f>
        <v>🚢 REGULAR</v>
      </c>
      <c r="E671" s="3" t="str">
        <f ca="1">IFERROR(__xludf.UNSUPPORTED("""COMPUTED_VALUE"""),"🚛 LIBERADO")</f>
        <v>🚛 LIBERADO</v>
      </c>
      <c r="F671" s="5">
        <f ca="1">IFERROR(__xludf.UNSUPPORTED("""COMPUTED_VALUE"""),0)</f>
        <v>0</v>
      </c>
      <c r="G671" s="3" t="str">
        <f ca="1">IFERROR(__xludf.UNSUPPORTED("""COMPUTED_VALUE"""),"Normalidade")</f>
        <v>Normalidade</v>
      </c>
      <c r="H671" s="4">
        <f ca="1">IFERROR(__xludf.UNSUPPORTED("""COMPUTED_VALUE"""),44970.3889351851)</f>
        <v>44970.388935185103</v>
      </c>
      <c r="I671" s="3">
        <f ca="1">IFERROR(__xludf.UNSUPPORTED("""COMPUTED_VALUE"""),24)</f>
        <v>24</v>
      </c>
      <c r="J671" s="4">
        <f ca="1">IFERROR(__xludf.UNSUPPORTED("""COMPUTED_VALUE"""),44971.3889351851)</f>
        <v>44971.388935185103</v>
      </c>
      <c r="L671" s="3" t="str">
        <f ca="1">IFERROR(__xludf.UNSUPPORTED("""COMPUTED_VALUE"""),"Normalidade")</f>
        <v>Normalidade</v>
      </c>
    </row>
    <row r="672" spans="1:12" ht="12.75">
      <c r="A672" s="3" t="str">
        <f ca="1">IFERROR(__xludf.UNSUPPORTED("""COMPUTED_VALUE"""),"a740105d")</f>
        <v>a740105d</v>
      </c>
      <c r="B672" s="4">
        <f ca="1">IFERROR(__xludf.UNSUPPORTED("""COMPUTED_VALUE"""),44972.4940625)</f>
        <v>44972.494062500002</v>
      </c>
      <c r="C672" s="8" t="str">
        <f ca="1">IFERROR(__xludf.UNSUPPORTED("""COMPUTED_VALUE"""),"Ilhéus")</f>
        <v>Ilhéus</v>
      </c>
      <c r="D672" s="3" t="str">
        <f ca="1">IFERROR(__xludf.UNSUPPORTED("""COMPUTED_VALUE"""),"🚢 REGULAR")</f>
        <v>🚢 REGULAR</v>
      </c>
      <c r="E672" s="3" t="str">
        <f ca="1">IFERROR(__xludf.UNSUPPORTED("""COMPUTED_VALUE"""),"🚛 LIBERADO")</f>
        <v>🚛 LIBERADO</v>
      </c>
      <c r="F672" s="5">
        <f ca="1">IFERROR(__xludf.UNSUPPORTED("""COMPUTED_VALUE"""),0)</f>
        <v>0</v>
      </c>
      <c r="G672" s="3" t="str">
        <f ca="1">IFERROR(__xludf.UNSUPPORTED("""COMPUTED_VALUE"""),"Normalidade")</f>
        <v>Normalidade</v>
      </c>
      <c r="H672" s="4">
        <f ca="1">IFERROR(__xludf.UNSUPPORTED("""COMPUTED_VALUE"""),44972.4940625)</f>
        <v>44972.494062500002</v>
      </c>
      <c r="I672" s="3">
        <f ca="1">IFERROR(__xludf.UNSUPPORTED("""COMPUTED_VALUE"""),24)</f>
        <v>24</v>
      </c>
      <c r="J672" s="4">
        <f ca="1">IFERROR(__xludf.UNSUPPORTED("""COMPUTED_VALUE"""),44973.4940625)</f>
        <v>44973.494062500002</v>
      </c>
      <c r="L672" s="3" t="str">
        <f ca="1">IFERROR(__xludf.UNSUPPORTED("""COMPUTED_VALUE"""),"Normalidade")</f>
        <v>Normalidade</v>
      </c>
    </row>
    <row r="673" spans="1:12" ht="12.75">
      <c r="A673" s="3" t="str">
        <f ca="1">IFERROR(__xludf.UNSUPPORTED("""COMPUTED_VALUE"""),"aaf55390")</f>
        <v>aaf55390</v>
      </c>
      <c r="B673" s="4">
        <f ca="1">IFERROR(__xludf.UNSUPPORTED("""COMPUTED_VALUE"""),44973.4244791666)</f>
        <v>44973.424479166599</v>
      </c>
      <c r="C673" s="8" t="str">
        <f ca="1">IFERROR(__xludf.UNSUPPORTED("""COMPUTED_VALUE"""),"Ilhéus")</f>
        <v>Ilhéus</v>
      </c>
      <c r="D673" s="3" t="str">
        <f ca="1">IFERROR(__xludf.UNSUPPORTED("""COMPUTED_VALUE"""),"🚢 REGULAR")</f>
        <v>🚢 REGULAR</v>
      </c>
      <c r="E673" s="3" t="str">
        <f ca="1">IFERROR(__xludf.UNSUPPORTED("""COMPUTED_VALUE"""),"🚛 LIBERADO")</f>
        <v>🚛 LIBERADO</v>
      </c>
      <c r="F673" s="5">
        <f ca="1">IFERROR(__xludf.UNSUPPORTED("""COMPUTED_VALUE"""),0)</f>
        <v>0</v>
      </c>
      <c r="G673" s="3" t="str">
        <f ca="1">IFERROR(__xludf.UNSUPPORTED("""COMPUTED_VALUE"""),"Normalidade")</f>
        <v>Normalidade</v>
      </c>
      <c r="H673" s="4">
        <f ca="1">IFERROR(__xludf.UNSUPPORTED("""COMPUTED_VALUE"""),44973.4244791666)</f>
        <v>44973.424479166599</v>
      </c>
      <c r="I673" s="3">
        <f ca="1">IFERROR(__xludf.UNSUPPORTED("""COMPUTED_VALUE"""),24)</f>
        <v>24</v>
      </c>
      <c r="J673" s="4">
        <f ca="1">IFERROR(__xludf.UNSUPPORTED("""COMPUTED_VALUE"""),44974.4244791666)</f>
        <v>44974.424479166599</v>
      </c>
      <c r="L673" s="3" t="str">
        <f ca="1">IFERROR(__xludf.UNSUPPORTED("""COMPUTED_VALUE"""),"Normalidade")</f>
        <v>Normalidade</v>
      </c>
    </row>
    <row r="674" spans="1:12" ht="12.75">
      <c r="A674" s="3" t="str">
        <f ca="1">IFERROR(__xludf.UNSUPPORTED("""COMPUTED_VALUE"""),"f7b40c03")</f>
        <v>f7b40c03</v>
      </c>
      <c r="B674" s="4">
        <f ca="1">IFERROR(__xludf.UNSUPPORTED("""COMPUTED_VALUE"""),44977.4304861111)</f>
        <v>44977.430486111101</v>
      </c>
      <c r="C674" s="7" t="str">
        <f ca="1">IFERROR(__xludf.UNSUPPORTED("""COMPUTED_VALUE"""),"Ilhéus")</f>
        <v>Ilhéus</v>
      </c>
      <c r="D674" s="3" t="str">
        <f ca="1">IFERROR(__xludf.UNSUPPORTED("""COMPUTED_VALUE"""),"🚢 REGULAR")</f>
        <v>🚢 REGULAR</v>
      </c>
      <c r="E674" s="3" t="str">
        <f ca="1">IFERROR(__xludf.UNSUPPORTED("""COMPUTED_VALUE"""),"🚛 LIBERADO")</f>
        <v>🚛 LIBERADO</v>
      </c>
      <c r="F674" s="5">
        <f ca="1">IFERROR(__xludf.UNSUPPORTED("""COMPUTED_VALUE"""),0)</f>
        <v>0</v>
      </c>
      <c r="G674" s="3" t="str">
        <f ca="1">IFERROR(__xludf.UNSUPPORTED("""COMPUTED_VALUE"""),"Normalidade")</f>
        <v>Normalidade</v>
      </c>
      <c r="H674" s="4">
        <f ca="1">IFERROR(__xludf.UNSUPPORTED("""COMPUTED_VALUE"""),44977.4304861111)</f>
        <v>44977.430486111101</v>
      </c>
      <c r="I674" s="3">
        <f ca="1">IFERROR(__xludf.UNSUPPORTED("""COMPUTED_VALUE"""),24)</f>
        <v>24</v>
      </c>
      <c r="J674" s="4">
        <f ca="1">IFERROR(__xludf.UNSUPPORTED("""COMPUTED_VALUE"""),44978.4304861111)</f>
        <v>44978.430486111101</v>
      </c>
      <c r="L674" s="3" t="str">
        <f ca="1">IFERROR(__xludf.UNSUPPORTED("""COMPUTED_VALUE"""),"Normalidade")</f>
        <v>Normalidade</v>
      </c>
    </row>
    <row r="675" spans="1:12" ht="12.75">
      <c r="A675" s="3" t="str">
        <f ca="1">IFERROR(__xludf.UNSUPPORTED("""COMPUTED_VALUE"""),"fc350799")</f>
        <v>fc350799</v>
      </c>
      <c r="B675" s="4">
        <f ca="1">IFERROR(__xludf.UNSUPPORTED("""COMPUTED_VALUE"""),44979.3138773148)</f>
        <v>44979.313877314802</v>
      </c>
      <c r="C675" s="7" t="str">
        <f ca="1">IFERROR(__xludf.UNSUPPORTED("""COMPUTED_VALUE"""),"Ilhéus")</f>
        <v>Ilhéus</v>
      </c>
      <c r="D675" s="3" t="str">
        <f ca="1">IFERROR(__xludf.UNSUPPORTED("""COMPUTED_VALUE"""),"🚢 REGULAR")</f>
        <v>🚢 REGULAR</v>
      </c>
      <c r="E675" s="3" t="str">
        <f ca="1">IFERROR(__xludf.UNSUPPORTED("""COMPUTED_VALUE"""),"🚛 LIBERADO")</f>
        <v>🚛 LIBERADO</v>
      </c>
      <c r="F675" s="5">
        <f ca="1">IFERROR(__xludf.UNSUPPORTED("""COMPUTED_VALUE"""),0)</f>
        <v>0</v>
      </c>
      <c r="G675" s="3" t="str">
        <f ca="1">IFERROR(__xludf.UNSUPPORTED("""COMPUTED_VALUE"""),"Normalidade")</f>
        <v>Normalidade</v>
      </c>
      <c r="H675" s="4">
        <f ca="1">IFERROR(__xludf.UNSUPPORTED("""COMPUTED_VALUE"""),44979.3138773148)</f>
        <v>44979.313877314802</v>
      </c>
      <c r="I675" s="3">
        <f ca="1">IFERROR(__xludf.UNSUPPORTED("""COMPUTED_VALUE"""),24)</f>
        <v>24</v>
      </c>
      <c r="J675" s="4">
        <f ca="1">IFERROR(__xludf.UNSUPPORTED("""COMPUTED_VALUE"""),44980.3138773148)</f>
        <v>44980.313877314802</v>
      </c>
      <c r="L675" s="3" t="str">
        <f ca="1">IFERROR(__xludf.UNSUPPORTED("""COMPUTED_VALUE"""),"Normalidade")</f>
        <v>Normalidade</v>
      </c>
    </row>
    <row r="676" spans="1:12" ht="12.75">
      <c r="A676" s="3" t="str">
        <f ca="1">IFERROR(__xludf.UNSUPPORTED("""COMPUTED_VALUE"""),"d0852dc5")</f>
        <v>d0852dc5</v>
      </c>
      <c r="B676" s="4">
        <f ca="1">IFERROR(__xludf.UNSUPPORTED("""COMPUTED_VALUE"""),44981.3122222222)</f>
        <v>44981.312222222201</v>
      </c>
      <c r="C676" s="8" t="str">
        <f ca="1">IFERROR(__xludf.UNSUPPORTED("""COMPUTED_VALUE"""),"Ilhéus")</f>
        <v>Ilhéus</v>
      </c>
      <c r="D676" s="3" t="str">
        <f ca="1">IFERROR(__xludf.UNSUPPORTED("""COMPUTED_VALUE"""),"🚢 REGULAR")</f>
        <v>🚢 REGULAR</v>
      </c>
      <c r="E676" s="3" t="str">
        <f ca="1">IFERROR(__xludf.UNSUPPORTED("""COMPUTED_VALUE"""),"🚛 LIBERADO")</f>
        <v>🚛 LIBERADO</v>
      </c>
      <c r="F676" s="5">
        <f ca="1">IFERROR(__xludf.UNSUPPORTED("""COMPUTED_VALUE"""),0)</f>
        <v>0</v>
      </c>
      <c r="G676" s="3" t="str">
        <f ca="1">IFERROR(__xludf.UNSUPPORTED("""COMPUTED_VALUE"""),"Normalidade")</f>
        <v>Normalidade</v>
      </c>
      <c r="H676" s="4">
        <f ca="1">IFERROR(__xludf.UNSUPPORTED("""COMPUTED_VALUE"""),44981.3122222222)</f>
        <v>44981.312222222201</v>
      </c>
      <c r="I676" s="3">
        <f ca="1">IFERROR(__xludf.UNSUPPORTED("""COMPUTED_VALUE"""),24)</f>
        <v>24</v>
      </c>
      <c r="J676" s="4">
        <f ca="1">IFERROR(__xludf.UNSUPPORTED("""COMPUTED_VALUE"""),44982.3122222222)</f>
        <v>44982.312222222201</v>
      </c>
      <c r="L676" s="3" t="str">
        <f ca="1">IFERROR(__xludf.UNSUPPORTED("""COMPUTED_VALUE"""),"Normalidade")</f>
        <v>Normalidade</v>
      </c>
    </row>
    <row r="677" spans="1:12" ht="12.75">
      <c r="A677" s="3" t="str">
        <f ca="1">IFERROR(__xludf.UNSUPPORTED("""COMPUTED_VALUE"""),"934d35a7")</f>
        <v>934d35a7</v>
      </c>
      <c r="B677" s="4">
        <f ca="1">IFERROR(__xludf.UNSUPPORTED("""COMPUTED_VALUE"""),44984.4143055555)</f>
        <v>44984.414305555503</v>
      </c>
      <c r="C677" s="8" t="str">
        <f ca="1">IFERROR(__xludf.UNSUPPORTED("""COMPUTED_VALUE"""),"Ilhéus")</f>
        <v>Ilhéus</v>
      </c>
      <c r="D677" s="3" t="str">
        <f ca="1">IFERROR(__xludf.UNSUPPORTED("""COMPUTED_VALUE"""),"🚢 REGULAR")</f>
        <v>🚢 REGULAR</v>
      </c>
      <c r="E677" s="3" t="str">
        <f ca="1">IFERROR(__xludf.UNSUPPORTED("""COMPUTED_VALUE"""),"🚛 LIBERADO")</f>
        <v>🚛 LIBERADO</v>
      </c>
      <c r="F677" s="5">
        <f ca="1">IFERROR(__xludf.UNSUPPORTED("""COMPUTED_VALUE"""),0)</f>
        <v>0</v>
      </c>
      <c r="G677" s="3" t="str">
        <f ca="1">IFERROR(__xludf.UNSUPPORTED("""COMPUTED_VALUE"""),"Normalidade")</f>
        <v>Normalidade</v>
      </c>
      <c r="H677" s="4">
        <f ca="1">IFERROR(__xludf.UNSUPPORTED("""COMPUTED_VALUE"""),44984.4143055555)</f>
        <v>44984.414305555503</v>
      </c>
      <c r="I677" s="3">
        <f ca="1">IFERROR(__xludf.UNSUPPORTED("""COMPUTED_VALUE"""),24)</f>
        <v>24</v>
      </c>
      <c r="J677" s="4">
        <f ca="1">IFERROR(__xludf.UNSUPPORTED("""COMPUTED_VALUE"""),44985.4143055555)</f>
        <v>44985.414305555503</v>
      </c>
      <c r="L677" s="3" t="str">
        <f ca="1">IFERROR(__xludf.UNSUPPORTED("""COMPUTED_VALUE"""),"Normalidade")</f>
        <v>Normalidade</v>
      </c>
    </row>
    <row r="678" spans="1:12" ht="12.75">
      <c r="A678" s="3" t="str">
        <f ca="1">IFERROR(__xludf.UNSUPPORTED("""COMPUTED_VALUE"""),"20e5b583")</f>
        <v>20e5b583</v>
      </c>
      <c r="B678" s="4">
        <f ca="1">IFERROR(__xludf.UNSUPPORTED("""COMPUTED_VALUE"""),44985.3853703703)</f>
        <v>44985.385370370299</v>
      </c>
      <c r="C678" s="8" t="str">
        <f ca="1">IFERROR(__xludf.UNSUPPORTED("""COMPUTED_VALUE"""),"Ilhéus")</f>
        <v>Ilhéus</v>
      </c>
      <c r="D678" s="3" t="str">
        <f ca="1">IFERROR(__xludf.UNSUPPORTED("""COMPUTED_VALUE"""),"🚢 REGULAR")</f>
        <v>🚢 REGULAR</v>
      </c>
      <c r="E678" s="3" t="str">
        <f ca="1">IFERROR(__xludf.UNSUPPORTED("""COMPUTED_VALUE"""),"🚛 LIBERADO")</f>
        <v>🚛 LIBERADO</v>
      </c>
      <c r="F678" s="5">
        <f ca="1">IFERROR(__xludf.UNSUPPORTED("""COMPUTED_VALUE"""),0)</f>
        <v>0</v>
      </c>
      <c r="G678" s="3" t="str">
        <f ca="1">IFERROR(__xludf.UNSUPPORTED("""COMPUTED_VALUE"""),"Normalidade")</f>
        <v>Normalidade</v>
      </c>
      <c r="H678" s="4">
        <f ca="1">IFERROR(__xludf.UNSUPPORTED("""COMPUTED_VALUE"""),44985.3853703703)</f>
        <v>44985.385370370299</v>
      </c>
      <c r="I678" s="3">
        <f ca="1">IFERROR(__xludf.UNSUPPORTED("""COMPUTED_VALUE"""),24)</f>
        <v>24</v>
      </c>
      <c r="J678" s="4">
        <f ca="1">IFERROR(__xludf.UNSUPPORTED("""COMPUTED_VALUE"""),44986.3853703703)</f>
        <v>44986.385370370299</v>
      </c>
      <c r="L678" s="3" t="str">
        <f ca="1">IFERROR(__xludf.UNSUPPORTED("""COMPUTED_VALUE"""),"Normalidade")</f>
        <v>Normalidade</v>
      </c>
    </row>
    <row r="679" spans="1:12" ht="12.75">
      <c r="A679" s="3" t="str">
        <f ca="1">IFERROR(__xludf.UNSUPPORTED("""COMPUTED_VALUE"""),"804167ad")</f>
        <v>804167ad</v>
      </c>
      <c r="B679" s="4">
        <f ca="1">IFERROR(__xludf.UNSUPPORTED("""COMPUTED_VALUE"""),44988.6130555555)</f>
        <v>44988.613055555499</v>
      </c>
      <c r="C679" s="8" t="str">
        <f ca="1">IFERROR(__xludf.UNSUPPORTED("""COMPUTED_VALUE"""),"Ilhéus")</f>
        <v>Ilhéus</v>
      </c>
      <c r="D679" s="3" t="str">
        <f ca="1">IFERROR(__xludf.UNSUPPORTED("""COMPUTED_VALUE"""),"🚢 REGULAR")</f>
        <v>🚢 REGULAR</v>
      </c>
      <c r="E679" s="3" t="str">
        <f ca="1">IFERROR(__xludf.UNSUPPORTED("""COMPUTED_VALUE"""),"🚛 LIBERADO")</f>
        <v>🚛 LIBERADO</v>
      </c>
      <c r="F679" s="5">
        <f ca="1">IFERROR(__xludf.UNSUPPORTED("""COMPUTED_VALUE"""),0)</f>
        <v>0</v>
      </c>
      <c r="G679" s="3" t="str">
        <f ca="1">IFERROR(__xludf.UNSUPPORTED("""COMPUTED_VALUE"""),"Normalidade")</f>
        <v>Normalidade</v>
      </c>
      <c r="H679" s="4">
        <f ca="1">IFERROR(__xludf.UNSUPPORTED("""COMPUTED_VALUE"""),44988.6130555555)</f>
        <v>44988.613055555499</v>
      </c>
      <c r="I679" s="3">
        <f ca="1">IFERROR(__xludf.UNSUPPORTED("""COMPUTED_VALUE"""),24)</f>
        <v>24</v>
      </c>
      <c r="J679" s="4">
        <f ca="1">IFERROR(__xludf.UNSUPPORTED("""COMPUTED_VALUE"""),44989.6130555555)</f>
        <v>44989.613055555499</v>
      </c>
      <c r="L679" s="3" t="str">
        <f ca="1">IFERROR(__xludf.UNSUPPORTED("""COMPUTED_VALUE"""),"Normalidade")</f>
        <v>Normalidade</v>
      </c>
    </row>
    <row r="680" spans="1:12" ht="12.75">
      <c r="A680" s="3" t="str">
        <f ca="1">IFERROR(__xludf.UNSUPPORTED("""COMPUTED_VALUE"""),"7e8524db")</f>
        <v>7e8524db</v>
      </c>
      <c r="B680" s="4">
        <f ca="1">IFERROR(__xludf.UNSUPPORTED("""COMPUTED_VALUE"""),44993.5944907407)</f>
        <v>44993.594490740703</v>
      </c>
      <c r="C680" s="7" t="str">
        <f ca="1">IFERROR(__xludf.UNSUPPORTED("""COMPUTED_VALUE"""),"Ilhéus")</f>
        <v>Ilhéus</v>
      </c>
      <c r="D680" s="3" t="str">
        <f ca="1">IFERROR(__xludf.UNSUPPORTED("""COMPUTED_VALUE"""),"🚢 REGULAR")</f>
        <v>🚢 REGULAR</v>
      </c>
      <c r="E680" s="3" t="str">
        <f ca="1">IFERROR(__xludf.UNSUPPORTED("""COMPUTED_VALUE"""),"🚛 LIBERADO")</f>
        <v>🚛 LIBERADO</v>
      </c>
      <c r="F680" s="5">
        <f ca="1">IFERROR(__xludf.UNSUPPORTED("""COMPUTED_VALUE"""),0)</f>
        <v>0</v>
      </c>
      <c r="G680" s="3" t="str">
        <f ca="1">IFERROR(__xludf.UNSUPPORTED("""COMPUTED_VALUE"""),"Normalidade")</f>
        <v>Normalidade</v>
      </c>
      <c r="H680" s="4">
        <f ca="1">IFERROR(__xludf.UNSUPPORTED("""COMPUTED_VALUE"""),44993.5944907407)</f>
        <v>44993.594490740703</v>
      </c>
      <c r="I680" s="3">
        <f ca="1">IFERROR(__xludf.UNSUPPORTED("""COMPUTED_VALUE"""),24)</f>
        <v>24</v>
      </c>
      <c r="J680" s="4">
        <f ca="1">IFERROR(__xludf.UNSUPPORTED("""COMPUTED_VALUE"""),44994.5944907407)</f>
        <v>44994.594490740703</v>
      </c>
      <c r="L680" s="3" t="str">
        <f ca="1">IFERROR(__xludf.UNSUPPORTED("""COMPUTED_VALUE"""),"Normalidade")</f>
        <v>Normalidade</v>
      </c>
    </row>
    <row r="681" spans="1:12" ht="12.75">
      <c r="A681" s="3" t="str">
        <f ca="1">IFERROR(__xludf.UNSUPPORTED("""COMPUTED_VALUE"""),"6a77b8f3")</f>
        <v>6a77b8f3</v>
      </c>
      <c r="B681" s="4">
        <f ca="1">IFERROR(__xludf.UNSUPPORTED("""COMPUTED_VALUE"""),44995.3773726851)</f>
        <v>44995.3773726851</v>
      </c>
      <c r="C681" s="7" t="str">
        <f ca="1">IFERROR(__xludf.UNSUPPORTED("""COMPUTED_VALUE"""),"Ilhéus")</f>
        <v>Ilhéus</v>
      </c>
      <c r="D681" s="3" t="str">
        <f ca="1">IFERROR(__xludf.UNSUPPORTED("""COMPUTED_VALUE"""),"🚢 REGULAR")</f>
        <v>🚢 REGULAR</v>
      </c>
      <c r="E681" s="3" t="str">
        <f ca="1">IFERROR(__xludf.UNSUPPORTED("""COMPUTED_VALUE"""),"🚛 LIBERADO")</f>
        <v>🚛 LIBERADO</v>
      </c>
      <c r="F681" s="5">
        <f ca="1">IFERROR(__xludf.UNSUPPORTED("""COMPUTED_VALUE"""),0)</f>
        <v>0</v>
      </c>
      <c r="G681" s="3" t="str">
        <f ca="1">IFERROR(__xludf.UNSUPPORTED("""COMPUTED_VALUE"""),"Normalidade")</f>
        <v>Normalidade</v>
      </c>
      <c r="H681" s="4">
        <f ca="1">IFERROR(__xludf.UNSUPPORTED("""COMPUTED_VALUE"""),44995.3773726851)</f>
        <v>44995.3773726851</v>
      </c>
      <c r="I681" s="3">
        <f ca="1">IFERROR(__xludf.UNSUPPORTED("""COMPUTED_VALUE"""),24)</f>
        <v>24</v>
      </c>
      <c r="J681" s="4">
        <f ca="1">IFERROR(__xludf.UNSUPPORTED("""COMPUTED_VALUE"""),44996.3773726851)</f>
        <v>44996.3773726851</v>
      </c>
      <c r="L681" s="3" t="str">
        <f ca="1">IFERROR(__xludf.UNSUPPORTED("""COMPUTED_VALUE"""),"Normalidade")</f>
        <v>Normalidade</v>
      </c>
    </row>
    <row r="682" spans="1:12" ht="12.75">
      <c r="A682" s="3" t="str">
        <f ca="1">IFERROR(__xludf.UNSUPPORTED("""COMPUTED_VALUE"""),"10fbbce7")</f>
        <v>10fbbce7</v>
      </c>
      <c r="B682" s="4">
        <f ca="1">IFERROR(__xludf.UNSUPPORTED("""COMPUTED_VALUE"""),44998.3547569444)</f>
        <v>44998.354756944398</v>
      </c>
      <c r="C682" s="7" t="str">
        <f ca="1">IFERROR(__xludf.UNSUPPORTED("""COMPUTED_VALUE"""),"Ilhéus")</f>
        <v>Ilhéus</v>
      </c>
      <c r="D682" s="3" t="str">
        <f ca="1">IFERROR(__xludf.UNSUPPORTED("""COMPUTED_VALUE"""),"🚢 REGULAR")</f>
        <v>🚢 REGULAR</v>
      </c>
      <c r="E682" s="3" t="str">
        <f ca="1">IFERROR(__xludf.UNSUPPORTED("""COMPUTED_VALUE"""),"🚛 LIBERADO")</f>
        <v>🚛 LIBERADO</v>
      </c>
      <c r="F682" s="5">
        <f ca="1">IFERROR(__xludf.UNSUPPORTED("""COMPUTED_VALUE"""),0)</f>
        <v>0</v>
      </c>
      <c r="G682" s="3" t="str">
        <f ca="1">IFERROR(__xludf.UNSUPPORTED("""COMPUTED_VALUE"""),"Normalidade")</f>
        <v>Normalidade</v>
      </c>
      <c r="H682" s="4">
        <f ca="1">IFERROR(__xludf.UNSUPPORTED("""COMPUTED_VALUE"""),44998.3547569444)</f>
        <v>44998.354756944398</v>
      </c>
      <c r="I682" s="3">
        <f ca="1">IFERROR(__xludf.UNSUPPORTED("""COMPUTED_VALUE"""),24)</f>
        <v>24</v>
      </c>
      <c r="J682" s="4">
        <f ca="1">IFERROR(__xludf.UNSUPPORTED("""COMPUTED_VALUE"""),44999.3547569444)</f>
        <v>44999.354756944398</v>
      </c>
      <c r="L682" s="3" t="str">
        <f ca="1">IFERROR(__xludf.UNSUPPORTED("""COMPUTED_VALUE"""),"Normalidade")</f>
        <v>Normalidade</v>
      </c>
    </row>
    <row r="683" spans="1:12" ht="12.75">
      <c r="A683" s="3" t="str">
        <f ca="1">IFERROR(__xludf.UNSUPPORTED("""COMPUTED_VALUE"""),"dbdf678b")</f>
        <v>dbdf678b</v>
      </c>
      <c r="B683" s="4">
        <f ca="1">IFERROR(__xludf.UNSUPPORTED("""COMPUTED_VALUE"""),45000.5083333333)</f>
        <v>45000.508333333302</v>
      </c>
      <c r="C683" s="7" t="str">
        <f ca="1">IFERROR(__xludf.UNSUPPORTED("""COMPUTED_VALUE"""),"Ilhéus")</f>
        <v>Ilhéus</v>
      </c>
      <c r="D683" s="3" t="str">
        <f ca="1">IFERROR(__xludf.UNSUPPORTED("""COMPUTED_VALUE"""),"🚢 REGULAR")</f>
        <v>🚢 REGULAR</v>
      </c>
      <c r="E683" s="3" t="str">
        <f ca="1">IFERROR(__xludf.UNSUPPORTED("""COMPUTED_VALUE"""),"🚛 LIBERADO")</f>
        <v>🚛 LIBERADO</v>
      </c>
      <c r="F683" s="5">
        <f ca="1">IFERROR(__xludf.UNSUPPORTED("""COMPUTED_VALUE"""),0)</f>
        <v>0</v>
      </c>
      <c r="G683" s="3" t="str">
        <f ca="1">IFERROR(__xludf.UNSUPPORTED("""COMPUTED_VALUE"""),"Normalidade")</f>
        <v>Normalidade</v>
      </c>
      <c r="H683" s="4">
        <f ca="1">IFERROR(__xludf.UNSUPPORTED("""COMPUTED_VALUE"""),45000.5083333333)</f>
        <v>45000.508333333302</v>
      </c>
      <c r="I683" s="3">
        <f ca="1">IFERROR(__xludf.UNSUPPORTED("""COMPUTED_VALUE"""),24)</f>
        <v>24</v>
      </c>
      <c r="J683" s="4">
        <f ca="1">IFERROR(__xludf.UNSUPPORTED("""COMPUTED_VALUE"""),45001.5083333333)</f>
        <v>45001.508333333302</v>
      </c>
      <c r="L683" s="3" t="str">
        <f ca="1">IFERROR(__xludf.UNSUPPORTED("""COMPUTED_VALUE"""),"Normalidade")</f>
        <v>Normalidade</v>
      </c>
    </row>
    <row r="684" spans="1:12" ht="12.75">
      <c r="A684" s="3" t="str">
        <f ca="1">IFERROR(__xludf.UNSUPPORTED("""COMPUTED_VALUE"""),"c44cb495")</f>
        <v>c44cb495</v>
      </c>
      <c r="B684" s="4">
        <f ca="1">IFERROR(__xludf.UNSUPPORTED("""COMPUTED_VALUE"""),45006.5181828703)</f>
        <v>45006.518182870299</v>
      </c>
      <c r="C684" s="7" t="str">
        <f ca="1">IFERROR(__xludf.UNSUPPORTED("""COMPUTED_VALUE"""),"Ilhéus")</f>
        <v>Ilhéus</v>
      </c>
      <c r="D684" s="3" t="str">
        <f ca="1">IFERROR(__xludf.UNSUPPORTED("""COMPUTED_VALUE"""),"🚢 REGULAR")</f>
        <v>🚢 REGULAR</v>
      </c>
      <c r="E684" s="3" t="str">
        <f ca="1">IFERROR(__xludf.UNSUPPORTED("""COMPUTED_VALUE"""),"🚛 LIBERADO")</f>
        <v>🚛 LIBERADO</v>
      </c>
      <c r="F684" s="5">
        <f ca="1">IFERROR(__xludf.UNSUPPORTED("""COMPUTED_VALUE"""),0)</f>
        <v>0</v>
      </c>
      <c r="G684" s="3" t="str">
        <f ca="1">IFERROR(__xludf.UNSUPPORTED("""COMPUTED_VALUE"""),"Normalidade")</f>
        <v>Normalidade</v>
      </c>
      <c r="H684" s="4">
        <f ca="1">IFERROR(__xludf.UNSUPPORTED("""COMPUTED_VALUE"""),45006.5181828703)</f>
        <v>45006.518182870299</v>
      </c>
      <c r="I684" s="3">
        <f ca="1">IFERROR(__xludf.UNSUPPORTED("""COMPUTED_VALUE"""),24)</f>
        <v>24</v>
      </c>
      <c r="J684" s="4">
        <f ca="1">IFERROR(__xludf.UNSUPPORTED("""COMPUTED_VALUE"""),45007.5181828703)</f>
        <v>45007.518182870299</v>
      </c>
      <c r="L684" s="3" t="str">
        <f ca="1">IFERROR(__xludf.UNSUPPORTED("""COMPUTED_VALUE"""),"Normalidade")</f>
        <v>Normalidade</v>
      </c>
    </row>
    <row r="685" spans="1:12" ht="12.75">
      <c r="A685" s="3" t="str">
        <f ca="1">IFERROR(__xludf.UNSUPPORTED("""COMPUTED_VALUE"""),"1227b26d")</f>
        <v>1227b26d</v>
      </c>
      <c r="B685" s="4">
        <f ca="1">IFERROR(__xludf.UNSUPPORTED("""COMPUTED_VALUE"""),45008.3683101851)</f>
        <v>45008.368310185098</v>
      </c>
      <c r="C685" s="7" t="str">
        <f ca="1">IFERROR(__xludf.UNSUPPORTED("""COMPUTED_VALUE"""),"Ilhéus")</f>
        <v>Ilhéus</v>
      </c>
      <c r="D685" s="3" t="str">
        <f ca="1">IFERROR(__xludf.UNSUPPORTED("""COMPUTED_VALUE"""),"🚢 REGULAR")</f>
        <v>🚢 REGULAR</v>
      </c>
      <c r="E685" s="3" t="str">
        <f ca="1">IFERROR(__xludf.UNSUPPORTED("""COMPUTED_VALUE"""),"🚛 LIBERADO")</f>
        <v>🚛 LIBERADO</v>
      </c>
      <c r="F685" s="5">
        <f ca="1">IFERROR(__xludf.UNSUPPORTED("""COMPUTED_VALUE"""),0)</f>
        <v>0</v>
      </c>
      <c r="G685" s="3" t="str">
        <f ca="1">IFERROR(__xludf.UNSUPPORTED("""COMPUTED_VALUE"""),"Normalidade")</f>
        <v>Normalidade</v>
      </c>
      <c r="H685" s="4">
        <f ca="1">IFERROR(__xludf.UNSUPPORTED("""COMPUTED_VALUE"""),45008.3683101851)</f>
        <v>45008.368310185098</v>
      </c>
      <c r="I685" s="3">
        <f ca="1">IFERROR(__xludf.UNSUPPORTED("""COMPUTED_VALUE"""),24)</f>
        <v>24</v>
      </c>
      <c r="J685" s="4">
        <f ca="1">IFERROR(__xludf.UNSUPPORTED("""COMPUTED_VALUE"""),45009.3683101851)</f>
        <v>45009.368310185098</v>
      </c>
      <c r="L685" s="3" t="str">
        <f ca="1">IFERROR(__xludf.UNSUPPORTED("""COMPUTED_VALUE"""),"Normalidade")</f>
        <v>Normalidade</v>
      </c>
    </row>
    <row r="686" spans="1:12" ht="12.75">
      <c r="A686" s="3" t="str">
        <f ca="1">IFERROR(__xludf.UNSUPPORTED("""COMPUTED_VALUE"""),"9bd0c282")</f>
        <v>9bd0c282</v>
      </c>
      <c r="B686" s="4">
        <f ca="1">IFERROR(__xludf.UNSUPPORTED("""COMPUTED_VALUE"""),45012.3735648148)</f>
        <v>45012.373564814799</v>
      </c>
      <c r="C686" s="8" t="str">
        <f ca="1">IFERROR(__xludf.UNSUPPORTED("""COMPUTED_VALUE"""),"Ilhéus")</f>
        <v>Ilhéus</v>
      </c>
      <c r="D686" s="3" t="str">
        <f ca="1">IFERROR(__xludf.UNSUPPORTED("""COMPUTED_VALUE"""),"🚢 REGULAR")</f>
        <v>🚢 REGULAR</v>
      </c>
      <c r="E686" s="3" t="str">
        <f ca="1">IFERROR(__xludf.UNSUPPORTED("""COMPUTED_VALUE"""),"🚛 LIBERADO")</f>
        <v>🚛 LIBERADO</v>
      </c>
      <c r="F686" s="5">
        <f ca="1">IFERROR(__xludf.UNSUPPORTED("""COMPUTED_VALUE"""),0)</f>
        <v>0</v>
      </c>
      <c r="G686" s="3" t="str">
        <f ca="1">IFERROR(__xludf.UNSUPPORTED("""COMPUTED_VALUE"""),"Normalidade")</f>
        <v>Normalidade</v>
      </c>
      <c r="H686" s="4">
        <f ca="1">IFERROR(__xludf.UNSUPPORTED("""COMPUTED_VALUE"""),45012.3735648148)</f>
        <v>45012.373564814799</v>
      </c>
      <c r="I686" s="3">
        <f ca="1">IFERROR(__xludf.UNSUPPORTED("""COMPUTED_VALUE"""),24)</f>
        <v>24</v>
      </c>
      <c r="J686" s="4">
        <f ca="1">IFERROR(__xludf.UNSUPPORTED("""COMPUTED_VALUE"""),45013.3735648148)</f>
        <v>45013.373564814799</v>
      </c>
      <c r="L686" s="3" t="str">
        <f ca="1">IFERROR(__xludf.UNSUPPORTED("""COMPUTED_VALUE"""),"Normalidade")</f>
        <v>Normalidade</v>
      </c>
    </row>
    <row r="687" spans="1:12" ht="12.75">
      <c r="A687" s="3" t="str">
        <f ca="1">IFERROR(__xludf.UNSUPPORTED("""COMPUTED_VALUE"""),"e67a9f33")</f>
        <v>e67a9f33</v>
      </c>
      <c r="B687" s="4">
        <f ca="1">IFERROR(__xludf.UNSUPPORTED("""COMPUTED_VALUE"""),45015.6032754629)</f>
        <v>45015.603275462898</v>
      </c>
      <c r="C687" s="8" t="str">
        <f ca="1">IFERROR(__xludf.UNSUPPORTED("""COMPUTED_VALUE"""),"Ilhéus")</f>
        <v>Ilhéus</v>
      </c>
      <c r="D687" s="3" t="str">
        <f ca="1">IFERROR(__xludf.UNSUPPORTED("""COMPUTED_VALUE"""),"🚢 REGULAR")</f>
        <v>🚢 REGULAR</v>
      </c>
      <c r="E687" s="3" t="str">
        <f ca="1">IFERROR(__xludf.UNSUPPORTED("""COMPUTED_VALUE"""),"🚛 LIBERADO")</f>
        <v>🚛 LIBERADO</v>
      </c>
      <c r="F687" s="5">
        <f ca="1">IFERROR(__xludf.UNSUPPORTED("""COMPUTED_VALUE"""),0)</f>
        <v>0</v>
      </c>
      <c r="G687" s="3" t="str">
        <f ca="1">IFERROR(__xludf.UNSUPPORTED("""COMPUTED_VALUE"""),"Normalidade")</f>
        <v>Normalidade</v>
      </c>
      <c r="H687" s="4">
        <f ca="1">IFERROR(__xludf.UNSUPPORTED("""COMPUTED_VALUE"""),45015.6032754629)</f>
        <v>45015.603275462898</v>
      </c>
      <c r="I687" s="3">
        <f ca="1">IFERROR(__xludf.UNSUPPORTED("""COMPUTED_VALUE"""),24)</f>
        <v>24</v>
      </c>
      <c r="J687" s="4">
        <f ca="1">IFERROR(__xludf.UNSUPPORTED("""COMPUTED_VALUE"""),45016.6032754629)</f>
        <v>45016.603275462898</v>
      </c>
      <c r="L687" s="3" t="str">
        <f ca="1">IFERROR(__xludf.UNSUPPORTED("""COMPUTED_VALUE"""),"Normalidade")</f>
        <v>Normalidade</v>
      </c>
    </row>
    <row r="688" spans="1:12" ht="12.75">
      <c r="A688" s="3" t="str">
        <f ca="1">IFERROR(__xludf.UNSUPPORTED("""COMPUTED_VALUE"""),"af73950c")</f>
        <v>af73950c</v>
      </c>
      <c r="B688" s="4">
        <f ca="1">IFERROR(__xludf.UNSUPPORTED("""COMPUTED_VALUE"""),45019.4871527777)</f>
        <v>45019.4871527777</v>
      </c>
      <c r="C688" s="8" t="str">
        <f ca="1">IFERROR(__xludf.UNSUPPORTED("""COMPUTED_VALUE"""),"Ilhéus")</f>
        <v>Ilhéus</v>
      </c>
      <c r="D688" s="3" t="str">
        <f ca="1">IFERROR(__xludf.UNSUPPORTED("""COMPUTED_VALUE"""),"🚢 REGULAR")</f>
        <v>🚢 REGULAR</v>
      </c>
      <c r="E688" s="3" t="str">
        <f ca="1">IFERROR(__xludf.UNSUPPORTED("""COMPUTED_VALUE"""),"🚛 LIBERADO")</f>
        <v>🚛 LIBERADO</v>
      </c>
      <c r="F688" s="5">
        <f ca="1">IFERROR(__xludf.UNSUPPORTED("""COMPUTED_VALUE"""),0)</f>
        <v>0</v>
      </c>
      <c r="G688" s="3" t="str">
        <f ca="1">IFERROR(__xludf.UNSUPPORTED("""COMPUTED_VALUE"""),"Normalidade")</f>
        <v>Normalidade</v>
      </c>
      <c r="H688" s="4">
        <f ca="1">IFERROR(__xludf.UNSUPPORTED("""COMPUTED_VALUE"""),45019.4871527777)</f>
        <v>45019.4871527777</v>
      </c>
      <c r="I688" s="3">
        <f ca="1">IFERROR(__xludf.UNSUPPORTED("""COMPUTED_VALUE"""),24)</f>
        <v>24</v>
      </c>
      <c r="J688" s="4">
        <f ca="1">IFERROR(__xludf.UNSUPPORTED("""COMPUTED_VALUE"""),45020.4871527777)</f>
        <v>45020.4871527777</v>
      </c>
      <c r="L688" s="3" t="str">
        <f ca="1">IFERROR(__xludf.UNSUPPORTED("""COMPUTED_VALUE"""),"Normalidade")</f>
        <v>Normalidade</v>
      </c>
    </row>
    <row r="689" spans="1:12" ht="12.75">
      <c r="A689" s="3" t="str">
        <f ca="1">IFERROR(__xludf.UNSUPPORTED("""COMPUTED_VALUE"""),"101f1caf")</f>
        <v>101f1caf</v>
      </c>
      <c r="B689" s="4">
        <f ca="1">IFERROR(__xludf.UNSUPPORTED("""COMPUTED_VALUE"""),45027.5085763888)</f>
        <v>45027.508576388798</v>
      </c>
      <c r="C689" s="8" t="str">
        <f ca="1">IFERROR(__xludf.UNSUPPORTED("""COMPUTED_VALUE"""),"Ilhéus")</f>
        <v>Ilhéus</v>
      </c>
      <c r="D689" s="3" t="str">
        <f ca="1">IFERROR(__xludf.UNSUPPORTED("""COMPUTED_VALUE"""),"🚢 REGULAR")</f>
        <v>🚢 REGULAR</v>
      </c>
      <c r="E689" s="3" t="str">
        <f ca="1">IFERROR(__xludf.UNSUPPORTED("""COMPUTED_VALUE"""),"🚛 LIBERADO")</f>
        <v>🚛 LIBERADO</v>
      </c>
      <c r="F689" s="5">
        <f ca="1">IFERROR(__xludf.UNSUPPORTED("""COMPUTED_VALUE"""),0)</f>
        <v>0</v>
      </c>
      <c r="G689" s="3" t="str">
        <f ca="1">IFERROR(__xludf.UNSUPPORTED("""COMPUTED_VALUE"""),"Normalidade")</f>
        <v>Normalidade</v>
      </c>
      <c r="H689" s="4">
        <f ca="1">IFERROR(__xludf.UNSUPPORTED("""COMPUTED_VALUE"""),45027.5085763888)</f>
        <v>45027.508576388798</v>
      </c>
      <c r="I689" s="3">
        <f ca="1">IFERROR(__xludf.UNSUPPORTED("""COMPUTED_VALUE"""),24)</f>
        <v>24</v>
      </c>
      <c r="J689" s="4">
        <f ca="1">IFERROR(__xludf.UNSUPPORTED("""COMPUTED_VALUE"""),45028.5085763888)</f>
        <v>45028.508576388798</v>
      </c>
      <c r="L689" s="3" t="str">
        <f ca="1">IFERROR(__xludf.UNSUPPORTED("""COMPUTED_VALUE"""),"Normalidade")</f>
        <v>Normalidade</v>
      </c>
    </row>
    <row r="690" spans="1:12" ht="12.75">
      <c r="A690" s="3" t="str">
        <f ca="1">IFERROR(__xludf.UNSUPPORTED("""COMPUTED_VALUE"""),"619575d4")</f>
        <v>619575d4</v>
      </c>
      <c r="B690" s="4">
        <f ca="1">IFERROR(__xludf.UNSUPPORTED("""COMPUTED_VALUE"""),45030.4131018518)</f>
        <v>45030.413101851802</v>
      </c>
      <c r="C690" s="7" t="str">
        <f ca="1">IFERROR(__xludf.UNSUPPORTED("""COMPUTED_VALUE"""),"Ilhéus")</f>
        <v>Ilhéus</v>
      </c>
      <c r="D690" s="3" t="str">
        <f ca="1">IFERROR(__xludf.UNSUPPORTED("""COMPUTED_VALUE"""),"🚢 REGULAR")</f>
        <v>🚢 REGULAR</v>
      </c>
      <c r="E690" s="3" t="str">
        <f ca="1">IFERROR(__xludf.UNSUPPORTED("""COMPUTED_VALUE"""),"🚛 LIBERADO")</f>
        <v>🚛 LIBERADO</v>
      </c>
      <c r="F690" s="5">
        <f ca="1">IFERROR(__xludf.UNSUPPORTED("""COMPUTED_VALUE"""),0)</f>
        <v>0</v>
      </c>
      <c r="G690" s="3" t="str">
        <f ca="1">IFERROR(__xludf.UNSUPPORTED("""COMPUTED_VALUE"""),"Normalidade")</f>
        <v>Normalidade</v>
      </c>
      <c r="H690" s="4">
        <f ca="1">IFERROR(__xludf.UNSUPPORTED("""COMPUTED_VALUE"""),45030.4131018518)</f>
        <v>45030.413101851802</v>
      </c>
      <c r="I690" s="3">
        <f ca="1">IFERROR(__xludf.UNSUPPORTED("""COMPUTED_VALUE"""),24)</f>
        <v>24</v>
      </c>
      <c r="J690" s="4">
        <f ca="1">IFERROR(__xludf.UNSUPPORTED("""COMPUTED_VALUE"""),45031.4131018518)</f>
        <v>45031.413101851802</v>
      </c>
      <c r="L690" s="3" t="str">
        <f ca="1">IFERROR(__xludf.UNSUPPORTED("""COMPUTED_VALUE"""),"Normalidade")</f>
        <v>Normalidade</v>
      </c>
    </row>
    <row r="691" spans="1:12" ht="12.75">
      <c r="A691" s="3" t="str">
        <f ca="1">IFERROR(__xludf.UNSUPPORTED("""COMPUTED_VALUE"""),"c1b1d4cd")</f>
        <v>c1b1d4cd</v>
      </c>
      <c r="B691" s="4">
        <f ca="1">IFERROR(__xludf.UNSUPPORTED("""COMPUTED_VALUE"""),45033.367662037)</f>
        <v>45033.367662037002</v>
      </c>
      <c r="C691" s="8" t="str">
        <f ca="1">IFERROR(__xludf.UNSUPPORTED("""COMPUTED_VALUE"""),"Ilhéus")</f>
        <v>Ilhéus</v>
      </c>
      <c r="D691" s="3" t="str">
        <f ca="1">IFERROR(__xludf.UNSUPPORTED("""COMPUTED_VALUE"""),"🚢 REGULAR")</f>
        <v>🚢 REGULAR</v>
      </c>
      <c r="E691" s="3" t="str">
        <f ca="1">IFERROR(__xludf.UNSUPPORTED("""COMPUTED_VALUE"""),"🚛 LIBERADO")</f>
        <v>🚛 LIBERADO</v>
      </c>
      <c r="F691" s="5">
        <f ca="1">IFERROR(__xludf.UNSUPPORTED("""COMPUTED_VALUE"""),0)</f>
        <v>0</v>
      </c>
      <c r="G691" s="3" t="str">
        <f ca="1">IFERROR(__xludf.UNSUPPORTED("""COMPUTED_VALUE"""),"Normalidade")</f>
        <v>Normalidade</v>
      </c>
      <c r="H691" s="4">
        <f ca="1">IFERROR(__xludf.UNSUPPORTED("""COMPUTED_VALUE"""),45033.367662037)</f>
        <v>45033.367662037002</v>
      </c>
      <c r="I691" s="3">
        <f ca="1">IFERROR(__xludf.UNSUPPORTED("""COMPUTED_VALUE"""),24)</f>
        <v>24</v>
      </c>
      <c r="J691" s="4">
        <f ca="1">IFERROR(__xludf.UNSUPPORTED("""COMPUTED_VALUE"""),45034.367662037)</f>
        <v>45034.367662037002</v>
      </c>
      <c r="L691" s="3" t="str">
        <f ca="1">IFERROR(__xludf.UNSUPPORTED("""COMPUTED_VALUE"""),"Normalidade")</f>
        <v>Normalidade</v>
      </c>
    </row>
    <row r="692" spans="1:12" ht="12.75">
      <c r="A692" s="3" t="str">
        <f ca="1">IFERROR(__xludf.UNSUPPORTED("""COMPUTED_VALUE"""),"dc7087af")</f>
        <v>dc7087af</v>
      </c>
      <c r="B692" s="4">
        <f ca="1">IFERROR(__xludf.UNSUPPORTED("""COMPUTED_VALUE"""),45036.4891319444)</f>
        <v>45036.4891319444</v>
      </c>
      <c r="C692" s="7" t="str">
        <f ca="1">IFERROR(__xludf.UNSUPPORTED("""COMPUTED_VALUE"""),"Ilhéus")</f>
        <v>Ilhéus</v>
      </c>
      <c r="D692" s="3" t="str">
        <f ca="1">IFERROR(__xludf.UNSUPPORTED("""COMPUTED_VALUE"""),"🚢 REGULAR")</f>
        <v>🚢 REGULAR</v>
      </c>
      <c r="E692" s="3" t="str">
        <f ca="1">IFERROR(__xludf.UNSUPPORTED("""COMPUTED_VALUE"""),"🚛 LIBERADO")</f>
        <v>🚛 LIBERADO</v>
      </c>
      <c r="F692" s="5">
        <f ca="1">IFERROR(__xludf.UNSUPPORTED("""COMPUTED_VALUE"""),0)</f>
        <v>0</v>
      </c>
      <c r="G692" s="3" t="str">
        <f ca="1">IFERROR(__xludf.UNSUPPORTED("""COMPUTED_VALUE"""),"Normalidade")</f>
        <v>Normalidade</v>
      </c>
      <c r="H692" s="4">
        <f ca="1">IFERROR(__xludf.UNSUPPORTED("""COMPUTED_VALUE"""),45036.4891319444)</f>
        <v>45036.4891319444</v>
      </c>
      <c r="I692" s="3">
        <f ca="1">IFERROR(__xludf.UNSUPPORTED("""COMPUTED_VALUE"""),24)</f>
        <v>24</v>
      </c>
      <c r="J692" s="4">
        <f ca="1">IFERROR(__xludf.UNSUPPORTED("""COMPUTED_VALUE"""),45037.4891319444)</f>
        <v>45037.4891319444</v>
      </c>
      <c r="L692" s="3" t="str">
        <f ca="1">IFERROR(__xludf.UNSUPPORTED("""COMPUTED_VALUE"""),"Normalidade")</f>
        <v>Normalidade</v>
      </c>
    </row>
    <row r="693" spans="1:12" ht="12.75">
      <c r="A693" s="3" t="str">
        <f ca="1">IFERROR(__xludf.UNSUPPORTED("""COMPUTED_VALUE"""),"a87af0b5")</f>
        <v>a87af0b5</v>
      </c>
      <c r="B693" s="4">
        <f ca="1">IFERROR(__xludf.UNSUPPORTED("""COMPUTED_VALUE"""),45048.4339814814)</f>
        <v>45048.433981481401</v>
      </c>
      <c r="C693" s="8" t="str">
        <f ca="1">IFERROR(__xludf.UNSUPPORTED("""COMPUTED_VALUE"""),"Ilhéus")</f>
        <v>Ilhéus</v>
      </c>
      <c r="D693" s="3" t="str">
        <f ca="1">IFERROR(__xludf.UNSUPPORTED("""COMPUTED_VALUE"""),"🚢 REGULAR")</f>
        <v>🚢 REGULAR</v>
      </c>
      <c r="E693" s="3" t="str">
        <f ca="1">IFERROR(__xludf.UNSUPPORTED("""COMPUTED_VALUE"""),"🚛 LIBERADO")</f>
        <v>🚛 LIBERADO</v>
      </c>
      <c r="F693" s="5">
        <f ca="1">IFERROR(__xludf.UNSUPPORTED("""COMPUTED_VALUE"""),0)</f>
        <v>0</v>
      </c>
      <c r="G693" s="3" t="str">
        <f ca="1">IFERROR(__xludf.UNSUPPORTED("""COMPUTED_VALUE"""),"Normalidade")</f>
        <v>Normalidade</v>
      </c>
      <c r="H693" s="4">
        <f ca="1">IFERROR(__xludf.UNSUPPORTED("""COMPUTED_VALUE"""),45048.4339814814)</f>
        <v>45048.433981481401</v>
      </c>
      <c r="I693" s="3">
        <f ca="1">IFERROR(__xludf.UNSUPPORTED("""COMPUTED_VALUE"""),24)</f>
        <v>24</v>
      </c>
      <c r="J693" s="4">
        <f ca="1">IFERROR(__xludf.UNSUPPORTED("""COMPUTED_VALUE"""),45049.4339814814)</f>
        <v>45049.433981481401</v>
      </c>
      <c r="L693" s="3" t="str">
        <f ca="1">IFERROR(__xludf.UNSUPPORTED("""COMPUTED_VALUE"""),"Normalidade")</f>
        <v>Normalidade</v>
      </c>
    </row>
    <row r="694" spans="1:12" ht="12.75">
      <c r="A694" s="3" t="str">
        <f ca="1">IFERROR(__xludf.UNSUPPORTED("""COMPUTED_VALUE"""),"c0c17733")</f>
        <v>c0c17733</v>
      </c>
      <c r="B694" s="4">
        <f ca="1">IFERROR(__xludf.UNSUPPORTED("""COMPUTED_VALUE"""),45051.3800462963)</f>
        <v>45051.380046296297</v>
      </c>
      <c r="C694" s="7" t="str">
        <f ca="1">IFERROR(__xludf.UNSUPPORTED("""COMPUTED_VALUE"""),"Ilhéus")</f>
        <v>Ilhéus</v>
      </c>
      <c r="D694" s="3" t="str">
        <f ca="1">IFERROR(__xludf.UNSUPPORTED("""COMPUTED_VALUE"""),"🚢 REGULAR")</f>
        <v>🚢 REGULAR</v>
      </c>
      <c r="E694" s="3" t="str">
        <f ca="1">IFERROR(__xludf.UNSUPPORTED("""COMPUTED_VALUE"""),"🚛 LIBERADO")</f>
        <v>🚛 LIBERADO</v>
      </c>
      <c r="F694" s="5">
        <f ca="1">IFERROR(__xludf.UNSUPPORTED("""COMPUTED_VALUE"""),0)</f>
        <v>0</v>
      </c>
      <c r="G694" s="3" t="str">
        <f ca="1">IFERROR(__xludf.UNSUPPORTED("""COMPUTED_VALUE"""),"Normalidade")</f>
        <v>Normalidade</v>
      </c>
      <c r="H694" s="4">
        <f ca="1">IFERROR(__xludf.UNSUPPORTED("""COMPUTED_VALUE"""),45051.3800462963)</f>
        <v>45051.380046296297</v>
      </c>
      <c r="I694" s="3">
        <f ca="1">IFERROR(__xludf.UNSUPPORTED("""COMPUTED_VALUE"""),24)</f>
        <v>24</v>
      </c>
      <c r="J694" s="4">
        <f ca="1">IFERROR(__xludf.UNSUPPORTED("""COMPUTED_VALUE"""),45052.3800462963)</f>
        <v>45052.380046296297</v>
      </c>
      <c r="L694" s="3" t="str">
        <f ca="1">IFERROR(__xludf.UNSUPPORTED("""COMPUTED_VALUE"""),"Normalidade")</f>
        <v>Normalidade</v>
      </c>
    </row>
    <row r="695" spans="1:12" ht="12.75">
      <c r="A695" s="3" t="str">
        <f ca="1">IFERROR(__xludf.UNSUPPORTED("""COMPUTED_VALUE"""),"1ba2547e")</f>
        <v>1ba2547e</v>
      </c>
      <c r="B695" s="4">
        <f ca="1">IFERROR(__xludf.UNSUPPORTED("""COMPUTED_VALUE"""),45055.3876967592)</f>
        <v>45055.3876967592</v>
      </c>
      <c r="C695" s="7" t="str">
        <f ca="1">IFERROR(__xludf.UNSUPPORTED("""COMPUTED_VALUE"""),"Ilhéus")</f>
        <v>Ilhéus</v>
      </c>
      <c r="D695" s="3" t="str">
        <f ca="1">IFERROR(__xludf.UNSUPPORTED("""COMPUTED_VALUE"""),"🚢 REGULAR")</f>
        <v>🚢 REGULAR</v>
      </c>
      <c r="E695" s="3" t="str">
        <f ca="1">IFERROR(__xludf.UNSUPPORTED("""COMPUTED_VALUE"""),"🚛 LIBERADO")</f>
        <v>🚛 LIBERADO</v>
      </c>
      <c r="F695" s="5">
        <f ca="1">IFERROR(__xludf.UNSUPPORTED("""COMPUTED_VALUE"""),0)</f>
        <v>0</v>
      </c>
      <c r="G695" s="3" t="str">
        <f ca="1">IFERROR(__xludf.UNSUPPORTED("""COMPUTED_VALUE"""),"Normalidade")</f>
        <v>Normalidade</v>
      </c>
      <c r="H695" s="4">
        <f ca="1">IFERROR(__xludf.UNSUPPORTED("""COMPUTED_VALUE"""),45055.3876967592)</f>
        <v>45055.3876967592</v>
      </c>
      <c r="I695" s="3">
        <f ca="1">IFERROR(__xludf.UNSUPPORTED("""COMPUTED_VALUE"""),24)</f>
        <v>24</v>
      </c>
      <c r="J695" s="4">
        <f ca="1">IFERROR(__xludf.UNSUPPORTED("""COMPUTED_VALUE"""),45056.3876967592)</f>
        <v>45056.3876967592</v>
      </c>
      <c r="L695" s="3" t="str">
        <f ca="1">IFERROR(__xludf.UNSUPPORTED("""COMPUTED_VALUE"""),"Normalidade")</f>
        <v>Normalidade</v>
      </c>
    </row>
    <row r="696" spans="1:12" ht="12.75">
      <c r="A696" s="3" t="str">
        <f ca="1">IFERROR(__xludf.UNSUPPORTED("""COMPUTED_VALUE"""),"e8f8f990")</f>
        <v>e8f8f990</v>
      </c>
      <c r="B696" s="4">
        <f ca="1">IFERROR(__xludf.UNSUPPORTED("""COMPUTED_VALUE"""),45061.3769328703)</f>
        <v>45061.376932870298</v>
      </c>
      <c r="C696" s="7" t="str">
        <f ca="1">IFERROR(__xludf.UNSUPPORTED("""COMPUTED_VALUE"""),"Ilhéus")</f>
        <v>Ilhéus</v>
      </c>
      <c r="D696" s="3" t="str">
        <f ca="1">IFERROR(__xludf.UNSUPPORTED("""COMPUTED_VALUE"""),"🚢 REGULAR")</f>
        <v>🚢 REGULAR</v>
      </c>
      <c r="E696" s="3" t="str">
        <f ca="1">IFERROR(__xludf.UNSUPPORTED("""COMPUTED_VALUE"""),"🚛 LIBERADO")</f>
        <v>🚛 LIBERADO</v>
      </c>
      <c r="F696" s="5">
        <f ca="1">IFERROR(__xludf.UNSUPPORTED("""COMPUTED_VALUE"""),0)</f>
        <v>0</v>
      </c>
      <c r="G696" s="3" t="str">
        <f ca="1">IFERROR(__xludf.UNSUPPORTED("""COMPUTED_VALUE"""),"Normalidade")</f>
        <v>Normalidade</v>
      </c>
      <c r="H696" s="4">
        <f ca="1">IFERROR(__xludf.UNSUPPORTED("""COMPUTED_VALUE"""),45061.3769328703)</f>
        <v>45061.376932870298</v>
      </c>
      <c r="I696" s="3">
        <f ca="1">IFERROR(__xludf.UNSUPPORTED("""COMPUTED_VALUE"""),24)</f>
        <v>24</v>
      </c>
      <c r="J696" s="4">
        <f ca="1">IFERROR(__xludf.UNSUPPORTED("""COMPUTED_VALUE"""),45062.3769328703)</f>
        <v>45062.376932870298</v>
      </c>
      <c r="L696" s="3" t="str">
        <f ca="1">IFERROR(__xludf.UNSUPPORTED("""COMPUTED_VALUE"""),"Normalidade")</f>
        <v>Normalidade</v>
      </c>
    </row>
    <row r="697" spans="1:12" ht="12.75">
      <c r="A697" s="3" t="str">
        <f ca="1">IFERROR(__xludf.UNSUPPORTED("""COMPUTED_VALUE"""),"f24f8739")</f>
        <v>f24f8739</v>
      </c>
      <c r="B697" s="4">
        <f ca="1">IFERROR(__xludf.UNSUPPORTED("""COMPUTED_VALUE"""),45064.4970023148)</f>
        <v>45064.497002314798</v>
      </c>
      <c r="C697" s="7" t="str">
        <f ca="1">IFERROR(__xludf.UNSUPPORTED("""COMPUTED_VALUE"""),"Ilhéus")</f>
        <v>Ilhéus</v>
      </c>
      <c r="D697" s="3" t="str">
        <f ca="1">IFERROR(__xludf.UNSUPPORTED("""COMPUTED_VALUE"""),"🚢 REGULAR")</f>
        <v>🚢 REGULAR</v>
      </c>
      <c r="E697" s="3" t="str">
        <f ca="1">IFERROR(__xludf.UNSUPPORTED("""COMPUTED_VALUE"""),"🚛 LIBERADO")</f>
        <v>🚛 LIBERADO</v>
      </c>
      <c r="F697" s="5">
        <f ca="1">IFERROR(__xludf.UNSUPPORTED("""COMPUTED_VALUE"""),0)</f>
        <v>0</v>
      </c>
      <c r="G697" s="3" t="str">
        <f ca="1">IFERROR(__xludf.UNSUPPORTED("""COMPUTED_VALUE"""),"Normalidade")</f>
        <v>Normalidade</v>
      </c>
      <c r="H697" s="4">
        <f ca="1">IFERROR(__xludf.UNSUPPORTED("""COMPUTED_VALUE"""),45064.4970023148)</f>
        <v>45064.497002314798</v>
      </c>
      <c r="I697" s="3">
        <f ca="1">IFERROR(__xludf.UNSUPPORTED("""COMPUTED_VALUE"""),24)</f>
        <v>24</v>
      </c>
      <c r="J697" s="4">
        <f ca="1">IFERROR(__xludf.UNSUPPORTED("""COMPUTED_VALUE"""),45065.4970023148)</f>
        <v>45065.497002314798</v>
      </c>
      <c r="L697" s="3" t="str">
        <f ca="1">IFERROR(__xludf.UNSUPPORTED("""COMPUTED_VALUE"""),"Normalidade")</f>
        <v>Normalidade</v>
      </c>
    </row>
    <row r="698" spans="1:12" ht="12.75">
      <c r="A698" s="3" t="str">
        <f ca="1">IFERROR(__xludf.UNSUPPORTED("""COMPUTED_VALUE"""),"121872d1")</f>
        <v>121872d1</v>
      </c>
      <c r="B698" s="4">
        <f ca="1">IFERROR(__xludf.UNSUPPORTED("""COMPUTED_VALUE"""),45065.4530902777)</f>
        <v>45065.453090277697</v>
      </c>
      <c r="C698" s="7" t="str">
        <f ca="1">IFERROR(__xludf.UNSUPPORTED("""COMPUTED_VALUE"""),"Ilhéus")</f>
        <v>Ilhéus</v>
      </c>
      <c r="D698" s="3" t="str">
        <f ca="1">IFERROR(__xludf.UNSUPPORTED("""COMPUTED_VALUE"""),"🚢 REGULAR")</f>
        <v>🚢 REGULAR</v>
      </c>
      <c r="E698" s="3" t="str">
        <f ca="1">IFERROR(__xludf.UNSUPPORTED("""COMPUTED_VALUE"""),"🚛 LIBERADO")</f>
        <v>🚛 LIBERADO</v>
      </c>
      <c r="F698" s="5">
        <f ca="1">IFERROR(__xludf.UNSUPPORTED("""COMPUTED_VALUE"""),0)</f>
        <v>0</v>
      </c>
      <c r="G698" s="3" t="str">
        <f ca="1">IFERROR(__xludf.UNSUPPORTED("""COMPUTED_VALUE"""),"Normalidade")</f>
        <v>Normalidade</v>
      </c>
      <c r="H698" s="4">
        <f ca="1">IFERROR(__xludf.UNSUPPORTED("""COMPUTED_VALUE"""),45065.4530902777)</f>
        <v>45065.453090277697</v>
      </c>
      <c r="I698" s="3">
        <f ca="1">IFERROR(__xludf.UNSUPPORTED("""COMPUTED_VALUE"""),24)</f>
        <v>24</v>
      </c>
      <c r="J698" s="4">
        <f ca="1">IFERROR(__xludf.UNSUPPORTED("""COMPUTED_VALUE"""),45066.4530902777)</f>
        <v>45066.453090277697</v>
      </c>
      <c r="L698" s="3" t="str">
        <f ca="1">IFERROR(__xludf.UNSUPPORTED("""COMPUTED_VALUE"""),"Normalidade")</f>
        <v>Normalidade</v>
      </c>
    </row>
    <row r="699" spans="1:12" ht="12.75">
      <c r="A699" s="3" t="str">
        <f ca="1">IFERROR(__xludf.UNSUPPORTED("""COMPUTED_VALUE"""),"0ff136a9")</f>
        <v>0ff136a9</v>
      </c>
      <c r="B699" s="4">
        <f ca="1">IFERROR(__xludf.UNSUPPORTED("""COMPUTED_VALUE"""),45068.4242476851)</f>
        <v>45068.4242476851</v>
      </c>
      <c r="C699" s="8" t="str">
        <f ca="1">IFERROR(__xludf.UNSUPPORTED("""COMPUTED_VALUE"""),"Ilhéus")</f>
        <v>Ilhéus</v>
      </c>
      <c r="D699" s="3" t="str">
        <f ca="1">IFERROR(__xludf.UNSUPPORTED("""COMPUTED_VALUE"""),"🚢 REGULAR")</f>
        <v>🚢 REGULAR</v>
      </c>
      <c r="E699" s="3" t="str">
        <f ca="1">IFERROR(__xludf.UNSUPPORTED("""COMPUTED_VALUE"""),"🚛 LIBERADO")</f>
        <v>🚛 LIBERADO</v>
      </c>
      <c r="F699" s="5">
        <f ca="1">IFERROR(__xludf.UNSUPPORTED("""COMPUTED_VALUE"""),0)</f>
        <v>0</v>
      </c>
      <c r="G699" s="3" t="str">
        <f ca="1">IFERROR(__xludf.UNSUPPORTED("""COMPUTED_VALUE"""),"Normalidade")</f>
        <v>Normalidade</v>
      </c>
      <c r="H699" s="4">
        <f ca="1">IFERROR(__xludf.UNSUPPORTED("""COMPUTED_VALUE"""),45068.4242476851)</f>
        <v>45068.4242476851</v>
      </c>
      <c r="I699" s="3">
        <f ca="1">IFERROR(__xludf.UNSUPPORTED("""COMPUTED_VALUE"""),24)</f>
        <v>24</v>
      </c>
      <c r="J699" s="4">
        <f ca="1">IFERROR(__xludf.UNSUPPORTED("""COMPUTED_VALUE"""),45069.4242476851)</f>
        <v>45069.4242476851</v>
      </c>
      <c r="L699" s="3" t="str">
        <f ca="1">IFERROR(__xludf.UNSUPPORTED("""COMPUTED_VALUE"""),"Normalidade")</f>
        <v>Normalidade</v>
      </c>
    </row>
    <row r="700" spans="1:12" ht="12.75">
      <c r="A700" s="3" t="str">
        <f ca="1">IFERROR(__xludf.UNSUPPORTED("""COMPUTED_VALUE"""),"d245100b")</f>
        <v>d245100b</v>
      </c>
      <c r="B700" s="4">
        <f ca="1">IFERROR(__xludf.UNSUPPORTED("""COMPUTED_VALUE"""),45070.5588657407)</f>
        <v>45070.558865740699</v>
      </c>
      <c r="C700" s="7" t="str">
        <f ca="1">IFERROR(__xludf.UNSUPPORTED("""COMPUTED_VALUE"""),"Ilhéus")</f>
        <v>Ilhéus</v>
      </c>
      <c r="D700" s="3" t="str">
        <f ca="1">IFERROR(__xludf.UNSUPPORTED("""COMPUTED_VALUE"""),"🚢 REGULAR")</f>
        <v>🚢 REGULAR</v>
      </c>
      <c r="E700" s="3" t="str">
        <f ca="1">IFERROR(__xludf.UNSUPPORTED("""COMPUTED_VALUE"""),"🚛 LIBERADO")</f>
        <v>🚛 LIBERADO</v>
      </c>
      <c r="F700" s="5">
        <f ca="1">IFERROR(__xludf.UNSUPPORTED("""COMPUTED_VALUE"""),0)</f>
        <v>0</v>
      </c>
      <c r="G700" s="3" t="str">
        <f ca="1">IFERROR(__xludf.UNSUPPORTED("""COMPUTED_VALUE"""),"Normalidade")</f>
        <v>Normalidade</v>
      </c>
      <c r="H700" s="4">
        <f ca="1">IFERROR(__xludf.UNSUPPORTED("""COMPUTED_VALUE"""),45070.5588657407)</f>
        <v>45070.558865740699</v>
      </c>
      <c r="I700" s="3">
        <f ca="1">IFERROR(__xludf.UNSUPPORTED("""COMPUTED_VALUE"""),24)</f>
        <v>24</v>
      </c>
      <c r="J700" s="4">
        <f ca="1">IFERROR(__xludf.UNSUPPORTED("""COMPUTED_VALUE"""),45071.5588657407)</f>
        <v>45071.558865740699</v>
      </c>
      <c r="L700" s="3" t="str">
        <f ca="1">IFERROR(__xludf.UNSUPPORTED("""COMPUTED_VALUE"""),"Normalidade")</f>
        <v>Normalidade</v>
      </c>
    </row>
    <row r="701" spans="1:12" ht="12.75">
      <c r="A701" s="3" t="str">
        <f ca="1">IFERROR(__xludf.UNSUPPORTED("""COMPUTED_VALUE"""),"8ab934de")</f>
        <v>8ab934de</v>
      </c>
      <c r="B701" s="4">
        <f ca="1">IFERROR(__xludf.UNSUPPORTED("""COMPUTED_VALUE"""),45072.4216666666)</f>
        <v>45072.421666666603</v>
      </c>
      <c r="C701" s="8" t="str">
        <f ca="1">IFERROR(__xludf.UNSUPPORTED("""COMPUTED_VALUE"""),"Ilhéus")</f>
        <v>Ilhéus</v>
      </c>
      <c r="D701" s="3" t="str">
        <f ca="1">IFERROR(__xludf.UNSUPPORTED("""COMPUTED_VALUE"""),"🚢 REGULAR")</f>
        <v>🚢 REGULAR</v>
      </c>
      <c r="E701" s="3" t="str">
        <f ca="1">IFERROR(__xludf.UNSUPPORTED("""COMPUTED_VALUE"""),"🚛 LIBERADO")</f>
        <v>🚛 LIBERADO</v>
      </c>
      <c r="F701" s="5">
        <f ca="1">IFERROR(__xludf.UNSUPPORTED("""COMPUTED_VALUE"""),0)</f>
        <v>0</v>
      </c>
      <c r="G701" s="3" t="str">
        <f ca="1">IFERROR(__xludf.UNSUPPORTED("""COMPUTED_VALUE"""),"Normalidade")</f>
        <v>Normalidade</v>
      </c>
      <c r="H701" s="4">
        <f ca="1">IFERROR(__xludf.UNSUPPORTED("""COMPUTED_VALUE"""),45072.4216666666)</f>
        <v>45072.421666666603</v>
      </c>
      <c r="I701" s="3">
        <f ca="1">IFERROR(__xludf.UNSUPPORTED("""COMPUTED_VALUE"""),24)</f>
        <v>24</v>
      </c>
      <c r="J701" s="4">
        <f ca="1">IFERROR(__xludf.UNSUPPORTED("""COMPUTED_VALUE"""),45073.4216666666)</f>
        <v>45073.421666666603</v>
      </c>
      <c r="L701" s="3" t="str">
        <f ca="1">IFERROR(__xludf.UNSUPPORTED("""COMPUTED_VALUE"""),"Normalidade")</f>
        <v>Normalidade</v>
      </c>
    </row>
    <row r="702" spans="1:12" ht="12.75">
      <c r="A702" s="3" t="str">
        <f ca="1">IFERROR(__xludf.UNSUPPORTED("""COMPUTED_VALUE"""),"06a73ab9")</f>
        <v>06a73ab9</v>
      </c>
      <c r="B702" s="4">
        <f ca="1">IFERROR(__xludf.UNSUPPORTED("""COMPUTED_VALUE"""),45083.3468518518)</f>
        <v>45083.346851851798</v>
      </c>
      <c r="C702" s="7" t="str">
        <f ca="1">IFERROR(__xludf.UNSUPPORTED("""COMPUTED_VALUE"""),"Ilhéus")</f>
        <v>Ilhéus</v>
      </c>
      <c r="D702" s="3" t="str">
        <f ca="1">IFERROR(__xludf.UNSUPPORTED("""COMPUTED_VALUE"""),"🚢 REGULAR")</f>
        <v>🚢 REGULAR</v>
      </c>
      <c r="E702" s="3" t="str">
        <f ca="1">IFERROR(__xludf.UNSUPPORTED("""COMPUTED_VALUE"""),"🚛 LIBERADO")</f>
        <v>🚛 LIBERADO</v>
      </c>
      <c r="F702" s="5">
        <f ca="1">IFERROR(__xludf.UNSUPPORTED("""COMPUTED_VALUE"""),0)</f>
        <v>0</v>
      </c>
      <c r="G702" s="3" t="str">
        <f ca="1">IFERROR(__xludf.UNSUPPORTED("""COMPUTED_VALUE"""),"Normalidade")</f>
        <v>Normalidade</v>
      </c>
      <c r="H702" s="4">
        <f ca="1">IFERROR(__xludf.UNSUPPORTED("""COMPUTED_VALUE"""),45083.3468518518)</f>
        <v>45083.346851851798</v>
      </c>
      <c r="I702" s="3">
        <f ca="1">IFERROR(__xludf.UNSUPPORTED("""COMPUTED_VALUE"""),24)</f>
        <v>24</v>
      </c>
      <c r="J702" s="4">
        <f ca="1">IFERROR(__xludf.UNSUPPORTED("""COMPUTED_VALUE"""),45084.3468518518)</f>
        <v>45084.346851851798</v>
      </c>
      <c r="L702" s="3" t="str">
        <f ca="1">IFERROR(__xludf.UNSUPPORTED("""COMPUTED_VALUE"""),"Normalidade")</f>
        <v>Normalidade</v>
      </c>
    </row>
    <row r="703" spans="1:12" ht="12.75">
      <c r="A703" s="3" t="str">
        <f ca="1">IFERROR(__xludf.UNSUPPORTED("""COMPUTED_VALUE"""),"5db9c311")</f>
        <v>5db9c311</v>
      </c>
      <c r="B703" s="4">
        <f ca="1">IFERROR(__xludf.UNSUPPORTED("""COMPUTED_VALUE"""),45091.6034837962)</f>
        <v>45091.6034837962</v>
      </c>
      <c r="C703" s="8" t="str">
        <f ca="1">IFERROR(__xludf.UNSUPPORTED("""COMPUTED_VALUE"""),"Ilhéus")</f>
        <v>Ilhéus</v>
      </c>
      <c r="D703" s="3" t="str">
        <f ca="1">IFERROR(__xludf.UNSUPPORTED("""COMPUTED_VALUE"""),"🚢 REGULAR")</f>
        <v>🚢 REGULAR</v>
      </c>
      <c r="E703" s="3" t="str">
        <f ca="1">IFERROR(__xludf.UNSUPPORTED("""COMPUTED_VALUE"""),"🚛 LIBERADO")</f>
        <v>🚛 LIBERADO</v>
      </c>
      <c r="F703" s="5">
        <f ca="1">IFERROR(__xludf.UNSUPPORTED("""COMPUTED_VALUE"""),0)</f>
        <v>0</v>
      </c>
      <c r="G703" s="3" t="str">
        <f ca="1">IFERROR(__xludf.UNSUPPORTED("""COMPUTED_VALUE"""),"Normalidade")</f>
        <v>Normalidade</v>
      </c>
      <c r="H703" s="4">
        <f ca="1">IFERROR(__xludf.UNSUPPORTED("""COMPUTED_VALUE"""),45091.6034837962)</f>
        <v>45091.6034837962</v>
      </c>
      <c r="I703" s="3">
        <f ca="1">IFERROR(__xludf.UNSUPPORTED("""COMPUTED_VALUE"""),24)</f>
        <v>24</v>
      </c>
      <c r="J703" s="4">
        <f ca="1">IFERROR(__xludf.UNSUPPORTED("""COMPUTED_VALUE"""),45092.6034837962)</f>
        <v>45092.6034837962</v>
      </c>
      <c r="L703" s="3" t="str">
        <f ca="1">IFERROR(__xludf.UNSUPPORTED("""COMPUTED_VALUE"""),"Normalidade")</f>
        <v>Normalidade</v>
      </c>
    </row>
    <row r="704" spans="1:12" ht="12.75">
      <c r="A704" s="3" t="str">
        <f ca="1">IFERROR(__xludf.UNSUPPORTED("""COMPUTED_VALUE"""),"49a2fc54")</f>
        <v>49a2fc54</v>
      </c>
      <c r="B704" s="4">
        <f ca="1">IFERROR(__xludf.UNSUPPORTED("""COMPUTED_VALUE"""),45098.4109953703)</f>
        <v>45098.410995370301</v>
      </c>
      <c r="C704" s="7" t="str">
        <f ca="1">IFERROR(__xludf.UNSUPPORTED("""COMPUTED_VALUE"""),"Ilhéus")</f>
        <v>Ilhéus</v>
      </c>
      <c r="D704" s="3" t="str">
        <f ca="1">IFERROR(__xludf.UNSUPPORTED("""COMPUTED_VALUE"""),"🚢 REGULAR")</f>
        <v>🚢 REGULAR</v>
      </c>
      <c r="E704" s="3" t="str">
        <f ca="1">IFERROR(__xludf.UNSUPPORTED("""COMPUTED_VALUE"""),"🚛 LIBERADO")</f>
        <v>🚛 LIBERADO</v>
      </c>
      <c r="F704" s="5">
        <f ca="1">IFERROR(__xludf.UNSUPPORTED("""COMPUTED_VALUE"""),0)</f>
        <v>0</v>
      </c>
      <c r="G704" s="3" t="str">
        <f ca="1">IFERROR(__xludf.UNSUPPORTED("""COMPUTED_VALUE"""),"Normalidade")</f>
        <v>Normalidade</v>
      </c>
      <c r="H704" s="4">
        <f ca="1">IFERROR(__xludf.UNSUPPORTED("""COMPUTED_VALUE"""),45098.4109953703)</f>
        <v>45098.410995370301</v>
      </c>
      <c r="I704" s="3">
        <f ca="1">IFERROR(__xludf.UNSUPPORTED("""COMPUTED_VALUE"""),24)</f>
        <v>24</v>
      </c>
      <c r="J704" s="4">
        <f ca="1">IFERROR(__xludf.UNSUPPORTED("""COMPUTED_VALUE"""),45099.4109953703)</f>
        <v>45099.410995370301</v>
      </c>
      <c r="L704" s="3" t="str">
        <f ca="1">IFERROR(__xludf.UNSUPPORTED("""COMPUTED_VALUE"""),"Normalidade")</f>
        <v>Normalidade</v>
      </c>
    </row>
    <row r="705" spans="1:12" ht="12.75">
      <c r="A705" s="3" t="str">
        <f ca="1">IFERROR(__xludf.UNSUPPORTED("""COMPUTED_VALUE"""),"15aa8b50")</f>
        <v>15aa8b50</v>
      </c>
      <c r="B705" s="4">
        <f ca="1">IFERROR(__xludf.UNSUPPORTED("""COMPUTED_VALUE"""),45114.367974537)</f>
        <v>45114.367974537003</v>
      </c>
      <c r="C705" s="8" t="str">
        <f ca="1">IFERROR(__xludf.UNSUPPORTED("""COMPUTED_VALUE"""),"Ilhéus")</f>
        <v>Ilhéus</v>
      </c>
      <c r="D705" s="3" t="str">
        <f ca="1">IFERROR(__xludf.UNSUPPORTED("""COMPUTED_VALUE"""),"🚢 REGULAR")</f>
        <v>🚢 REGULAR</v>
      </c>
      <c r="E705" s="3" t="str">
        <f ca="1">IFERROR(__xludf.UNSUPPORTED("""COMPUTED_VALUE"""),"🚛 LIBERADO")</f>
        <v>🚛 LIBERADO</v>
      </c>
      <c r="F705" s="5">
        <f ca="1">IFERROR(__xludf.UNSUPPORTED("""COMPUTED_VALUE"""),0)</f>
        <v>0</v>
      </c>
      <c r="G705" s="3" t="str">
        <f ca="1">IFERROR(__xludf.UNSUPPORTED("""COMPUTED_VALUE"""),"Normalidade")</f>
        <v>Normalidade</v>
      </c>
      <c r="H705" s="4">
        <f ca="1">IFERROR(__xludf.UNSUPPORTED("""COMPUTED_VALUE"""),45114.367974537)</f>
        <v>45114.367974537003</v>
      </c>
      <c r="I705" s="3">
        <f ca="1">IFERROR(__xludf.UNSUPPORTED("""COMPUTED_VALUE"""),24)</f>
        <v>24</v>
      </c>
      <c r="J705" s="4">
        <f ca="1">IFERROR(__xludf.UNSUPPORTED("""COMPUTED_VALUE"""),45115.367974537)</f>
        <v>45115.367974537003</v>
      </c>
      <c r="L705" s="3" t="str">
        <f ca="1">IFERROR(__xludf.UNSUPPORTED("""COMPUTED_VALUE"""),"Normalidade")</f>
        <v>Normalidade</v>
      </c>
    </row>
    <row r="706" spans="1:12" ht="12.75">
      <c r="A706" s="3" t="str">
        <f ca="1">IFERROR(__xludf.UNSUPPORTED("""COMPUTED_VALUE"""),"95479026")</f>
        <v>95479026</v>
      </c>
      <c r="B706" s="4">
        <f ca="1">IFERROR(__xludf.UNSUPPORTED("""COMPUTED_VALUE"""),45117.3767708333)</f>
        <v>45117.376770833303</v>
      </c>
      <c r="C706" s="8" t="str">
        <f ca="1">IFERROR(__xludf.UNSUPPORTED("""COMPUTED_VALUE"""),"Ilhéus")</f>
        <v>Ilhéus</v>
      </c>
      <c r="D706" s="3" t="str">
        <f ca="1">IFERROR(__xludf.UNSUPPORTED("""COMPUTED_VALUE"""),"🚢 REGULAR")</f>
        <v>🚢 REGULAR</v>
      </c>
      <c r="E706" s="3" t="str">
        <f ca="1">IFERROR(__xludf.UNSUPPORTED("""COMPUTED_VALUE"""),"🚛 LIBERADO")</f>
        <v>🚛 LIBERADO</v>
      </c>
      <c r="F706" s="5">
        <f ca="1">IFERROR(__xludf.UNSUPPORTED("""COMPUTED_VALUE"""),0)</f>
        <v>0</v>
      </c>
      <c r="G706" s="3" t="str">
        <f ca="1">IFERROR(__xludf.UNSUPPORTED("""COMPUTED_VALUE"""),"Normalidade")</f>
        <v>Normalidade</v>
      </c>
      <c r="H706" s="4">
        <f ca="1">IFERROR(__xludf.UNSUPPORTED("""COMPUTED_VALUE"""),45117.3767708333)</f>
        <v>45117.376770833303</v>
      </c>
      <c r="I706" s="3">
        <f ca="1">IFERROR(__xludf.UNSUPPORTED("""COMPUTED_VALUE"""),24)</f>
        <v>24</v>
      </c>
      <c r="J706" s="4">
        <f ca="1">IFERROR(__xludf.UNSUPPORTED("""COMPUTED_VALUE"""),45118.3767708333)</f>
        <v>45118.376770833303</v>
      </c>
      <c r="L706" s="3" t="str">
        <f ca="1">IFERROR(__xludf.UNSUPPORTED("""COMPUTED_VALUE"""),"Normalidade")</f>
        <v>Normalidade</v>
      </c>
    </row>
    <row r="707" spans="1:12" ht="12.75">
      <c r="A707" s="3" t="str">
        <f ca="1">IFERROR(__xludf.UNSUPPORTED("""COMPUTED_VALUE"""),"2687c01d")</f>
        <v>2687c01d</v>
      </c>
      <c r="B707" s="4">
        <f ca="1">IFERROR(__xludf.UNSUPPORTED("""COMPUTED_VALUE"""),45120.8237962962)</f>
        <v>45120.823796296201</v>
      </c>
      <c r="C707" s="8" t="str">
        <f ca="1">IFERROR(__xludf.UNSUPPORTED("""COMPUTED_VALUE"""),"Ilhéus")</f>
        <v>Ilhéus</v>
      </c>
      <c r="D707" s="3" t="str">
        <f ca="1">IFERROR(__xludf.UNSUPPORTED("""COMPUTED_VALUE"""),"🚢 REGULAR")</f>
        <v>🚢 REGULAR</v>
      </c>
      <c r="E707" s="3" t="str">
        <f ca="1">IFERROR(__xludf.UNSUPPORTED("""COMPUTED_VALUE"""),"🚛 LIBERADO")</f>
        <v>🚛 LIBERADO</v>
      </c>
      <c r="F707" s="5">
        <f ca="1">IFERROR(__xludf.UNSUPPORTED("""COMPUTED_VALUE"""),0)</f>
        <v>0</v>
      </c>
      <c r="G707" s="3" t="str">
        <f ca="1">IFERROR(__xludf.UNSUPPORTED("""COMPUTED_VALUE"""),"Normalidade")</f>
        <v>Normalidade</v>
      </c>
      <c r="H707" s="4">
        <f ca="1">IFERROR(__xludf.UNSUPPORTED("""COMPUTED_VALUE"""),45120.8237962962)</f>
        <v>45120.823796296201</v>
      </c>
      <c r="I707" s="3">
        <f ca="1">IFERROR(__xludf.UNSUPPORTED("""COMPUTED_VALUE"""),24)</f>
        <v>24</v>
      </c>
      <c r="J707" s="4">
        <f ca="1">IFERROR(__xludf.UNSUPPORTED("""COMPUTED_VALUE"""),45121.8237962962)</f>
        <v>45121.823796296201</v>
      </c>
      <c r="L707" s="3" t="str">
        <f ca="1">IFERROR(__xludf.UNSUPPORTED("""COMPUTED_VALUE"""),"Normalidade")</f>
        <v>Normalidade</v>
      </c>
    </row>
    <row r="708" spans="1:12" ht="12.75">
      <c r="A708" s="3" t="str">
        <f ca="1">IFERROR(__xludf.UNSUPPORTED("""COMPUTED_VALUE"""),"c6cd7926")</f>
        <v>c6cd7926</v>
      </c>
      <c r="B708" s="4">
        <f ca="1">IFERROR(__xludf.UNSUPPORTED("""COMPUTED_VALUE"""),45121.3873263888)</f>
        <v>45121.387326388802</v>
      </c>
      <c r="C708" s="8" t="str">
        <f ca="1">IFERROR(__xludf.UNSUPPORTED("""COMPUTED_VALUE"""),"Ilhéus")</f>
        <v>Ilhéus</v>
      </c>
      <c r="D708" s="3" t="str">
        <f ca="1">IFERROR(__xludf.UNSUPPORTED("""COMPUTED_VALUE"""),"🚢 REGULAR")</f>
        <v>🚢 REGULAR</v>
      </c>
      <c r="E708" s="3" t="str">
        <f ca="1">IFERROR(__xludf.UNSUPPORTED("""COMPUTED_VALUE"""),"🚛 LIBERADO")</f>
        <v>🚛 LIBERADO</v>
      </c>
      <c r="F708" s="5">
        <f ca="1">IFERROR(__xludf.UNSUPPORTED("""COMPUTED_VALUE"""),0)</f>
        <v>0</v>
      </c>
      <c r="G708" s="3" t="str">
        <f ca="1">IFERROR(__xludf.UNSUPPORTED("""COMPUTED_VALUE"""),"Normalidade")</f>
        <v>Normalidade</v>
      </c>
      <c r="H708" s="4">
        <f ca="1">IFERROR(__xludf.UNSUPPORTED("""COMPUTED_VALUE"""),45121.3873263888)</f>
        <v>45121.387326388802</v>
      </c>
      <c r="I708" s="3">
        <f ca="1">IFERROR(__xludf.UNSUPPORTED("""COMPUTED_VALUE"""),24)</f>
        <v>24</v>
      </c>
      <c r="J708" s="4">
        <f ca="1">IFERROR(__xludf.UNSUPPORTED("""COMPUTED_VALUE"""),45122.3873263888)</f>
        <v>45122.387326388802</v>
      </c>
      <c r="L708" s="3" t="str">
        <f ca="1">IFERROR(__xludf.UNSUPPORTED("""COMPUTED_VALUE"""),"Normalidade")</f>
        <v>Normalidade</v>
      </c>
    </row>
    <row r="709" spans="1:12" ht="12.75">
      <c r="A709" s="3" t="str">
        <f ca="1">IFERROR(__xludf.UNSUPPORTED("""COMPUTED_VALUE"""),"76baaec1")</f>
        <v>76baaec1</v>
      </c>
      <c r="B709" s="4">
        <f ca="1">IFERROR(__xludf.UNSUPPORTED("""COMPUTED_VALUE"""),45124.3669212963)</f>
        <v>45124.3669212963</v>
      </c>
      <c r="C709" s="8" t="str">
        <f ca="1">IFERROR(__xludf.UNSUPPORTED("""COMPUTED_VALUE"""),"Ilhéus")</f>
        <v>Ilhéus</v>
      </c>
      <c r="D709" s="3" t="str">
        <f ca="1">IFERROR(__xludf.UNSUPPORTED("""COMPUTED_VALUE"""),"🚢 REGULAR")</f>
        <v>🚢 REGULAR</v>
      </c>
      <c r="E709" s="3" t="str">
        <f ca="1">IFERROR(__xludf.UNSUPPORTED("""COMPUTED_VALUE"""),"🚛 LIBERADO")</f>
        <v>🚛 LIBERADO</v>
      </c>
      <c r="F709" s="5">
        <f ca="1">IFERROR(__xludf.UNSUPPORTED("""COMPUTED_VALUE"""),0)</f>
        <v>0</v>
      </c>
      <c r="G709" s="3" t="str">
        <f ca="1">IFERROR(__xludf.UNSUPPORTED("""COMPUTED_VALUE"""),"Normalidade")</f>
        <v>Normalidade</v>
      </c>
      <c r="H709" s="4">
        <f ca="1">IFERROR(__xludf.UNSUPPORTED("""COMPUTED_VALUE"""),45124.3669212963)</f>
        <v>45124.3669212963</v>
      </c>
      <c r="I709" s="3">
        <f ca="1">IFERROR(__xludf.UNSUPPORTED("""COMPUTED_VALUE"""),24)</f>
        <v>24</v>
      </c>
      <c r="J709" s="4">
        <f ca="1">IFERROR(__xludf.UNSUPPORTED("""COMPUTED_VALUE"""),45125.3669212963)</f>
        <v>45125.3669212963</v>
      </c>
      <c r="L709" s="3" t="str">
        <f ca="1">IFERROR(__xludf.UNSUPPORTED("""COMPUTED_VALUE"""),"Normalidade")</f>
        <v>Normalidade</v>
      </c>
    </row>
    <row r="710" spans="1:12" ht="12.75">
      <c r="A710" s="3" t="str">
        <f ca="1">IFERROR(__xludf.UNSUPPORTED("""COMPUTED_VALUE"""),"c96d65be")</f>
        <v>c96d65be</v>
      </c>
      <c r="B710" s="4">
        <f ca="1">IFERROR(__xludf.UNSUPPORTED("""COMPUTED_VALUE"""),45125.3848958333)</f>
        <v>45125.384895833296</v>
      </c>
      <c r="C710" s="7" t="str">
        <f ca="1">IFERROR(__xludf.UNSUPPORTED("""COMPUTED_VALUE"""),"Ilhéus")</f>
        <v>Ilhéus</v>
      </c>
      <c r="D710" s="3" t="str">
        <f ca="1">IFERROR(__xludf.UNSUPPORTED("""COMPUTED_VALUE"""),"🚢 REGULAR")</f>
        <v>🚢 REGULAR</v>
      </c>
      <c r="E710" s="3" t="str">
        <f ca="1">IFERROR(__xludf.UNSUPPORTED("""COMPUTED_VALUE"""),"🚛 LIBERADO")</f>
        <v>🚛 LIBERADO</v>
      </c>
      <c r="F710" s="5">
        <f ca="1">IFERROR(__xludf.UNSUPPORTED("""COMPUTED_VALUE"""),0)</f>
        <v>0</v>
      </c>
      <c r="G710" s="3" t="str">
        <f ca="1">IFERROR(__xludf.UNSUPPORTED("""COMPUTED_VALUE"""),"Normalidade")</f>
        <v>Normalidade</v>
      </c>
      <c r="H710" s="4">
        <f ca="1">IFERROR(__xludf.UNSUPPORTED("""COMPUTED_VALUE"""),45125.3848958333)</f>
        <v>45125.384895833296</v>
      </c>
      <c r="I710" s="3">
        <f ca="1">IFERROR(__xludf.UNSUPPORTED("""COMPUTED_VALUE"""),24)</f>
        <v>24</v>
      </c>
      <c r="J710" s="4">
        <f ca="1">IFERROR(__xludf.UNSUPPORTED("""COMPUTED_VALUE"""),45126.3848958333)</f>
        <v>45126.384895833296</v>
      </c>
      <c r="L710" s="3" t="str">
        <f ca="1">IFERROR(__xludf.UNSUPPORTED("""COMPUTED_VALUE"""),"Normalidade")</f>
        <v>Normalidade</v>
      </c>
    </row>
    <row r="711" spans="1:12" ht="12.75">
      <c r="A711" s="3" t="str">
        <f ca="1">IFERROR(__xludf.UNSUPPORTED("""COMPUTED_VALUE"""),"2dbc592e")</f>
        <v>2dbc592e</v>
      </c>
      <c r="B711" s="4">
        <f ca="1">IFERROR(__xludf.UNSUPPORTED("""COMPUTED_VALUE"""),45127.4497106481)</f>
        <v>45127.449710648099</v>
      </c>
      <c r="C711" s="8" t="str">
        <f ca="1">IFERROR(__xludf.UNSUPPORTED("""COMPUTED_VALUE"""),"Ilhéus")</f>
        <v>Ilhéus</v>
      </c>
      <c r="D711" s="3" t="str">
        <f ca="1">IFERROR(__xludf.UNSUPPORTED("""COMPUTED_VALUE"""),"🚢 REGULAR")</f>
        <v>🚢 REGULAR</v>
      </c>
      <c r="E711" s="3" t="str">
        <f ca="1">IFERROR(__xludf.UNSUPPORTED("""COMPUTED_VALUE"""),"🚛 LIBERADO")</f>
        <v>🚛 LIBERADO</v>
      </c>
      <c r="F711" s="5">
        <f ca="1">IFERROR(__xludf.UNSUPPORTED("""COMPUTED_VALUE"""),0)</f>
        <v>0</v>
      </c>
      <c r="G711" s="3" t="str">
        <f ca="1">IFERROR(__xludf.UNSUPPORTED("""COMPUTED_VALUE"""),"Normalidade")</f>
        <v>Normalidade</v>
      </c>
      <c r="H711" s="4">
        <f ca="1">IFERROR(__xludf.UNSUPPORTED("""COMPUTED_VALUE"""),45127.4497106481)</f>
        <v>45127.449710648099</v>
      </c>
      <c r="I711" s="3">
        <f ca="1">IFERROR(__xludf.UNSUPPORTED("""COMPUTED_VALUE"""),24)</f>
        <v>24</v>
      </c>
      <c r="J711" s="4">
        <f ca="1">IFERROR(__xludf.UNSUPPORTED("""COMPUTED_VALUE"""),45128.4497106481)</f>
        <v>45128.449710648099</v>
      </c>
      <c r="L711" s="3" t="str">
        <f ca="1">IFERROR(__xludf.UNSUPPORTED("""COMPUTED_VALUE"""),"Normalidade")</f>
        <v>Normalidade</v>
      </c>
    </row>
    <row r="712" spans="1:12" ht="12.75">
      <c r="A712" s="3" t="str">
        <f ca="1">IFERROR(__xludf.UNSUPPORTED("""COMPUTED_VALUE"""),"dedff7b0")</f>
        <v>dedff7b0</v>
      </c>
      <c r="B712" s="4">
        <f ca="1">IFERROR(__xludf.UNSUPPORTED("""COMPUTED_VALUE"""),45128.3843171296)</f>
        <v>45128.384317129603</v>
      </c>
      <c r="C712" s="8" t="str">
        <f ca="1">IFERROR(__xludf.UNSUPPORTED("""COMPUTED_VALUE"""),"Ilhéus")</f>
        <v>Ilhéus</v>
      </c>
      <c r="D712" s="3" t="str">
        <f ca="1">IFERROR(__xludf.UNSUPPORTED("""COMPUTED_VALUE"""),"🚢 REGULAR")</f>
        <v>🚢 REGULAR</v>
      </c>
      <c r="E712" s="3" t="str">
        <f ca="1">IFERROR(__xludf.UNSUPPORTED("""COMPUTED_VALUE"""),"🚛 LIBERADO")</f>
        <v>🚛 LIBERADO</v>
      </c>
      <c r="F712" s="5">
        <f ca="1">IFERROR(__xludf.UNSUPPORTED("""COMPUTED_VALUE"""),0)</f>
        <v>0</v>
      </c>
      <c r="G712" s="3" t="str">
        <f ca="1">IFERROR(__xludf.UNSUPPORTED("""COMPUTED_VALUE"""),"Normalidade")</f>
        <v>Normalidade</v>
      </c>
      <c r="H712" s="4">
        <f ca="1">IFERROR(__xludf.UNSUPPORTED("""COMPUTED_VALUE"""),45128.3843171296)</f>
        <v>45128.384317129603</v>
      </c>
      <c r="I712" s="3">
        <f ca="1">IFERROR(__xludf.UNSUPPORTED("""COMPUTED_VALUE"""),24)</f>
        <v>24</v>
      </c>
      <c r="J712" s="4">
        <f ca="1">IFERROR(__xludf.UNSUPPORTED("""COMPUTED_VALUE"""),45129.3843171296)</f>
        <v>45129.384317129603</v>
      </c>
      <c r="L712" s="3" t="str">
        <f ca="1">IFERROR(__xludf.UNSUPPORTED("""COMPUTED_VALUE"""),"Normalidade")</f>
        <v>Normalidade</v>
      </c>
    </row>
    <row r="713" spans="1:12" ht="12.75">
      <c r="A713" s="3" t="str">
        <f ca="1">IFERROR(__xludf.UNSUPPORTED("""COMPUTED_VALUE"""),"79a6167e")</f>
        <v>79a6167e</v>
      </c>
      <c r="B713" s="4">
        <f ca="1">IFERROR(__xludf.UNSUPPORTED("""COMPUTED_VALUE"""),45138.3106944444)</f>
        <v>45138.310694444401</v>
      </c>
      <c r="C713" s="7" t="str">
        <f ca="1">IFERROR(__xludf.UNSUPPORTED("""COMPUTED_VALUE"""),"Ilhéus")</f>
        <v>Ilhéus</v>
      </c>
      <c r="D713" s="3" t="str">
        <f ca="1">IFERROR(__xludf.UNSUPPORTED("""COMPUTED_VALUE"""),"🚢 REGULAR")</f>
        <v>🚢 REGULAR</v>
      </c>
      <c r="E713" s="3" t="str">
        <f ca="1">IFERROR(__xludf.UNSUPPORTED("""COMPUTED_VALUE"""),"🚛 LIBERADO")</f>
        <v>🚛 LIBERADO</v>
      </c>
      <c r="F713" s="5">
        <f ca="1">IFERROR(__xludf.UNSUPPORTED("""COMPUTED_VALUE"""),0)</f>
        <v>0</v>
      </c>
      <c r="G713" s="3" t="str">
        <f ca="1">IFERROR(__xludf.UNSUPPORTED("""COMPUTED_VALUE"""),"Normalidade")</f>
        <v>Normalidade</v>
      </c>
      <c r="H713" s="4">
        <f ca="1">IFERROR(__xludf.UNSUPPORTED("""COMPUTED_VALUE"""),45138.3106944444)</f>
        <v>45138.310694444401</v>
      </c>
      <c r="I713" s="3">
        <f ca="1">IFERROR(__xludf.UNSUPPORTED("""COMPUTED_VALUE"""),24)</f>
        <v>24</v>
      </c>
      <c r="J713" s="4">
        <f ca="1">IFERROR(__xludf.UNSUPPORTED("""COMPUTED_VALUE"""),45139.3106944444)</f>
        <v>45139.310694444401</v>
      </c>
      <c r="L713" s="3" t="str">
        <f ca="1">IFERROR(__xludf.UNSUPPORTED("""COMPUTED_VALUE"""),"Normalidade")</f>
        <v>Normalidade</v>
      </c>
    </row>
    <row r="714" spans="1:12" ht="12.75">
      <c r="A714" s="3" t="str">
        <f ca="1">IFERROR(__xludf.UNSUPPORTED("""COMPUTED_VALUE"""),"4062e90a")</f>
        <v>4062e90a</v>
      </c>
      <c r="B714" s="4">
        <f ca="1">IFERROR(__xludf.UNSUPPORTED("""COMPUTED_VALUE"""),45139.3808101851)</f>
        <v>45139.380810185103</v>
      </c>
      <c r="C714" s="8" t="str">
        <f ca="1">IFERROR(__xludf.UNSUPPORTED("""COMPUTED_VALUE"""),"Ilhéus")</f>
        <v>Ilhéus</v>
      </c>
      <c r="D714" s="3" t="str">
        <f ca="1">IFERROR(__xludf.UNSUPPORTED("""COMPUTED_VALUE"""),"🚢 REGULAR")</f>
        <v>🚢 REGULAR</v>
      </c>
      <c r="E714" s="3" t="str">
        <f ca="1">IFERROR(__xludf.UNSUPPORTED("""COMPUTED_VALUE"""),"🚛 LIBERADO")</f>
        <v>🚛 LIBERADO</v>
      </c>
      <c r="F714" s="5">
        <f ca="1">IFERROR(__xludf.UNSUPPORTED("""COMPUTED_VALUE"""),0)</f>
        <v>0</v>
      </c>
      <c r="G714" s="3" t="str">
        <f ca="1">IFERROR(__xludf.UNSUPPORTED("""COMPUTED_VALUE"""),"Normalidade")</f>
        <v>Normalidade</v>
      </c>
      <c r="H714" s="4">
        <f ca="1">IFERROR(__xludf.UNSUPPORTED("""COMPUTED_VALUE"""),45139.3808101851)</f>
        <v>45139.380810185103</v>
      </c>
      <c r="I714" s="3">
        <f ca="1">IFERROR(__xludf.UNSUPPORTED("""COMPUTED_VALUE"""),24)</f>
        <v>24</v>
      </c>
      <c r="J714" s="4">
        <f ca="1">IFERROR(__xludf.UNSUPPORTED("""COMPUTED_VALUE"""),45140.3808101851)</f>
        <v>45140.380810185103</v>
      </c>
      <c r="L714" s="3" t="str">
        <f ca="1">IFERROR(__xludf.UNSUPPORTED("""COMPUTED_VALUE"""),"Normalidade")</f>
        <v>Normalidade</v>
      </c>
    </row>
    <row r="715" spans="1:12" ht="12.75">
      <c r="A715" s="3" t="str">
        <f ca="1">IFERROR(__xludf.UNSUPPORTED("""COMPUTED_VALUE"""),"0d536520")</f>
        <v>0d536520</v>
      </c>
      <c r="B715" s="4">
        <f ca="1">IFERROR(__xludf.UNSUPPORTED("""COMPUTED_VALUE"""),45141.3801157406)</f>
        <v>45141.380115740598</v>
      </c>
      <c r="C715" s="7" t="str">
        <f ca="1">IFERROR(__xludf.UNSUPPORTED("""COMPUTED_VALUE"""),"Ilhéus")</f>
        <v>Ilhéus</v>
      </c>
      <c r="D715" s="3" t="str">
        <f ca="1">IFERROR(__xludf.UNSUPPORTED("""COMPUTED_VALUE"""),"🚢 REGULAR")</f>
        <v>🚢 REGULAR</v>
      </c>
      <c r="E715" s="3" t="str">
        <f ca="1">IFERROR(__xludf.UNSUPPORTED("""COMPUTED_VALUE"""),"🚛 LIBERADO")</f>
        <v>🚛 LIBERADO</v>
      </c>
      <c r="F715" s="5">
        <f ca="1">IFERROR(__xludf.UNSUPPORTED("""COMPUTED_VALUE"""),0)</f>
        <v>0</v>
      </c>
      <c r="G715" s="3" t="str">
        <f ca="1">IFERROR(__xludf.UNSUPPORTED("""COMPUTED_VALUE"""),"Normalidade")</f>
        <v>Normalidade</v>
      </c>
      <c r="H715" s="4">
        <f ca="1">IFERROR(__xludf.UNSUPPORTED("""COMPUTED_VALUE"""),45141.3801157406)</f>
        <v>45141.380115740598</v>
      </c>
      <c r="I715" s="3">
        <f ca="1">IFERROR(__xludf.UNSUPPORTED("""COMPUTED_VALUE"""),24)</f>
        <v>24</v>
      </c>
      <c r="J715" s="4">
        <f ca="1">IFERROR(__xludf.UNSUPPORTED("""COMPUTED_VALUE"""),45142.3801157406)</f>
        <v>45142.380115740598</v>
      </c>
      <c r="L715" s="3" t="str">
        <f ca="1">IFERROR(__xludf.UNSUPPORTED("""COMPUTED_VALUE"""),"Normalidade")</f>
        <v>Normalidade</v>
      </c>
    </row>
    <row r="716" spans="1:12" ht="12.75">
      <c r="A716" s="3" t="str">
        <f ca="1">IFERROR(__xludf.UNSUPPORTED("""COMPUTED_VALUE"""),"63c614c3")</f>
        <v>63c614c3</v>
      </c>
      <c r="B716" s="4">
        <f ca="1">IFERROR(__xludf.UNSUPPORTED("""COMPUTED_VALUE"""),45142.4198726851)</f>
        <v>45142.419872685103</v>
      </c>
      <c r="C716" s="7" t="str">
        <f ca="1">IFERROR(__xludf.UNSUPPORTED("""COMPUTED_VALUE"""),"Ilhéus")</f>
        <v>Ilhéus</v>
      </c>
      <c r="D716" s="3" t="str">
        <f ca="1">IFERROR(__xludf.UNSUPPORTED("""COMPUTED_VALUE"""),"🚢 REGULAR")</f>
        <v>🚢 REGULAR</v>
      </c>
      <c r="E716" s="3" t="str">
        <f ca="1">IFERROR(__xludf.UNSUPPORTED("""COMPUTED_VALUE"""),"🚛 LIBERADO")</f>
        <v>🚛 LIBERADO</v>
      </c>
      <c r="F716" s="5">
        <f ca="1">IFERROR(__xludf.UNSUPPORTED("""COMPUTED_VALUE"""),0)</f>
        <v>0</v>
      </c>
      <c r="G716" s="3" t="str">
        <f ca="1">IFERROR(__xludf.UNSUPPORTED("""COMPUTED_VALUE"""),"Normalidade")</f>
        <v>Normalidade</v>
      </c>
      <c r="H716" s="4">
        <f ca="1">IFERROR(__xludf.UNSUPPORTED("""COMPUTED_VALUE"""),45142.4198726851)</f>
        <v>45142.419872685103</v>
      </c>
      <c r="I716" s="3">
        <f ca="1">IFERROR(__xludf.UNSUPPORTED("""COMPUTED_VALUE"""),24)</f>
        <v>24</v>
      </c>
      <c r="J716" s="4">
        <f ca="1">IFERROR(__xludf.UNSUPPORTED("""COMPUTED_VALUE"""),45143.4198726851)</f>
        <v>45143.419872685103</v>
      </c>
      <c r="L716" s="3" t="str">
        <f ca="1">IFERROR(__xludf.UNSUPPORTED("""COMPUTED_VALUE"""),"Normalidade")</f>
        <v>Normalidade</v>
      </c>
    </row>
    <row r="717" spans="1:12" ht="12.75">
      <c r="A717" s="3" t="str">
        <f ca="1">IFERROR(__xludf.UNSUPPORTED("""COMPUTED_VALUE"""),"df348203")</f>
        <v>df348203</v>
      </c>
      <c r="B717" s="4">
        <f ca="1">IFERROR(__xludf.UNSUPPORTED("""COMPUTED_VALUE"""),45145.3364236111)</f>
        <v>45145.336423611101</v>
      </c>
      <c r="C717" s="8" t="str">
        <f ca="1">IFERROR(__xludf.UNSUPPORTED("""COMPUTED_VALUE"""),"Ilhéus")</f>
        <v>Ilhéus</v>
      </c>
      <c r="D717" s="3" t="str">
        <f ca="1">IFERROR(__xludf.UNSUPPORTED("""COMPUTED_VALUE"""),"🚢 REGULAR")</f>
        <v>🚢 REGULAR</v>
      </c>
      <c r="E717" s="3" t="str">
        <f ca="1">IFERROR(__xludf.UNSUPPORTED("""COMPUTED_VALUE"""),"🚛 LIBERADO")</f>
        <v>🚛 LIBERADO</v>
      </c>
      <c r="F717" s="5">
        <f ca="1">IFERROR(__xludf.UNSUPPORTED("""COMPUTED_VALUE"""),0)</f>
        <v>0</v>
      </c>
      <c r="G717" s="3" t="str">
        <f ca="1">IFERROR(__xludf.UNSUPPORTED("""COMPUTED_VALUE"""),"Normalidade")</f>
        <v>Normalidade</v>
      </c>
      <c r="H717" s="4">
        <f ca="1">IFERROR(__xludf.UNSUPPORTED("""COMPUTED_VALUE"""),45145.3364236111)</f>
        <v>45145.336423611101</v>
      </c>
      <c r="I717" s="3">
        <f ca="1">IFERROR(__xludf.UNSUPPORTED("""COMPUTED_VALUE"""),24)</f>
        <v>24</v>
      </c>
      <c r="J717" s="4">
        <f ca="1">IFERROR(__xludf.UNSUPPORTED("""COMPUTED_VALUE"""),45146.3364236111)</f>
        <v>45146.336423611101</v>
      </c>
      <c r="L717" s="3" t="str">
        <f ca="1">IFERROR(__xludf.UNSUPPORTED("""COMPUTED_VALUE"""),"Normalidade")</f>
        <v>Normalidade</v>
      </c>
    </row>
    <row r="718" spans="1:12" ht="12.75">
      <c r="A718" s="3" t="str">
        <f ca="1">IFERROR(__xludf.UNSUPPORTED("""COMPUTED_VALUE"""),"10a3ad70")</f>
        <v>10a3ad70</v>
      </c>
      <c r="B718" s="4">
        <f ca="1">IFERROR(__xludf.UNSUPPORTED("""COMPUTED_VALUE"""),45146.4569097222)</f>
        <v>45146.456909722197</v>
      </c>
      <c r="C718" s="7" t="str">
        <f ca="1">IFERROR(__xludf.UNSUPPORTED("""COMPUTED_VALUE"""),"Ilhéus")</f>
        <v>Ilhéus</v>
      </c>
      <c r="D718" s="3" t="str">
        <f ca="1">IFERROR(__xludf.UNSUPPORTED("""COMPUTED_VALUE"""),"🚢 REGULAR")</f>
        <v>🚢 REGULAR</v>
      </c>
      <c r="E718" s="3" t="str">
        <f ca="1">IFERROR(__xludf.UNSUPPORTED("""COMPUTED_VALUE"""),"🚛 LIBERADO")</f>
        <v>🚛 LIBERADO</v>
      </c>
      <c r="F718" s="5">
        <f ca="1">IFERROR(__xludf.UNSUPPORTED("""COMPUTED_VALUE"""),0)</f>
        <v>0</v>
      </c>
      <c r="G718" s="3" t="str">
        <f ca="1">IFERROR(__xludf.UNSUPPORTED("""COMPUTED_VALUE"""),"Normalidade")</f>
        <v>Normalidade</v>
      </c>
      <c r="H718" s="4">
        <f ca="1">IFERROR(__xludf.UNSUPPORTED("""COMPUTED_VALUE"""),45146.4569097222)</f>
        <v>45146.456909722197</v>
      </c>
      <c r="I718" s="3">
        <f ca="1">IFERROR(__xludf.UNSUPPORTED("""COMPUTED_VALUE"""),24)</f>
        <v>24</v>
      </c>
      <c r="J718" s="4">
        <f ca="1">IFERROR(__xludf.UNSUPPORTED("""COMPUTED_VALUE"""),45147.4569097222)</f>
        <v>45147.456909722197</v>
      </c>
      <c r="L718" s="3" t="str">
        <f ca="1">IFERROR(__xludf.UNSUPPORTED("""COMPUTED_VALUE"""),"Normalidade")</f>
        <v>Normalidade</v>
      </c>
    </row>
    <row r="719" spans="1:12" ht="12.75">
      <c r="A719" s="3" t="str">
        <f ca="1">IFERROR(__xludf.UNSUPPORTED("""COMPUTED_VALUE"""),"7c64bf9d")</f>
        <v>7c64bf9d</v>
      </c>
      <c r="B719" s="4">
        <f ca="1">IFERROR(__xludf.UNSUPPORTED("""COMPUTED_VALUE"""),45148.4384143518)</f>
        <v>45148.438414351796</v>
      </c>
      <c r="C719" s="8" t="str">
        <f ca="1">IFERROR(__xludf.UNSUPPORTED("""COMPUTED_VALUE"""),"Ilhéus")</f>
        <v>Ilhéus</v>
      </c>
      <c r="D719" s="3" t="str">
        <f ca="1">IFERROR(__xludf.UNSUPPORTED("""COMPUTED_VALUE"""),"🚢 REGULAR")</f>
        <v>🚢 REGULAR</v>
      </c>
      <c r="E719" s="3" t="str">
        <f ca="1">IFERROR(__xludf.UNSUPPORTED("""COMPUTED_VALUE"""),"🚛 LIBERADO")</f>
        <v>🚛 LIBERADO</v>
      </c>
      <c r="F719" s="5">
        <f ca="1">IFERROR(__xludf.UNSUPPORTED("""COMPUTED_VALUE"""),0)</f>
        <v>0</v>
      </c>
      <c r="G719" s="3" t="str">
        <f ca="1">IFERROR(__xludf.UNSUPPORTED("""COMPUTED_VALUE"""),"Normalidade")</f>
        <v>Normalidade</v>
      </c>
      <c r="H719" s="4">
        <f ca="1">IFERROR(__xludf.UNSUPPORTED("""COMPUTED_VALUE"""),45148.4384143518)</f>
        <v>45148.438414351796</v>
      </c>
      <c r="I719" s="3">
        <f ca="1">IFERROR(__xludf.UNSUPPORTED("""COMPUTED_VALUE"""),24)</f>
        <v>24</v>
      </c>
      <c r="J719" s="4">
        <f ca="1">IFERROR(__xludf.UNSUPPORTED("""COMPUTED_VALUE"""),45149.4384143518)</f>
        <v>45149.438414351796</v>
      </c>
      <c r="L719" s="3" t="str">
        <f ca="1">IFERROR(__xludf.UNSUPPORTED("""COMPUTED_VALUE"""),"Normalidade")</f>
        <v>Normalidade</v>
      </c>
    </row>
    <row r="720" spans="1:12" ht="12.75">
      <c r="A720" s="3" t="str">
        <f ca="1">IFERROR(__xludf.UNSUPPORTED("""COMPUTED_VALUE"""),"2aa375f8")</f>
        <v>2aa375f8</v>
      </c>
      <c r="B720" s="4">
        <f ca="1">IFERROR(__xludf.UNSUPPORTED("""COMPUTED_VALUE"""),45150.3694212962)</f>
        <v>45150.3694212962</v>
      </c>
      <c r="C720" s="7" t="str">
        <f ca="1">IFERROR(__xludf.UNSUPPORTED("""COMPUTED_VALUE"""),"Ilhéus")</f>
        <v>Ilhéus</v>
      </c>
      <c r="D720" s="3" t="str">
        <f ca="1">IFERROR(__xludf.UNSUPPORTED("""COMPUTED_VALUE"""),"🚢 REGULAR")</f>
        <v>🚢 REGULAR</v>
      </c>
      <c r="E720" s="3" t="str">
        <f ca="1">IFERROR(__xludf.UNSUPPORTED("""COMPUTED_VALUE"""),"🚛 LIBERADO")</f>
        <v>🚛 LIBERADO</v>
      </c>
      <c r="F720" s="5">
        <f ca="1">IFERROR(__xludf.UNSUPPORTED("""COMPUTED_VALUE"""),0)</f>
        <v>0</v>
      </c>
      <c r="G720" s="3" t="str">
        <f ca="1">IFERROR(__xludf.UNSUPPORTED("""COMPUTED_VALUE"""),"Normalidade")</f>
        <v>Normalidade</v>
      </c>
      <c r="H720" s="4">
        <f ca="1">IFERROR(__xludf.UNSUPPORTED("""COMPUTED_VALUE"""),45150.3694212962)</f>
        <v>45150.3694212962</v>
      </c>
      <c r="I720" s="3">
        <f ca="1">IFERROR(__xludf.UNSUPPORTED("""COMPUTED_VALUE"""),24)</f>
        <v>24</v>
      </c>
      <c r="J720" s="4">
        <f ca="1">IFERROR(__xludf.UNSUPPORTED("""COMPUTED_VALUE"""),45151.3694212962)</f>
        <v>45151.3694212962</v>
      </c>
      <c r="L720" s="3" t="str">
        <f ca="1">IFERROR(__xludf.UNSUPPORTED("""COMPUTED_VALUE"""),"Normalidade")</f>
        <v>Normalidade</v>
      </c>
    </row>
    <row r="721" spans="1:12" ht="12.75">
      <c r="A721" s="3" t="str">
        <f ca="1">IFERROR(__xludf.UNSUPPORTED("""COMPUTED_VALUE"""),"4f89c879")</f>
        <v>4f89c879</v>
      </c>
      <c r="B721" s="4">
        <f ca="1">IFERROR(__xludf.UNSUPPORTED("""COMPUTED_VALUE"""),45152.3918518518)</f>
        <v>45152.391851851797</v>
      </c>
      <c r="C721" s="7" t="str">
        <f ca="1">IFERROR(__xludf.UNSUPPORTED("""COMPUTED_VALUE"""),"Ilhéus")</f>
        <v>Ilhéus</v>
      </c>
      <c r="D721" s="3" t="str">
        <f ca="1">IFERROR(__xludf.UNSUPPORTED("""COMPUTED_VALUE"""),"🚢 REGULAR")</f>
        <v>🚢 REGULAR</v>
      </c>
      <c r="E721" s="3" t="str">
        <f ca="1">IFERROR(__xludf.UNSUPPORTED("""COMPUTED_VALUE"""),"🚛 LIBERADO")</f>
        <v>🚛 LIBERADO</v>
      </c>
      <c r="F721" s="5">
        <f ca="1">IFERROR(__xludf.UNSUPPORTED("""COMPUTED_VALUE"""),0)</f>
        <v>0</v>
      </c>
      <c r="G721" s="3" t="str">
        <f ca="1">IFERROR(__xludf.UNSUPPORTED("""COMPUTED_VALUE"""),"Normalidade")</f>
        <v>Normalidade</v>
      </c>
      <c r="H721" s="4">
        <f ca="1">IFERROR(__xludf.UNSUPPORTED("""COMPUTED_VALUE"""),45152.3918518518)</f>
        <v>45152.391851851797</v>
      </c>
      <c r="I721" s="3">
        <f ca="1">IFERROR(__xludf.UNSUPPORTED("""COMPUTED_VALUE"""),24)</f>
        <v>24</v>
      </c>
      <c r="J721" s="4">
        <f ca="1">IFERROR(__xludf.UNSUPPORTED("""COMPUTED_VALUE"""),45153.3918518518)</f>
        <v>45153.391851851797</v>
      </c>
      <c r="L721" s="3" t="str">
        <f ca="1">IFERROR(__xludf.UNSUPPORTED("""COMPUTED_VALUE"""),"Normalidade")</f>
        <v>Normalidade</v>
      </c>
    </row>
    <row r="722" spans="1:12" ht="12.75">
      <c r="A722" s="3" t="str">
        <f ca="1">IFERROR(__xludf.UNSUPPORTED("""COMPUTED_VALUE"""),"6d33a098")</f>
        <v>6d33a098</v>
      </c>
      <c r="B722" s="4">
        <f ca="1">IFERROR(__xludf.UNSUPPORTED("""COMPUTED_VALUE"""),45154.4420486111)</f>
        <v>45154.442048611098</v>
      </c>
      <c r="C722" s="7" t="str">
        <f ca="1">IFERROR(__xludf.UNSUPPORTED("""COMPUTED_VALUE"""),"Ilhéus")</f>
        <v>Ilhéus</v>
      </c>
      <c r="D722" s="3" t="str">
        <f ca="1">IFERROR(__xludf.UNSUPPORTED("""COMPUTED_VALUE"""),"🚢 REGULAR")</f>
        <v>🚢 REGULAR</v>
      </c>
      <c r="E722" s="3" t="str">
        <f ca="1">IFERROR(__xludf.UNSUPPORTED("""COMPUTED_VALUE"""),"🚛 LIBERADO")</f>
        <v>🚛 LIBERADO</v>
      </c>
      <c r="F722" s="5">
        <f ca="1">IFERROR(__xludf.UNSUPPORTED("""COMPUTED_VALUE"""),0)</f>
        <v>0</v>
      </c>
      <c r="G722" s="3" t="str">
        <f ca="1">IFERROR(__xludf.UNSUPPORTED("""COMPUTED_VALUE"""),"Normalidade")</f>
        <v>Normalidade</v>
      </c>
      <c r="H722" s="4">
        <f ca="1">IFERROR(__xludf.UNSUPPORTED("""COMPUTED_VALUE"""),45154.4420486111)</f>
        <v>45154.442048611098</v>
      </c>
      <c r="I722" s="3">
        <f ca="1">IFERROR(__xludf.UNSUPPORTED("""COMPUTED_VALUE"""),24)</f>
        <v>24</v>
      </c>
      <c r="J722" s="4">
        <f ca="1">IFERROR(__xludf.UNSUPPORTED("""COMPUTED_VALUE"""),45155.4420486111)</f>
        <v>45155.442048611098</v>
      </c>
      <c r="L722" s="3" t="str">
        <f ca="1">IFERROR(__xludf.UNSUPPORTED("""COMPUTED_VALUE"""),"Normalidade")</f>
        <v>Normalidade</v>
      </c>
    </row>
    <row r="723" spans="1:12" ht="12.75">
      <c r="A723" s="3" t="str">
        <f ca="1">IFERROR(__xludf.UNSUPPORTED("""COMPUTED_VALUE"""),"dcc56d7b")</f>
        <v>dcc56d7b</v>
      </c>
      <c r="B723" s="4">
        <f ca="1">IFERROR(__xludf.UNSUPPORTED("""COMPUTED_VALUE"""),45156.5025462962)</f>
        <v>45156.5025462962</v>
      </c>
      <c r="C723" s="8" t="str">
        <f ca="1">IFERROR(__xludf.UNSUPPORTED("""COMPUTED_VALUE"""),"Ilhéus")</f>
        <v>Ilhéus</v>
      </c>
      <c r="D723" s="3" t="str">
        <f ca="1">IFERROR(__xludf.UNSUPPORTED("""COMPUTED_VALUE"""),"🚢 REGULAR")</f>
        <v>🚢 REGULAR</v>
      </c>
      <c r="E723" s="3" t="str">
        <f ca="1">IFERROR(__xludf.UNSUPPORTED("""COMPUTED_VALUE"""),"🚛 LIBERADO")</f>
        <v>🚛 LIBERADO</v>
      </c>
      <c r="F723" s="5">
        <f ca="1">IFERROR(__xludf.UNSUPPORTED("""COMPUTED_VALUE"""),0)</f>
        <v>0</v>
      </c>
      <c r="G723" s="3" t="str">
        <f ca="1">IFERROR(__xludf.UNSUPPORTED("""COMPUTED_VALUE"""),"Normalidade")</f>
        <v>Normalidade</v>
      </c>
      <c r="H723" s="4">
        <f ca="1">IFERROR(__xludf.UNSUPPORTED("""COMPUTED_VALUE"""),45156.5025462962)</f>
        <v>45156.5025462962</v>
      </c>
      <c r="I723" s="3">
        <f ca="1">IFERROR(__xludf.UNSUPPORTED("""COMPUTED_VALUE"""),24)</f>
        <v>24</v>
      </c>
      <c r="J723" s="4">
        <f ca="1">IFERROR(__xludf.UNSUPPORTED("""COMPUTED_VALUE"""),45157.5025462962)</f>
        <v>45157.5025462962</v>
      </c>
      <c r="L723" s="3" t="str">
        <f ca="1">IFERROR(__xludf.UNSUPPORTED("""COMPUTED_VALUE"""),"Normalidade")</f>
        <v>Normalidade</v>
      </c>
    </row>
    <row r="724" spans="1:12" ht="12.75">
      <c r="A724" s="3" t="str">
        <f ca="1">IFERROR(__xludf.UNSUPPORTED("""COMPUTED_VALUE"""),"5ec0db56")</f>
        <v>5ec0db56</v>
      </c>
      <c r="B724" s="4">
        <f ca="1">IFERROR(__xludf.UNSUPPORTED("""COMPUTED_VALUE"""),45159.3919444444)</f>
        <v>45159.391944444404</v>
      </c>
      <c r="C724" s="7" t="str">
        <f ca="1">IFERROR(__xludf.UNSUPPORTED("""COMPUTED_VALUE"""),"Ilhéus")</f>
        <v>Ilhéus</v>
      </c>
      <c r="D724" s="3" t="str">
        <f ca="1">IFERROR(__xludf.UNSUPPORTED("""COMPUTED_VALUE"""),"🚢 REGULAR")</f>
        <v>🚢 REGULAR</v>
      </c>
      <c r="E724" s="3" t="str">
        <f ca="1">IFERROR(__xludf.UNSUPPORTED("""COMPUTED_VALUE"""),"🚛 LIBERADO")</f>
        <v>🚛 LIBERADO</v>
      </c>
      <c r="F724" s="5">
        <f ca="1">IFERROR(__xludf.UNSUPPORTED("""COMPUTED_VALUE"""),0)</f>
        <v>0</v>
      </c>
      <c r="G724" s="3" t="str">
        <f ca="1">IFERROR(__xludf.UNSUPPORTED("""COMPUTED_VALUE"""),"Normalidade")</f>
        <v>Normalidade</v>
      </c>
      <c r="H724" s="4">
        <f ca="1">IFERROR(__xludf.UNSUPPORTED("""COMPUTED_VALUE"""),45159.3919444444)</f>
        <v>45159.391944444404</v>
      </c>
      <c r="I724" s="3">
        <f ca="1">IFERROR(__xludf.UNSUPPORTED("""COMPUTED_VALUE"""),24)</f>
        <v>24</v>
      </c>
      <c r="J724" s="4">
        <f ca="1">IFERROR(__xludf.UNSUPPORTED("""COMPUTED_VALUE"""),45160.3919444444)</f>
        <v>45160.391944444404</v>
      </c>
      <c r="L724" s="3" t="str">
        <f ca="1">IFERROR(__xludf.UNSUPPORTED("""COMPUTED_VALUE"""),"Normalidade")</f>
        <v>Normalidade</v>
      </c>
    </row>
    <row r="725" spans="1:12" ht="12.75">
      <c r="A725" s="3" t="str">
        <f ca="1">IFERROR(__xludf.UNSUPPORTED("""COMPUTED_VALUE"""),"5b10762b")</f>
        <v>5b10762b</v>
      </c>
      <c r="B725" s="4">
        <f ca="1">IFERROR(__xludf.UNSUPPORTED("""COMPUTED_VALUE"""),45161.329386574)</f>
        <v>45161.329386573998</v>
      </c>
      <c r="C725" s="8" t="str">
        <f ca="1">IFERROR(__xludf.UNSUPPORTED("""COMPUTED_VALUE"""),"Ilhéus")</f>
        <v>Ilhéus</v>
      </c>
      <c r="D725" s="3" t="str">
        <f ca="1">IFERROR(__xludf.UNSUPPORTED("""COMPUTED_VALUE"""),"🚢 REGULAR")</f>
        <v>🚢 REGULAR</v>
      </c>
      <c r="E725" s="3" t="str">
        <f ca="1">IFERROR(__xludf.UNSUPPORTED("""COMPUTED_VALUE"""),"🚛 LIBERADO")</f>
        <v>🚛 LIBERADO</v>
      </c>
      <c r="F725" s="5">
        <f ca="1">IFERROR(__xludf.UNSUPPORTED("""COMPUTED_VALUE"""),0)</f>
        <v>0</v>
      </c>
      <c r="G725" s="3" t="str">
        <f ca="1">IFERROR(__xludf.UNSUPPORTED("""COMPUTED_VALUE"""),"Normalidade")</f>
        <v>Normalidade</v>
      </c>
      <c r="H725" s="4">
        <f ca="1">IFERROR(__xludf.UNSUPPORTED("""COMPUTED_VALUE"""),45161.329386574)</f>
        <v>45161.329386573998</v>
      </c>
      <c r="I725" s="3">
        <f ca="1">IFERROR(__xludf.UNSUPPORTED("""COMPUTED_VALUE"""),24)</f>
        <v>24</v>
      </c>
      <c r="J725" s="4">
        <f ca="1">IFERROR(__xludf.UNSUPPORTED("""COMPUTED_VALUE"""),45162.329386574)</f>
        <v>45162.329386573998</v>
      </c>
      <c r="L725" s="3" t="str">
        <f ca="1">IFERROR(__xludf.UNSUPPORTED("""COMPUTED_VALUE"""),"Normalidade")</f>
        <v>Normalidade</v>
      </c>
    </row>
    <row r="726" spans="1:12" ht="12.75">
      <c r="A726" s="3" t="str">
        <f ca="1">IFERROR(__xludf.UNSUPPORTED("""COMPUTED_VALUE"""),"dc0719f3")</f>
        <v>dc0719f3</v>
      </c>
      <c r="B726" s="4">
        <f ca="1">IFERROR(__xludf.UNSUPPORTED("""COMPUTED_VALUE"""),45163.4710532407)</f>
        <v>45163.471053240697</v>
      </c>
      <c r="C726" s="8" t="str">
        <f ca="1">IFERROR(__xludf.UNSUPPORTED("""COMPUTED_VALUE"""),"Ilhéus")</f>
        <v>Ilhéus</v>
      </c>
      <c r="D726" s="3" t="str">
        <f ca="1">IFERROR(__xludf.UNSUPPORTED("""COMPUTED_VALUE"""),"🚢 REGULAR")</f>
        <v>🚢 REGULAR</v>
      </c>
      <c r="E726" s="3" t="str">
        <f ca="1">IFERROR(__xludf.UNSUPPORTED("""COMPUTED_VALUE"""),"🚛 LIBERADO")</f>
        <v>🚛 LIBERADO</v>
      </c>
      <c r="F726" s="5">
        <f ca="1">IFERROR(__xludf.UNSUPPORTED("""COMPUTED_VALUE"""),0)</f>
        <v>0</v>
      </c>
      <c r="G726" s="3" t="str">
        <f ca="1">IFERROR(__xludf.UNSUPPORTED("""COMPUTED_VALUE"""),"Normalidade")</f>
        <v>Normalidade</v>
      </c>
      <c r="H726" s="4">
        <f ca="1">IFERROR(__xludf.UNSUPPORTED("""COMPUTED_VALUE"""),45163.4710532407)</f>
        <v>45163.471053240697</v>
      </c>
      <c r="I726" s="3">
        <f ca="1">IFERROR(__xludf.UNSUPPORTED("""COMPUTED_VALUE"""),24)</f>
        <v>24</v>
      </c>
      <c r="J726" s="4">
        <f ca="1">IFERROR(__xludf.UNSUPPORTED("""COMPUTED_VALUE"""),45164.4710532407)</f>
        <v>45164.471053240697</v>
      </c>
      <c r="L726" s="3" t="str">
        <f ca="1">IFERROR(__xludf.UNSUPPORTED("""COMPUTED_VALUE"""),"Normalidade")</f>
        <v>Normalidade</v>
      </c>
    </row>
    <row r="727" spans="1:12" ht="12.75">
      <c r="A727" s="3" t="str">
        <f ca="1">IFERROR(__xludf.UNSUPPORTED("""COMPUTED_VALUE"""),"e881befd")</f>
        <v>e881befd</v>
      </c>
      <c r="B727" s="4">
        <f ca="1">IFERROR(__xludf.UNSUPPORTED("""COMPUTED_VALUE"""),45166.3930671296)</f>
        <v>45166.393067129597</v>
      </c>
      <c r="C727" s="7" t="str">
        <f ca="1">IFERROR(__xludf.UNSUPPORTED("""COMPUTED_VALUE"""),"Ilhéus")</f>
        <v>Ilhéus</v>
      </c>
      <c r="D727" s="3" t="str">
        <f ca="1">IFERROR(__xludf.UNSUPPORTED("""COMPUTED_VALUE"""),"🚢 REGULAR")</f>
        <v>🚢 REGULAR</v>
      </c>
      <c r="E727" s="3" t="str">
        <f ca="1">IFERROR(__xludf.UNSUPPORTED("""COMPUTED_VALUE"""),"🚛 LIBERADO")</f>
        <v>🚛 LIBERADO</v>
      </c>
      <c r="F727" s="5">
        <f ca="1">IFERROR(__xludf.UNSUPPORTED("""COMPUTED_VALUE"""),0)</f>
        <v>0</v>
      </c>
      <c r="G727" s="3" t="str">
        <f ca="1">IFERROR(__xludf.UNSUPPORTED("""COMPUTED_VALUE"""),"Normalidade")</f>
        <v>Normalidade</v>
      </c>
      <c r="H727" s="4">
        <f ca="1">IFERROR(__xludf.UNSUPPORTED("""COMPUTED_VALUE"""),45166.3930787037)</f>
        <v>45166.393078703702</v>
      </c>
      <c r="I727" s="3">
        <f ca="1">IFERROR(__xludf.UNSUPPORTED("""COMPUTED_VALUE"""),24)</f>
        <v>24</v>
      </c>
      <c r="J727" s="4">
        <f ca="1">IFERROR(__xludf.UNSUPPORTED("""COMPUTED_VALUE"""),45167.3930787037)</f>
        <v>45167.393078703702</v>
      </c>
      <c r="L727" s="3" t="str">
        <f ca="1">IFERROR(__xludf.UNSUPPORTED("""COMPUTED_VALUE"""),"Normalidade")</f>
        <v>Normalidade</v>
      </c>
    </row>
    <row r="728" spans="1:12" ht="12.75">
      <c r="A728" s="3" t="str">
        <f ca="1">IFERROR(__xludf.UNSUPPORTED("""COMPUTED_VALUE"""),"ba1d418a")</f>
        <v>ba1d418a</v>
      </c>
      <c r="B728" s="4">
        <f ca="1">IFERROR(__xludf.UNSUPPORTED("""COMPUTED_VALUE"""),45167.4224305555)</f>
        <v>45167.422430555504</v>
      </c>
      <c r="C728" s="8" t="str">
        <f ca="1">IFERROR(__xludf.UNSUPPORTED("""COMPUTED_VALUE"""),"Ilhéus")</f>
        <v>Ilhéus</v>
      </c>
      <c r="D728" s="3" t="str">
        <f ca="1">IFERROR(__xludf.UNSUPPORTED("""COMPUTED_VALUE"""),"🚢 REGULAR")</f>
        <v>🚢 REGULAR</v>
      </c>
      <c r="E728" s="3" t="str">
        <f ca="1">IFERROR(__xludf.UNSUPPORTED("""COMPUTED_VALUE"""),"🚛 LIBERADO")</f>
        <v>🚛 LIBERADO</v>
      </c>
      <c r="F728" s="5">
        <f ca="1">IFERROR(__xludf.UNSUPPORTED("""COMPUTED_VALUE"""),0)</f>
        <v>0</v>
      </c>
      <c r="G728" s="3" t="str">
        <f ca="1">IFERROR(__xludf.UNSUPPORTED("""COMPUTED_VALUE"""),"Normalidade")</f>
        <v>Normalidade</v>
      </c>
      <c r="H728" s="4">
        <f ca="1">IFERROR(__xludf.UNSUPPORTED("""COMPUTED_VALUE"""),45167.4224305555)</f>
        <v>45167.422430555504</v>
      </c>
      <c r="I728" s="3">
        <f ca="1">IFERROR(__xludf.UNSUPPORTED("""COMPUTED_VALUE"""),24)</f>
        <v>24</v>
      </c>
      <c r="J728" s="4">
        <f ca="1">IFERROR(__xludf.UNSUPPORTED("""COMPUTED_VALUE"""),45168.4224305555)</f>
        <v>45168.422430555504</v>
      </c>
      <c r="L728" s="3" t="str">
        <f ca="1">IFERROR(__xludf.UNSUPPORTED("""COMPUTED_VALUE"""),"Normalidade")</f>
        <v>Normalidade</v>
      </c>
    </row>
    <row r="729" spans="1:12" ht="12.75">
      <c r="A729" s="3" t="str">
        <f ca="1">IFERROR(__xludf.UNSUPPORTED("""COMPUTED_VALUE"""),"3637613c")</f>
        <v>3637613c</v>
      </c>
      <c r="B729" s="4">
        <f ca="1">IFERROR(__xludf.UNSUPPORTED("""COMPUTED_VALUE"""),45169.4551967591)</f>
        <v>45169.455196759103</v>
      </c>
      <c r="C729" s="8" t="str">
        <f ca="1">IFERROR(__xludf.UNSUPPORTED("""COMPUTED_VALUE"""),"Ilhéus")</f>
        <v>Ilhéus</v>
      </c>
      <c r="D729" s="3" t="str">
        <f ca="1">IFERROR(__xludf.UNSUPPORTED("""COMPUTED_VALUE"""),"🚢 REGULAR")</f>
        <v>🚢 REGULAR</v>
      </c>
      <c r="E729" s="3" t="str">
        <f ca="1">IFERROR(__xludf.UNSUPPORTED("""COMPUTED_VALUE"""),"🚛 LIBERADO")</f>
        <v>🚛 LIBERADO</v>
      </c>
      <c r="F729" s="5">
        <f ca="1">IFERROR(__xludf.UNSUPPORTED("""COMPUTED_VALUE"""),0)</f>
        <v>0</v>
      </c>
      <c r="G729" s="3" t="str">
        <f ca="1">IFERROR(__xludf.UNSUPPORTED("""COMPUTED_VALUE"""),"Normalidade")</f>
        <v>Normalidade</v>
      </c>
      <c r="H729" s="4">
        <f ca="1">IFERROR(__xludf.UNSUPPORTED("""COMPUTED_VALUE"""),45169.4551967591)</f>
        <v>45169.455196759103</v>
      </c>
      <c r="I729" s="3">
        <f ca="1">IFERROR(__xludf.UNSUPPORTED("""COMPUTED_VALUE"""),24)</f>
        <v>24</v>
      </c>
      <c r="J729" s="4">
        <f ca="1">IFERROR(__xludf.UNSUPPORTED("""COMPUTED_VALUE"""),45170.4551967591)</f>
        <v>45170.455196759103</v>
      </c>
      <c r="L729" s="3" t="str">
        <f ca="1">IFERROR(__xludf.UNSUPPORTED("""COMPUTED_VALUE"""),"Normalidade")</f>
        <v>Normalidade</v>
      </c>
    </row>
    <row r="730" spans="1:12" ht="12.75">
      <c r="A730" s="3" t="str">
        <f ca="1">IFERROR(__xludf.UNSUPPORTED("""COMPUTED_VALUE"""),"2ecf2a09")</f>
        <v>2ecf2a09</v>
      </c>
      <c r="B730" s="4">
        <f ca="1">IFERROR(__xludf.UNSUPPORTED("""COMPUTED_VALUE"""),45174.4034259259)</f>
        <v>45174.403425925899</v>
      </c>
      <c r="C730" s="7" t="str">
        <f ca="1">IFERROR(__xludf.UNSUPPORTED("""COMPUTED_VALUE"""),"Ilhéus")</f>
        <v>Ilhéus</v>
      </c>
      <c r="D730" s="3" t="str">
        <f ca="1">IFERROR(__xludf.UNSUPPORTED("""COMPUTED_VALUE"""),"🚢 REGULAR")</f>
        <v>🚢 REGULAR</v>
      </c>
      <c r="E730" s="3" t="str">
        <f ca="1">IFERROR(__xludf.UNSUPPORTED("""COMPUTED_VALUE"""),"🚛 LIBERADO")</f>
        <v>🚛 LIBERADO</v>
      </c>
      <c r="F730" s="5">
        <f ca="1">IFERROR(__xludf.UNSUPPORTED("""COMPUTED_VALUE"""),0)</f>
        <v>0</v>
      </c>
      <c r="G730" s="3" t="str">
        <f ca="1">IFERROR(__xludf.UNSUPPORTED("""COMPUTED_VALUE"""),"Normalidade")</f>
        <v>Normalidade</v>
      </c>
      <c r="H730" s="4">
        <f ca="1">IFERROR(__xludf.UNSUPPORTED("""COMPUTED_VALUE"""),45174.4034259259)</f>
        <v>45174.403425925899</v>
      </c>
      <c r="I730" s="3">
        <f ca="1">IFERROR(__xludf.UNSUPPORTED("""COMPUTED_VALUE"""),24)</f>
        <v>24</v>
      </c>
      <c r="J730" s="4">
        <f ca="1">IFERROR(__xludf.UNSUPPORTED("""COMPUTED_VALUE"""),45175.4034259259)</f>
        <v>45175.403425925899</v>
      </c>
      <c r="L730" s="3" t="str">
        <f ca="1">IFERROR(__xludf.UNSUPPORTED("""COMPUTED_VALUE"""),"Normalidade")</f>
        <v>Normalidade</v>
      </c>
    </row>
    <row r="731" spans="1:12" ht="12.75">
      <c r="A731" s="3" t="str">
        <f ca="1">IFERROR(__xludf.UNSUPPORTED("""COMPUTED_VALUE"""),"d2a90460")</f>
        <v>d2a90460</v>
      </c>
      <c r="B731" s="4">
        <f ca="1">IFERROR(__xludf.UNSUPPORTED("""COMPUTED_VALUE"""),45177.3866087962)</f>
        <v>45177.386608796201</v>
      </c>
      <c r="C731" s="7" t="str">
        <f ca="1">IFERROR(__xludf.UNSUPPORTED("""COMPUTED_VALUE"""),"Ilhéus")</f>
        <v>Ilhéus</v>
      </c>
      <c r="D731" s="3" t="str">
        <f ca="1">IFERROR(__xludf.UNSUPPORTED("""COMPUTED_VALUE"""),"🚢 REGULAR")</f>
        <v>🚢 REGULAR</v>
      </c>
      <c r="E731" s="3" t="str">
        <f ca="1">IFERROR(__xludf.UNSUPPORTED("""COMPUTED_VALUE"""),"🚛 LIBERADO")</f>
        <v>🚛 LIBERADO</v>
      </c>
      <c r="F731" s="5">
        <f ca="1">IFERROR(__xludf.UNSUPPORTED("""COMPUTED_VALUE"""),0)</f>
        <v>0</v>
      </c>
      <c r="G731" s="3" t="str">
        <f ca="1">IFERROR(__xludf.UNSUPPORTED("""COMPUTED_VALUE"""),"Normalidade")</f>
        <v>Normalidade</v>
      </c>
      <c r="H731" s="4">
        <f ca="1">IFERROR(__xludf.UNSUPPORTED("""COMPUTED_VALUE"""),45177.3866087962)</f>
        <v>45177.386608796201</v>
      </c>
      <c r="I731" s="3">
        <f ca="1">IFERROR(__xludf.UNSUPPORTED("""COMPUTED_VALUE"""),24)</f>
        <v>24</v>
      </c>
      <c r="J731" s="4">
        <f ca="1">IFERROR(__xludf.UNSUPPORTED("""COMPUTED_VALUE"""),45178.3866087962)</f>
        <v>45178.386608796201</v>
      </c>
      <c r="L731" s="3" t="str">
        <f ca="1">IFERROR(__xludf.UNSUPPORTED("""COMPUTED_VALUE"""),"Normalidade")</f>
        <v>Normalidade</v>
      </c>
    </row>
    <row r="732" spans="1:12" ht="12.75">
      <c r="A732" s="3" t="str">
        <f ca="1">IFERROR(__xludf.UNSUPPORTED("""COMPUTED_VALUE"""),"e8b364c0")</f>
        <v>e8b364c0</v>
      </c>
      <c r="B732" s="4">
        <f ca="1">IFERROR(__xludf.UNSUPPORTED("""COMPUTED_VALUE"""),45180.4203356481)</f>
        <v>45180.420335648101</v>
      </c>
      <c r="C732" s="7" t="str">
        <f ca="1">IFERROR(__xludf.UNSUPPORTED("""COMPUTED_VALUE"""),"Ilhéus")</f>
        <v>Ilhéus</v>
      </c>
      <c r="D732" s="3" t="str">
        <f ca="1">IFERROR(__xludf.UNSUPPORTED("""COMPUTED_VALUE"""),"🚢 REGULAR")</f>
        <v>🚢 REGULAR</v>
      </c>
      <c r="E732" s="3" t="str">
        <f ca="1">IFERROR(__xludf.UNSUPPORTED("""COMPUTED_VALUE"""),"🚛 LIBERADO")</f>
        <v>🚛 LIBERADO</v>
      </c>
      <c r="F732" s="5">
        <f ca="1">IFERROR(__xludf.UNSUPPORTED("""COMPUTED_VALUE"""),0)</f>
        <v>0</v>
      </c>
      <c r="G732" s="3" t="str">
        <f ca="1">IFERROR(__xludf.UNSUPPORTED("""COMPUTED_VALUE"""),"Normalidade")</f>
        <v>Normalidade</v>
      </c>
      <c r="H732" s="4">
        <f ca="1">IFERROR(__xludf.UNSUPPORTED("""COMPUTED_VALUE"""),45180.4203356481)</f>
        <v>45180.420335648101</v>
      </c>
      <c r="I732" s="3">
        <f ca="1">IFERROR(__xludf.UNSUPPORTED("""COMPUTED_VALUE"""),24)</f>
        <v>24</v>
      </c>
      <c r="J732" s="4">
        <f ca="1">IFERROR(__xludf.UNSUPPORTED("""COMPUTED_VALUE"""),45181.4203356481)</f>
        <v>45181.420335648101</v>
      </c>
      <c r="L732" s="3" t="str">
        <f ca="1">IFERROR(__xludf.UNSUPPORTED("""COMPUTED_VALUE"""),"Normalidade")</f>
        <v>Normalidade</v>
      </c>
    </row>
    <row r="733" spans="1:12" ht="12.75">
      <c r="A733" s="3" t="str">
        <f ca="1">IFERROR(__xludf.UNSUPPORTED("""COMPUTED_VALUE"""),"c3b709df")</f>
        <v>c3b709df</v>
      </c>
      <c r="B733" s="4">
        <f ca="1">IFERROR(__xludf.UNSUPPORTED("""COMPUTED_VALUE"""),45184.4259027777)</f>
        <v>45184.425902777701</v>
      </c>
      <c r="C733" s="7" t="str">
        <f ca="1">IFERROR(__xludf.UNSUPPORTED("""COMPUTED_VALUE"""),"Ilhéus")</f>
        <v>Ilhéus</v>
      </c>
      <c r="D733" s="3" t="str">
        <f ca="1">IFERROR(__xludf.UNSUPPORTED("""COMPUTED_VALUE"""),"🚢 REGULAR")</f>
        <v>🚢 REGULAR</v>
      </c>
      <c r="E733" s="3" t="str">
        <f ca="1">IFERROR(__xludf.UNSUPPORTED("""COMPUTED_VALUE"""),"🚛 LIBERADO")</f>
        <v>🚛 LIBERADO</v>
      </c>
      <c r="F733" s="5">
        <f ca="1">IFERROR(__xludf.UNSUPPORTED("""COMPUTED_VALUE"""),0)</f>
        <v>0</v>
      </c>
      <c r="G733" s="3" t="str">
        <f ca="1">IFERROR(__xludf.UNSUPPORTED("""COMPUTED_VALUE"""),"Normalidade")</f>
        <v>Normalidade</v>
      </c>
      <c r="H733" s="4">
        <f ca="1">IFERROR(__xludf.UNSUPPORTED("""COMPUTED_VALUE"""),45184.4259027777)</f>
        <v>45184.425902777701</v>
      </c>
      <c r="I733" s="3">
        <f ca="1">IFERROR(__xludf.UNSUPPORTED("""COMPUTED_VALUE"""),24)</f>
        <v>24</v>
      </c>
      <c r="J733" s="4">
        <f ca="1">IFERROR(__xludf.UNSUPPORTED("""COMPUTED_VALUE"""),45185.4259027777)</f>
        <v>45185.425902777701</v>
      </c>
      <c r="L733" s="3" t="str">
        <f ca="1">IFERROR(__xludf.UNSUPPORTED("""COMPUTED_VALUE"""),"Normalidade")</f>
        <v>Normalidade</v>
      </c>
    </row>
    <row r="734" spans="1:12" ht="12.75">
      <c r="A734" s="3" t="str">
        <f ca="1">IFERROR(__xludf.UNSUPPORTED("""COMPUTED_VALUE"""),"cfc5ff5a")</f>
        <v>cfc5ff5a</v>
      </c>
      <c r="B734" s="4">
        <f ca="1">IFERROR(__xludf.UNSUPPORTED("""COMPUTED_VALUE"""),45187.3490972222)</f>
        <v>45187.349097222199</v>
      </c>
      <c r="C734" s="7" t="str">
        <f ca="1">IFERROR(__xludf.UNSUPPORTED("""COMPUTED_VALUE"""),"Ilhéus")</f>
        <v>Ilhéus</v>
      </c>
      <c r="D734" s="3" t="str">
        <f ca="1">IFERROR(__xludf.UNSUPPORTED("""COMPUTED_VALUE"""),"🚢 REGULAR")</f>
        <v>🚢 REGULAR</v>
      </c>
      <c r="E734" s="3" t="str">
        <f ca="1">IFERROR(__xludf.UNSUPPORTED("""COMPUTED_VALUE"""),"🚛 LIBERADO")</f>
        <v>🚛 LIBERADO</v>
      </c>
      <c r="F734" s="5">
        <f ca="1">IFERROR(__xludf.UNSUPPORTED("""COMPUTED_VALUE"""),0)</f>
        <v>0</v>
      </c>
      <c r="G734" s="3" t="str">
        <f ca="1">IFERROR(__xludf.UNSUPPORTED("""COMPUTED_VALUE"""),"Normalidade")</f>
        <v>Normalidade</v>
      </c>
      <c r="H734" s="4">
        <f ca="1">IFERROR(__xludf.UNSUPPORTED("""COMPUTED_VALUE"""),45187.3490972222)</f>
        <v>45187.349097222199</v>
      </c>
      <c r="I734" s="3">
        <f ca="1">IFERROR(__xludf.UNSUPPORTED("""COMPUTED_VALUE"""),24)</f>
        <v>24</v>
      </c>
      <c r="J734" s="4">
        <f ca="1">IFERROR(__xludf.UNSUPPORTED("""COMPUTED_VALUE"""),45188.3490972222)</f>
        <v>45188.349097222199</v>
      </c>
      <c r="L734" s="3" t="str">
        <f ca="1">IFERROR(__xludf.UNSUPPORTED("""COMPUTED_VALUE"""),"Normalidade")</f>
        <v>Normalidade</v>
      </c>
    </row>
    <row r="735" spans="1:12" ht="12.75">
      <c r="A735" s="3" t="str">
        <f ca="1">IFERROR(__xludf.UNSUPPORTED("""COMPUTED_VALUE"""),"7cb7270a")</f>
        <v>7cb7270a</v>
      </c>
      <c r="B735" s="4">
        <f ca="1">IFERROR(__xludf.UNSUPPORTED("""COMPUTED_VALUE"""),45188.4118171296)</f>
        <v>45188.4118171296</v>
      </c>
      <c r="C735" s="8" t="str">
        <f ca="1">IFERROR(__xludf.UNSUPPORTED("""COMPUTED_VALUE"""),"Ilhéus")</f>
        <v>Ilhéus</v>
      </c>
      <c r="D735" s="3" t="str">
        <f ca="1">IFERROR(__xludf.UNSUPPORTED("""COMPUTED_VALUE"""),"🚢 REGULAR")</f>
        <v>🚢 REGULAR</v>
      </c>
      <c r="E735" s="3" t="str">
        <f ca="1">IFERROR(__xludf.UNSUPPORTED("""COMPUTED_VALUE"""),"🚛 LIBERADO")</f>
        <v>🚛 LIBERADO</v>
      </c>
      <c r="F735" s="5">
        <f ca="1">IFERROR(__xludf.UNSUPPORTED("""COMPUTED_VALUE"""),0)</f>
        <v>0</v>
      </c>
      <c r="G735" s="3" t="str">
        <f ca="1">IFERROR(__xludf.UNSUPPORTED("""COMPUTED_VALUE"""),"Normalidade")</f>
        <v>Normalidade</v>
      </c>
      <c r="H735" s="4">
        <f ca="1">IFERROR(__xludf.UNSUPPORTED("""COMPUTED_VALUE"""),45188.4118171296)</f>
        <v>45188.4118171296</v>
      </c>
      <c r="I735" s="3">
        <f ca="1">IFERROR(__xludf.UNSUPPORTED("""COMPUTED_VALUE"""),24)</f>
        <v>24</v>
      </c>
      <c r="J735" s="4">
        <f ca="1">IFERROR(__xludf.UNSUPPORTED("""COMPUTED_VALUE"""),45189.4118171296)</f>
        <v>45189.4118171296</v>
      </c>
      <c r="L735" s="3" t="str">
        <f ca="1">IFERROR(__xludf.UNSUPPORTED("""COMPUTED_VALUE"""),"Normalidade")</f>
        <v>Normalidade</v>
      </c>
    </row>
    <row r="736" spans="1:12" ht="12.75">
      <c r="A736" s="3" t="str">
        <f ca="1">IFERROR(__xludf.UNSUPPORTED("""COMPUTED_VALUE"""),"ec3192b9")</f>
        <v>ec3192b9</v>
      </c>
      <c r="B736" s="4">
        <f ca="1">IFERROR(__xludf.UNSUPPORTED("""COMPUTED_VALUE"""),45190.3537499999)</f>
        <v>45190.3537499999</v>
      </c>
      <c r="C736" s="8" t="str">
        <f ca="1">IFERROR(__xludf.UNSUPPORTED("""COMPUTED_VALUE"""),"Ilhéus")</f>
        <v>Ilhéus</v>
      </c>
      <c r="D736" s="3" t="str">
        <f ca="1">IFERROR(__xludf.UNSUPPORTED("""COMPUTED_VALUE"""),"🚢 REGULAR")</f>
        <v>🚢 REGULAR</v>
      </c>
      <c r="E736" s="3" t="str">
        <f ca="1">IFERROR(__xludf.UNSUPPORTED("""COMPUTED_VALUE"""),"🚛 LIBERADO")</f>
        <v>🚛 LIBERADO</v>
      </c>
      <c r="F736" s="5">
        <f ca="1">IFERROR(__xludf.UNSUPPORTED("""COMPUTED_VALUE"""),0)</f>
        <v>0</v>
      </c>
      <c r="G736" s="3" t="str">
        <f ca="1">IFERROR(__xludf.UNSUPPORTED("""COMPUTED_VALUE"""),"Normalidade")</f>
        <v>Normalidade</v>
      </c>
      <c r="H736" s="4">
        <f ca="1">IFERROR(__xludf.UNSUPPORTED("""COMPUTED_VALUE"""),45190.3537499999)</f>
        <v>45190.3537499999</v>
      </c>
      <c r="I736" s="3">
        <f ca="1">IFERROR(__xludf.UNSUPPORTED("""COMPUTED_VALUE"""),24)</f>
        <v>24</v>
      </c>
      <c r="J736" s="4">
        <f ca="1">IFERROR(__xludf.UNSUPPORTED("""COMPUTED_VALUE"""),45191.3537499999)</f>
        <v>45191.3537499999</v>
      </c>
      <c r="L736" s="3" t="str">
        <f ca="1">IFERROR(__xludf.UNSUPPORTED("""COMPUTED_VALUE"""),"Normalidade")</f>
        <v>Normalidade</v>
      </c>
    </row>
    <row r="737" spans="1:12" ht="12.75">
      <c r="A737" s="3" t="str">
        <f ca="1">IFERROR(__xludf.UNSUPPORTED("""COMPUTED_VALUE"""),"594840d4")</f>
        <v>594840d4</v>
      </c>
      <c r="B737" s="4">
        <f ca="1">IFERROR(__xludf.UNSUPPORTED("""COMPUTED_VALUE"""),45195.4581712963)</f>
        <v>45195.458171296297</v>
      </c>
      <c r="C737" s="8" t="str">
        <f ca="1">IFERROR(__xludf.UNSUPPORTED("""COMPUTED_VALUE"""),"Ilhéus")</f>
        <v>Ilhéus</v>
      </c>
      <c r="D737" s="3" t="str">
        <f ca="1">IFERROR(__xludf.UNSUPPORTED("""COMPUTED_VALUE"""),"🚢 REGULAR")</f>
        <v>🚢 REGULAR</v>
      </c>
      <c r="E737" s="3" t="str">
        <f ca="1">IFERROR(__xludf.UNSUPPORTED("""COMPUTED_VALUE"""),"🚛 LIBERADO")</f>
        <v>🚛 LIBERADO</v>
      </c>
      <c r="F737" s="5">
        <f ca="1">IFERROR(__xludf.UNSUPPORTED("""COMPUTED_VALUE"""),0)</f>
        <v>0</v>
      </c>
      <c r="G737" s="3" t="str">
        <f ca="1">IFERROR(__xludf.UNSUPPORTED("""COMPUTED_VALUE"""),"Normalidade")</f>
        <v>Normalidade</v>
      </c>
      <c r="H737" s="4">
        <f ca="1">IFERROR(__xludf.UNSUPPORTED("""COMPUTED_VALUE"""),45195.4581712963)</f>
        <v>45195.458171296297</v>
      </c>
      <c r="I737" s="3">
        <f ca="1">IFERROR(__xludf.UNSUPPORTED("""COMPUTED_VALUE"""),24)</f>
        <v>24</v>
      </c>
      <c r="J737" s="4">
        <f ca="1">IFERROR(__xludf.UNSUPPORTED("""COMPUTED_VALUE"""),45196.4581712963)</f>
        <v>45196.458171296297</v>
      </c>
      <c r="L737" s="3" t="str">
        <f ca="1">IFERROR(__xludf.UNSUPPORTED("""COMPUTED_VALUE"""),"Normalidade")</f>
        <v>Normalidade</v>
      </c>
    </row>
    <row r="738" spans="1:12" ht="12.75">
      <c r="A738" s="3" t="str">
        <f ca="1">IFERROR(__xludf.UNSUPPORTED("""COMPUTED_VALUE"""),"806d4a86")</f>
        <v>806d4a86</v>
      </c>
      <c r="B738" s="4">
        <f ca="1">IFERROR(__xludf.UNSUPPORTED("""COMPUTED_VALUE"""),45196.3827314814)</f>
        <v>45196.382731481397</v>
      </c>
      <c r="C738" s="7" t="str">
        <f ca="1">IFERROR(__xludf.UNSUPPORTED("""COMPUTED_VALUE"""),"Ilhéus")</f>
        <v>Ilhéus</v>
      </c>
      <c r="D738" s="3" t="str">
        <f ca="1">IFERROR(__xludf.UNSUPPORTED("""COMPUTED_VALUE"""),"🚢 REGULAR")</f>
        <v>🚢 REGULAR</v>
      </c>
      <c r="E738" s="3" t="str">
        <f ca="1">IFERROR(__xludf.UNSUPPORTED("""COMPUTED_VALUE"""),"🚛 LIBERADO")</f>
        <v>🚛 LIBERADO</v>
      </c>
      <c r="F738" s="5">
        <f ca="1">IFERROR(__xludf.UNSUPPORTED("""COMPUTED_VALUE"""),0)</f>
        <v>0</v>
      </c>
      <c r="G738" s="3" t="str">
        <f ca="1">IFERROR(__xludf.UNSUPPORTED("""COMPUTED_VALUE"""),"Normalidade")</f>
        <v>Normalidade</v>
      </c>
      <c r="H738" s="4">
        <f ca="1">IFERROR(__xludf.UNSUPPORTED("""COMPUTED_VALUE"""),45196.3827314814)</f>
        <v>45196.382731481397</v>
      </c>
      <c r="I738" s="3">
        <f ca="1">IFERROR(__xludf.UNSUPPORTED("""COMPUTED_VALUE"""),24)</f>
        <v>24</v>
      </c>
      <c r="J738" s="4">
        <f ca="1">IFERROR(__xludf.UNSUPPORTED("""COMPUTED_VALUE"""),45197.3827314814)</f>
        <v>45197.382731481397</v>
      </c>
      <c r="L738" s="3" t="str">
        <f ca="1">IFERROR(__xludf.UNSUPPORTED("""COMPUTED_VALUE"""),"Normalidade")</f>
        <v>Normalidade</v>
      </c>
    </row>
    <row r="739" spans="1:12" ht="12.75">
      <c r="A739" s="3" t="str">
        <f ca="1">IFERROR(__xludf.UNSUPPORTED("""COMPUTED_VALUE"""),"16c4d263")</f>
        <v>16c4d263</v>
      </c>
      <c r="B739" s="4">
        <f ca="1">IFERROR(__xludf.UNSUPPORTED("""COMPUTED_VALUE"""),45197.4340509259)</f>
        <v>45197.434050925898</v>
      </c>
      <c r="C739" s="8" t="str">
        <f ca="1">IFERROR(__xludf.UNSUPPORTED("""COMPUTED_VALUE"""),"Ilhéus")</f>
        <v>Ilhéus</v>
      </c>
      <c r="D739" s="3" t="str">
        <f ca="1">IFERROR(__xludf.UNSUPPORTED("""COMPUTED_VALUE"""),"🚢 REGULAR")</f>
        <v>🚢 REGULAR</v>
      </c>
      <c r="E739" s="3" t="str">
        <f ca="1">IFERROR(__xludf.UNSUPPORTED("""COMPUTED_VALUE"""),"🚛 LIBERADO")</f>
        <v>🚛 LIBERADO</v>
      </c>
      <c r="F739" s="5">
        <f ca="1">IFERROR(__xludf.UNSUPPORTED("""COMPUTED_VALUE"""),0)</f>
        <v>0</v>
      </c>
      <c r="G739" s="3" t="str">
        <f ca="1">IFERROR(__xludf.UNSUPPORTED("""COMPUTED_VALUE"""),"Normalidade")</f>
        <v>Normalidade</v>
      </c>
      <c r="H739" s="4">
        <f ca="1">IFERROR(__xludf.UNSUPPORTED("""COMPUTED_VALUE"""),45197.4340509259)</f>
        <v>45197.434050925898</v>
      </c>
      <c r="I739" s="3">
        <f ca="1">IFERROR(__xludf.UNSUPPORTED("""COMPUTED_VALUE"""),24)</f>
        <v>24</v>
      </c>
      <c r="J739" s="4">
        <f ca="1">IFERROR(__xludf.UNSUPPORTED("""COMPUTED_VALUE"""),45198.4340509259)</f>
        <v>45198.434050925898</v>
      </c>
      <c r="L739" s="3" t="str">
        <f ca="1">IFERROR(__xludf.UNSUPPORTED("""COMPUTED_VALUE"""),"Normalidade")</f>
        <v>Normalidade</v>
      </c>
    </row>
    <row r="740" spans="1:12" ht="12.75">
      <c r="A740" s="3" t="str">
        <f ca="1">IFERROR(__xludf.UNSUPPORTED("""COMPUTED_VALUE"""),"9ccf4e9d")</f>
        <v>9ccf4e9d</v>
      </c>
      <c r="B740" s="4">
        <f ca="1">IFERROR(__xludf.UNSUPPORTED("""COMPUTED_VALUE"""),45201.4353587963)</f>
        <v>45201.435358796298</v>
      </c>
      <c r="C740" s="8" t="str">
        <f ca="1">IFERROR(__xludf.UNSUPPORTED("""COMPUTED_VALUE"""),"Ilhéus")</f>
        <v>Ilhéus</v>
      </c>
      <c r="D740" s="3" t="str">
        <f ca="1">IFERROR(__xludf.UNSUPPORTED("""COMPUTED_VALUE"""),"🚢 REGULAR")</f>
        <v>🚢 REGULAR</v>
      </c>
      <c r="E740" s="3" t="str">
        <f ca="1">IFERROR(__xludf.UNSUPPORTED("""COMPUTED_VALUE"""),"🚛 LIBERADO")</f>
        <v>🚛 LIBERADO</v>
      </c>
      <c r="F740" s="5">
        <f ca="1">IFERROR(__xludf.UNSUPPORTED("""COMPUTED_VALUE"""),0)</f>
        <v>0</v>
      </c>
      <c r="G740" s="3" t="str">
        <f ca="1">IFERROR(__xludf.UNSUPPORTED("""COMPUTED_VALUE"""),"Normalidade")</f>
        <v>Normalidade</v>
      </c>
      <c r="H740" s="4">
        <f ca="1">IFERROR(__xludf.UNSUPPORTED("""COMPUTED_VALUE"""),45201.4353587963)</f>
        <v>45201.435358796298</v>
      </c>
      <c r="I740" s="3">
        <f ca="1">IFERROR(__xludf.UNSUPPORTED("""COMPUTED_VALUE"""),24)</f>
        <v>24</v>
      </c>
      <c r="J740" s="4">
        <f ca="1">IFERROR(__xludf.UNSUPPORTED("""COMPUTED_VALUE"""),45202.4353587963)</f>
        <v>45202.435358796298</v>
      </c>
      <c r="L740" s="3" t="str">
        <f ca="1">IFERROR(__xludf.UNSUPPORTED("""COMPUTED_VALUE"""),"Normalidade")</f>
        <v>Normalidade</v>
      </c>
    </row>
    <row r="741" spans="1:12" ht="12.75">
      <c r="A741" s="3" t="str">
        <f ca="1">IFERROR(__xludf.UNSUPPORTED("""COMPUTED_VALUE"""),"4a1a2c6d")</f>
        <v>4a1a2c6d</v>
      </c>
      <c r="B741" s="4">
        <f ca="1">IFERROR(__xludf.UNSUPPORTED("""COMPUTED_VALUE"""),45202.3850925925)</f>
        <v>45202.3850925925</v>
      </c>
      <c r="C741" s="8" t="str">
        <f ca="1">IFERROR(__xludf.UNSUPPORTED("""COMPUTED_VALUE"""),"Ilhéus")</f>
        <v>Ilhéus</v>
      </c>
      <c r="D741" s="3" t="str">
        <f ca="1">IFERROR(__xludf.UNSUPPORTED("""COMPUTED_VALUE"""),"🚢 REGULAR")</f>
        <v>🚢 REGULAR</v>
      </c>
      <c r="E741" s="3" t="str">
        <f ca="1">IFERROR(__xludf.UNSUPPORTED("""COMPUTED_VALUE"""),"🚛 LIBERADO")</f>
        <v>🚛 LIBERADO</v>
      </c>
      <c r="F741" s="5">
        <f ca="1">IFERROR(__xludf.UNSUPPORTED("""COMPUTED_VALUE"""),0)</f>
        <v>0</v>
      </c>
      <c r="G741" s="3" t="str">
        <f ca="1">IFERROR(__xludf.UNSUPPORTED("""COMPUTED_VALUE"""),"Normalidade")</f>
        <v>Normalidade</v>
      </c>
      <c r="H741" s="4">
        <f ca="1">IFERROR(__xludf.UNSUPPORTED("""COMPUTED_VALUE"""),45202.3850925925)</f>
        <v>45202.3850925925</v>
      </c>
      <c r="I741" s="3">
        <f ca="1">IFERROR(__xludf.UNSUPPORTED("""COMPUTED_VALUE"""),24)</f>
        <v>24</v>
      </c>
      <c r="J741" s="4">
        <f ca="1">IFERROR(__xludf.UNSUPPORTED("""COMPUTED_VALUE"""),45203.3850925925)</f>
        <v>45203.3850925925</v>
      </c>
      <c r="L741" s="3" t="str">
        <f ca="1">IFERROR(__xludf.UNSUPPORTED("""COMPUTED_VALUE"""),"Normalidade")</f>
        <v>Normalidade</v>
      </c>
    </row>
    <row r="742" spans="1:12" ht="12.75">
      <c r="A742" s="3" t="str">
        <f ca="1">IFERROR(__xludf.UNSUPPORTED("""COMPUTED_VALUE"""),"719f7542")</f>
        <v>719f7542</v>
      </c>
      <c r="B742" s="4">
        <f ca="1">IFERROR(__xludf.UNSUPPORTED("""COMPUTED_VALUE"""),45205.5690972222)</f>
        <v>45205.5690972222</v>
      </c>
      <c r="C742" s="7" t="str">
        <f ca="1">IFERROR(__xludf.UNSUPPORTED("""COMPUTED_VALUE"""),"Ilhéus")</f>
        <v>Ilhéus</v>
      </c>
      <c r="D742" s="3" t="str">
        <f ca="1">IFERROR(__xludf.UNSUPPORTED("""COMPUTED_VALUE"""),"🚢 REGULAR")</f>
        <v>🚢 REGULAR</v>
      </c>
      <c r="E742" s="3" t="str">
        <f ca="1">IFERROR(__xludf.UNSUPPORTED("""COMPUTED_VALUE"""),"🚛 LIBERADO")</f>
        <v>🚛 LIBERADO</v>
      </c>
      <c r="F742" s="5">
        <f ca="1">IFERROR(__xludf.UNSUPPORTED("""COMPUTED_VALUE"""),0)</f>
        <v>0</v>
      </c>
      <c r="G742" s="3" t="str">
        <f ca="1">IFERROR(__xludf.UNSUPPORTED("""COMPUTED_VALUE"""),"Normalidade")</f>
        <v>Normalidade</v>
      </c>
      <c r="H742" s="4">
        <f ca="1">IFERROR(__xludf.UNSUPPORTED("""COMPUTED_VALUE"""),45205.5690972222)</f>
        <v>45205.5690972222</v>
      </c>
      <c r="I742" s="3">
        <f ca="1">IFERROR(__xludf.UNSUPPORTED("""COMPUTED_VALUE"""),24)</f>
        <v>24</v>
      </c>
      <c r="J742" s="4">
        <f ca="1">IFERROR(__xludf.UNSUPPORTED("""COMPUTED_VALUE"""),45206.5690972222)</f>
        <v>45206.5690972222</v>
      </c>
      <c r="L742" s="3" t="str">
        <f ca="1">IFERROR(__xludf.UNSUPPORTED("""COMPUTED_VALUE"""),"Normalidade")</f>
        <v>Normalidade</v>
      </c>
    </row>
    <row r="743" spans="1:12" ht="12.75">
      <c r="A743" s="3" t="str">
        <f ca="1">IFERROR(__xludf.UNSUPPORTED("""COMPUTED_VALUE"""),"7aefe97f")</f>
        <v>7aefe97f</v>
      </c>
      <c r="B743" s="4">
        <f ca="1">IFERROR(__xludf.UNSUPPORTED("""COMPUTED_VALUE"""),45210.3848379629)</f>
        <v>45210.384837962898</v>
      </c>
      <c r="C743" s="7" t="str">
        <f ca="1">IFERROR(__xludf.UNSUPPORTED("""COMPUTED_VALUE"""),"Ilhéus")</f>
        <v>Ilhéus</v>
      </c>
      <c r="D743" s="3" t="str">
        <f ca="1">IFERROR(__xludf.UNSUPPORTED("""COMPUTED_VALUE"""),"🚢 REGULAR")</f>
        <v>🚢 REGULAR</v>
      </c>
      <c r="E743" s="3" t="str">
        <f ca="1">IFERROR(__xludf.UNSUPPORTED("""COMPUTED_VALUE"""),"🚛 LIBERADO")</f>
        <v>🚛 LIBERADO</v>
      </c>
      <c r="F743" s="5">
        <f ca="1">IFERROR(__xludf.UNSUPPORTED("""COMPUTED_VALUE"""),0)</f>
        <v>0</v>
      </c>
      <c r="G743" s="3" t="str">
        <f ca="1">IFERROR(__xludf.UNSUPPORTED("""COMPUTED_VALUE"""),"Normalidade")</f>
        <v>Normalidade</v>
      </c>
      <c r="H743" s="4">
        <f ca="1">IFERROR(__xludf.UNSUPPORTED("""COMPUTED_VALUE"""),45210.3848379629)</f>
        <v>45210.384837962898</v>
      </c>
      <c r="I743" s="3">
        <f ca="1">IFERROR(__xludf.UNSUPPORTED("""COMPUTED_VALUE"""),24)</f>
        <v>24</v>
      </c>
      <c r="J743" s="4">
        <f ca="1">IFERROR(__xludf.UNSUPPORTED("""COMPUTED_VALUE"""),45211.3848379629)</f>
        <v>45211.384837962898</v>
      </c>
      <c r="L743" s="3" t="str">
        <f ca="1">IFERROR(__xludf.UNSUPPORTED("""COMPUTED_VALUE"""),"Normalidade")</f>
        <v>Normalidade</v>
      </c>
    </row>
    <row r="744" spans="1:12" ht="12.75">
      <c r="A744" s="3" t="str">
        <f ca="1">IFERROR(__xludf.UNSUPPORTED("""COMPUTED_VALUE"""),"efa1e1e1")</f>
        <v>efa1e1e1</v>
      </c>
      <c r="B744" s="4">
        <f ca="1">IFERROR(__xludf.UNSUPPORTED("""COMPUTED_VALUE"""),45212.5010300925)</f>
        <v>45212.501030092499</v>
      </c>
      <c r="C744" s="8" t="str">
        <f ca="1">IFERROR(__xludf.UNSUPPORTED("""COMPUTED_VALUE"""),"Ilhéus")</f>
        <v>Ilhéus</v>
      </c>
      <c r="D744" s="3" t="str">
        <f ca="1">IFERROR(__xludf.UNSUPPORTED("""COMPUTED_VALUE"""),"🚢 REGULAR")</f>
        <v>🚢 REGULAR</v>
      </c>
      <c r="E744" s="3" t="str">
        <f ca="1">IFERROR(__xludf.UNSUPPORTED("""COMPUTED_VALUE"""),"🚛 LIBERADO")</f>
        <v>🚛 LIBERADO</v>
      </c>
      <c r="F744" s="5">
        <f ca="1">IFERROR(__xludf.UNSUPPORTED("""COMPUTED_VALUE"""),0)</f>
        <v>0</v>
      </c>
      <c r="G744" s="3" t="str">
        <f ca="1">IFERROR(__xludf.UNSUPPORTED("""COMPUTED_VALUE"""),"Normalidade")</f>
        <v>Normalidade</v>
      </c>
      <c r="H744" s="4">
        <f ca="1">IFERROR(__xludf.UNSUPPORTED("""COMPUTED_VALUE"""),45212.5010300925)</f>
        <v>45212.501030092499</v>
      </c>
      <c r="I744" s="3">
        <f ca="1">IFERROR(__xludf.UNSUPPORTED("""COMPUTED_VALUE"""),24)</f>
        <v>24</v>
      </c>
      <c r="J744" s="4">
        <f ca="1">IFERROR(__xludf.UNSUPPORTED("""COMPUTED_VALUE"""),45213.5010300925)</f>
        <v>45213.501030092499</v>
      </c>
      <c r="L744" s="3" t="str">
        <f ca="1">IFERROR(__xludf.UNSUPPORTED("""COMPUTED_VALUE"""),"Normalidade")</f>
        <v>Normalidade</v>
      </c>
    </row>
    <row r="745" spans="1:12" ht="12.75">
      <c r="A745" s="3" t="str">
        <f ca="1">IFERROR(__xludf.UNSUPPORTED("""COMPUTED_VALUE"""),"1d20613a")</f>
        <v>1d20613a</v>
      </c>
      <c r="B745" s="4">
        <f ca="1">IFERROR(__xludf.UNSUPPORTED("""COMPUTED_VALUE"""),45215.4005555555)</f>
        <v>45215.400555555498</v>
      </c>
      <c r="C745" s="8" t="str">
        <f ca="1">IFERROR(__xludf.UNSUPPORTED("""COMPUTED_VALUE"""),"Ilhéus")</f>
        <v>Ilhéus</v>
      </c>
      <c r="D745" s="3" t="str">
        <f ca="1">IFERROR(__xludf.UNSUPPORTED("""COMPUTED_VALUE"""),"🚢 REGULAR")</f>
        <v>🚢 REGULAR</v>
      </c>
      <c r="E745" s="3" t="str">
        <f ca="1">IFERROR(__xludf.UNSUPPORTED("""COMPUTED_VALUE"""),"🚛 LIBERADO")</f>
        <v>🚛 LIBERADO</v>
      </c>
      <c r="F745" s="5">
        <f ca="1">IFERROR(__xludf.UNSUPPORTED("""COMPUTED_VALUE"""),0)</f>
        <v>0</v>
      </c>
      <c r="G745" s="3" t="str">
        <f ca="1">IFERROR(__xludf.UNSUPPORTED("""COMPUTED_VALUE"""),"Normalidade")</f>
        <v>Normalidade</v>
      </c>
      <c r="H745" s="4">
        <f ca="1">IFERROR(__xludf.UNSUPPORTED("""COMPUTED_VALUE"""),45215.4005555555)</f>
        <v>45215.400555555498</v>
      </c>
      <c r="I745" s="3">
        <f ca="1">IFERROR(__xludf.UNSUPPORTED("""COMPUTED_VALUE"""),24)</f>
        <v>24</v>
      </c>
      <c r="J745" s="4">
        <f ca="1">IFERROR(__xludf.UNSUPPORTED("""COMPUTED_VALUE"""),45216.4005555555)</f>
        <v>45216.400555555498</v>
      </c>
      <c r="L745" s="3" t="str">
        <f ca="1">IFERROR(__xludf.UNSUPPORTED("""COMPUTED_VALUE"""),"Normalidade")</f>
        <v>Normalidade</v>
      </c>
    </row>
    <row r="746" spans="1:12" ht="12.75">
      <c r="A746" s="3" t="str">
        <f ca="1">IFERROR(__xludf.UNSUPPORTED("""COMPUTED_VALUE"""),"6e255e7e")</f>
        <v>6e255e7e</v>
      </c>
      <c r="B746" s="4">
        <f ca="1">IFERROR(__xludf.UNSUPPORTED("""COMPUTED_VALUE"""),45225.361574074)</f>
        <v>45225.361574073999</v>
      </c>
      <c r="C746" s="8" t="str">
        <f ca="1">IFERROR(__xludf.UNSUPPORTED("""COMPUTED_VALUE"""),"Ilhéus")</f>
        <v>Ilhéus</v>
      </c>
      <c r="D746" s="3" t="str">
        <f ca="1">IFERROR(__xludf.UNSUPPORTED("""COMPUTED_VALUE"""),"🚢 REGULAR")</f>
        <v>🚢 REGULAR</v>
      </c>
      <c r="E746" s="3" t="str">
        <f ca="1">IFERROR(__xludf.UNSUPPORTED("""COMPUTED_VALUE"""),"🚛 LIBERADO")</f>
        <v>🚛 LIBERADO</v>
      </c>
      <c r="F746" s="5">
        <f ca="1">IFERROR(__xludf.UNSUPPORTED("""COMPUTED_VALUE"""),0)</f>
        <v>0</v>
      </c>
      <c r="G746" s="3" t="str">
        <f ca="1">IFERROR(__xludf.UNSUPPORTED("""COMPUTED_VALUE"""),"Normalidade")</f>
        <v>Normalidade</v>
      </c>
      <c r="H746" s="4">
        <f ca="1">IFERROR(__xludf.UNSUPPORTED("""COMPUTED_VALUE"""),45225.361574074)</f>
        <v>45225.361574073999</v>
      </c>
      <c r="I746" s="3">
        <f ca="1">IFERROR(__xludf.UNSUPPORTED("""COMPUTED_VALUE"""),24)</f>
        <v>24</v>
      </c>
      <c r="J746" s="4">
        <f ca="1">IFERROR(__xludf.UNSUPPORTED("""COMPUTED_VALUE"""),45226.361574074)</f>
        <v>45226.361574073999</v>
      </c>
      <c r="L746" s="3" t="str">
        <f ca="1">IFERROR(__xludf.UNSUPPORTED("""COMPUTED_VALUE"""),"Normalidade")</f>
        <v>Normalidade</v>
      </c>
    </row>
    <row r="747" spans="1:12" ht="12.75">
      <c r="A747" s="3" t="str">
        <f ca="1">IFERROR(__xludf.UNSUPPORTED("""COMPUTED_VALUE"""),"fd55733f")</f>
        <v>fd55733f</v>
      </c>
      <c r="B747" s="4">
        <f ca="1">IFERROR(__xludf.UNSUPPORTED("""COMPUTED_VALUE"""),45231.4991550925)</f>
        <v>45231.499155092497</v>
      </c>
      <c r="C747" s="8" t="str">
        <f ca="1">IFERROR(__xludf.UNSUPPORTED("""COMPUTED_VALUE"""),"Ilhéus")</f>
        <v>Ilhéus</v>
      </c>
      <c r="D747" s="3" t="str">
        <f ca="1">IFERROR(__xludf.UNSUPPORTED("""COMPUTED_VALUE"""),"🚢 REGULAR")</f>
        <v>🚢 REGULAR</v>
      </c>
      <c r="E747" s="3" t="str">
        <f ca="1">IFERROR(__xludf.UNSUPPORTED("""COMPUTED_VALUE"""),"🚛 LIBERADO")</f>
        <v>🚛 LIBERADO</v>
      </c>
      <c r="F747" s="5">
        <f ca="1">IFERROR(__xludf.UNSUPPORTED("""COMPUTED_VALUE"""),0)</f>
        <v>0</v>
      </c>
      <c r="G747" s="3" t="str">
        <f ca="1">IFERROR(__xludf.UNSUPPORTED("""COMPUTED_VALUE"""),"Normalidade")</f>
        <v>Normalidade</v>
      </c>
      <c r="H747" s="4">
        <f ca="1">IFERROR(__xludf.UNSUPPORTED("""COMPUTED_VALUE"""),45231.4991550925)</f>
        <v>45231.499155092497</v>
      </c>
      <c r="I747" s="3">
        <f ca="1">IFERROR(__xludf.UNSUPPORTED("""COMPUTED_VALUE"""),24)</f>
        <v>24</v>
      </c>
      <c r="J747" s="4">
        <f ca="1">IFERROR(__xludf.UNSUPPORTED("""COMPUTED_VALUE"""),45232.4991550925)</f>
        <v>45232.499155092497</v>
      </c>
      <c r="L747" s="3" t="str">
        <f ca="1">IFERROR(__xludf.UNSUPPORTED("""COMPUTED_VALUE"""),"Normalidade")</f>
        <v>Normalidade</v>
      </c>
    </row>
    <row r="748" spans="1:12" ht="12.75">
      <c r="A748" s="3" t="str">
        <f ca="1">IFERROR(__xludf.UNSUPPORTED("""COMPUTED_VALUE"""),"45da976a")</f>
        <v>45da976a</v>
      </c>
      <c r="B748" s="4">
        <f ca="1">IFERROR(__xludf.UNSUPPORTED("""COMPUTED_VALUE"""),45240.5434143518)</f>
        <v>45240.5434143518</v>
      </c>
      <c r="C748" s="7" t="str">
        <f ca="1">IFERROR(__xludf.UNSUPPORTED("""COMPUTED_VALUE"""),"Ilhéus")</f>
        <v>Ilhéus</v>
      </c>
      <c r="D748" s="3" t="str">
        <f ca="1">IFERROR(__xludf.UNSUPPORTED("""COMPUTED_VALUE"""),"🚢 REGULAR")</f>
        <v>🚢 REGULAR</v>
      </c>
      <c r="E748" s="3" t="str">
        <f ca="1">IFERROR(__xludf.UNSUPPORTED("""COMPUTED_VALUE"""),"🚛 LIBERADO")</f>
        <v>🚛 LIBERADO</v>
      </c>
      <c r="F748" s="5">
        <f ca="1">IFERROR(__xludf.UNSUPPORTED("""COMPUTED_VALUE"""),0)</f>
        <v>0</v>
      </c>
      <c r="G748" s="3" t="str">
        <f ca="1">IFERROR(__xludf.UNSUPPORTED("""COMPUTED_VALUE"""),"Normalidade")</f>
        <v>Normalidade</v>
      </c>
      <c r="H748" s="4">
        <f ca="1">IFERROR(__xludf.UNSUPPORTED("""COMPUTED_VALUE"""),45240.5434143518)</f>
        <v>45240.5434143518</v>
      </c>
      <c r="I748" s="3">
        <f ca="1">IFERROR(__xludf.UNSUPPORTED("""COMPUTED_VALUE"""),24)</f>
        <v>24</v>
      </c>
      <c r="J748" s="4">
        <f ca="1">IFERROR(__xludf.UNSUPPORTED("""COMPUTED_VALUE"""),45241.5434143518)</f>
        <v>45241.5434143518</v>
      </c>
      <c r="L748" s="3" t="str">
        <f ca="1">IFERROR(__xludf.UNSUPPORTED("""COMPUTED_VALUE"""),"Normalidade")</f>
        <v>Normalidade</v>
      </c>
    </row>
    <row r="749" spans="1:12" ht="12.75">
      <c r="A749" s="3" t="str">
        <f ca="1">IFERROR(__xludf.UNSUPPORTED("""COMPUTED_VALUE"""),"9e76157c")</f>
        <v>9e76157c</v>
      </c>
      <c r="B749" s="4">
        <f ca="1">IFERROR(__xludf.UNSUPPORTED("""COMPUTED_VALUE"""),45250.3903703703)</f>
        <v>45250.390370370304</v>
      </c>
      <c r="C749" s="7" t="str">
        <f ca="1">IFERROR(__xludf.UNSUPPORTED("""COMPUTED_VALUE"""),"Ilhéus")</f>
        <v>Ilhéus</v>
      </c>
      <c r="D749" s="3" t="str">
        <f ca="1">IFERROR(__xludf.UNSUPPORTED("""COMPUTED_VALUE"""),"🚢 REGULAR")</f>
        <v>🚢 REGULAR</v>
      </c>
      <c r="E749" s="3" t="str">
        <f ca="1">IFERROR(__xludf.UNSUPPORTED("""COMPUTED_VALUE"""),"🚛 LIBERADO")</f>
        <v>🚛 LIBERADO</v>
      </c>
      <c r="F749" s="5">
        <f ca="1">IFERROR(__xludf.UNSUPPORTED("""COMPUTED_VALUE"""),0)</f>
        <v>0</v>
      </c>
      <c r="G749" s="3" t="str">
        <f ca="1">IFERROR(__xludf.UNSUPPORTED("""COMPUTED_VALUE"""),"Normalidade")</f>
        <v>Normalidade</v>
      </c>
      <c r="H749" s="4">
        <f ca="1">IFERROR(__xludf.UNSUPPORTED("""COMPUTED_VALUE"""),45250.3903703703)</f>
        <v>45250.390370370304</v>
      </c>
      <c r="I749" s="3">
        <f ca="1">IFERROR(__xludf.UNSUPPORTED("""COMPUTED_VALUE"""),24)</f>
        <v>24</v>
      </c>
      <c r="J749" s="4">
        <f ca="1">IFERROR(__xludf.UNSUPPORTED("""COMPUTED_VALUE"""),45251.3903703703)</f>
        <v>45251.390370370304</v>
      </c>
      <c r="L749" s="3" t="str">
        <f ca="1">IFERROR(__xludf.UNSUPPORTED("""COMPUTED_VALUE"""),"Normalidade")</f>
        <v>Normalidade</v>
      </c>
    </row>
    <row r="750" spans="1:12" ht="12.75">
      <c r="A750" s="3" t="str">
        <f ca="1">IFERROR(__xludf.UNSUPPORTED("""COMPUTED_VALUE"""),"4987ddbf")</f>
        <v>4987ddbf</v>
      </c>
      <c r="B750" s="4">
        <f ca="1">IFERROR(__xludf.UNSUPPORTED("""COMPUTED_VALUE"""),45257.3787037037)</f>
        <v>45257.378703703696</v>
      </c>
      <c r="C750" s="7" t="str">
        <f ca="1">IFERROR(__xludf.UNSUPPORTED("""COMPUTED_VALUE"""),"Ilhéus")</f>
        <v>Ilhéus</v>
      </c>
      <c r="D750" s="3" t="str">
        <f ca="1">IFERROR(__xludf.UNSUPPORTED("""COMPUTED_VALUE"""),"🚢 REGULAR")</f>
        <v>🚢 REGULAR</v>
      </c>
      <c r="E750" s="3" t="str">
        <f ca="1">IFERROR(__xludf.UNSUPPORTED("""COMPUTED_VALUE"""),"🚛 LIBERADO")</f>
        <v>🚛 LIBERADO</v>
      </c>
      <c r="F750" s="5">
        <f ca="1">IFERROR(__xludf.UNSUPPORTED("""COMPUTED_VALUE"""),0)</f>
        <v>0</v>
      </c>
      <c r="G750" s="3" t="str">
        <f ca="1">IFERROR(__xludf.UNSUPPORTED("""COMPUTED_VALUE"""),"Normalidade")</f>
        <v>Normalidade</v>
      </c>
      <c r="H750" s="4">
        <f ca="1">IFERROR(__xludf.UNSUPPORTED("""COMPUTED_VALUE"""),45257.3787037037)</f>
        <v>45257.378703703696</v>
      </c>
      <c r="I750" s="3">
        <f ca="1">IFERROR(__xludf.UNSUPPORTED("""COMPUTED_VALUE"""),24)</f>
        <v>24</v>
      </c>
      <c r="J750" s="4">
        <f ca="1">IFERROR(__xludf.UNSUPPORTED("""COMPUTED_VALUE"""),45258.3787037037)</f>
        <v>45258.378703703696</v>
      </c>
      <c r="L750" s="3" t="str">
        <f ca="1">IFERROR(__xludf.UNSUPPORTED("""COMPUTED_VALUE"""),"Normalidade")</f>
        <v>Normalidade</v>
      </c>
    </row>
    <row r="751" spans="1:12" ht="12.75">
      <c r="A751" s="3" t="str">
        <f ca="1">IFERROR(__xludf.UNSUPPORTED("""COMPUTED_VALUE"""),"5c6eb6bc")</f>
        <v>5c6eb6bc</v>
      </c>
      <c r="B751" s="4">
        <f ca="1">IFERROR(__xludf.UNSUPPORTED("""COMPUTED_VALUE"""),45278.4049884259)</f>
        <v>45278.4049884259</v>
      </c>
      <c r="C751" s="8" t="str">
        <f ca="1">IFERROR(__xludf.UNSUPPORTED("""COMPUTED_VALUE"""),"Ilhéus")</f>
        <v>Ilhéus</v>
      </c>
      <c r="D751" s="3" t="str">
        <f ca="1">IFERROR(__xludf.UNSUPPORTED("""COMPUTED_VALUE"""),"🚢 REGULAR")</f>
        <v>🚢 REGULAR</v>
      </c>
      <c r="E751" s="3" t="str">
        <f ca="1">IFERROR(__xludf.UNSUPPORTED("""COMPUTED_VALUE"""),"🚛 LIBERADO")</f>
        <v>🚛 LIBERADO</v>
      </c>
      <c r="F751" s="5">
        <f ca="1">IFERROR(__xludf.UNSUPPORTED("""COMPUTED_VALUE"""),0)</f>
        <v>0</v>
      </c>
      <c r="G751" s="3" t="str">
        <f ca="1">IFERROR(__xludf.UNSUPPORTED("""COMPUTED_VALUE"""),"Normalidade")</f>
        <v>Normalidade</v>
      </c>
      <c r="H751" s="4">
        <f ca="1">IFERROR(__xludf.UNSUPPORTED("""COMPUTED_VALUE"""),45278.4049884259)</f>
        <v>45278.4049884259</v>
      </c>
      <c r="I751" s="3">
        <f ca="1">IFERROR(__xludf.UNSUPPORTED("""COMPUTED_VALUE"""),24)</f>
        <v>24</v>
      </c>
      <c r="J751" s="4">
        <f ca="1">IFERROR(__xludf.UNSUPPORTED("""COMPUTED_VALUE"""),45279.4049884259)</f>
        <v>45279.4049884259</v>
      </c>
      <c r="L751" s="3" t="str">
        <f ca="1">IFERROR(__xludf.UNSUPPORTED("""COMPUTED_VALUE"""),"Normalidade")</f>
        <v>Normalidade</v>
      </c>
    </row>
    <row r="752" spans="1:12" ht="12.75">
      <c r="A752" s="3" t="str">
        <f ca="1">IFERROR(__xludf.UNSUPPORTED("""COMPUTED_VALUE"""),"9c405799")</f>
        <v>9c405799</v>
      </c>
      <c r="B752" s="4">
        <f ca="1">IFERROR(__xludf.UNSUPPORTED("""COMPUTED_VALUE"""),45302.5364814814)</f>
        <v>45302.536481481402</v>
      </c>
      <c r="C752" s="7" t="str">
        <f ca="1">IFERROR(__xludf.UNSUPPORTED("""COMPUTED_VALUE"""),"Ilhéus")</f>
        <v>Ilhéus</v>
      </c>
      <c r="D752" s="3" t="str">
        <f ca="1">IFERROR(__xludf.UNSUPPORTED("""COMPUTED_VALUE"""),"🚢 REGULAR")</f>
        <v>🚢 REGULAR</v>
      </c>
      <c r="E752" s="3" t="str">
        <f ca="1">IFERROR(__xludf.UNSUPPORTED("""COMPUTED_VALUE"""),"🚛 LIBERADO")</f>
        <v>🚛 LIBERADO</v>
      </c>
      <c r="F752" s="5">
        <f ca="1">IFERROR(__xludf.UNSUPPORTED("""COMPUTED_VALUE"""),0)</f>
        <v>0</v>
      </c>
      <c r="G752" s="3" t="str">
        <f ca="1">IFERROR(__xludf.UNSUPPORTED("""COMPUTED_VALUE"""),"Normalidade")</f>
        <v>Normalidade</v>
      </c>
      <c r="H752" s="4">
        <f ca="1">IFERROR(__xludf.UNSUPPORTED("""COMPUTED_VALUE"""),45302.5364814814)</f>
        <v>45302.536481481402</v>
      </c>
      <c r="I752" s="3">
        <f ca="1">IFERROR(__xludf.UNSUPPORTED("""COMPUTED_VALUE"""),24)</f>
        <v>24</v>
      </c>
      <c r="J752" s="4">
        <f ca="1">IFERROR(__xludf.UNSUPPORTED("""COMPUTED_VALUE"""),45303.5364814814)</f>
        <v>45303.536481481402</v>
      </c>
      <c r="L752" s="3" t="str">
        <f ca="1">IFERROR(__xludf.UNSUPPORTED("""COMPUTED_VALUE"""),"Normalidade")</f>
        <v>Normalidade</v>
      </c>
    </row>
    <row r="753" spans="1:12" ht="12.75">
      <c r="A753" s="3" t="str">
        <f ca="1">IFERROR(__xludf.UNSUPPORTED("""COMPUTED_VALUE"""),"0530bbc3")</f>
        <v>0530bbc3</v>
      </c>
      <c r="B753" s="4">
        <f ca="1">IFERROR(__xludf.UNSUPPORTED("""COMPUTED_VALUE"""),45307.2739004629)</f>
        <v>45307.273900462897</v>
      </c>
      <c r="C753" s="7" t="str">
        <f ca="1">IFERROR(__xludf.UNSUPPORTED("""COMPUTED_VALUE"""),"Ilhéus")</f>
        <v>Ilhéus</v>
      </c>
      <c r="D753" s="3" t="str">
        <f ca="1">IFERROR(__xludf.UNSUPPORTED("""COMPUTED_VALUE"""),"🚢 REGULAR")</f>
        <v>🚢 REGULAR</v>
      </c>
      <c r="E753" s="3" t="str">
        <f ca="1">IFERROR(__xludf.UNSUPPORTED("""COMPUTED_VALUE"""),"🚛 LIBERADO")</f>
        <v>🚛 LIBERADO</v>
      </c>
      <c r="F753" s="5">
        <f ca="1">IFERROR(__xludf.UNSUPPORTED("""COMPUTED_VALUE"""),0)</f>
        <v>0</v>
      </c>
      <c r="G753" s="3" t="str">
        <f ca="1">IFERROR(__xludf.UNSUPPORTED("""COMPUTED_VALUE"""),"Normalidade")</f>
        <v>Normalidade</v>
      </c>
      <c r="H753" s="4">
        <f ca="1">IFERROR(__xludf.UNSUPPORTED("""COMPUTED_VALUE"""),45307.2739004629)</f>
        <v>45307.273900462897</v>
      </c>
      <c r="I753" s="3">
        <f ca="1">IFERROR(__xludf.UNSUPPORTED("""COMPUTED_VALUE"""),24)</f>
        <v>24</v>
      </c>
      <c r="J753" s="4">
        <f ca="1">IFERROR(__xludf.UNSUPPORTED("""COMPUTED_VALUE"""),45308.2739004629)</f>
        <v>45308.273900462897</v>
      </c>
      <c r="L753" s="3" t="str">
        <f ca="1">IFERROR(__xludf.UNSUPPORTED("""COMPUTED_VALUE"""),"Normalidade")</f>
        <v>Normalidade</v>
      </c>
    </row>
    <row r="754" spans="1:12" ht="12.75">
      <c r="A754" s="3" t="str">
        <f ca="1">IFERROR(__xludf.UNSUPPORTED("""COMPUTED_VALUE"""),"3add387b")</f>
        <v>3add387b</v>
      </c>
      <c r="B754" s="4">
        <f ca="1">IFERROR(__xludf.UNSUPPORTED("""COMPUTED_VALUE"""),45338.4194328703)</f>
        <v>45338.419432870302</v>
      </c>
      <c r="C754" s="8" t="str">
        <f ca="1">IFERROR(__xludf.UNSUPPORTED("""COMPUTED_VALUE"""),"Ilhéus")</f>
        <v>Ilhéus</v>
      </c>
      <c r="D754" s="3" t="str">
        <f ca="1">IFERROR(__xludf.UNSUPPORTED("""COMPUTED_VALUE"""),"🚢 REGULAR")</f>
        <v>🚢 REGULAR</v>
      </c>
      <c r="E754" s="3" t="str">
        <f ca="1">IFERROR(__xludf.UNSUPPORTED("""COMPUTED_VALUE"""),"🚛 LIBERADO")</f>
        <v>🚛 LIBERADO</v>
      </c>
      <c r="F754" s="5">
        <f ca="1">IFERROR(__xludf.UNSUPPORTED("""COMPUTED_VALUE"""),0)</f>
        <v>0</v>
      </c>
      <c r="G754" s="3" t="str">
        <f ca="1">IFERROR(__xludf.UNSUPPORTED("""COMPUTED_VALUE"""),"Normalidade")</f>
        <v>Normalidade</v>
      </c>
      <c r="H754" s="4">
        <f ca="1">IFERROR(__xludf.UNSUPPORTED("""COMPUTED_VALUE"""),45338.4194328703)</f>
        <v>45338.419432870302</v>
      </c>
      <c r="I754" s="3">
        <f ca="1">IFERROR(__xludf.UNSUPPORTED("""COMPUTED_VALUE"""),24)</f>
        <v>24</v>
      </c>
      <c r="J754" s="4">
        <f ca="1">IFERROR(__xludf.UNSUPPORTED("""COMPUTED_VALUE"""),45339.4194328703)</f>
        <v>45339.419432870302</v>
      </c>
      <c r="L754" s="3" t="str">
        <f ca="1">IFERROR(__xludf.UNSUPPORTED("""COMPUTED_VALUE"""),"Normalidade")</f>
        <v>Normalidade</v>
      </c>
    </row>
    <row r="755" spans="1:12" ht="12.75">
      <c r="A755" s="3" t="str">
        <f ca="1">IFERROR(__xludf.UNSUPPORTED("""COMPUTED_VALUE"""),"b6c8c83d")</f>
        <v>b6c8c83d</v>
      </c>
      <c r="B755" s="4">
        <f ca="1">IFERROR(__xludf.UNSUPPORTED("""COMPUTED_VALUE"""),45356.3641203703)</f>
        <v>45356.364120370301</v>
      </c>
      <c r="C755" s="8" t="str">
        <f ca="1">IFERROR(__xludf.UNSUPPORTED("""COMPUTED_VALUE"""),"Ilhéus")</f>
        <v>Ilhéus</v>
      </c>
      <c r="D755" s="3" t="str">
        <f ca="1">IFERROR(__xludf.UNSUPPORTED("""COMPUTED_VALUE"""),"🚢 REGULAR")</f>
        <v>🚢 REGULAR</v>
      </c>
      <c r="E755" s="3" t="str">
        <f ca="1">IFERROR(__xludf.UNSUPPORTED("""COMPUTED_VALUE"""),"🚛 LIBERADO")</f>
        <v>🚛 LIBERADO</v>
      </c>
      <c r="F755" s="5">
        <f ca="1">IFERROR(__xludf.UNSUPPORTED("""COMPUTED_VALUE"""),0)</f>
        <v>0</v>
      </c>
      <c r="G755" s="3" t="str">
        <f ca="1">IFERROR(__xludf.UNSUPPORTED("""COMPUTED_VALUE"""),"Normalidade")</f>
        <v>Normalidade</v>
      </c>
      <c r="H755" s="4">
        <f ca="1">IFERROR(__xludf.UNSUPPORTED("""COMPUTED_VALUE"""),45356.3641203703)</f>
        <v>45356.364120370301</v>
      </c>
      <c r="I755" s="3">
        <f ca="1">IFERROR(__xludf.UNSUPPORTED("""COMPUTED_VALUE"""),24)</f>
        <v>24</v>
      </c>
      <c r="J755" s="4">
        <f ca="1">IFERROR(__xludf.UNSUPPORTED("""COMPUTED_VALUE"""),45357.3641203703)</f>
        <v>45357.364120370301</v>
      </c>
      <c r="L755" s="3" t="str">
        <f ca="1">IFERROR(__xludf.UNSUPPORTED("""COMPUTED_VALUE"""),"Normalidade")</f>
        <v>Normalidade</v>
      </c>
    </row>
    <row r="756" spans="1:12" ht="12.75">
      <c r="A756" s="3" t="str">
        <f ca="1">IFERROR(__xludf.UNSUPPORTED("""COMPUTED_VALUE"""),"d4a33522")</f>
        <v>d4a33522</v>
      </c>
      <c r="B756" s="4">
        <f ca="1">IFERROR(__xludf.UNSUPPORTED("""COMPUTED_VALUE"""),45365.4429050926)</f>
        <v>45365.442905092597</v>
      </c>
      <c r="C756" s="8" t="str">
        <f ca="1">IFERROR(__xludf.UNSUPPORTED("""COMPUTED_VALUE"""),"Ilhéus")</f>
        <v>Ilhéus</v>
      </c>
      <c r="D756" s="3" t="str">
        <f ca="1">IFERROR(__xludf.UNSUPPORTED("""COMPUTED_VALUE"""),"🚢 REGULAR")</f>
        <v>🚢 REGULAR</v>
      </c>
      <c r="E756" s="3" t="str">
        <f ca="1">IFERROR(__xludf.UNSUPPORTED("""COMPUTED_VALUE"""),"🚛 LIBERADO")</f>
        <v>🚛 LIBERADO</v>
      </c>
      <c r="F756" s="5">
        <f ca="1">IFERROR(__xludf.UNSUPPORTED("""COMPUTED_VALUE"""),0)</f>
        <v>0</v>
      </c>
      <c r="G756" s="3" t="str">
        <f ca="1">IFERROR(__xludf.UNSUPPORTED("""COMPUTED_VALUE"""),"Normalidade")</f>
        <v>Normalidade</v>
      </c>
      <c r="H756" s="4">
        <f ca="1">IFERROR(__xludf.UNSUPPORTED("""COMPUTED_VALUE"""),45365.4429050926)</f>
        <v>45365.442905092597</v>
      </c>
      <c r="I756" s="3">
        <f ca="1">IFERROR(__xludf.UNSUPPORTED("""COMPUTED_VALUE"""),24)</f>
        <v>24</v>
      </c>
      <c r="J756" s="4">
        <f ca="1">IFERROR(__xludf.UNSUPPORTED("""COMPUTED_VALUE"""),45366.4429050926)</f>
        <v>45366.442905092597</v>
      </c>
      <c r="L756" s="3" t="str">
        <f ca="1">IFERROR(__xludf.UNSUPPORTED("""COMPUTED_VALUE"""),"Normalidade")</f>
        <v>Normalidade</v>
      </c>
    </row>
    <row r="757" spans="1:12" ht="12.75">
      <c r="A757" s="3" t="str">
        <f ca="1">IFERROR(__xludf.UNSUPPORTED("""COMPUTED_VALUE"""),"bb003827")</f>
        <v>bb003827</v>
      </c>
      <c r="B757" s="4">
        <f ca="1">IFERROR(__xludf.UNSUPPORTED("""COMPUTED_VALUE"""),45384.5520023148)</f>
        <v>45384.552002314798</v>
      </c>
      <c r="C757" s="7" t="str">
        <f ca="1">IFERROR(__xludf.UNSUPPORTED("""COMPUTED_VALUE"""),"Ilhéus")</f>
        <v>Ilhéus</v>
      </c>
      <c r="D757" s="3" t="str">
        <f ca="1">IFERROR(__xludf.UNSUPPORTED("""COMPUTED_VALUE"""),"🚢 REGULAR")</f>
        <v>🚢 REGULAR</v>
      </c>
      <c r="E757" s="3" t="str">
        <f ca="1">IFERROR(__xludf.UNSUPPORTED("""COMPUTED_VALUE"""),"🚛 LIBERADO")</f>
        <v>🚛 LIBERADO</v>
      </c>
      <c r="F757" s="5">
        <f ca="1">IFERROR(__xludf.UNSUPPORTED("""COMPUTED_VALUE"""),0)</f>
        <v>0</v>
      </c>
      <c r="G757" s="3" t="str">
        <f ca="1">IFERROR(__xludf.UNSUPPORTED("""COMPUTED_VALUE"""),"Normalidade")</f>
        <v>Normalidade</v>
      </c>
      <c r="H757" s="4">
        <f ca="1">IFERROR(__xludf.UNSUPPORTED("""COMPUTED_VALUE"""),45384.5520023148)</f>
        <v>45384.552002314798</v>
      </c>
      <c r="I757" s="3">
        <f ca="1">IFERROR(__xludf.UNSUPPORTED("""COMPUTED_VALUE"""),24)</f>
        <v>24</v>
      </c>
      <c r="J757" s="4">
        <f ca="1">IFERROR(__xludf.UNSUPPORTED("""COMPUTED_VALUE"""),45385.5520023148)</f>
        <v>45385.552002314798</v>
      </c>
      <c r="L757" s="3" t="str">
        <f ca="1">IFERROR(__xludf.UNSUPPORTED("""COMPUTED_VALUE"""),"Normalidade")</f>
        <v>Normalidade</v>
      </c>
    </row>
    <row r="758" spans="1:12" ht="12.75">
      <c r="A758" s="3" t="str">
        <f ca="1">IFERROR(__xludf.UNSUPPORTED("""COMPUTED_VALUE"""),"47cc770f")</f>
        <v>47cc770f</v>
      </c>
      <c r="B758" s="4">
        <f ca="1">IFERROR(__xludf.UNSUPPORTED("""COMPUTED_VALUE"""),45432.4024189814)</f>
        <v>45432.402418981401</v>
      </c>
      <c r="C758" s="7" t="str">
        <f ca="1">IFERROR(__xludf.UNSUPPORTED("""COMPUTED_VALUE"""),"Ilhéus")</f>
        <v>Ilhéus</v>
      </c>
      <c r="D758" s="3" t="str">
        <f ca="1">IFERROR(__xludf.UNSUPPORTED("""COMPUTED_VALUE"""),"🚢 REGULAR")</f>
        <v>🚢 REGULAR</v>
      </c>
      <c r="E758" s="3" t="str">
        <f ca="1">IFERROR(__xludf.UNSUPPORTED("""COMPUTED_VALUE"""),"🚛 LIBERADO")</f>
        <v>🚛 LIBERADO</v>
      </c>
      <c r="F758" s="5">
        <f ca="1">IFERROR(__xludf.UNSUPPORTED("""COMPUTED_VALUE"""),0)</f>
        <v>0</v>
      </c>
      <c r="G758" s="3" t="str">
        <f ca="1">IFERROR(__xludf.UNSUPPORTED("""COMPUTED_VALUE"""),"Normalidade")</f>
        <v>Normalidade</v>
      </c>
      <c r="H758" s="4">
        <f ca="1">IFERROR(__xludf.UNSUPPORTED("""COMPUTED_VALUE"""),45432.4024189814)</f>
        <v>45432.402418981401</v>
      </c>
      <c r="I758" s="3">
        <f ca="1">IFERROR(__xludf.UNSUPPORTED("""COMPUTED_VALUE"""),24)</f>
        <v>24</v>
      </c>
      <c r="J758" s="4">
        <f ca="1">IFERROR(__xludf.UNSUPPORTED("""COMPUTED_VALUE"""),45433.4024189814)</f>
        <v>45433.402418981401</v>
      </c>
      <c r="L758" s="3" t="str">
        <f ca="1">IFERROR(__xludf.UNSUPPORTED("""COMPUTED_VALUE"""),"Normalidade")</f>
        <v>Normalidade</v>
      </c>
    </row>
    <row r="759" spans="1:12" ht="12.75">
      <c r="A759" s="3" t="str">
        <f ca="1">IFERROR(__xludf.UNSUPPORTED("""COMPUTED_VALUE"""),"856222cb")</f>
        <v>856222cb</v>
      </c>
      <c r="B759" s="4">
        <f ca="1">IFERROR(__xludf.UNSUPPORTED("""COMPUTED_VALUE"""),45446.3905208333)</f>
        <v>45446.390520833302</v>
      </c>
      <c r="C759" s="7" t="str">
        <f ca="1">IFERROR(__xludf.UNSUPPORTED("""COMPUTED_VALUE"""),"Ilhéus")</f>
        <v>Ilhéus</v>
      </c>
      <c r="D759" s="3" t="str">
        <f ca="1">IFERROR(__xludf.UNSUPPORTED("""COMPUTED_VALUE"""),"🚢 REGULAR")</f>
        <v>🚢 REGULAR</v>
      </c>
      <c r="E759" s="3" t="str">
        <f ca="1">IFERROR(__xludf.UNSUPPORTED("""COMPUTED_VALUE"""),"🚛 LIBERADO")</f>
        <v>🚛 LIBERADO</v>
      </c>
      <c r="F759" s="5">
        <f ca="1">IFERROR(__xludf.UNSUPPORTED("""COMPUTED_VALUE"""),0)</f>
        <v>0</v>
      </c>
      <c r="G759" s="3" t="str">
        <f ca="1">IFERROR(__xludf.UNSUPPORTED("""COMPUTED_VALUE"""),"Normalidade")</f>
        <v>Normalidade</v>
      </c>
      <c r="H759" s="4">
        <f ca="1">IFERROR(__xludf.UNSUPPORTED("""COMPUTED_VALUE"""),45446.3905208333)</f>
        <v>45446.390520833302</v>
      </c>
      <c r="I759" s="3">
        <f ca="1">IFERROR(__xludf.UNSUPPORTED("""COMPUTED_VALUE"""),24)</f>
        <v>24</v>
      </c>
      <c r="J759" s="4">
        <f ca="1">IFERROR(__xludf.UNSUPPORTED("""COMPUTED_VALUE"""),45447.3905208333)</f>
        <v>45447.390520833302</v>
      </c>
      <c r="L759" s="3" t="str">
        <f ca="1">IFERROR(__xludf.UNSUPPORTED("""COMPUTED_VALUE"""),"Normalidade")</f>
        <v>Normalidade</v>
      </c>
    </row>
    <row r="760" spans="1:12" ht="12.75">
      <c r="A760" s="3" t="str">
        <f ca="1">IFERROR(__xludf.UNSUPPORTED("""COMPUTED_VALUE"""),"38bdade4")</f>
        <v>38bdade4</v>
      </c>
      <c r="B760" s="4">
        <f ca="1">IFERROR(__xludf.UNSUPPORTED("""COMPUTED_VALUE"""),45454.6378935185)</f>
        <v>45454.637893518498</v>
      </c>
      <c r="C760" s="7" t="str">
        <f ca="1">IFERROR(__xludf.UNSUPPORTED("""COMPUTED_VALUE"""),"Ilhéus")</f>
        <v>Ilhéus</v>
      </c>
      <c r="D760" s="3" t="str">
        <f ca="1">IFERROR(__xludf.UNSUPPORTED("""COMPUTED_VALUE"""),"🚢 REGULAR")</f>
        <v>🚢 REGULAR</v>
      </c>
      <c r="E760" s="3" t="str">
        <f ca="1">IFERROR(__xludf.UNSUPPORTED("""COMPUTED_VALUE"""),"🚛 LIBERADO")</f>
        <v>🚛 LIBERADO</v>
      </c>
      <c r="F760" s="5">
        <f ca="1">IFERROR(__xludf.UNSUPPORTED("""COMPUTED_VALUE"""),0)</f>
        <v>0</v>
      </c>
      <c r="G760" s="3" t="str">
        <f ca="1">IFERROR(__xludf.UNSUPPORTED("""COMPUTED_VALUE"""),"Normalidade")</f>
        <v>Normalidade</v>
      </c>
      <c r="H760" s="4">
        <f ca="1">IFERROR(__xludf.UNSUPPORTED("""COMPUTED_VALUE"""),45454.6378935185)</f>
        <v>45454.637893518498</v>
      </c>
      <c r="I760" s="3">
        <f ca="1">IFERROR(__xludf.UNSUPPORTED("""COMPUTED_VALUE"""),24)</f>
        <v>24</v>
      </c>
      <c r="J760" s="4">
        <f ca="1">IFERROR(__xludf.UNSUPPORTED("""COMPUTED_VALUE"""),45455.6378935185)</f>
        <v>45455.637893518498</v>
      </c>
      <c r="L760" s="3" t="str">
        <f ca="1">IFERROR(__xludf.UNSUPPORTED("""COMPUTED_VALUE"""),"Normalidade")</f>
        <v>Normalidade</v>
      </c>
    </row>
    <row r="761" spans="1:12" ht="12.75">
      <c r="A761" s="3" t="str">
        <f ca="1">IFERROR(__xludf.UNSUPPORTED("""COMPUTED_VALUE"""),"6791a818")</f>
        <v>6791a818</v>
      </c>
      <c r="B761" s="4">
        <f ca="1">IFERROR(__xludf.UNSUPPORTED("""COMPUTED_VALUE"""),45477.5831597222)</f>
        <v>45477.583159722199</v>
      </c>
      <c r="C761" s="8" t="str">
        <f ca="1">IFERROR(__xludf.UNSUPPORTED("""COMPUTED_VALUE"""),"Ilhéus")</f>
        <v>Ilhéus</v>
      </c>
      <c r="D761" s="3" t="str">
        <f ca="1">IFERROR(__xludf.UNSUPPORTED("""COMPUTED_VALUE"""),"🚢 REGULAR")</f>
        <v>🚢 REGULAR</v>
      </c>
      <c r="E761" s="3" t="str">
        <f ca="1">IFERROR(__xludf.UNSUPPORTED("""COMPUTED_VALUE"""),"🚛 LIBERADO")</f>
        <v>🚛 LIBERADO</v>
      </c>
      <c r="F761" s="5">
        <f ca="1">IFERROR(__xludf.UNSUPPORTED("""COMPUTED_VALUE"""),0)</f>
        <v>0</v>
      </c>
      <c r="G761" s="3" t="str">
        <f ca="1">IFERROR(__xludf.UNSUPPORTED("""COMPUTED_VALUE"""),"Normalidade")</f>
        <v>Normalidade</v>
      </c>
      <c r="H761" s="4">
        <f ca="1">IFERROR(__xludf.UNSUPPORTED("""COMPUTED_VALUE"""),45477.5831597222)</f>
        <v>45477.583159722199</v>
      </c>
      <c r="I761" s="3">
        <f ca="1">IFERROR(__xludf.UNSUPPORTED("""COMPUTED_VALUE"""),24)</f>
        <v>24</v>
      </c>
      <c r="J761" s="4">
        <f ca="1">IFERROR(__xludf.UNSUPPORTED("""COMPUTED_VALUE"""),45478.5831597222)</f>
        <v>45478.583159722199</v>
      </c>
      <c r="L761" s="3" t="str">
        <f ca="1">IFERROR(__xludf.UNSUPPORTED("""COMPUTED_VALUE"""),"Normalidade")</f>
        <v>Normalidade</v>
      </c>
    </row>
    <row r="762" spans="1:12" ht="12.75">
      <c r="A762" s="3" t="str">
        <f ca="1">IFERROR(__xludf.UNSUPPORTED("""COMPUTED_VALUE"""),"4ab5431f")</f>
        <v>4ab5431f</v>
      </c>
      <c r="B762" s="4">
        <f ca="1">IFERROR(__xludf.UNSUPPORTED("""COMPUTED_VALUE"""),45481.4258796296)</f>
        <v>45481.425879629598</v>
      </c>
      <c r="C762" s="8" t="str">
        <f ca="1">IFERROR(__xludf.UNSUPPORTED("""COMPUTED_VALUE"""),"Ilhéus")</f>
        <v>Ilhéus</v>
      </c>
      <c r="D762" s="3" t="str">
        <f ca="1">IFERROR(__xludf.UNSUPPORTED("""COMPUTED_VALUE"""),"🚢 REGULAR")</f>
        <v>🚢 REGULAR</v>
      </c>
      <c r="E762" s="3" t="str">
        <f ca="1">IFERROR(__xludf.UNSUPPORTED("""COMPUTED_VALUE"""),"🚛 LIBERADO")</f>
        <v>🚛 LIBERADO</v>
      </c>
      <c r="F762" s="5">
        <f ca="1">IFERROR(__xludf.UNSUPPORTED("""COMPUTED_VALUE"""),0)</f>
        <v>0</v>
      </c>
      <c r="G762" s="3" t="str">
        <f ca="1">IFERROR(__xludf.UNSUPPORTED("""COMPUTED_VALUE"""),"Normalidade")</f>
        <v>Normalidade</v>
      </c>
      <c r="H762" s="4">
        <f ca="1">IFERROR(__xludf.UNSUPPORTED("""COMPUTED_VALUE"""),45481.4258796296)</f>
        <v>45481.425879629598</v>
      </c>
      <c r="I762" s="3">
        <f ca="1">IFERROR(__xludf.UNSUPPORTED("""COMPUTED_VALUE"""),24)</f>
        <v>24</v>
      </c>
      <c r="J762" s="4">
        <f ca="1">IFERROR(__xludf.UNSUPPORTED("""COMPUTED_VALUE"""),45482.4258796296)</f>
        <v>45482.425879629598</v>
      </c>
      <c r="L762" s="3" t="str">
        <f ca="1">IFERROR(__xludf.UNSUPPORTED("""COMPUTED_VALUE"""),"Normalidade")</f>
        <v>Normalidade</v>
      </c>
    </row>
    <row r="763" spans="1:12" ht="12.75">
      <c r="A763" s="3" t="str">
        <f ca="1">IFERROR(__xludf.UNSUPPORTED("""COMPUTED_VALUE"""),"d417e4c7")</f>
        <v>d417e4c7</v>
      </c>
      <c r="B763" s="4">
        <f ca="1">IFERROR(__xludf.UNSUPPORTED("""COMPUTED_VALUE"""),45485.4063773148)</f>
        <v>45485.406377314801</v>
      </c>
      <c r="C763" s="7" t="str">
        <f ca="1">IFERROR(__xludf.UNSUPPORTED("""COMPUTED_VALUE"""),"Ilhéus")</f>
        <v>Ilhéus</v>
      </c>
      <c r="D763" s="3" t="str">
        <f ca="1">IFERROR(__xludf.UNSUPPORTED("""COMPUTED_VALUE"""),"🚢 REGULAR")</f>
        <v>🚢 REGULAR</v>
      </c>
      <c r="E763" s="3" t="str">
        <f ca="1">IFERROR(__xludf.UNSUPPORTED("""COMPUTED_VALUE"""),"🚛 LIBERADO")</f>
        <v>🚛 LIBERADO</v>
      </c>
      <c r="F763" s="5">
        <f ca="1">IFERROR(__xludf.UNSUPPORTED("""COMPUTED_VALUE"""),0)</f>
        <v>0</v>
      </c>
      <c r="G763" s="3" t="str">
        <f ca="1">IFERROR(__xludf.UNSUPPORTED("""COMPUTED_VALUE"""),"Normalidade")</f>
        <v>Normalidade</v>
      </c>
      <c r="H763" s="4">
        <f ca="1">IFERROR(__xludf.UNSUPPORTED("""COMPUTED_VALUE"""),45485.4063773148)</f>
        <v>45485.406377314801</v>
      </c>
      <c r="I763" s="3">
        <f ca="1">IFERROR(__xludf.UNSUPPORTED("""COMPUTED_VALUE"""),24)</f>
        <v>24</v>
      </c>
      <c r="J763" s="4">
        <f ca="1">IFERROR(__xludf.UNSUPPORTED("""COMPUTED_VALUE"""),45486.4063773148)</f>
        <v>45486.406377314801</v>
      </c>
      <c r="L763" s="3" t="str">
        <f ca="1">IFERROR(__xludf.UNSUPPORTED("""COMPUTED_VALUE"""),"Normalidade")</f>
        <v>Normalidade</v>
      </c>
    </row>
    <row r="764" spans="1:12" ht="12.75">
      <c r="A764" s="3" t="str">
        <f ca="1">IFERROR(__xludf.UNSUPPORTED("""COMPUTED_VALUE"""),"96c40487")</f>
        <v>96c40487</v>
      </c>
      <c r="B764" s="4">
        <f ca="1">IFERROR(__xludf.UNSUPPORTED("""COMPUTED_VALUE"""),45499.3695254629)</f>
        <v>45499.369525462898</v>
      </c>
      <c r="C764" s="8" t="str">
        <f ca="1">IFERROR(__xludf.UNSUPPORTED("""COMPUTED_VALUE"""),"Ilhéus")</f>
        <v>Ilhéus</v>
      </c>
      <c r="D764" s="3" t="str">
        <f ca="1">IFERROR(__xludf.UNSUPPORTED("""COMPUTED_VALUE"""),"🚢 REGULAR")</f>
        <v>🚢 REGULAR</v>
      </c>
      <c r="E764" s="3" t="str">
        <f ca="1">IFERROR(__xludf.UNSUPPORTED("""COMPUTED_VALUE"""),"🚛 LIBERADO")</f>
        <v>🚛 LIBERADO</v>
      </c>
      <c r="F764" s="5">
        <f ca="1">IFERROR(__xludf.UNSUPPORTED("""COMPUTED_VALUE"""),0)</f>
        <v>0</v>
      </c>
      <c r="G764" s="3" t="str">
        <f ca="1">IFERROR(__xludf.UNSUPPORTED("""COMPUTED_VALUE"""),"Normalidade")</f>
        <v>Normalidade</v>
      </c>
      <c r="H764" s="4">
        <f ca="1">IFERROR(__xludf.UNSUPPORTED("""COMPUTED_VALUE"""),45499.3695254629)</f>
        <v>45499.369525462898</v>
      </c>
      <c r="I764" s="3">
        <f ca="1">IFERROR(__xludf.UNSUPPORTED("""COMPUTED_VALUE"""),24)</f>
        <v>24</v>
      </c>
      <c r="J764" s="4">
        <f ca="1">IFERROR(__xludf.UNSUPPORTED("""COMPUTED_VALUE"""),45500.3695254629)</f>
        <v>45500.369525462898</v>
      </c>
      <c r="L764" s="3" t="str">
        <f ca="1">IFERROR(__xludf.UNSUPPORTED("""COMPUTED_VALUE"""),"Normalidade")</f>
        <v>Normalidade</v>
      </c>
    </row>
    <row r="765" spans="1:12" ht="12.75">
      <c r="A765" s="3" t="str">
        <f ca="1">IFERROR(__xludf.UNSUPPORTED("""COMPUTED_VALUE"""),"a3c3b2fb")</f>
        <v>a3c3b2fb</v>
      </c>
      <c r="B765" s="4">
        <f ca="1">IFERROR(__xludf.UNSUPPORTED("""COMPUTED_VALUE"""),45517.6253472222)</f>
        <v>45517.625347222202</v>
      </c>
      <c r="C765" s="7" t="str">
        <f ca="1">IFERROR(__xludf.UNSUPPORTED("""COMPUTED_VALUE"""),"Ilhéus")</f>
        <v>Ilhéus</v>
      </c>
      <c r="D765" s="3" t="str">
        <f ca="1">IFERROR(__xludf.UNSUPPORTED("""COMPUTED_VALUE"""),"🚢 REGULAR")</f>
        <v>🚢 REGULAR</v>
      </c>
      <c r="E765" s="3" t="str">
        <f ca="1">IFERROR(__xludf.UNSUPPORTED("""COMPUTED_VALUE"""),"🚛 LIBERADO")</f>
        <v>🚛 LIBERADO</v>
      </c>
      <c r="F765" s="5">
        <f ca="1">IFERROR(__xludf.UNSUPPORTED("""COMPUTED_VALUE"""),0)</f>
        <v>0</v>
      </c>
      <c r="G765" s="3" t="str">
        <f ca="1">IFERROR(__xludf.UNSUPPORTED("""COMPUTED_VALUE"""),"Normalidade")</f>
        <v>Normalidade</v>
      </c>
      <c r="H765" s="4">
        <f ca="1">IFERROR(__xludf.UNSUPPORTED("""COMPUTED_VALUE"""),45517.6253472222)</f>
        <v>45517.625347222202</v>
      </c>
      <c r="I765" s="3">
        <f ca="1">IFERROR(__xludf.UNSUPPORTED("""COMPUTED_VALUE"""),24)</f>
        <v>24</v>
      </c>
      <c r="J765" s="4">
        <f ca="1">IFERROR(__xludf.UNSUPPORTED("""COMPUTED_VALUE"""),45518.6253472222)</f>
        <v>45518.625347222202</v>
      </c>
      <c r="L765" s="3" t="str">
        <f ca="1">IFERROR(__xludf.UNSUPPORTED("""COMPUTED_VALUE"""),"Normalidade")</f>
        <v>Normalidade</v>
      </c>
    </row>
    <row r="766" spans="1:12" ht="12.75">
      <c r="A766" s="3" t="str">
        <f ca="1">IFERROR(__xludf.UNSUPPORTED("""COMPUTED_VALUE"""),"a8a91d7b")</f>
        <v>a8a91d7b</v>
      </c>
      <c r="B766" s="4">
        <f ca="1">IFERROR(__xludf.UNSUPPORTED("""COMPUTED_VALUE"""),45520.3867939814)</f>
        <v>45520.386793981401</v>
      </c>
      <c r="C766" s="7" t="str">
        <f ca="1">IFERROR(__xludf.UNSUPPORTED("""COMPUTED_VALUE"""),"Ilhéus")</f>
        <v>Ilhéus</v>
      </c>
      <c r="D766" s="3" t="str">
        <f ca="1">IFERROR(__xludf.UNSUPPORTED("""COMPUTED_VALUE"""),"🚢 REGULAR")</f>
        <v>🚢 REGULAR</v>
      </c>
      <c r="E766" s="3" t="str">
        <f ca="1">IFERROR(__xludf.UNSUPPORTED("""COMPUTED_VALUE"""),"🚛 LIBERADO")</f>
        <v>🚛 LIBERADO</v>
      </c>
      <c r="F766" s="5">
        <f ca="1">IFERROR(__xludf.UNSUPPORTED("""COMPUTED_VALUE"""),0)</f>
        <v>0</v>
      </c>
      <c r="G766" s="3" t="str">
        <f ca="1">IFERROR(__xludf.UNSUPPORTED("""COMPUTED_VALUE"""),"Normalidade")</f>
        <v>Normalidade</v>
      </c>
      <c r="H766" s="4">
        <f ca="1">IFERROR(__xludf.UNSUPPORTED("""COMPUTED_VALUE"""),45520.3867939814)</f>
        <v>45520.386793981401</v>
      </c>
      <c r="I766" s="3">
        <f ca="1">IFERROR(__xludf.UNSUPPORTED("""COMPUTED_VALUE"""),24)</f>
        <v>24</v>
      </c>
      <c r="J766" s="4">
        <f ca="1">IFERROR(__xludf.UNSUPPORTED("""COMPUTED_VALUE"""),45521.3867939814)</f>
        <v>45521.386793981401</v>
      </c>
      <c r="L766" s="3" t="str">
        <f ca="1">IFERROR(__xludf.UNSUPPORTED("""COMPUTED_VALUE"""),"Normalidade")</f>
        <v>Normalidade</v>
      </c>
    </row>
    <row r="767" spans="1:12" ht="12.75">
      <c r="A767" s="3" t="str">
        <f ca="1">IFERROR(__xludf.UNSUPPORTED("""COMPUTED_VALUE"""),"6e8a82ea")</f>
        <v>6e8a82ea</v>
      </c>
      <c r="B767" s="4">
        <f ca="1">IFERROR(__xludf.UNSUPPORTED("""COMPUTED_VALUE"""),45540.3595486111)</f>
        <v>45540.359548611101</v>
      </c>
      <c r="C767" s="8" t="str">
        <f ca="1">IFERROR(__xludf.UNSUPPORTED("""COMPUTED_VALUE"""),"Ilhéus")</f>
        <v>Ilhéus</v>
      </c>
      <c r="D767" s="3" t="str">
        <f ca="1">IFERROR(__xludf.UNSUPPORTED("""COMPUTED_VALUE"""),"🚢 REGULAR")</f>
        <v>🚢 REGULAR</v>
      </c>
      <c r="E767" s="3" t="str">
        <f ca="1">IFERROR(__xludf.UNSUPPORTED("""COMPUTED_VALUE"""),"🚛 LIBERADO")</f>
        <v>🚛 LIBERADO</v>
      </c>
      <c r="F767" s="5">
        <f ca="1">IFERROR(__xludf.UNSUPPORTED("""COMPUTED_VALUE"""),0)</f>
        <v>0</v>
      </c>
      <c r="G767" s="3" t="str">
        <f ca="1">IFERROR(__xludf.UNSUPPORTED("""COMPUTED_VALUE"""),"Normalidade")</f>
        <v>Normalidade</v>
      </c>
      <c r="H767" s="4">
        <f ca="1">IFERROR(__xludf.UNSUPPORTED("""COMPUTED_VALUE"""),45540.3595486111)</f>
        <v>45540.359548611101</v>
      </c>
      <c r="I767" s="3">
        <f ca="1">IFERROR(__xludf.UNSUPPORTED("""COMPUTED_VALUE"""),24)</f>
        <v>24</v>
      </c>
      <c r="J767" s="4">
        <f ca="1">IFERROR(__xludf.UNSUPPORTED("""COMPUTED_VALUE"""),45541.3595486111)</f>
        <v>45541.359548611101</v>
      </c>
      <c r="L767" s="3" t="str">
        <f ca="1">IFERROR(__xludf.UNSUPPORTED("""COMPUTED_VALUE"""),"Normalidade")</f>
        <v>Normalidade</v>
      </c>
    </row>
    <row r="768" spans="1:12" ht="12.75">
      <c r="A768" s="3" t="str">
        <f ca="1">IFERROR(__xludf.UNSUPPORTED("""COMPUTED_VALUE"""),"ceedb964")</f>
        <v>ceedb964</v>
      </c>
      <c r="B768" s="4">
        <f ca="1">IFERROR(__xludf.UNSUPPORTED("""COMPUTED_VALUE"""),45554.5475810185)</f>
        <v>45554.547581018502</v>
      </c>
      <c r="C768" s="7" t="str">
        <f ca="1">IFERROR(__xludf.UNSUPPORTED("""COMPUTED_VALUE"""),"Ilhéus")</f>
        <v>Ilhéus</v>
      </c>
      <c r="D768" s="3" t="str">
        <f ca="1">IFERROR(__xludf.UNSUPPORTED("""COMPUTED_VALUE"""),"🚢 REGULAR")</f>
        <v>🚢 REGULAR</v>
      </c>
      <c r="E768" s="3" t="str">
        <f ca="1">IFERROR(__xludf.UNSUPPORTED("""COMPUTED_VALUE"""),"🚛 LIBERADO")</f>
        <v>🚛 LIBERADO</v>
      </c>
      <c r="F768" s="5">
        <f ca="1">IFERROR(__xludf.UNSUPPORTED("""COMPUTED_VALUE"""),0)</f>
        <v>0</v>
      </c>
      <c r="G768" s="3" t="str">
        <f ca="1">IFERROR(__xludf.UNSUPPORTED("""COMPUTED_VALUE"""),"Normalidade")</f>
        <v>Normalidade</v>
      </c>
      <c r="H768" s="4">
        <f ca="1">IFERROR(__xludf.UNSUPPORTED("""COMPUTED_VALUE"""),45554.5475810185)</f>
        <v>45554.547581018502</v>
      </c>
      <c r="I768" s="3">
        <f ca="1">IFERROR(__xludf.UNSUPPORTED("""COMPUTED_VALUE"""),24)</f>
        <v>24</v>
      </c>
      <c r="J768" s="4">
        <f ca="1">IFERROR(__xludf.UNSUPPORTED("""COMPUTED_VALUE"""),45555.5475810185)</f>
        <v>45555.547581018502</v>
      </c>
      <c r="L768" s="3" t="str">
        <f ca="1">IFERROR(__xludf.UNSUPPORTED("""COMPUTED_VALUE"""),"Normalidade")</f>
        <v>Normalidade</v>
      </c>
    </row>
    <row r="769" spans="1:12" ht="12.75">
      <c r="A769" s="3" t="str">
        <f ca="1">IFERROR(__xludf.UNSUPPORTED("""COMPUTED_VALUE"""),"e9852796")</f>
        <v>e9852796</v>
      </c>
      <c r="B769" s="4">
        <f ca="1">IFERROR(__xludf.UNSUPPORTED("""COMPUTED_VALUE"""),45573.4908333333)</f>
        <v>45573.490833333301</v>
      </c>
      <c r="C769" s="8" t="str">
        <f ca="1">IFERROR(__xludf.UNSUPPORTED("""COMPUTED_VALUE"""),"Ilhéus")</f>
        <v>Ilhéus</v>
      </c>
      <c r="D769" s="3" t="str">
        <f ca="1">IFERROR(__xludf.UNSUPPORTED("""COMPUTED_VALUE"""),"🚢 REGULAR")</f>
        <v>🚢 REGULAR</v>
      </c>
      <c r="E769" s="3" t="str">
        <f ca="1">IFERROR(__xludf.UNSUPPORTED("""COMPUTED_VALUE"""),"🚛 LIBERADO")</f>
        <v>🚛 LIBERADO</v>
      </c>
      <c r="F769" s="5">
        <f ca="1">IFERROR(__xludf.UNSUPPORTED("""COMPUTED_VALUE"""),0)</f>
        <v>0</v>
      </c>
      <c r="G769" s="3" t="str">
        <f ca="1">IFERROR(__xludf.UNSUPPORTED("""COMPUTED_VALUE"""),"Normalidade")</f>
        <v>Normalidade</v>
      </c>
      <c r="H769" s="4">
        <f ca="1">IFERROR(__xludf.UNSUPPORTED("""COMPUTED_VALUE"""),45573.4908333333)</f>
        <v>45573.490833333301</v>
      </c>
      <c r="I769" s="3">
        <f ca="1">IFERROR(__xludf.UNSUPPORTED("""COMPUTED_VALUE"""),24)</f>
        <v>24</v>
      </c>
      <c r="J769" s="4">
        <f ca="1">IFERROR(__xludf.UNSUPPORTED("""COMPUTED_VALUE"""),45574.4908333333)</f>
        <v>45574.490833333301</v>
      </c>
      <c r="L769" s="3" t="str">
        <f ca="1">IFERROR(__xludf.UNSUPPORTED("""COMPUTED_VALUE"""),"Normalidade")</f>
        <v>Normalidade</v>
      </c>
    </row>
    <row r="770" spans="1:12" ht="12.75">
      <c r="A770" s="3" t="str">
        <f ca="1">IFERROR(__xludf.UNSUPPORTED("""COMPUTED_VALUE"""),"aba3e132")</f>
        <v>aba3e132</v>
      </c>
      <c r="B770" s="4">
        <f ca="1">IFERROR(__xludf.UNSUPPORTED("""COMPUTED_VALUE"""),45587.497349537)</f>
        <v>45587.497349537</v>
      </c>
      <c r="C770" s="7" t="str">
        <f ca="1">IFERROR(__xludf.UNSUPPORTED("""COMPUTED_VALUE"""),"Ilhéus")</f>
        <v>Ilhéus</v>
      </c>
      <c r="D770" s="3" t="str">
        <f ca="1">IFERROR(__xludf.UNSUPPORTED("""COMPUTED_VALUE"""),"❗️ PARALISADA")</f>
        <v>❗️ PARALISADA</v>
      </c>
      <c r="E770" s="3" t="str">
        <f ca="1">IFERROR(__xludf.UNSUPPORTED("""COMPUTED_VALUE"""),"⛔️ BLOQUEADO")</f>
        <v>⛔️ BLOQUEADO</v>
      </c>
      <c r="F770" s="5">
        <f ca="1">IFERROR(__xludf.UNSUPPORTED("""COMPUTED_VALUE"""),0.5)</f>
        <v>0.5</v>
      </c>
      <c r="G770" s="3" t="str">
        <f ca="1">IFERROR(__xludf.UNSUPPORTED("""COMPUTED_VALUE"""),"Paralisação de 12 horas dos Trabalhadores Portuário")</f>
        <v>Paralisação de 12 horas dos Trabalhadores Portuário</v>
      </c>
      <c r="H770" s="4">
        <f ca="1">IFERROR(__xludf.UNSUPPORTED("""COMPUTED_VALUE"""),45587.497349537)</f>
        <v>45587.497349537</v>
      </c>
      <c r="I770" s="3">
        <f ca="1">IFERROR(__xludf.UNSUPPORTED("""COMPUTED_VALUE"""),6)</f>
        <v>6</v>
      </c>
      <c r="J770" s="4">
        <f ca="1">IFERROR(__xludf.UNSUPPORTED("""COMPUTED_VALUE"""),45587.747349537)</f>
        <v>45587.747349537</v>
      </c>
      <c r="K770" s="3" t="str">
        <f ca="1">IFERROR(__xludf.UNSUPPORTED("""COMPUTED_VALUE"""),"Codeba")</f>
        <v>Codeba</v>
      </c>
      <c r="L770" s="3" t="str">
        <f ca="1">IFERROR(__xludf.UNSUPPORTED("""COMPUTED_VALUE"""),"Crítico")</f>
        <v>Crítico</v>
      </c>
    </row>
    <row r="771" spans="1:12" ht="12.75">
      <c r="A771" s="3" t="str">
        <f ca="1">IFERROR(__xludf.UNSUPPORTED("""COMPUTED_VALUE"""),"14c162a1")</f>
        <v>14c162a1</v>
      </c>
      <c r="B771" s="4">
        <f ca="1">IFERROR(__xludf.UNSUPPORTED("""COMPUTED_VALUE"""),45625.5342476851)</f>
        <v>45625.5342476851</v>
      </c>
      <c r="C771" s="7" t="str">
        <f ca="1">IFERROR(__xludf.UNSUPPORTED("""COMPUTED_VALUE"""),"Ilhéus")</f>
        <v>Ilhéus</v>
      </c>
      <c r="D771" s="3" t="str">
        <f ca="1">IFERROR(__xludf.UNSUPPORTED("""COMPUTED_VALUE"""),"🚢 REGULAR")</f>
        <v>🚢 REGULAR</v>
      </c>
      <c r="E771" s="3" t="str">
        <f ca="1">IFERROR(__xludf.UNSUPPORTED("""COMPUTED_VALUE"""),"🚛 LIBERADO")</f>
        <v>🚛 LIBERADO</v>
      </c>
      <c r="F771" s="5">
        <f ca="1">IFERROR(__xludf.UNSUPPORTED("""COMPUTED_VALUE"""),0)</f>
        <v>0</v>
      </c>
      <c r="G771" s="3" t="str">
        <f ca="1">IFERROR(__xludf.UNSUPPORTED("""COMPUTED_VALUE"""),"Normalidade")</f>
        <v>Normalidade</v>
      </c>
      <c r="H771" s="4">
        <f ca="1">IFERROR(__xludf.UNSUPPORTED("""COMPUTED_VALUE"""),45625.5342476851)</f>
        <v>45625.5342476851</v>
      </c>
      <c r="I771" s="3">
        <f ca="1">IFERROR(__xludf.UNSUPPORTED("""COMPUTED_VALUE"""),24)</f>
        <v>24</v>
      </c>
      <c r="J771" s="4">
        <f ca="1">IFERROR(__xludf.UNSUPPORTED("""COMPUTED_VALUE"""),45626.5342476851)</f>
        <v>45626.5342476851</v>
      </c>
      <c r="L771" s="3" t="str">
        <f ca="1">IFERROR(__xludf.UNSUPPORTED("""COMPUTED_VALUE"""),"Normalidade")</f>
        <v>Normalidade</v>
      </c>
    </row>
    <row r="772" spans="1:12" ht="12.75">
      <c r="A772" s="3" t="str">
        <f ca="1">IFERROR(__xludf.UNSUPPORTED("""COMPUTED_VALUE"""),"cd7bd1bc")</f>
        <v>cd7bd1bc</v>
      </c>
      <c r="B772" s="4">
        <f ca="1">IFERROR(__xludf.UNSUPPORTED("""COMPUTED_VALUE"""),45684.5796180555)</f>
        <v>45684.579618055497</v>
      </c>
      <c r="C772" s="7" t="str">
        <f ca="1">IFERROR(__xludf.UNSUPPORTED("""COMPUTED_VALUE"""),"Ilhéus")</f>
        <v>Ilhéus</v>
      </c>
      <c r="D772" s="3" t="str">
        <f ca="1">IFERROR(__xludf.UNSUPPORTED("""COMPUTED_VALUE"""),"🚢 REGULAR")</f>
        <v>🚢 REGULAR</v>
      </c>
      <c r="E772" s="3" t="str">
        <f ca="1">IFERROR(__xludf.UNSUPPORTED("""COMPUTED_VALUE"""),"🚛 LIBERADO")</f>
        <v>🚛 LIBERADO</v>
      </c>
      <c r="F772" s="5">
        <f ca="1">IFERROR(__xludf.UNSUPPORTED("""COMPUTED_VALUE"""),0)</f>
        <v>0</v>
      </c>
      <c r="G772" s="3" t="str">
        <f ca="1">IFERROR(__xludf.UNSUPPORTED("""COMPUTED_VALUE"""),"Normalidade")</f>
        <v>Normalidade</v>
      </c>
      <c r="H772" s="4">
        <f ca="1">IFERROR(__xludf.UNSUPPORTED("""COMPUTED_VALUE"""),45684.5796180555)</f>
        <v>45684.579618055497</v>
      </c>
      <c r="I772" s="3">
        <f ca="1">IFERROR(__xludf.UNSUPPORTED("""COMPUTED_VALUE"""),24)</f>
        <v>24</v>
      </c>
      <c r="J772" s="4">
        <f ca="1">IFERROR(__xludf.UNSUPPORTED("""COMPUTED_VALUE"""),45685.5796180555)</f>
        <v>45685.579618055497</v>
      </c>
      <c r="L772" s="3" t="str">
        <f ca="1">IFERROR(__xludf.UNSUPPORTED("""COMPUTED_VALUE"""),"Normalidade")</f>
        <v>Normalidade</v>
      </c>
    </row>
    <row r="773" spans="1:12" ht="12.75">
      <c r="A773" s="3" t="str">
        <f ca="1">IFERROR(__xludf.UNSUPPORTED("""COMPUTED_VALUE"""),"HbIjZYYE")</f>
        <v>HbIjZYYE</v>
      </c>
      <c r="B773" s="4">
        <f ca="1">IFERROR(__xludf.UNSUPPORTED("""COMPUTED_VALUE"""),44589.5)</f>
        <v>44589.5</v>
      </c>
      <c r="C773" s="8" t="str">
        <f ca="1">IFERROR(__xludf.UNSUPPORTED("""COMPUTED_VALUE"""),"Imbituba")</f>
        <v>Imbituba</v>
      </c>
      <c r="D773" s="3" t="str">
        <f ca="1">IFERROR(__xludf.UNSUPPORTED("""COMPUTED_VALUE"""),"🚢 REGULAR")</f>
        <v>🚢 REGULAR</v>
      </c>
      <c r="E773" s="3" t="str">
        <f ca="1">IFERROR(__xludf.UNSUPPORTED("""COMPUTED_VALUE"""),"🚛 LIBERADO")</f>
        <v>🚛 LIBERADO</v>
      </c>
      <c r="F773" s="5">
        <f ca="1">IFERROR(__xludf.UNSUPPORTED("""COMPUTED_VALUE"""),0)</f>
        <v>0</v>
      </c>
      <c r="G773" s="3" t="str">
        <f ca="1">IFERROR(__xludf.UNSUPPORTED("""COMPUTED_VALUE"""),"Nada de paralisações, operações transcorrendo normalmente. Poucas faixas e manifestantes no momento.")</f>
        <v>Nada de paralisações, operações transcorrendo normalmente. Poucas faixas e manifestantes no momento.</v>
      </c>
      <c r="H773" s="4">
        <f ca="1">IFERROR(__xludf.UNSUPPORTED("""COMPUTED_VALUE"""),44589.3763888888)</f>
        <v>44589.376388888799</v>
      </c>
      <c r="I773" s="3">
        <f ca="1">IFERROR(__xludf.UNSUPPORTED("""COMPUTED_VALUE"""),3)</f>
        <v>3</v>
      </c>
      <c r="J773" s="4">
        <f ca="1">IFERROR(__xludf.UNSUPPORTED("""COMPUTED_VALUE"""),44589.5013888888)</f>
        <v>44589.501388888799</v>
      </c>
    </row>
    <row r="774" spans="1:12" ht="12.75">
      <c r="A774" s="3" t="str">
        <f ca="1">IFERROR(__xludf.UNSUPPORTED("""COMPUTED_VALUE"""),"2b322a18")</f>
        <v>2b322a18</v>
      </c>
      <c r="B774" s="4">
        <f ca="1">IFERROR(__xludf.UNSUPPORTED("""COMPUTED_VALUE"""),44866.3317361111)</f>
        <v>44866.331736111097</v>
      </c>
      <c r="C774" s="8" t="str">
        <f ca="1">IFERROR(__xludf.UNSUPPORTED("""COMPUTED_VALUE"""),"Imbituba")</f>
        <v>Imbituba</v>
      </c>
      <c r="D774" s="3" t="str">
        <f ca="1">IFERROR(__xludf.UNSUPPORTED("""COMPUTED_VALUE"""),"⚠️ COM ATRASOS")</f>
        <v>⚠️ COM ATRASOS</v>
      </c>
      <c r="E774" s="3" t="str">
        <f ca="1">IFERROR(__xludf.UNSUPPORTED("""COMPUTED_VALUE"""),"⚠️ PARCIALMENTE BLOQUEADO")</f>
        <v>⚠️ PARCIALMENTE BLOQUEADO</v>
      </c>
      <c r="F774" s="5">
        <f ca="1">IFERROR(__xludf.UNSUPPORTED("""COMPUTED_VALUE"""),0.75)</f>
        <v>0.75</v>
      </c>
      <c r="G774" s="3" t="str">
        <f ca="1">IFERROR(__xludf.UNSUPPORTED("""COMPUTED_VALUE"""),"BR 101 bloqueada em diversos pontos em SC, em ambos os sentidos. Vias de acesso praticamente todas interrompidas. Movimentação de caminhões ocorre apenas entre terminais retroportuários que já estão próximos ao Porto.")</f>
        <v>BR 101 bloqueada em diversos pontos em SC, em ambos os sentidos. Vias de acesso praticamente todas interrompidas. Movimentação de caminhões ocorre apenas entre terminais retroportuários que já estão próximos ao Porto.</v>
      </c>
      <c r="H774" s="4">
        <f ca="1">IFERROR(__xludf.UNSUPPORTED("""COMPUTED_VALUE"""),44865.4166666666)</f>
        <v>44865.416666666599</v>
      </c>
      <c r="I774" s="3">
        <f ca="1">IFERROR(__xludf.UNSUPPORTED("""COMPUTED_VALUE"""),48)</f>
        <v>48</v>
      </c>
      <c r="J774" s="4">
        <f ca="1">IFERROR(__xludf.UNSUPPORTED("""COMPUTED_VALUE"""),44867.4166666666)</f>
        <v>44867.416666666599</v>
      </c>
    </row>
    <row r="775" spans="1:12" ht="12.75">
      <c r="A775" s="3" t="str">
        <f ca="1">IFERROR(__xludf.UNSUPPORTED("""COMPUTED_VALUE"""),"10a19aa3")</f>
        <v>10a19aa3</v>
      </c>
      <c r="B775" s="4">
        <f ca="1">IFERROR(__xludf.UNSUPPORTED("""COMPUTED_VALUE"""),44867.5044444444)</f>
        <v>44867.504444444399</v>
      </c>
      <c r="C775" s="7" t="str">
        <f ca="1">IFERROR(__xludf.UNSUPPORTED("""COMPUTED_VALUE"""),"Imbituba")</f>
        <v>Imbituba</v>
      </c>
      <c r="D775" s="3" t="str">
        <f ca="1">IFERROR(__xludf.UNSUPPORTED("""COMPUTED_VALUE"""),"⚠️ COM ATRASOS")</f>
        <v>⚠️ COM ATRASOS</v>
      </c>
      <c r="E775" s="3" t="str">
        <f ca="1">IFERROR(__xludf.UNSUPPORTED("""COMPUTED_VALUE"""),"⚠️ PARCIALMENTE BLOQUEADO")</f>
        <v>⚠️ PARCIALMENTE BLOQUEADO</v>
      </c>
      <c r="F775" s="5">
        <f ca="1">IFERROR(__xludf.UNSUPPORTED("""COMPUTED_VALUE"""),0.5)</f>
        <v>0.5</v>
      </c>
      <c r="G775" s="3" t="str">
        <f ca="1">IFERROR(__xludf.UNSUPPORTED("""COMPUTED_VALUE"""),"Operação ocorreu normalmente nas últimas 24 horas, sobretudo em razão de as operações em questão envolverem graneis sólidos (navios de sal e coque berços 3 e 1) e não dependerem de caminhões. Na madrugada desatracou o navio Eleoussa, que era carga de urei"&amp;"a e não estava operando por causa da chuva, para atracar (berço 2) o navio prioritário de contêiner, o Monte Sarmiento. Assim, hoje (02/11/2022) há três navios em operação. Operação interna normal, porém há diminuição significativa na entrada de caminhões"&amp;". 
O arrendatário TECON Santos Brasil, que opera o navio de contêineres, reportou dificuldades de recrutar caminhoneiros para operação de contêiner e também que não consegue expedir carga geral para externo.")</f>
        <v>Operação ocorreu normalmente nas últimas 24 horas, sobretudo em razão de as operações em questão envolverem graneis sólidos (navios de sal e coque berços 3 e 1) e não dependerem de caminhões. Na madrugada desatracou o navio Eleoussa, que era carga de ureia e não estava operando por causa da chuva, para atracar (berço 2) o navio prioritário de contêiner, o Monte Sarmiento. Assim, hoje (02/11/2022) há três navios em operação. Operação interna normal, porém há diminuição significativa na entrada de caminhões. 
O arrendatário TECON Santos Brasil, que opera o navio de contêineres, reportou dificuldades de recrutar caminhoneiros para operação de contêiner e também que não consegue expedir carga geral para externo.</v>
      </c>
      <c r="H775" s="4">
        <f ca="1">IFERROR(__xludf.UNSUPPORTED("""COMPUTED_VALUE"""),44867.5044444444)</f>
        <v>44867.504444444399</v>
      </c>
      <c r="I775" s="3">
        <f ca="1">IFERROR(__xludf.UNSUPPORTED("""COMPUTED_VALUE"""),24)</f>
        <v>24</v>
      </c>
      <c r="J775" s="4">
        <f ca="1">IFERROR(__xludf.UNSUPPORTED("""COMPUTED_VALUE"""),44868.5044444444)</f>
        <v>44868.504444444399</v>
      </c>
    </row>
    <row r="776" spans="1:12" ht="12.75">
      <c r="A776" s="3" t="str">
        <f ca="1">IFERROR(__xludf.UNSUPPORTED("""COMPUTED_VALUE"""),"73902427")</f>
        <v>73902427</v>
      </c>
      <c r="B776" s="4">
        <f ca="1">IFERROR(__xludf.UNSUPPORTED("""COMPUTED_VALUE"""),44868.4096643518)</f>
        <v>44868.409664351799</v>
      </c>
      <c r="C776" s="7" t="str">
        <f ca="1">IFERROR(__xludf.UNSUPPORTED("""COMPUTED_VALUE"""),"Imbituba")</f>
        <v>Imbituba</v>
      </c>
      <c r="D776" s="3" t="str">
        <f ca="1">IFERROR(__xludf.UNSUPPORTED("""COMPUTED_VALUE"""),"⚠️ COM ATRASOS")</f>
        <v>⚠️ COM ATRASOS</v>
      </c>
      <c r="E776" s="3" t="str">
        <f ca="1">IFERROR(__xludf.UNSUPPORTED("""COMPUTED_VALUE"""),"⚠️ PARCIALMENTE BLOQUEADO")</f>
        <v>⚠️ PARCIALMENTE BLOQUEADO</v>
      </c>
      <c r="F776" s="5">
        <f ca="1">IFERROR(__xludf.UNSUPPORTED("""COMPUTED_VALUE"""),0.25)</f>
        <v>0.25</v>
      </c>
      <c r="G776" s="3" t="str">
        <f ca="1">IFERROR(__xludf.UNSUPPORTED("""COMPUTED_VALUE"""),"Operação ocorrendo na normalidade, mas baixa entrada de caminhões continua em razão da persistência dos bloqueios na BR 101, em especial norte de SC")</f>
        <v>Operação ocorrendo na normalidade, mas baixa entrada de caminhões continua em razão da persistência dos bloqueios na BR 101, em especial norte de SC</v>
      </c>
      <c r="H776" s="4">
        <f ca="1">IFERROR(__xludf.UNSUPPORTED("""COMPUTED_VALUE"""),44868.4096643518)</f>
        <v>44868.409664351799</v>
      </c>
      <c r="I776" s="3">
        <f ca="1">IFERROR(__xludf.UNSUPPORTED("""COMPUTED_VALUE"""),24)</f>
        <v>24</v>
      </c>
      <c r="J776" s="4">
        <f ca="1">IFERROR(__xludf.UNSUPPORTED("""COMPUTED_VALUE"""),44869.4096643518)</f>
        <v>44869.409664351799</v>
      </c>
    </row>
    <row r="777" spans="1:12" ht="12.75">
      <c r="A777" s="3" t="str">
        <f ca="1">IFERROR(__xludf.UNSUPPORTED("""COMPUTED_VALUE"""),"edc7e4d5")</f>
        <v>edc7e4d5</v>
      </c>
      <c r="B777" s="4">
        <f ca="1">IFERROR(__xludf.UNSUPPORTED("""COMPUTED_VALUE"""),44868.5607754629)</f>
        <v>44868.560775462902</v>
      </c>
      <c r="C777" s="8" t="str">
        <f ca="1">IFERROR(__xludf.UNSUPPORTED("""COMPUTED_VALUE"""),"Imbituba")</f>
        <v>Imbituba</v>
      </c>
      <c r="D777" s="3" t="str">
        <f ca="1">IFERROR(__xludf.UNSUPPORTED("""COMPUTED_VALUE"""),"🚢 REGULAR")</f>
        <v>🚢 REGULAR</v>
      </c>
      <c r="E777" s="3" t="str">
        <f ca="1">IFERROR(__xludf.UNSUPPORTED("""COMPUTED_VALUE"""),"🚛 LIBERADO")</f>
        <v>🚛 LIBERADO</v>
      </c>
      <c r="F777" s="5">
        <f ca="1">IFERROR(__xludf.UNSUPPORTED("""COMPUTED_VALUE"""),0.25)</f>
        <v>0.25</v>
      </c>
      <c r="G777" s="3" t="str">
        <f ca="1">IFERROR(__xludf.UNSUPPORTED("""COMPUTED_VALUE"""),"Operação regular. Entrada de caminhões ainda abaixo do esperado, mas retomando gradativamente. Espera-se normalização ao longo do dia de hoje e de amanhã.")</f>
        <v>Operação regular. Entrada de caminhões ainda abaixo do esperado, mas retomando gradativamente. Espera-se normalização ao longo do dia de hoje e de amanhã.</v>
      </c>
      <c r="H777" s="4">
        <f ca="1">IFERROR(__xludf.UNSUPPORTED("""COMPUTED_VALUE"""),44868.5607754629)</f>
        <v>44868.560775462902</v>
      </c>
      <c r="I777" s="3">
        <f ca="1">IFERROR(__xludf.UNSUPPORTED("""COMPUTED_VALUE"""),12)</f>
        <v>12</v>
      </c>
      <c r="J777" s="4">
        <f ca="1">IFERROR(__xludf.UNSUPPORTED("""COMPUTED_VALUE"""),44869.0607754629)</f>
        <v>44869.060775462902</v>
      </c>
    </row>
    <row r="778" spans="1:12" ht="12.75">
      <c r="A778" s="3" t="str">
        <f ca="1">IFERROR(__xludf.UNSUPPORTED("""COMPUTED_VALUE"""),"26978f89")</f>
        <v>26978f89</v>
      </c>
      <c r="B778" s="4">
        <f ca="1">IFERROR(__xludf.UNSUPPORTED("""COMPUTED_VALUE"""),44869.3815162037)</f>
        <v>44869.381516203699</v>
      </c>
      <c r="C778" s="8" t="str">
        <f ca="1">IFERROR(__xludf.UNSUPPORTED("""COMPUTED_VALUE"""),"Imbituba")</f>
        <v>Imbituba</v>
      </c>
      <c r="D778" s="3" t="str">
        <f ca="1">IFERROR(__xludf.UNSUPPORTED("""COMPUTED_VALUE"""),"🚢 REGULAR")</f>
        <v>🚢 REGULAR</v>
      </c>
      <c r="E778" s="3" t="str">
        <f ca="1">IFERROR(__xludf.UNSUPPORTED("""COMPUTED_VALUE"""),"🚛 LIBERADO")</f>
        <v>🚛 LIBERADO</v>
      </c>
      <c r="F778" s="5">
        <f ca="1">IFERROR(__xludf.UNSUPPORTED("""COMPUTED_VALUE"""),0)</f>
        <v>0</v>
      </c>
      <c r="G778" s="3" t="str">
        <f ca="1">IFERROR(__xludf.UNSUPPORTED("""COMPUTED_VALUE"""),"Operação normalizada. Fluxo regular de caminhões.")</f>
        <v>Operação normalizada. Fluxo regular de caminhões.</v>
      </c>
      <c r="H778" s="4">
        <f ca="1">IFERROR(__xludf.UNSUPPORTED("""COMPUTED_VALUE"""),44869.3815162037)</f>
        <v>44869.381516203699</v>
      </c>
      <c r="I778" s="3">
        <f ca="1">IFERROR(__xludf.UNSUPPORTED("""COMPUTED_VALUE"""),24)</f>
        <v>24</v>
      </c>
      <c r="J778" s="4">
        <f ca="1">IFERROR(__xludf.UNSUPPORTED("""COMPUTED_VALUE"""),44870.3815162037)</f>
        <v>44870.381516203699</v>
      </c>
    </row>
    <row r="779" spans="1:12" ht="12.75">
      <c r="A779" s="3" t="str">
        <f ca="1">IFERROR(__xludf.UNSUPPORTED("""COMPUTED_VALUE"""),"93f70086")</f>
        <v>93f70086</v>
      </c>
      <c r="B779" s="4">
        <f ca="1">IFERROR(__xludf.UNSUPPORTED("""COMPUTED_VALUE"""),44870.6325462963)</f>
        <v>44870.6325462963</v>
      </c>
      <c r="C779" s="7" t="str">
        <f ca="1">IFERROR(__xludf.UNSUPPORTED("""COMPUTED_VALUE"""),"Imbituba")</f>
        <v>Imbituba</v>
      </c>
      <c r="D779" s="3" t="str">
        <f ca="1">IFERROR(__xludf.UNSUPPORTED("""COMPUTED_VALUE"""),"🚢 REGULAR")</f>
        <v>🚢 REGULAR</v>
      </c>
      <c r="E779" s="3" t="str">
        <f ca="1">IFERROR(__xludf.UNSUPPORTED("""COMPUTED_VALUE"""),"🚛 LIBERADO")</f>
        <v>🚛 LIBERADO</v>
      </c>
      <c r="F779" s="5">
        <f ca="1">IFERROR(__xludf.UNSUPPORTED("""COMPUTED_VALUE"""),0)</f>
        <v>0</v>
      </c>
      <c r="G779" s="3" t="str">
        <f ca="1">IFERROR(__xludf.UNSUPPORTED("""COMPUTED_VALUE"""),"Operação regular e sem intercorrências")</f>
        <v>Operação regular e sem intercorrências</v>
      </c>
      <c r="H779" s="4">
        <f ca="1">IFERROR(__xludf.UNSUPPORTED("""COMPUTED_VALUE"""),44870.6325462963)</f>
        <v>44870.6325462963</v>
      </c>
      <c r="I779" s="3">
        <f ca="1">IFERROR(__xludf.UNSUPPORTED("""COMPUTED_VALUE"""),24)</f>
        <v>24</v>
      </c>
      <c r="J779" s="4">
        <f ca="1">IFERROR(__xludf.UNSUPPORTED("""COMPUTED_VALUE"""),44871.6325462963)</f>
        <v>44871.6325462963</v>
      </c>
    </row>
    <row r="780" spans="1:12" ht="12.75">
      <c r="A780" s="3" t="str">
        <f ca="1">IFERROR(__xludf.UNSUPPORTED("""COMPUTED_VALUE"""),"6ff9cc86")</f>
        <v>6ff9cc86</v>
      </c>
      <c r="B780" s="4">
        <f ca="1">IFERROR(__xludf.UNSUPPORTED("""COMPUTED_VALUE"""),44872.3570949074)</f>
        <v>44872.357094907398</v>
      </c>
      <c r="C780" s="8" t="str">
        <f ca="1">IFERROR(__xludf.UNSUPPORTED("""COMPUTED_VALUE"""),"Imbituba")</f>
        <v>Imbituba</v>
      </c>
      <c r="D780" s="3" t="str">
        <f ca="1">IFERROR(__xludf.UNSUPPORTED("""COMPUTED_VALUE"""),"🚢 REGULAR")</f>
        <v>🚢 REGULAR</v>
      </c>
      <c r="E780" s="3" t="str">
        <f ca="1">IFERROR(__xludf.UNSUPPORTED("""COMPUTED_VALUE"""),"🚛 LIBERADO")</f>
        <v>🚛 LIBERADO</v>
      </c>
      <c r="F780" s="5">
        <f ca="1">IFERROR(__xludf.UNSUPPORTED("""COMPUTED_VALUE"""),0)</f>
        <v>0</v>
      </c>
      <c r="G780" s="3" t="str">
        <f ca="1">IFERROR(__xludf.UNSUPPORTED("""COMPUTED_VALUE"""),"Operação regular. Fluxo de caminhões normal.")</f>
        <v>Operação regular. Fluxo de caminhões normal.</v>
      </c>
      <c r="H780" s="4">
        <f ca="1">IFERROR(__xludf.UNSUPPORTED("""COMPUTED_VALUE"""),44872.3570949074)</f>
        <v>44872.357094907398</v>
      </c>
      <c r="I780" s="3">
        <f ca="1">IFERROR(__xludf.UNSUPPORTED("""COMPUTED_VALUE"""),24)</f>
        <v>24</v>
      </c>
      <c r="J780" s="4">
        <f ca="1">IFERROR(__xludf.UNSUPPORTED("""COMPUTED_VALUE"""),44873.3570949074)</f>
        <v>44873.357094907398</v>
      </c>
    </row>
    <row r="781" spans="1:12" ht="12.75">
      <c r="A781" s="3" t="str">
        <f ca="1">IFERROR(__xludf.UNSUPPORTED("""COMPUTED_VALUE"""),"21f93032")</f>
        <v>21f93032</v>
      </c>
      <c r="B781" s="4">
        <f ca="1">IFERROR(__xludf.UNSUPPORTED("""COMPUTED_VALUE"""),44883.493287037)</f>
        <v>44883.493287037003</v>
      </c>
      <c r="C781" s="7" t="str">
        <f ca="1">IFERROR(__xludf.UNSUPPORTED("""COMPUTED_VALUE"""),"Imbituba")</f>
        <v>Imbituba</v>
      </c>
      <c r="D781" s="3" t="str">
        <f ca="1">IFERROR(__xludf.UNSUPPORTED("""COMPUTED_VALUE"""),"🚢 REGULAR")</f>
        <v>🚢 REGULAR</v>
      </c>
      <c r="E781" s="3" t="str">
        <f ca="1">IFERROR(__xludf.UNSUPPORTED("""COMPUTED_VALUE"""),"🚛 LIBERADO")</f>
        <v>🚛 LIBERADO</v>
      </c>
      <c r="F781" s="5">
        <f ca="1">IFERROR(__xludf.UNSUPPORTED("""COMPUTED_VALUE"""),0)</f>
        <v>0</v>
      </c>
      <c r="G781" s="3" t="str">
        <f ca="1">IFERROR(__xludf.UNSUPPORTED("""COMPUTED_VALUE"""),"Operação normal.")</f>
        <v>Operação normal.</v>
      </c>
      <c r="H781" s="4">
        <f ca="1">IFERROR(__xludf.UNSUPPORTED("""COMPUTED_VALUE"""),44883.493287037)</f>
        <v>44883.493287037003</v>
      </c>
      <c r="I781" s="3">
        <f ca="1">IFERROR(__xludf.UNSUPPORTED("""COMPUTED_VALUE"""),24)</f>
        <v>24</v>
      </c>
      <c r="J781" s="4">
        <f ca="1">IFERROR(__xludf.UNSUPPORTED("""COMPUTED_VALUE"""),44884.493287037)</f>
        <v>44884.493287037003</v>
      </c>
    </row>
    <row r="782" spans="1:12" ht="12.75">
      <c r="A782" s="3" t="str">
        <f ca="1">IFERROR(__xludf.UNSUPPORTED("""COMPUTED_VALUE"""),"e82f9841")</f>
        <v>e82f9841</v>
      </c>
      <c r="B782" s="4">
        <f ca="1">IFERROR(__xludf.UNSUPPORTED("""COMPUTED_VALUE"""),44886.3321412037)</f>
        <v>44886.332141203697</v>
      </c>
      <c r="C782" s="7" t="str">
        <f ca="1">IFERROR(__xludf.UNSUPPORTED("""COMPUTED_VALUE"""),"Imbituba")</f>
        <v>Imbituba</v>
      </c>
      <c r="D782" s="3" t="str">
        <f ca="1">IFERROR(__xludf.UNSUPPORTED("""COMPUTED_VALUE"""),"🚢 REGULAR")</f>
        <v>🚢 REGULAR</v>
      </c>
      <c r="E782" s="3" t="str">
        <f ca="1">IFERROR(__xludf.UNSUPPORTED("""COMPUTED_VALUE"""),"🚛 LIBERADO")</f>
        <v>🚛 LIBERADO</v>
      </c>
      <c r="F782" s="5">
        <f ca="1">IFERROR(__xludf.UNSUPPORTED("""COMPUTED_VALUE"""),0)</f>
        <v>0</v>
      </c>
      <c r="G782" s="3" t="str">
        <f ca="1">IFERROR(__xludf.UNSUPPORTED("""COMPUTED_VALUE"""),"Operação ocorre com plena normalidade, sem registro de nenhuma intercorrência.")</f>
        <v>Operação ocorre com plena normalidade, sem registro de nenhuma intercorrência.</v>
      </c>
      <c r="H782" s="4">
        <f ca="1">IFERROR(__xludf.UNSUPPORTED("""COMPUTED_VALUE"""),44885.3319444444)</f>
        <v>44885.331944444399</v>
      </c>
      <c r="I782" s="3">
        <f ca="1">IFERROR(__xludf.UNSUPPORTED("""COMPUTED_VALUE"""),24)</f>
        <v>24</v>
      </c>
      <c r="J782" s="4">
        <f ca="1">IFERROR(__xludf.UNSUPPORTED("""COMPUTED_VALUE"""),44886.3319444444)</f>
        <v>44886.331944444399</v>
      </c>
    </row>
    <row r="783" spans="1:12" ht="12.75">
      <c r="A783" s="3" t="str">
        <f ca="1">IFERROR(__xludf.UNSUPPORTED("""COMPUTED_VALUE"""),"d6509616")</f>
        <v>d6509616</v>
      </c>
      <c r="B783" s="4">
        <f ca="1">IFERROR(__xludf.UNSUPPORTED("""COMPUTED_VALUE"""),44886.3337037037)</f>
        <v>44886.333703703698</v>
      </c>
      <c r="C783" s="8" t="str">
        <f ca="1">IFERROR(__xludf.UNSUPPORTED("""COMPUTED_VALUE"""),"Imbituba")</f>
        <v>Imbituba</v>
      </c>
      <c r="D783" s="3" t="str">
        <f ca="1">IFERROR(__xludf.UNSUPPORTED("""COMPUTED_VALUE"""),"🚢 REGULAR")</f>
        <v>🚢 REGULAR</v>
      </c>
      <c r="E783" s="3" t="str">
        <f ca="1">IFERROR(__xludf.UNSUPPORTED("""COMPUTED_VALUE"""),"🚛 LIBERADO")</f>
        <v>🚛 LIBERADO</v>
      </c>
      <c r="F783" s="5">
        <f ca="1">IFERROR(__xludf.UNSUPPORTED("""COMPUTED_VALUE"""),0)</f>
        <v>0</v>
      </c>
      <c r="G783" s="3" t="str">
        <f ca="1">IFERROR(__xludf.UNSUPPORTED("""COMPUTED_VALUE"""),"Operação ocorre com plena normalidade, sem registro de nenhuma intercorrência.")</f>
        <v>Operação ocorre com plena normalidade, sem registro de nenhuma intercorrência.</v>
      </c>
      <c r="H783" s="4">
        <f ca="1">IFERROR(__xludf.UNSUPPORTED("""COMPUTED_VALUE"""),44886.3337037037)</f>
        <v>44886.333703703698</v>
      </c>
      <c r="I783" s="3">
        <f ca="1">IFERROR(__xludf.UNSUPPORTED("""COMPUTED_VALUE"""),24)</f>
        <v>24</v>
      </c>
      <c r="J783" s="4">
        <f ca="1">IFERROR(__xludf.UNSUPPORTED("""COMPUTED_VALUE"""),44887.3337037037)</f>
        <v>44887.333703703698</v>
      </c>
    </row>
    <row r="784" spans="1:12" ht="12.75">
      <c r="A784" s="3" t="str">
        <f ca="1">IFERROR(__xludf.UNSUPPORTED("""COMPUTED_VALUE"""),"0323aa54")</f>
        <v>0323aa54</v>
      </c>
      <c r="B784" s="4">
        <f ca="1">IFERROR(__xludf.UNSUPPORTED("""COMPUTED_VALUE"""),44887.4614930555)</f>
        <v>44887.461493055504</v>
      </c>
      <c r="C784" s="8" t="str">
        <f ca="1">IFERROR(__xludf.UNSUPPORTED("""COMPUTED_VALUE"""),"Imbituba")</f>
        <v>Imbituba</v>
      </c>
      <c r="D784" s="3" t="str">
        <f ca="1">IFERROR(__xludf.UNSUPPORTED("""COMPUTED_VALUE"""),"🚢 REGULAR")</f>
        <v>🚢 REGULAR</v>
      </c>
      <c r="E784" s="3" t="str">
        <f ca="1">IFERROR(__xludf.UNSUPPORTED("""COMPUTED_VALUE"""),"🚛 LIBERADO")</f>
        <v>🚛 LIBERADO</v>
      </c>
      <c r="F784" s="5">
        <f ca="1">IFERROR(__xludf.UNSUPPORTED("""COMPUTED_VALUE"""),0)</f>
        <v>0</v>
      </c>
      <c r="G784" s="3" t="str">
        <f ca="1">IFERROR(__xludf.UNSUPPORTED("""COMPUTED_VALUE"""),"Operação normal sem qualquer intercorrência em relação ao acesso rodoviário ao Porto.")</f>
        <v>Operação normal sem qualquer intercorrência em relação ao acesso rodoviário ao Porto.</v>
      </c>
      <c r="H784" s="4">
        <f ca="1">IFERROR(__xludf.UNSUPPORTED("""COMPUTED_VALUE"""),44887.4614930555)</f>
        <v>44887.461493055504</v>
      </c>
      <c r="I784" s="3">
        <f ca="1">IFERROR(__xludf.UNSUPPORTED("""COMPUTED_VALUE"""),24)</f>
        <v>24</v>
      </c>
      <c r="J784" s="4">
        <f ca="1">IFERROR(__xludf.UNSUPPORTED("""COMPUTED_VALUE"""),44888.4614930555)</f>
        <v>44888.461493055504</v>
      </c>
    </row>
    <row r="785" spans="1:12" ht="12.75">
      <c r="A785" s="3" t="str">
        <f ca="1">IFERROR(__xludf.UNSUPPORTED("""COMPUTED_VALUE"""),"d68840e4")</f>
        <v>d68840e4</v>
      </c>
      <c r="B785" s="4">
        <f ca="1">IFERROR(__xludf.UNSUPPORTED("""COMPUTED_VALUE"""),44888.442199074)</f>
        <v>44888.442199074001</v>
      </c>
      <c r="C785" s="7" t="str">
        <f ca="1">IFERROR(__xludf.UNSUPPORTED("""COMPUTED_VALUE"""),"Imbituba")</f>
        <v>Imbituba</v>
      </c>
      <c r="D785" s="3" t="str">
        <f ca="1">IFERROR(__xludf.UNSUPPORTED("""COMPUTED_VALUE"""),"🚢 REGULAR")</f>
        <v>🚢 REGULAR</v>
      </c>
      <c r="E785" s="3" t="str">
        <f ca="1">IFERROR(__xludf.UNSUPPORTED("""COMPUTED_VALUE"""),"🚛 LIBERADO")</f>
        <v>🚛 LIBERADO</v>
      </c>
      <c r="F785" s="5">
        <f ca="1">IFERROR(__xludf.UNSUPPORTED("""COMPUTED_VALUE"""),0)</f>
        <v>0</v>
      </c>
      <c r="G785" s="3" t="str">
        <f ca="1">IFERROR(__xludf.UNSUPPORTED("""COMPUTED_VALUE"""),"Operação ocorre com plena normalidade")</f>
        <v>Operação ocorre com plena normalidade</v>
      </c>
      <c r="H785" s="4">
        <f ca="1">IFERROR(__xludf.UNSUPPORTED("""COMPUTED_VALUE"""),44888.442199074)</f>
        <v>44888.442199074001</v>
      </c>
      <c r="I785" s="3">
        <f ca="1">IFERROR(__xludf.UNSUPPORTED("""COMPUTED_VALUE"""),24)</f>
        <v>24</v>
      </c>
      <c r="J785" s="4">
        <f ca="1">IFERROR(__xludf.UNSUPPORTED("""COMPUTED_VALUE"""),44889.442199074)</f>
        <v>44889.442199074001</v>
      </c>
    </row>
    <row r="786" spans="1:12" ht="12.75">
      <c r="A786" s="3" t="str">
        <f ca="1">IFERROR(__xludf.UNSUPPORTED("""COMPUTED_VALUE"""),"8ef6acea")</f>
        <v>8ef6acea</v>
      </c>
      <c r="B786" s="4">
        <f ca="1">IFERROR(__xludf.UNSUPPORTED("""COMPUTED_VALUE"""),44889.3988078703)</f>
        <v>44889.398807870297</v>
      </c>
      <c r="C786" s="8" t="str">
        <f ca="1">IFERROR(__xludf.UNSUPPORTED("""COMPUTED_VALUE"""),"Imbituba")</f>
        <v>Imbituba</v>
      </c>
      <c r="D786" s="3" t="str">
        <f ca="1">IFERROR(__xludf.UNSUPPORTED("""COMPUTED_VALUE"""),"🚢 REGULAR")</f>
        <v>🚢 REGULAR</v>
      </c>
      <c r="E786" s="3" t="str">
        <f ca="1">IFERROR(__xludf.UNSUPPORTED("""COMPUTED_VALUE"""),"🚛 LIBERADO")</f>
        <v>🚛 LIBERADO</v>
      </c>
      <c r="F786" s="5">
        <f ca="1">IFERROR(__xludf.UNSUPPORTED("""COMPUTED_VALUE"""),0)</f>
        <v>0</v>
      </c>
      <c r="G786" s="3" t="str">
        <f ca="1">IFERROR(__xludf.UNSUPPORTED("""COMPUTED_VALUE"""),"Operação normal.")</f>
        <v>Operação normal.</v>
      </c>
      <c r="H786" s="4">
        <f ca="1">IFERROR(__xludf.UNSUPPORTED("""COMPUTED_VALUE"""),44889.3988078703)</f>
        <v>44889.398807870297</v>
      </c>
      <c r="I786" s="3">
        <f ca="1">IFERROR(__xludf.UNSUPPORTED("""COMPUTED_VALUE"""),24)</f>
        <v>24</v>
      </c>
      <c r="J786" s="4">
        <f ca="1">IFERROR(__xludf.UNSUPPORTED("""COMPUTED_VALUE"""),44890.3988078703)</f>
        <v>44890.398807870297</v>
      </c>
    </row>
    <row r="787" spans="1:12" ht="12.75">
      <c r="A787" s="3" t="str">
        <f ca="1">IFERROR(__xludf.UNSUPPORTED("""COMPUTED_VALUE"""),"9ffedca2")</f>
        <v>9ffedca2</v>
      </c>
      <c r="B787" s="4">
        <f ca="1">IFERROR(__xludf.UNSUPPORTED("""COMPUTED_VALUE"""),44890.3552199074)</f>
        <v>44890.355219907397</v>
      </c>
      <c r="C787" s="8" t="str">
        <f ca="1">IFERROR(__xludf.UNSUPPORTED("""COMPUTED_VALUE"""),"Imbituba")</f>
        <v>Imbituba</v>
      </c>
      <c r="D787" s="3" t="str">
        <f ca="1">IFERROR(__xludf.UNSUPPORTED("""COMPUTED_VALUE"""),"🚢 REGULAR")</f>
        <v>🚢 REGULAR</v>
      </c>
      <c r="E787" s="3" t="str">
        <f ca="1">IFERROR(__xludf.UNSUPPORTED("""COMPUTED_VALUE"""),"🚛 LIBERADO")</f>
        <v>🚛 LIBERADO</v>
      </c>
      <c r="F787" s="5">
        <f ca="1">IFERROR(__xludf.UNSUPPORTED("""COMPUTED_VALUE"""),0)</f>
        <v>0</v>
      </c>
      <c r="G787" s="3" t="str">
        <f ca="1">IFERROR(__xludf.UNSUPPORTED("""COMPUTED_VALUE"""),"Operação normal.")</f>
        <v>Operação normal.</v>
      </c>
      <c r="H787" s="4">
        <f ca="1">IFERROR(__xludf.UNSUPPORTED("""COMPUTED_VALUE"""),44890.3552199074)</f>
        <v>44890.355219907397</v>
      </c>
      <c r="I787" s="3">
        <f ca="1">IFERROR(__xludf.UNSUPPORTED("""COMPUTED_VALUE"""),24)</f>
        <v>24</v>
      </c>
      <c r="J787" s="4">
        <f ca="1">IFERROR(__xludf.UNSUPPORTED("""COMPUTED_VALUE"""),44891.3552199074)</f>
        <v>44891.355219907397</v>
      </c>
    </row>
    <row r="788" spans="1:12" ht="12.75">
      <c r="A788" s="3" t="str">
        <f ca="1">IFERROR(__xludf.UNSUPPORTED("""COMPUTED_VALUE"""),"fba0ea52")</f>
        <v>fba0ea52</v>
      </c>
      <c r="B788" s="4">
        <f ca="1">IFERROR(__xludf.UNSUPPORTED("""COMPUTED_VALUE"""),44892.4324189814)</f>
        <v>44892.4324189814</v>
      </c>
      <c r="C788" s="7" t="str">
        <f ca="1">IFERROR(__xludf.UNSUPPORTED("""COMPUTED_VALUE"""),"Imbituba")</f>
        <v>Imbituba</v>
      </c>
      <c r="D788" s="3" t="str">
        <f ca="1">IFERROR(__xludf.UNSUPPORTED("""COMPUTED_VALUE"""),"🚢 REGULAR")</f>
        <v>🚢 REGULAR</v>
      </c>
      <c r="E788" s="3" t="str">
        <f ca="1">IFERROR(__xludf.UNSUPPORTED("""COMPUTED_VALUE"""),"🚛 LIBERADO")</f>
        <v>🚛 LIBERADO</v>
      </c>
      <c r="F788" s="5">
        <f ca="1">IFERROR(__xludf.UNSUPPORTED("""COMPUTED_VALUE"""),0)</f>
        <v>0</v>
      </c>
      <c r="G788" s="3" t="str">
        <f ca="1">IFERROR(__xludf.UNSUPPORTED("""COMPUTED_VALUE"""),"Operação ocorre sem intercorrências.")</f>
        <v>Operação ocorre sem intercorrências.</v>
      </c>
      <c r="H788" s="4">
        <f ca="1">IFERROR(__xludf.UNSUPPORTED("""COMPUTED_VALUE"""),44892.4324189814)</f>
        <v>44892.4324189814</v>
      </c>
      <c r="I788" s="3">
        <f ca="1">IFERROR(__xludf.UNSUPPORTED("""COMPUTED_VALUE"""),24)</f>
        <v>24</v>
      </c>
      <c r="J788" s="4">
        <f ca="1">IFERROR(__xludf.UNSUPPORTED("""COMPUTED_VALUE"""),44893.4324189814)</f>
        <v>44893.4324189814</v>
      </c>
    </row>
    <row r="789" spans="1:12" ht="12.75">
      <c r="A789" s="3" t="str">
        <f ca="1">IFERROR(__xludf.UNSUPPORTED("""COMPUTED_VALUE"""),"66bc5de8")</f>
        <v>66bc5de8</v>
      </c>
      <c r="B789" s="4">
        <f ca="1">IFERROR(__xludf.UNSUPPORTED("""COMPUTED_VALUE"""),44894.3712268518)</f>
        <v>44894.371226851799</v>
      </c>
      <c r="C789" s="8" t="str">
        <f ca="1">IFERROR(__xludf.UNSUPPORTED("""COMPUTED_VALUE"""),"Imbituba")</f>
        <v>Imbituba</v>
      </c>
      <c r="D789" s="3" t="str">
        <f ca="1">IFERROR(__xludf.UNSUPPORTED("""COMPUTED_VALUE"""),"❗️ PARALISADA")</f>
        <v>❗️ PARALISADA</v>
      </c>
      <c r="E789" s="3" t="str">
        <f ca="1">IFERROR(__xludf.UNSUPPORTED("""COMPUTED_VALUE"""),"🚛 LIBERADO")</f>
        <v>🚛 LIBERADO</v>
      </c>
      <c r="F789" s="5">
        <f ca="1">IFERROR(__xludf.UNSUPPORTED("""COMPUTED_VALUE"""),0.25)</f>
        <v>0.25</v>
      </c>
      <c r="G789" s="3" t="str">
        <f ca="1">IFERROR(__xludf.UNSUPPORTED("""COMPUTED_VALUE"""),"A operação de pátio segue normalmente.
Entretanto, a operação de navios está paralisada desde domingo (27/11) devido à chuva e aos ventos fortes. Os dois navios atracados, que movimentam graneis sólidos, não operam sob chuva. Desde o dia 26 há períodos ab"&amp;"onados por não atingir a prancha mínima em razão das chuvas.
As quedas de barreiras nas rodovias BR 280 e BR 376, na região do Planalto norte do estado de SC não prejudicam o acesso de caminhões e as operações de Gate.")</f>
        <v>A operação de pátio segue normalmente.
Entretanto, a operação de navios está paralisada desde domingo (27/11) devido à chuva e aos ventos fortes. Os dois navios atracados, que movimentam graneis sólidos, não operam sob chuva. Desde o dia 26 há períodos abonados por não atingir a prancha mínima em razão das chuvas.
As quedas de barreiras nas rodovias BR 280 e BR 376, na região do Planalto norte do estado de SC não prejudicam o acesso de caminhões e as operações de Gate.</v>
      </c>
      <c r="H789" s="4">
        <f ca="1">IFERROR(__xludf.UNSUPPORTED("""COMPUTED_VALUE"""),44894.3712268518)</f>
        <v>44894.371226851799</v>
      </c>
      <c r="I789" s="3">
        <f ca="1">IFERROR(__xludf.UNSUPPORTED("""COMPUTED_VALUE"""),24)</f>
        <v>24</v>
      </c>
      <c r="J789" s="4">
        <f ca="1">IFERROR(__xludf.UNSUPPORTED("""COMPUTED_VALUE"""),44895.3712268518)</f>
        <v>44895.371226851799</v>
      </c>
    </row>
    <row r="790" spans="1:12" ht="12.75">
      <c r="A790" s="3" t="str">
        <f ca="1">IFERROR(__xludf.UNSUPPORTED("""COMPUTED_VALUE"""),"399ed656")</f>
        <v>399ed656</v>
      </c>
      <c r="B790" s="4">
        <f ca="1">IFERROR(__xludf.UNSUPPORTED("""COMPUTED_VALUE"""),44895.3597685185)</f>
        <v>44895.359768518501</v>
      </c>
      <c r="C790" s="8" t="str">
        <f ca="1">IFERROR(__xludf.UNSUPPORTED("""COMPUTED_VALUE"""),"Imbituba")</f>
        <v>Imbituba</v>
      </c>
      <c r="D790" s="3" t="str">
        <f ca="1">IFERROR(__xludf.UNSUPPORTED("""COMPUTED_VALUE"""),"❗️ PARALISADA")</f>
        <v>❗️ PARALISADA</v>
      </c>
      <c r="E790" s="3" t="str">
        <f ca="1">IFERROR(__xludf.UNSUPPORTED("""COMPUTED_VALUE"""),"🚛 LIBERADO")</f>
        <v>🚛 LIBERADO</v>
      </c>
      <c r="F790" s="5">
        <f ca="1">IFERROR(__xludf.UNSUPPORTED("""COMPUTED_VALUE"""),0.25)</f>
        <v>0.25</v>
      </c>
      <c r="G790" s="3" t="str">
        <f ca="1">IFERROR(__xludf.UNSUPPORTED("""COMPUTED_VALUE"""),"A operação de pátio segue normalmente.
Entretanto, a operação de navios está prejudicada desde domingo (27/11) devido às chuvas e fortes ventos. Os navios atracados, que movimentam granéis sólidos, não operam sob chuva. Nas últimas 24 horas, o porto de Im"&amp;"bituba só teve operação no período das 13h às 19h. Não houve operação nos outros 3 períodos sem operação por causa da chuva
As quedas de barreiras nas rodovias BR 280 (região do Planalto norte do estado de SC) e BR 376 PR/BR101 sul, não prejudicam o acess"&amp;"o de caminhões e as operações de Gate, que ocorrem normalmente.")</f>
        <v>A operação de pátio segue normalmente.
Entretanto, a operação de navios está prejudicada desde domingo (27/11) devido às chuvas e fortes ventos. Os navios atracados, que movimentam granéis sólidos, não operam sob chuva. Nas últimas 24 horas, o porto de Imbituba só teve operação no período das 13h às 19h. Não houve operação nos outros 3 períodos sem operação por causa da chuva
As quedas de barreiras nas rodovias BR 280 (região do Planalto norte do estado de SC) e BR 376 PR/BR101 sul, não prejudicam o acesso de caminhões e as operações de Gate, que ocorrem normalmente.</v>
      </c>
      <c r="H790" s="4">
        <f ca="1">IFERROR(__xludf.UNSUPPORTED("""COMPUTED_VALUE"""),44895.3597685185)</f>
        <v>44895.359768518501</v>
      </c>
      <c r="I790" s="3">
        <f ca="1">IFERROR(__xludf.UNSUPPORTED("""COMPUTED_VALUE"""),24)</f>
        <v>24</v>
      </c>
      <c r="J790" s="4">
        <f ca="1">IFERROR(__xludf.UNSUPPORTED("""COMPUTED_VALUE"""),44896.3597685185)</f>
        <v>44896.359768518501</v>
      </c>
    </row>
    <row r="791" spans="1:12" ht="12.75">
      <c r="A791" s="3" t="str">
        <f ca="1">IFERROR(__xludf.UNSUPPORTED("""COMPUTED_VALUE"""),"e1481ce3")</f>
        <v>e1481ce3</v>
      </c>
      <c r="B791" s="4">
        <f ca="1">IFERROR(__xludf.UNSUPPORTED("""COMPUTED_VALUE"""),44896.4398611111)</f>
        <v>44896.439861111103</v>
      </c>
      <c r="C791" s="7" t="str">
        <f ca="1">IFERROR(__xludf.UNSUPPORTED("""COMPUTED_VALUE"""),"Imbituba")</f>
        <v>Imbituba</v>
      </c>
      <c r="D791" s="3" t="str">
        <f ca="1">IFERROR(__xludf.UNSUPPORTED("""COMPUTED_VALUE"""),"⚠️ COM ATRASOS")</f>
        <v>⚠️ COM ATRASOS</v>
      </c>
      <c r="E791" s="3" t="str">
        <f ca="1">IFERROR(__xludf.UNSUPPORTED("""COMPUTED_VALUE"""),"🚛 LIBERADO")</f>
        <v>🚛 LIBERADO</v>
      </c>
      <c r="F791" s="5">
        <f ca="1">IFERROR(__xludf.UNSUPPORTED("""COMPUTED_VALUE"""),0.25)</f>
        <v>0.25</v>
      </c>
      <c r="G791" s="3" t="str">
        <f ca="1">IFERROR(__xludf.UNSUPPORTED("""COMPUTED_VALUE"""),"Operação segue prejudicada desde sábado (26/12),  em razão das fortes chuvas e ventos. 
Operação de pátio ocorre normalmente. Acesso ao gate também ocorre normalmente. Não se registra alteração significativa na movimentação de caminhões em razão dos acide"&amp;"ntes da BR 376PR/BR 101.")</f>
        <v>Operação segue prejudicada desde sábado (26/12),  em razão das fortes chuvas e ventos. 
Operação de pátio ocorre normalmente. Acesso ao gate também ocorre normalmente. Não se registra alteração significativa na movimentação de caminhões em razão dos acidentes da BR 376PR/BR 101.</v>
      </c>
      <c r="H791" s="4">
        <f ca="1">IFERROR(__xludf.UNSUPPORTED("""COMPUTED_VALUE"""),44896.375)</f>
        <v>44896.375</v>
      </c>
      <c r="I791" s="3">
        <f ca="1">IFERROR(__xludf.UNSUPPORTED("""COMPUTED_VALUE"""),24)</f>
        <v>24</v>
      </c>
      <c r="J791" s="4">
        <f ca="1">IFERROR(__xludf.UNSUPPORTED("""COMPUTED_VALUE"""),44897.375)</f>
        <v>44897.375</v>
      </c>
    </row>
    <row r="792" spans="1:12" ht="12.75">
      <c r="A792" s="3" t="str">
        <f ca="1">IFERROR(__xludf.UNSUPPORTED("""COMPUTED_VALUE"""),"c1122a81")</f>
        <v>c1122a81</v>
      </c>
      <c r="B792" s="4">
        <f ca="1">IFERROR(__xludf.UNSUPPORTED("""COMPUTED_VALUE"""),44897.3565856481)</f>
        <v>44897.3565856481</v>
      </c>
      <c r="C792" s="7" t="str">
        <f ca="1">IFERROR(__xludf.UNSUPPORTED("""COMPUTED_VALUE"""),"Imbituba")</f>
        <v>Imbituba</v>
      </c>
      <c r="D792" s="3" t="str">
        <f ca="1">IFERROR(__xludf.UNSUPPORTED("""COMPUTED_VALUE"""),"🚢 REGULAR")</f>
        <v>🚢 REGULAR</v>
      </c>
      <c r="E792" s="3" t="str">
        <f ca="1">IFERROR(__xludf.UNSUPPORTED("""COMPUTED_VALUE"""),"🚛 LIBERADO")</f>
        <v>🚛 LIBERADO</v>
      </c>
      <c r="F792" s="5">
        <f ca="1">IFERROR(__xludf.UNSUPPORTED("""COMPUTED_VALUE"""),0)</f>
        <v>0</v>
      </c>
      <c r="G792" s="3" t="str">
        <f ca="1">IFERROR(__xludf.UNSUPPORTED("""COMPUTED_VALUE"""),"Com a diminuição das chuvas a operação foi normalizada. Navio de conteineres opera normalmente. Operação de graneis sólidos depende da chuva em razão da limitação das embarcações/cargas. Acesso ao terminal normal.")</f>
        <v>Com a diminuição das chuvas a operação foi normalizada. Navio de conteineres opera normalmente. Operação de graneis sólidos depende da chuva em razão da limitação das embarcações/cargas. Acesso ao terminal normal.</v>
      </c>
      <c r="H792" s="4">
        <f ca="1">IFERROR(__xludf.UNSUPPORTED("""COMPUTED_VALUE"""),44897.3565856481)</f>
        <v>44897.3565856481</v>
      </c>
      <c r="I792" s="3">
        <f ca="1">IFERROR(__xludf.UNSUPPORTED("""COMPUTED_VALUE"""),24)</f>
        <v>24</v>
      </c>
      <c r="J792" s="4">
        <f ca="1">IFERROR(__xludf.UNSUPPORTED("""COMPUTED_VALUE"""),44898.3565856481)</f>
        <v>44898.3565856481</v>
      </c>
    </row>
    <row r="793" spans="1:12" ht="12.75">
      <c r="A793" s="3" t="str">
        <f ca="1">IFERROR(__xludf.UNSUPPORTED("""COMPUTED_VALUE"""),"d24dd4ff")</f>
        <v>d24dd4ff</v>
      </c>
      <c r="B793" s="4">
        <f ca="1">IFERROR(__xludf.UNSUPPORTED("""COMPUTED_VALUE"""),44900.6203472222)</f>
        <v>44900.620347222197</v>
      </c>
      <c r="C793" s="8" t="str">
        <f ca="1">IFERROR(__xludf.UNSUPPORTED("""COMPUTED_VALUE"""),"Imbituba")</f>
        <v>Imbituba</v>
      </c>
      <c r="D793" s="3" t="str">
        <f ca="1">IFERROR(__xludf.UNSUPPORTED("""COMPUTED_VALUE"""),"🚢 REGULAR")</f>
        <v>🚢 REGULAR</v>
      </c>
      <c r="E793" s="3" t="str">
        <f ca="1">IFERROR(__xludf.UNSUPPORTED("""COMPUTED_VALUE"""),"🚛 LIBERADO")</f>
        <v>🚛 LIBERADO</v>
      </c>
      <c r="F793" s="5">
        <f ca="1">IFERROR(__xludf.UNSUPPORTED("""COMPUTED_VALUE"""),0)</f>
        <v>0</v>
      </c>
      <c r="G793" s="3" t="str">
        <f ca="1">IFERROR(__xludf.UNSUPPORTED("""COMPUTED_VALUE"""),"Normal")</f>
        <v>Normal</v>
      </c>
      <c r="H793" s="4">
        <f ca="1">IFERROR(__xludf.UNSUPPORTED("""COMPUTED_VALUE"""),44900.6203472222)</f>
        <v>44900.620347222197</v>
      </c>
      <c r="I793" s="3">
        <f ca="1">IFERROR(__xludf.UNSUPPORTED("""COMPUTED_VALUE"""),1)</f>
        <v>1</v>
      </c>
      <c r="J793" s="4">
        <f ca="1">IFERROR(__xludf.UNSUPPORTED("""COMPUTED_VALUE"""),44900.6620138888)</f>
        <v>44900.662013888803</v>
      </c>
    </row>
    <row r="794" spans="1:12" ht="12.75">
      <c r="A794" s="3" t="str">
        <f ca="1">IFERROR(__xludf.UNSUPPORTED("""COMPUTED_VALUE"""),"fafd3fc7")</f>
        <v>fafd3fc7</v>
      </c>
      <c r="B794" s="4">
        <f ca="1">IFERROR(__xludf.UNSUPPORTED("""COMPUTED_VALUE"""),44901.4202314814)</f>
        <v>44901.420231481403</v>
      </c>
      <c r="C794" s="7" t="str">
        <f ca="1">IFERROR(__xludf.UNSUPPORTED("""COMPUTED_VALUE"""),"Imbituba")</f>
        <v>Imbituba</v>
      </c>
      <c r="D794" s="3" t="str">
        <f ca="1">IFERROR(__xludf.UNSUPPORTED("""COMPUTED_VALUE"""),"🚢 REGULAR")</f>
        <v>🚢 REGULAR</v>
      </c>
      <c r="E794" s="3" t="str">
        <f ca="1">IFERROR(__xludf.UNSUPPORTED("""COMPUTED_VALUE"""),"🚛 LIBERADO")</f>
        <v>🚛 LIBERADO</v>
      </c>
      <c r="F794" s="5">
        <f ca="1">IFERROR(__xludf.UNSUPPORTED("""COMPUTED_VALUE"""),0)</f>
        <v>0</v>
      </c>
      <c r="G794" s="3" t="str">
        <f ca="1">IFERROR(__xludf.UNSUPPORTED("""COMPUTED_VALUE"""),"Normal")</f>
        <v>Normal</v>
      </c>
      <c r="H794" s="4">
        <f ca="1">IFERROR(__xludf.UNSUPPORTED("""COMPUTED_VALUE"""),44901.4202314814)</f>
        <v>44901.420231481403</v>
      </c>
      <c r="I794" s="3">
        <f ca="1">IFERROR(__xludf.UNSUPPORTED("""COMPUTED_VALUE"""),1)</f>
        <v>1</v>
      </c>
      <c r="J794" s="4">
        <f ca="1">IFERROR(__xludf.UNSUPPORTED("""COMPUTED_VALUE"""),44901.4618981481)</f>
        <v>44901.461898148104</v>
      </c>
    </row>
    <row r="795" spans="1:12" ht="12.75">
      <c r="A795" s="3" t="str">
        <f ca="1">IFERROR(__xludf.UNSUPPORTED("""COMPUTED_VALUE"""),"845f36cf")</f>
        <v>845f36cf</v>
      </c>
      <c r="B795" s="4">
        <f ca="1">IFERROR(__xludf.UNSUPPORTED("""COMPUTED_VALUE"""),44902.4293634259)</f>
        <v>44902.429363425901</v>
      </c>
      <c r="C795" s="7" t="str">
        <f ca="1">IFERROR(__xludf.UNSUPPORTED("""COMPUTED_VALUE"""),"Imbituba")</f>
        <v>Imbituba</v>
      </c>
      <c r="D795" s="3" t="str">
        <f ca="1">IFERROR(__xludf.UNSUPPORTED("""COMPUTED_VALUE"""),"🚢 REGULAR")</f>
        <v>🚢 REGULAR</v>
      </c>
      <c r="E795" s="3" t="str">
        <f ca="1">IFERROR(__xludf.UNSUPPORTED("""COMPUTED_VALUE"""),"🚛 LIBERADO")</f>
        <v>🚛 LIBERADO</v>
      </c>
      <c r="F795" s="5">
        <f ca="1">IFERROR(__xludf.UNSUPPORTED("""COMPUTED_VALUE"""),0)</f>
        <v>0</v>
      </c>
      <c r="G795" s="3" t="str">
        <f ca="1">IFERROR(__xludf.UNSUPPORTED("""COMPUTED_VALUE"""),"Normal")</f>
        <v>Normal</v>
      </c>
      <c r="H795" s="4">
        <f ca="1">IFERROR(__xludf.UNSUPPORTED("""COMPUTED_VALUE"""),44902.4293634259)</f>
        <v>44902.429363425901</v>
      </c>
      <c r="I795" s="3">
        <f ca="1">IFERROR(__xludf.UNSUPPORTED("""COMPUTED_VALUE"""),1)</f>
        <v>1</v>
      </c>
      <c r="J795" s="4">
        <f ca="1">IFERROR(__xludf.UNSUPPORTED("""COMPUTED_VALUE"""),44902.4710300925)</f>
        <v>44902.4710300925</v>
      </c>
    </row>
    <row r="796" spans="1:12" ht="12.75">
      <c r="A796" s="3" t="str">
        <f ca="1">IFERROR(__xludf.UNSUPPORTED("""COMPUTED_VALUE"""),"9a0cbcd9")</f>
        <v>9a0cbcd9</v>
      </c>
      <c r="B796" s="4">
        <f ca="1">IFERROR(__xludf.UNSUPPORTED("""COMPUTED_VALUE"""),44923.4336921296)</f>
        <v>44923.433692129598</v>
      </c>
      <c r="C796" s="7" t="str">
        <f ca="1">IFERROR(__xludf.UNSUPPORTED("""COMPUTED_VALUE"""),"Imbituba")</f>
        <v>Imbituba</v>
      </c>
      <c r="D796" s="3" t="str">
        <f ca="1">IFERROR(__xludf.UNSUPPORTED("""COMPUTED_VALUE"""),"🚢 REGULAR")</f>
        <v>🚢 REGULAR</v>
      </c>
      <c r="E796" s="3" t="str">
        <f ca="1">IFERROR(__xludf.UNSUPPORTED("""COMPUTED_VALUE"""),"🚛 LIBERADO")</f>
        <v>🚛 LIBERADO</v>
      </c>
      <c r="F796" s="5">
        <f ca="1">IFERROR(__xludf.UNSUPPORTED("""COMPUTED_VALUE"""),0)</f>
        <v>0</v>
      </c>
      <c r="G796" s="3" t="str">
        <f ca="1">IFERROR(__xludf.UNSUPPORTED("""COMPUTED_VALUE"""),"Normal")</f>
        <v>Normal</v>
      </c>
      <c r="H796" s="4">
        <f ca="1">IFERROR(__xludf.UNSUPPORTED("""COMPUTED_VALUE"""),44923.4336921296)</f>
        <v>44923.433692129598</v>
      </c>
      <c r="I796" s="3">
        <f ca="1">IFERROR(__xludf.UNSUPPORTED("""COMPUTED_VALUE"""),1)</f>
        <v>1</v>
      </c>
      <c r="J796" s="4">
        <f ca="1">IFERROR(__xludf.UNSUPPORTED("""COMPUTED_VALUE"""),44923.4753587962)</f>
        <v>44923.475358796197</v>
      </c>
    </row>
    <row r="797" spans="1:12" ht="12.75">
      <c r="A797" s="3" t="str">
        <f ca="1">IFERROR(__xludf.UNSUPPORTED("""COMPUTED_VALUE"""),"2201d308")</f>
        <v>2201d308</v>
      </c>
      <c r="B797" s="4">
        <f ca="1">IFERROR(__xludf.UNSUPPORTED("""COMPUTED_VALUE"""),44935.3185532407)</f>
        <v>44935.318553240701</v>
      </c>
      <c r="C797" s="7" t="str">
        <f ca="1">IFERROR(__xludf.UNSUPPORTED("""COMPUTED_VALUE"""),"Imbituba")</f>
        <v>Imbituba</v>
      </c>
      <c r="D797" s="3" t="str">
        <f ca="1">IFERROR(__xludf.UNSUPPORTED("""COMPUTED_VALUE"""),"🚢 REGULAR")</f>
        <v>🚢 REGULAR</v>
      </c>
      <c r="E797" s="3" t="str">
        <f ca="1">IFERROR(__xludf.UNSUPPORTED("""COMPUTED_VALUE"""),"🚛 LIBERADO")</f>
        <v>🚛 LIBERADO</v>
      </c>
      <c r="F797" s="5">
        <f ca="1">IFERROR(__xludf.UNSUPPORTED("""COMPUTED_VALUE"""),0)</f>
        <v>0</v>
      </c>
      <c r="G797" s="3" t="str">
        <f ca="1">IFERROR(__xludf.UNSUPPORTED("""COMPUTED_VALUE"""),"Normalidade")</f>
        <v>Normalidade</v>
      </c>
      <c r="H797" s="4">
        <f ca="1">IFERROR(__xludf.UNSUPPORTED("""COMPUTED_VALUE"""),44935.3185532407)</f>
        <v>44935.318553240701</v>
      </c>
      <c r="I797" s="3">
        <f ca="1">IFERROR(__xludf.UNSUPPORTED("""COMPUTED_VALUE"""),24)</f>
        <v>24</v>
      </c>
      <c r="J797" s="4">
        <f ca="1">IFERROR(__xludf.UNSUPPORTED("""COMPUTED_VALUE"""),44936.3185532407)</f>
        <v>44936.318553240701</v>
      </c>
      <c r="L797" s="3" t="str">
        <f ca="1">IFERROR(__xludf.UNSUPPORTED("""COMPUTED_VALUE"""),"Normalidade")</f>
        <v>Normalidade</v>
      </c>
    </row>
    <row r="798" spans="1:12" ht="12.75">
      <c r="A798" s="3" t="str">
        <f ca="1">IFERROR(__xludf.UNSUPPORTED("""COMPUTED_VALUE"""),"57d6b05b")</f>
        <v>57d6b05b</v>
      </c>
      <c r="B798" s="4">
        <f ca="1">IFERROR(__xludf.UNSUPPORTED("""COMPUTED_VALUE"""),45120.6428472222)</f>
        <v>45120.642847222203</v>
      </c>
      <c r="C798" s="8" t="str">
        <f ca="1">IFERROR(__xludf.UNSUPPORTED("""COMPUTED_VALUE"""),"Imbituba")</f>
        <v>Imbituba</v>
      </c>
      <c r="D798" s="3" t="str">
        <f ca="1">IFERROR(__xludf.UNSUPPORTED("""COMPUTED_VALUE"""),"❗️ PARALISADA")</f>
        <v>❗️ PARALISADA</v>
      </c>
      <c r="E798" s="3" t="str">
        <f ca="1">IFERROR(__xludf.UNSUPPORTED("""COMPUTED_VALUE"""),"🚛 LIBERADO")</f>
        <v>🚛 LIBERADO</v>
      </c>
      <c r="F798" s="5">
        <f ca="1">IFERROR(__xludf.UNSUPPORTED("""COMPUTED_VALUE"""),1)</f>
        <v>1</v>
      </c>
      <c r="G798" s="3" t="str">
        <f ca="1">IFERROR(__xludf.UNSUPPORTED("""COMPUTED_VALUE"""),"Barra fechada em razão do Ciclone.")</f>
        <v>Barra fechada em razão do Ciclone.</v>
      </c>
      <c r="H798" s="4">
        <f ca="1">IFERROR(__xludf.UNSUPPORTED("""COMPUTED_VALUE"""),45120.6428472222)</f>
        <v>45120.642847222203</v>
      </c>
      <c r="I798" s="3">
        <f ca="1">IFERROR(__xludf.UNSUPPORTED("""COMPUTED_VALUE"""),12)</f>
        <v>12</v>
      </c>
      <c r="J798" s="4">
        <f ca="1">IFERROR(__xludf.UNSUPPORTED("""COMPUTED_VALUE"""),45121.1428472222)</f>
        <v>45121.142847222203</v>
      </c>
      <c r="K798" s="3" t="str">
        <f ca="1">IFERROR(__xludf.UNSUPPORTED("""COMPUTED_VALUE"""),"Marinha do Brasil e SCPAR Imbituba")</f>
        <v>Marinha do Brasil e SCPAR Imbituba</v>
      </c>
      <c r="L798" s="3" t="str">
        <f ca="1">IFERROR(__xludf.UNSUPPORTED("""COMPUTED_VALUE"""),"Crítico")</f>
        <v>Crítico</v>
      </c>
    </row>
    <row r="799" spans="1:12" ht="12.75">
      <c r="A799" s="3" t="str">
        <f ca="1">IFERROR(__xludf.UNSUPPORTED("""COMPUTED_VALUE"""),"b2fd2517")</f>
        <v>b2fd2517</v>
      </c>
      <c r="B799" s="4">
        <f ca="1">IFERROR(__xludf.UNSUPPORTED("""COMPUTED_VALUE"""),45120.7330787037)</f>
        <v>45120.733078703699</v>
      </c>
      <c r="C799" s="8" t="str">
        <f ca="1">IFERROR(__xludf.UNSUPPORTED("""COMPUTED_VALUE"""),"Imbituba")</f>
        <v>Imbituba</v>
      </c>
      <c r="D799" s="3" t="str">
        <f ca="1">IFERROR(__xludf.UNSUPPORTED("""COMPUTED_VALUE"""),"⚠️ COM ATRASOS")</f>
        <v>⚠️ COM ATRASOS</v>
      </c>
      <c r="E799" s="3" t="str">
        <f ca="1">IFERROR(__xludf.UNSUPPORTED("""COMPUTED_VALUE"""),"🚛 LIBERADO")</f>
        <v>🚛 LIBERADO</v>
      </c>
      <c r="F799" s="5">
        <f ca="1">IFERROR(__xludf.UNSUPPORTED("""COMPUTED_VALUE"""),0.5)</f>
        <v>0.5</v>
      </c>
      <c r="G799" s="3" t="str">
        <f ca="1">IFERROR(__xludf.UNSUPPORTED("""COMPUTED_VALUE"""),"A operação foi feita retomada nos dois navios atracados, mas a barra permanece fechada.")</f>
        <v>A operação foi feita retomada nos dois navios atracados, mas a barra permanece fechada.</v>
      </c>
      <c r="H799" s="4">
        <f ca="1">IFERROR(__xludf.UNSUPPORTED("""COMPUTED_VALUE"""),45120.7330787037)</f>
        <v>45120.733078703699</v>
      </c>
      <c r="I799" s="3">
        <f ca="1">IFERROR(__xludf.UNSUPPORTED("""COMPUTED_VALUE"""),6)</f>
        <v>6</v>
      </c>
      <c r="J799" s="4">
        <f ca="1">IFERROR(__xludf.UNSUPPORTED("""COMPUTED_VALUE"""),45120.9830787037)</f>
        <v>45120.983078703699</v>
      </c>
      <c r="K799" s="3" t="str">
        <f ca="1">IFERROR(__xludf.UNSUPPORTED("""COMPUTED_VALUE"""),"Porto de Imbituba")</f>
        <v>Porto de Imbituba</v>
      </c>
      <c r="L799" s="3" t="str">
        <f ca="1">IFERROR(__xludf.UNSUPPORTED("""COMPUTED_VALUE"""),"Crítico")</f>
        <v>Crítico</v>
      </c>
    </row>
    <row r="800" spans="1:12" ht="12.75">
      <c r="A800" s="3" t="str">
        <f ca="1">IFERROR(__xludf.UNSUPPORTED("""COMPUTED_VALUE"""),"7d51c4fe")</f>
        <v>7d51c4fe</v>
      </c>
      <c r="B800" s="4">
        <f ca="1">IFERROR(__xludf.UNSUPPORTED("""COMPUTED_VALUE"""),45121.5293981481)</f>
        <v>45121.529398148101</v>
      </c>
      <c r="C800" s="8" t="str">
        <f ca="1">IFERROR(__xludf.UNSUPPORTED("""COMPUTED_VALUE"""),"Imbituba")</f>
        <v>Imbituba</v>
      </c>
      <c r="D800" s="3" t="str">
        <f ca="1">IFERROR(__xludf.UNSUPPORTED("""COMPUTED_VALUE"""),"⚠️ COM ATRASOS")</f>
        <v>⚠️ COM ATRASOS</v>
      </c>
      <c r="E800" s="3" t="str">
        <f ca="1">IFERROR(__xludf.UNSUPPORTED("""COMPUTED_VALUE"""),"🚛 LIBERADO")</f>
        <v>🚛 LIBERADO</v>
      </c>
      <c r="F800" s="5">
        <f ca="1">IFERROR(__xludf.UNSUPPORTED("""COMPUTED_VALUE"""),0.75)</f>
        <v>0.75</v>
      </c>
      <c r="G800" s="3" t="str">
        <f ca="1">IFERROR(__xludf.UNSUPPORTED("""COMPUTED_VALUE"""),"Barra permanece fechada até 17h do dia 14/07/23, quando haverá nova avaliação sobre possibilidade de reabertura da barra e conseguinte atracação/desatracação de embarcações.")</f>
        <v>Barra permanece fechada até 17h do dia 14/07/23, quando haverá nova avaliação sobre possibilidade de reabertura da barra e conseguinte atracação/desatracação de embarcações.</v>
      </c>
      <c r="H800" s="4">
        <f ca="1">IFERROR(__xludf.UNSUPPORTED("""COMPUTED_VALUE"""),45121.5293981481)</f>
        <v>45121.529398148101</v>
      </c>
      <c r="I800" s="3">
        <f ca="1">IFERROR(__xludf.UNSUPPORTED("""COMPUTED_VALUE"""),12)</f>
        <v>12</v>
      </c>
      <c r="J800" s="4">
        <f ca="1">IFERROR(__xludf.UNSUPPORTED("""COMPUTED_VALUE"""),45122.0293981481)</f>
        <v>45122.029398148101</v>
      </c>
      <c r="K800" s="3" t="str">
        <f ca="1">IFERROR(__xludf.UNSUPPORTED("""COMPUTED_VALUE"""),"Praticagem e SCPAR IBB")</f>
        <v>Praticagem e SCPAR IBB</v>
      </c>
      <c r="L800" s="3" t="str">
        <f ca="1">IFERROR(__xludf.UNSUPPORTED("""COMPUTED_VALUE"""),"Crítico")</f>
        <v>Crítico</v>
      </c>
    </row>
    <row r="801" spans="1:12" ht="12.75">
      <c r="A801" s="3" t="str">
        <f ca="1">IFERROR(__xludf.UNSUPPORTED("""COMPUTED_VALUE"""),"a5f694bc")</f>
        <v>a5f694bc</v>
      </c>
      <c r="B801" s="4">
        <f ca="1">IFERROR(__xludf.UNSUPPORTED("""COMPUTED_VALUE"""),45122.4374421296)</f>
        <v>45122.437442129602</v>
      </c>
      <c r="C801" s="8" t="str">
        <f ca="1">IFERROR(__xludf.UNSUPPORTED("""COMPUTED_VALUE"""),"Imbituba")</f>
        <v>Imbituba</v>
      </c>
      <c r="D801" s="3" t="str">
        <f ca="1">IFERROR(__xludf.UNSUPPORTED("""COMPUTED_VALUE"""),"🚢 REGULAR")</f>
        <v>🚢 REGULAR</v>
      </c>
      <c r="E801" s="3" t="str">
        <f ca="1">IFERROR(__xludf.UNSUPPORTED("""COMPUTED_VALUE"""),"🚛 LIBERADO")</f>
        <v>🚛 LIBERADO</v>
      </c>
      <c r="F801" s="5">
        <f ca="1">IFERROR(__xludf.UNSUPPORTED("""COMPUTED_VALUE"""),0)</f>
        <v>0</v>
      </c>
      <c r="G801" s="3" t="str">
        <f ca="1">IFERROR(__xludf.UNSUPPORTED("""COMPUTED_VALUE"""),"Normalidade")</f>
        <v>Normalidade</v>
      </c>
      <c r="H801" s="4">
        <f ca="1">IFERROR(__xludf.UNSUPPORTED("""COMPUTED_VALUE"""),45122.4374421296)</f>
        <v>45122.437442129602</v>
      </c>
      <c r="I801" s="3">
        <f ca="1">IFERROR(__xludf.UNSUPPORTED("""COMPUTED_VALUE"""),24)</f>
        <v>24</v>
      </c>
      <c r="J801" s="4">
        <f ca="1">IFERROR(__xludf.UNSUPPORTED("""COMPUTED_VALUE"""),45123.4374421296)</f>
        <v>45123.437442129602</v>
      </c>
      <c r="L801" s="3" t="str">
        <f ca="1">IFERROR(__xludf.UNSUPPORTED("""COMPUTED_VALUE"""),"Normalidade")</f>
        <v>Normalidade</v>
      </c>
    </row>
    <row r="802" spans="1:12" ht="12.75">
      <c r="A802" s="3" t="str">
        <f ca="1">IFERROR(__xludf.UNSUPPORTED("""COMPUTED_VALUE"""),"7bd6c008")</f>
        <v>7bd6c008</v>
      </c>
      <c r="B802" s="4">
        <f ca="1">IFERROR(__xludf.UNSUPPORTED("""COMPUTED_VALUE"""),45587.4133564814)</f>
        <v>45587.413356481396</v>
      </c>
      <c r="C802" s="7" t="str">
        <f ca="1">IFERROR(__xludf.UNSUPPORTED("""COMPUTED_VALUE"""),"Imbituba")</f>
        <v>Imbituba</v>
      </c>
      <c r="D802" s="3" t="str">
        <f ca="1">IFERROR(__xludf.UNSUPPORTED("""COMPUTED_VALUE"""),"❗️ PARALISADA")</f>
        <v>❗️ PARALISADA</v>
      </c>
      <c r="E802" s="3" t="str">
        <f ca="1">IFERROR(__xludf.UNSUPPORTED("""COMPUTED_VALUE"""),"🚛 LIBERADO")</f>
        <v>🚛 LIBERADO</v>
      </c>
      <c r="F802" s="5">
        <f ca="1">IFERROR(__xludf.UNSUPPORTED("""COMPUTED_VALUE"""),0.5)</f>
        <v>0.5</v>
      </c>
      <c r="G802" s="3" t="str">
        <f ca="1">IFERROR(__xludf.UNSUPPORTED("""COMPUTED_VALUE"""),"Operação paralisada em função da greve dos portuários.")</f>
        <v>Operação paralisada em função da greve dos portuários.</v>
      </c>
      <c r="H802" s="4">
        <f ca="1">IFERROR(__xludf.UNSUPPORTED("""COMPUTED_VALUE"""),45587.4133564814)</f>
        <v>45587.413356481396</v>
      </c>
      <c r="I802" s="3">
        <f ca="1">IFERROR(__xludf.UNSUPPORTED("""COMPUTED_VALUE"""),12)</f>
        <v>12</v>
      </c>
      <c r="J802" s="4">
        <f ca="1">IFERROR(__xludf.UNSUPPORTED("""COMPUTED_VALUE"""),45587.9133564814)</f>
        <v>45587.913356481396</v>
      </c>
      <c r="K802" s="3" t="str">
        <f ca="1">IFERROR(__xludf.UNSUPPORTED("""COMPUTED_VALUE"""),"Autoridade Portuária")</f>
        <v>Autoridade Portuária</v>
      </c>
      <c r="L802" s="3" t="str">
        <f ca="1">IFERROR(__xludf.UNSUPPORTED("""COMPUTED_VALUE"""),"Crítico")</f>
        <v>Crítico</v>
      </c>
    </row>
    <row r="803" spans="1:12" ht="12.75">
      <c r="A803" s="3" t="str">
        <f ca="1">IFERROR(__xludf.UNSUPPORTED("""COMPUTED_VALUE"""),"a13b7619")</f>
        <v>a13b7619</v>
      </c>
      <c r="B803" s="4">
        <f ca="1">IFERROR(__xludf.UNSUPPORTED("""COMPUTED_VALUE"""),44866.3916087963)</f>
        <v>44866.391608796301</v>
      </c>
      <c r="C803" s="8" t="str">
        <f ca="1">IFERROR(__xludf.UNSUPPORTED("""COMPUTED_VALUE"""),"Itaguaí")</f>
        <v>Itaguaí</v>
      </c>
      <c r="D803" s="3" t="str">
        <f ca="1">IFERROR(__xludf.UNSUPPORTED("""COMPUTED_VALUE"""),"⚠️ COM ATRASOS")</f>
        <v>⚠️ COM ATRASOS</v>
      </c>
      <c r="E803" s="3" t="str">
        <f ca="1">IFERROR(__xludf.UNSUPPORTED("""COMPUTED_VALUE"""),"⚠️ PARCIALMENTE BLOQUEADO")</f>
        <v>⚠️ PARCIALMENTE BLOQUEADO</v>
      </c>
      <c r="F803" s="5">
        <f ca="1">IFERROR(__xludf.UNSUPPORTED("""COMPUTED_VALUE"""),0.25)</f>
        <v>0.25</v>
      </c>
      <c r="G803" s="3" t="str">
        <f ca="1">IFERROR(__xludf.UNSUPPORTED("""COMPUTED_VALUE"""),"Operação no TECON com dificuldades na retirada e entrega de contêineres. Dificuldades também no transporte de funcionários.")</f>
        <v>Operação no TECON com dificuldades na retirada e entrega de contêineres. Dificuldades também no transporte de funcionários.</v>
      </c>
      <c r="H803" s="4">
        <f ca="1">IFERROR(__xludf.UNSUPPORTED("""COMPUTED_VALUE"""),44866.3916087963)</f>
        <v>44866.391608796301</v>
      </c>
      <c r="I803" s="3">
        <f ca="1">IFERROR(__xludf.UNSUPPORTED("""COMPUTED_VALUE"""),8)</f>
        <v>8</v>
      </c>
      <c r="J803" s="4">
        <f ca="1">IFERROR(__xludf.UNSUPPORTED("""COMPUTED_VALUE"""),44866.7249421296)</f>
        <v>44866.7249421296</v>
      </c>
    </row>
    <row r="804" spans="1:12" ht="12.75">
      <c r="A804" s="3" t="str">
        <f ca="1">IFERROR(__xludf.UNSUPPORTED("""COMPUTED_VALUE"""),"4c36fe37")</f>
        <v>4c36fe37</v>
      </c>
      <c r="B804" s="4">
        <f ca="1">IFERROR(__xludf.UNSUPPORTED("""COMPUTED_VALUE"""),44868.421574074)</f>
        <v>44868.421574073996</v>
      </c>
      <c r="C804" s="8" t="str">
        <f ca="1">IFERROR(__xludf.UNSUPPORTED("""COMPUTED_VALUE"""),"Itaguaí")</f>
        <v>Itaguaí</v>
      </c>
      <c r="D804" s="3" t="str">
        <f ca="1">IFERROR(__xludf.UNSUPPORTED("""COMPUTED_VALUE"""),"🚢 REGULAR")</f>
        <v>🚢 REGULAR</v>
      </c>
      <c r="E804" s="3" t="str">
        <f ca="1">IFERROR(__xludf.UNSUPPORTED("""COMPUTED_VALUE"""),"🚛 LIBERADO")</f>
        <v>🚛 LIBERADO</v>
      </c>
      <c r="F804" s="5">
        <f ca="1">IFERROR(__xludf.UNSUPPORTED("""COMPUTED_VALUE"""),0)</f>
        <v>0</v>
      </c>
      <c r="G804" s="3" t="str">
        <f ca="1">IFERROR(__xludf.UNSUPPORTED("""COMPUTED_VALUE"""),"Situação normal")</f>
        <v>Situação normal</v>
      </c>
      <c r="H804" s="4">
        <f ca="1">IFERROR(__xludf.UNSUPPORTED("""COMPUTED_VALUE"""),44868.421574074)</f>
        <v>44868.421574073996</v>
      </c>
      <c r="I804" s="3">
        <f ca="1">IFERROR(__xludf.UNSUPPORTED("""COMPUTED_VALUE"""),8)</f>
        <v>8</v>
      </c>
      <c r="J804" s="4">
        <f ca="1">IFERROR(__xludf.UNSUPPORTED("""COMPUTED_VALUE"""),44868.7549074074)</f>
        <v>44868.754907407398</v>
      </c>
    </row>
    <row r="805" spans="1:12" ht="12.75">
      <c r="A805" s="3" t="str">
        <f ca="1">IFERROR(__xludf.UNSUPPORTED("""COMPUTED_VALUE"""),"fd26845e")</f>
        <v>fd26845e</v>
      </c>
      <c r="B805" s="4">
        <f ca="1">IFERROR(__xludf.UNSUPPORTED("""COMPUTED_VALUE"""),44869.4480671296)</f>
        <v>44869.448067129597</v>
      </c>
      <c r="C805" s="7" t="str">
        <f ca="1">IFERROR(__xludf.UNSUPPORTED("""COMPUTED_VALUE"""),"Itaguaí")</f>
        <v>Itaguaí</v>
      </c>
      <c r="D805" s="3" t="str">
        <f ca="1">IFERROR(__xludf.UNSUPPORTED("""COMPUTED_VALUE"""),"🚢 REGULAR")</f>
        <v>🚢 REGULAR</v>
      </c>
      <c r="E805" s="3" t="str">
        <f ca="1">IFERROR(__xludf.UNSUPPORTED("""COMPUTED_VALUE"""),"🚛 LIBERADO")</f>
        <v>🚛 LIBERADO</v>
      </c>
      <c r="F805" s="5">
        <f ca="1">IFERROR(__xludf.UNSUPPORTED("""COMPUTED_VALUE"""),0)</f>
        <v>0</v>
      </c>
      <c r="G805" s="3" t="str">
        <f ca="1">IFERROR(__xludf.UNSUPPORTED("""COMPUTED_VALUE"""),"Situação normal.")</f>
        <v>Situação normal.</v>
      </c>
      <c r="H805" s="4">
        <f ca="1">IFERROR(__xludf.UNSUPPORTED("""COMPUTED_VALUE"""),44869.4480671296)</f>
        <v>44869.448067129597</v>
      </c>
      <c r="I805" s="3">
        <f ca="1">IFERROR(__xludf.UNSUPPORTED("""COMPUTED_VALUE"""),24)</f>
        <v>24</v>
      </c>
      <c r="J805" s="4">
        <f ca="1">IFERROR(__xludf.UNSUPPORTED("""COMPUTED_VALUE"""),44870.4480671296)</f>
        <v>44870.448067129597</v>
      </c>
    </row>
    <row r="806" spans="1:12" ht="12.75">
      <c r="A806" s="3" t="str">
        <f ca="1">IFERROR(__xludf.UNSUPPORTED("""COMPUTED_VALUE"""),"bfe8c8d9")</f>
        <v>bfe8c8d9</v>
      </c>
      <c r="B806" s="4">
        <f ca="1">IFERROR(__xludf.UNSUPPORTED("""COMPUTED_VALUE"""),44883.6238310185)</f>
        <v>44883.6238310185</v>
      </c>
      <c r="C806" s="7" t="str">
        <f ca="1">IFERROR(__xludf.UNSUPPORTED("""COMPUTED_VALUE"""),"Itaguaí")</f>
        <v>Itaguaí</v>
      </c>
      <c r="D806" s="3" t="str">
        <f ca="1">IFERROR(__xludf.UNSUPPORTED("""COMPUTED_VALUE"""),"🚢 REGULAR")</f>
        <v>🚢 REGULAR</v>
      </c>
      <c r="E806" s="3" t="str">
        <f ca="1">IFERROR(__xludf.UNSUPPORTED("""COMPUTED_VALUE"""),"🚛 LIBERADO")</f>
        <v>🚛 LIBERADO</v>
      </c>
      <c r="F806" s="5">
        <f ca="1">IFERROR(__xludf.UNSUPPORTED("""COMPUTED_VALUE"""),1)</f>
        <v>1</v>
      </c>
      <c r="G806" s="3" t="str">
        <f ca="1">IFERROR(__xludf.UNSUPPORTED("""COMPUTED_VALUE"""),"Situação normal")</f>
        <v>Situação normal</v>
      </c>
      <c r="H806" s="4">
        <f ca="1">IFERROR(__xludf.UNSUPPORTED("""COMPUTED_VALUE"""),44883.6238310185)</f>
        <v>44883.6238310185</v>
      </c>
      <c r="I806" s="3">
        <f ca="1">IFERROR(__xludf.UNSUPPORTED("""COMPUTED_VALUE"""),24)</f>
        <v>24</v>
      </c>
      <c r="J806" s="4">
        <f ca="1">IFERROR(__xludf.UNSUPPORTED("""COMPUTED_VALUE"""),44884.6238310185)</f>
        <v>44884.6238310185</v>
      </c>
    </row>
    <row r="807" spans="1:12" ht="12.75">
      <c r="A807" s="3" t="str">
        <f ca="1">IFERROR(__xludf.UNSUPPORTED("""COMPUTED_VALUE"""),"cf6f5ec2")</f>
        <v>cf6f5ec2</v>
      </c>
      <c r="B807" s="4">
        <f ca="1">IFERROR(__xludf.UNSUPPORTED("""COMPUTED_VALUE"""),44885.4071643518)</f>
        <v>44885.407164351796</v>
      </c>
      <c r="C807" s="8" t="str">
        <f ca="1">IFERROR(__xludf.UNSUPPORTED("""COMPUTED_VALUE"""),"Itaguaí")</f>
        <v>Itaguaí</v>
      </c>
      <c r="D807" s="3" t="str">
        <f ca="1">IFERROR(__xludf.UNSUPPORTED("""COMPUTED_VALUE"""),"🚢 REGULAR")</f>
        <v>🚢 REGULAR</v>
      </c>
      <c r="E807" s="3" t="str">
        <f ca="1">IFERROR(__xludf.UNSUPPORTED("""COMPUTED_VALUE"""),"🚛 LIBERADO")</f>
        <v>🚛 LIBERADO</v>
      </c>
      <c r="F807" s="5">
        <f ca="1">IFERROR(__xludf.UNSUPPORTED("""COMPUTED_VALUE"""),0)</f>
        <v>0</v>
      </c>
      <c r="G807" s="3" t="str">
        <f ca="1">IFERROR(__xludf.UNSUPPORTED("""COMPUTED_VALUE"""),"Situação Normal")</f>
        <v>Situação Normal</v>
      </c>
      <c r="H807" s="4">
        <f ca="1">IFERROR(__xludf.UNSUPPORTED("""COMPUTED_VALUE"""),44887.9828587963)</f>
        <v>44887.982858796298</v>
      </c>
      <c r="I807" s="3">
        <f ca="1">IFERROR(__xludf.UNSUPPORTED("""COMPUTED_VALUE"""),24)</f>
        <v>24</v>
      </c>
      <c r="J807" s="4">
        <f ca="1">IFERROR(__xludf.UNSUPPORTED("""COMPUTED_VALUE"""),44888.9828587963)</f>
        <v>44888.982858796298</v>
      </c>
    </row>
    <row r="808" spans="1:12" ht="12.75">
      <c r="A808" s="3" t="str">
        <f ca="1">IFERROR(__xludf.UNSUPPORTED("""COMPUTED_VALUE"""),"8a6a5f00")</f>
        <v>8a6a5f00</v>
      </c>
      <c r="B808" s="4">
        <f ca="1">IFERROR(__xludf.UNSUPPORTED("""COMPUTED_VALUE"""),44890.2496527777)</f>
        <v>44890.249652777697</v>
      </c>
      <c r="C808" s="7" t="str">
        <f ca="1">IFERROR(__xludf.UNSUPPORTED("""COMPUTED_VALUE"""),"Itaguaí")</f>
        <v>Itaguaí</v>
      </c>
      <c r="D808" s="3" t="str">
        <f ca="1">IFERROR(__xludf.UNSUPPORTED("""COMPUTED_VALUE"""),"🚢 REGULAR")</f>
        <v>🚢 REGULAR</v>
      </c>
      <c r="E808" s="3" t="str">
        <f ca="1">IFERROR(__xludf.UNSUPPORTED("""COMPUTED_VALUE"""),"🚛 LIBERADO")</f>
        <v>🚛 LIBERADO</v>
      </c>
      <c r="F808" s="5">
        <f ca="1">IFERROR(__xludf.UNSUPPORTED("""COMPUTED_VALUE"""),0)</f>
        <v>0</v>
      </c>
      <c r="G808" s="3" t="str">
        <f ca="1">IFERROR(__xludf.UNSUPPORTED("""COMPUTED_VALUE"""),"Situação Normal")</f>
        <v>Situação Normal</v>
      </c>
      <c r="H808" s="4">
        <f ca="1">IFERROR(__xludf.UNSUPPORTED("""COMPUTED_VALUE"""),44890.2496527777)</f>
        <v>44890.249652777697</v>
      </c>
      <c r="I808" s="3">
        <f ca="1">IFERROR(__xludf.UNSUPPORTED("""COMPUTED_VALUE"""),24)</f>
        <v>24</v>
      </c>
      <c r="J808" s="4">
        <f ca="1">IFERROR(__xludf.UNSUPPORTED("""COMPUTED_VALUE"""),44891.2496527777)</f>
        <v>44891.249652777697</v>
      </c>
    </row>
    <row r="809" spans="1:12" ht="12.75">
      <c r="A809" s="3" t="str">
        <f ca="1">IFERROR(__xludf.UNSUPPORTED("""COMPUTED_VALUE"""),"dc7fa766")</f>
        <v>dc7fa766</v>
      </c>
      <c r="B809" s="4">
        <f ca="1">IFERROR(__xludf.UNSUPPORTED("""COMPUTED_VALUE"""),44893.4015972222)</f>
        <v>44893.401597222197</v>
      </c>
      <c r="C809" s="8" t="str">
        <f ca="1">IFERROR(__xludf.UNSUPPORTED("""COMPUTED_VALUE"""),"Itaguaí")</f>
        <v>Itaguaí</v>
      </c>
      <c r="D809" s="3" t="str">
        <f ca="1">IFERROR(__xludf.UNSUPPORTED("""COMPUTED_VALUE"""),"🚢 REGULAR")</f>
        <v>🚢 REGULAR</v>
      </c>
      <c r="E809" s="3" t="str">
        <f ca="1">IFERROR(__xludf.UNSUPPORTED("""COMPUTED_VALUE"""),"🚛 LIBERADO")</f>
        <v>🚛 LIBERADO</v>
      </c>
      <c r="F809" s="5">
        <f ca="1">IFERROR(__xludf.UNSUPPORTED("""COMPUTED_VALUE"""),0)</f>
        <v>0</v>
      </c>
      <c r="G809" s="3" t="str">
        <f ca="1">IFERROR(__xludf.UNSUPPORTED("""COMPUTED_VALUE"""),"Situação normal")</f>
        <v>Situação normal</v>
      </c>
      <c r="H809" s="4">
        <f ca="1">IFERROR(__xludf.UNSUPPORTED("""COMPUTED_VALUE"""),44893.4015972222)</f>
        <v>44893.401597222197</v>
      </c>
      <c r="I809" s="3">
        <f ca="1">IFERROR(__xludf.UNSUPPORTED("""COMPUTED_VALUE"""),24)</f>
        <v>24</v>
      </c>
      <c r="J809" s="4">
        <f ca="1">IFERROR(__xludf.UNSUPPORTED("""COMPUTED_VALUE"""),44894.4015972222)</f>
        <v>44894.401597222197</v>
      </c>
    </row>
    <row r="810" spans="1:12" ht="12.75">
      <c r="A810" s="3" t="str">
        <f ca="1">IFERROR(__xludf.UNSUPPORTED("""COMPUTED_VALUE"""),"d8fd281d")</f>
        <v>d8fd281d</v>
      </c>
      <c r="B810" s="4">
        <f ca="1">IFERROR(__xludf.UNSUPPORTED("""COMPUTED_VALUE"""),44894.4254629629)</f>
        <v>44894.425462962899</v>
      </c>
      <c r="C810" s="7" t="str">
        <f ca="1">IFERROR(__xludf.UNSUPPORTED("""COMPUTED_VALUE"""),"Itaguaí")</f>
        <v>Itaguaí</v>
      </c>
      <c r="D810" s="3" t="str">
        <f ca="1">IFERROR(__xludf.UNSUPPORTED("""COMPUTED_VALUE"""),"🚢 REGULAR")</f>
        <v>🚢 REGULAR</v>
      </c>
      <c r="E810" s="3" t="str">
        <f ca="1">IFERROR(__xludf.UNSUPPORTED("""COMPUTED_VALUE"""),"🚛 LIBERADO")</f>
        <v>🚛 LIBERADO</v>
      </c>
      <c r="F810" s="5">
        <f ca="1">IFERROR(__xludf.UNSUPPORTED("""COMPUTED_VALUE"""),0)</f>
        <v>0</v>
      </c>
      <c r="G810" s="3" t="str">
        <f ca="1">IFERROR(__xludf.UNSUPPORTED("""COMPUTED_VALUE"""),"Situação normal")</f>
        <v>Situação normal</v>
      </c>
      <c r="H810" s="4">
        <f ca="1">IFERROR(__xludf.UNSUPPORTED("""COMPUTED_VALUE"""),44894.4254629629)</f>
        <v>44894.425462962899</v>
      </c>
      <c r="I810" s="3">
        <f ca="1">IFERROR(__xludf.UNSUPPORTED("""COMPUTED_VALUE"""),24)</f>
        <v>24</v>
      </c>
      <c r="J810" s="4">
        <f ca="1">IFERROR(__xludf.UNSUPPORTED("""COMPUTED_VALUE"""),44895.4254629629)</f>
        <v>44895.425462962899</v>
      </c>
    </row>
    <row r="811" spans="1:12" ht="12.75">
      <c r="A811" s="3" t="str">
        <f ca="1">IFERROR(__xludf.UNSUPPORTED("""COMPUTED_VALUE"""),"0d1fff23")</f>
        <v>0d1fff23</v>
      </c>
      <c r="B811" s="4">
        <f ca="1">IFERROR(__xludf.UNSUPPORTED("""COMPUTED_VALUE"""),44895.3879166666)</f>
        <v>44895.387916666601</v>
      </c>
      <c r="C811" s="8" t="str">
        <f ca="1">IFERROR(__xludf.UNSUPPORTED("""COMPUTED_VALUE"""),"Itaguaí")</f>
        <v>Itaguaí</v>
      </c>
      <c r="D811" s="3" t="str">
        <f ca="1">IFERROR(__xludf.UNSUPPORTED("""COMPUTED_VALUE"""),"🚢 REGULAR")</f>
        <v>🚢 REGULAR</v>
      </c>
      <c r="E811" s="3" t="str">
        <f ca="1">IFERROR(__xludf.UNSUPPORTED("""COMPUTED_VALUE"""),"🚛 LIBERADO")</f>
        <v>🚛 LIBERADO</v>
      </c>
      <c r="F811" s="5">
        <f ca="1">IFERROR(__xludf.UNSUPPORTED("""COMPUTED_VALUE"""),0)</f>
        <v>0</v>
      </c>
      <c r="G811" s="3" t="str">
        <f ca="1">IFERROR(__xludf.UNSUPPORTED("""COMPUTED_VALUE"""),"Situação normal")</f>
        <v>Situação normal</v>
      </c>
      <c r="H811" s="4">
        <f ca="1">IFERROR(__xludf.UNSUPPORTED("""COMPUTED_VALUE"""),44896.34625)</f>
        <v>44896.346250000002</v>
      </c>
      <c r="I811" s="3">
        <f ca="1">IFERROR(__xludf.UNSUPPORTED("""COMPUTED_VALUE"""),24)</f>
        <v>24</v>
      </c>
      <c r="J811" s="4">
        <f ca="1">IFERROR(__xludf.UNSUPPORTED("""COMPUTED_VALUE"""),44897.34625)</f>
        <v>44897.346250000002</v>
      </c>
    </row>
    <row r="812" spans="1:12" ht="12.75">
      <c r="A812" s="3" t="str">
        <f ca="1">IFERROR(__xludf.UNSUPPORTED("""COMPUTED_VALUE"""),"f9ac88c2")</f>
        <v>f9ac88c2</v>
      </c>
      <c r="B812" s="4">
        <f ca="1">IFERROR(__xludf.UNSUPPORTED("""COMPUTED_VALUE"""),44897.317824074)</f>
        <v>44897.317824074002</v>
      </c>
      <c r="C812" s="8" t="str">
        <f ca="1">IFERROR(__xludf.UNSUPPORTED("""COMPUTED_VALUE"""),"Itaguaí")</f>
        <v>Itaguaí</v>
      </c>
      <c r="D812" s="3" t="str">
        <f ca="1">IFERROR(__xludf.UNSUPPORTED("""COMPUTED_VALUE"""),"🚢 REGULAR")</f>
        <v>🚢 REGULAR</v>
      </c>
      <c r="E812" s="3" t="str">
        <f ca="1">IFERROR(__xludf.UNSUPPORTED("""COMPUTED_VALUE"""),"🚛 LIBERADO")</f>
        <v>🚛 LIBERADO</v>
      </c>
      <c r="F812" s="5">
        <f ca="1">IFERROR(__xludf.UNSUPPORTED("""COMPUTED_VALUE"""),0)</f>
        <v>0</v>
      </c>
      <c r="G812" s="3" t="str">
        <f ca="1">IFERROR(__xludf.UNSUPPORTED("""COMPUTED_VALUE"""),"Situação normal")</f>
        <v>Situação normal</v>
      </c>
      <c r="H812" s="4">
        <f ca="1">IFERROR(__xludf.UNSUPPORTED("""COMPUTED_VALUE"""),44897.317824074)</f>
        <v>44897.317824074002</v>
      </c>
      <c r="I812" s="3">
        <f ca="1">IFERROR(__xludf.UNSUPPORTED("""COMPUTED_VALUE"""),24)</f>
        <v>24</v>
      </c>
      <c r="J812" s="4">
        <f ca="1">IFERROR(__xludf.UNSUPPORTED("""COMPUTED_VALUE"""),44898.317824074)</f>
        <v>44898.317824074002</v>
      </c>
    </row>
    <row r="813" spans="1:12" ht="12.75">
      <c r="A813" s="3" t="str">
        <f ca="1">IFERROR(__xludf.UNSUPPORTED("""COMPUTED_VALUE"""),"126b35eb")</f>
        <v>126b35eb</v>
      </c>
      <c r="B813" s="4">
        <f ca="1">IFERROR(__xludf.UNSUPPORTED("""COMPUTED_VALUE"""),44900.4083333333)</f>
        <v>44900.408333333296</v>
      </c>
      <c r="C813" s="7" t="str">
        <f ca="1">IFERROR(__xludf.UNSUPPORTED("""COMPUTED_VALUE"""),"Itaguaí")</f>
        <v>Itaguaí</v>
      </c>
      <c r="D813" s="3" t="str">
        <f ca="1">IFERROR(__xludf.UNSUPPORTED("""COMPUTED_VALUE"""),"🚢 REGULAR")</f>
        <v>🚢 REGULAR</v>
      </c>
      <c r="E813" s="3" t="str">
        <f ca="1">IFERROR(__xludf.UNSUPPORTED("""COMPUTED_VALUE"""),"🚛 LIBERADO")</f>
        <v>🚛 LIBERADO</v>
      </c>
      <c r="F813" s="5">
        <f ca="1">IFERROR(__xludf.UNSUPPORTED("""COMPUTED_VALUE"""),0)</f>
        <v>0</v>
      </c>
      <c r="G813" s="3" t="str">
        <f ca="1">IFERROR(__xludf.UNSUPPORTED("""COMPUTED_VALUE"""),"Situação normal")</f>
        <v>Situação normal</v>
      </c>
      <c r="H813" s="4">
        <f ca="1">IFERROR(__xludf.UNSUPPORTED("""COMPUTED_VALUE"""),44900.4083333333)</f>
        <v>44900.408333333296</v>
      </c>
      <c r="I813" s="3">
        <f ca="1">IFERROR(__xludf.UNSUPPORTED("""COMPUTED_VALUE"""),24)</f>
        <v>24</v>
      </c>
      <c r="J813" s="4">
        <f ca="1">IFERROR(__xludf.UNSUPPORTED("""COMPUTED_VALUE"""),44901.4083333333)</f>
        <v>44901.408333333296</v>
      </c>
    </row>
    <row r="814" spans="1:12" ht="12.75">
      <c r="A814" s="3" t="str">
        <f ca="1">IFERROR(__xludf.UNSUPPORTED("""COMPUTED_VALUE"""),"77fae96e")</f>
        <v>77fae96e</v>
      </c>
      <c r="B814" s="4">
        <f ca="1">IFERROR(__xludf.UNSUPPORTED("""COMPUTED_VALUE"""),44901.4174999999)</f>
        <v>44901.417499999901</v>
      </c>
      <c r="C814" s="8" t="str">
        <f ca="1">IFERROR(__xludf.UNSUPPORTED("""COMPUTED_VALUE"""),"Itaguaí")</f>
        <v>Itaguaí</v>
      </c>
      <c r="D814" s="3" t="str">
        <f ca="1">IFERROR(__xludf.UNSUPPORTED("""COMPUTED_VALUE"""),"🚢 REGULAR")</f>
        <v>🚢 REGULAR</v>
      </c>
      <c r="E814" s="3" t="str">
        <f ca="1">IFERROR(__xludf.UNSUPPORTED("""COMPUTED_VALUE"""),"🚛 LIBERADO")</f>
        <v>🚛 LIBERADO</v>
      </c>
      <c r="F814" s="5">
        <f ca="1">IFERROR(__xludf.UNSUPPORTED("""COMPUTED_VALUE"""),0)</f>
        <v>0</v>
      </c>
      <c r="G814" s="3" t="str">
        <f ca="1">IFERROR(__xludf.UNSUPPORTED("""COMPUTED_VALUE"""),"Situação Normal")</f>
        <v>Situação Normal</v>
      </c>
      <c r="H814" s="4">
        <f ca="1">IFERROR(__xludf.UNSUPPORTED("""COMPUTED_VALUE"""),44903.2918055555)</f>
        <v>44903.291805555498</v>
      </c>
      <c r="I814" s="3">
        <f ca="1">IFERROR(__xludf.UNSUPPORTED("""COMPUTED_VALUE"""),24)</f>
        <v>24</v>
      </c>
      <c r="J814" s="4">
        <f ca="1">IFERROR(__xludf.UNSUPPORTED("""COMPUTED_VALUE"""),44904.2918055555)</f>
        <v>44904.291805555498</v>
      </c>
    </row>
    <row r="815" spans="1:12" ht="12.75">
      <c r="A815" s="3" t="str">
        <f ca="1">IFERROR(__xludf.UNSUPPORTED("""COMPUTED_VALUE"""),"79d40759")</f>
        <v>79d40759</v>
      </c>
      <c r="B815" s="4">
        <f ca="1">IFERROR(__xludf.UNSUPPORTED("""COMPUTED_VALUE"""),44907.5073032407)</f>
        <v>44907.507303240702</v>
      </c>
      <c r="C815" s="7" t="str">
        <f ca="1">IFERROR(__xludf.UNSUPPORTED("""COMPUTED_VALUE"""),"Itaguaí")</f>
        <v>Itaguaí</v>
      </c>
      <c r="D815" s="3" t="str">
        <f ca="1">IFERROR(__xludf.UNSUPPORTED("""COMPUTED_VALUE"""),"🚢 REGULAR")</f>
        <v>🚢 REGULAR</v>
      </c>
      <c r="E815" s="3" t="str">
        <f ca="1">IFERROR(__xludf.UNSUPPORTED("""COMPUTED_VALUE"""),"🚛 LIBERADO")</f>
        <v>🚛 LIBERADO</v>
      </c>
      <c r="F815" s="5">
        <f ca="1">IFERROR(__xludf.UNSUPPORTED("""COMPUTED_VALUE"""),0)</f>
        <v>0</v>
      </c>
      <c r="G815" s="3" t="str">
        <f ca="1">IFERROR(__xludf.UNSUPPORTED("""COMPUTED_VALUE"""),"Situação normal")</f>
        <v>Situação normal</v>
      </c>
      <c r="H815" s="4">
        <f ca="1">IFERROR(__xludf.UNSUPPORTED("""COMPUTED_VALUE"""),44907.4166666666)</f>
        <v>44907.416666666599</v>
      </c>
      <c r="I815" s="3">
        <f ca="1">IFERROR(__xludf.UNSUPPORTED("""COMPUTED_VALUE"""),24)</f>
        <v>24</v>
      </c>
      <c r="J815" s="4">
        <f ca="1">IFERROR(__xludf.UNSUPPORTED("""COMPUTED_VALUE"""),44908.4166666666)</f>
        <v>44908.416666666599</v>
      </c>
    </row>
    <row r="816" spans="1:12" ht="12.75">
      <c r="A816" s="3" t="str">
        <f ca="1">IFERROR(__xludf.UNSUPPORTED("""COMPUTED_VALUE"""),"df9ff0e1")</f>
        <v>df9ff0e1</v>
      </c>
      <c r="B816" s="4">
        <f ca="1">IFERROR(__xludf.UNSUPPORTED("""COMPUTED_VALUE"""),44928.3864583333)</f>
        <v>44928.386458333298</v>
      </c>
      <c r="C816" s="8" t="str">
        <f ca="1">IFERROR(__xludf.UNSUPPORTED("""COMPUTED_VALUE"""),"Itaguaí")</f>
        <v>Itaguaí</v>
      </c>
      <c r="D816" s="3" t="str">
        <f ca="1">IFERROR(__xludf.UNSUPPORTED("""COMPUTED_VALUE"""),"🚢 REGULAR")</f>
        <v>🚢 REGULAR</v>
      </c>
      <c r="E816" s="3" t="str">
        <f ca="1">IFERROR(__xludf.UNSUPPORTED("""COMPUTED_VALUE"""),"🚛 LIBERADO")</f>
        <v>🚛 LIBERADO</v>
      </c>
      <c r="F816" s="5">
        <f ca="1">IFERROR(__xludf.UNSUPPORTED("""COMPUTED_VALUE"""),0)</f>
        <v>0</v>
      </c>
      <c r="G816" s="3" t="str">
        <f ca="1">IFERROR(__xludf.UNSUPPORTED("""COMPUTED_VALUE"""),"Situação Normal")</f>
        <v>Situação Normal</v>
      </c>
      <c r="H816" s="4">
        <f ca="1">IFERROR(__xludf.UNSUPPORTED("""COMPUTED_VALUE"""),44928.3864583333)</f>
        <v>44928.386458333298</v>
      </c>
      <c r="I816" s="3">
        <f ca="1">IFERROR(__xludf.UNSUPPORTED("""COMPUTED_VALUE"""),24)</f>
        <v>24</v>
      </c>
      <c r="J816" s="4">
        <f ca="1">IFERROR(__xludf.UNSUPPORTED("""COMPUTED_VALUE"""),44929.3864583333)</f>
        <v>44929.386458333298</v>
      </c>
    </row>
    <row r="817" spans="1:12" ht="12.75">
      <c r="A817" s="3" t="str">
        <f ca="1">IFERROR(__xludf.UNSUPPORTED("""COMPUTED_VALUE"""),"0732e39f")</f>
        <v>0732e39f</v>
      </c>
      <c r="B817" s="4">
        <f ca="1">IFERROR(__xludf.UNSUPPORTED("""COMPUTED_VALUE"""),44935.5003819444)</f>
        <v>44935.500381944403</v>
      </c>
      <c r="C817" s="8" t="str">
        <f ca="1">IFERROR(__xludf.UNSUPPORTED("""COMPUTED_VALUE"""),"Itaguaí")</f>
        <v>Itaguaí</v>
      </c>
      <c r="D817" s="3" t="str">
        <f ca="1">IFERROR(__xludf.UNSUPPORTED("""COMPUTED_VALUE"""),"🚢 REGULAR")</f>
        <v>🚢 REGULAR</v>
      </c>
      <c r="E817" s="3" t="str">
        <f ca="1">IFERROR(__xludf.UNSUPPORTED("""COMPUTED_VALUE"""),"🚛 LIBERADO")</f>
        <v>🚛 LIBERADO</v>
      </c>
      <c r="F817" s="5">
        <f ca="1">IFERROR(__xludf.UNSUPPORTED("""COMPUTED_VALUE"""),0)</f>
        <v>0</v>
      </c>
      <c r="G817" s="3" t="str">
        <f ca="1">IFERROR(__xludf.UNSUPPORTED("""COMPUTED_VALUE"""),"Normalidade")</f>
        <v>Normalidade</v>
      </c>
      <c r="H817" s="4">
        <f ca="1">IFERROR(__xludf.UNSUPPORTED("""COMPUTED_VALUE"""),44935.5003819444)</f>
        <v>44935.500381944403</v>
      </c>
      <c r="I817" s="3">
        <f ca="1">IFERROR(__xludf.UNSUPPORTED("""COMPUTED_VALUE"""),24)</f>
        <v>24</v>
      </c>
      <c r="J817" s="4">
        <f ca="1">IFERROR(__xludf.UNSUPPORTED("""COMPUTED_VALUE"""),44936.5003819444)</f>
        <v>44936.500381944403</v>
      </c>
      <c r="L817" s="3" t="str">
        <f ca="1">IFERROR(__xludf.UNSUPPORTED("""COMPUTED_VALUE"""),"Normalidade")</f>
        <v>Normalidade</v>
      </c>
    </row>
    <row r="818" spans="1:12" ht="12.75">
      <c r="A818" s="3" t="str">
        <f ca="1">IFERROR(__xludf.UNSUPPORTED("""COMPUTED_VALUE"""),"5fd1cd4e")</f>
        <v>5fd1cd4e</v>
      </c>
      <c r="B818" s="4">
        <f ca="1">IFERROR(__xludf.UNSUPPORTED("""COMPUTED_VALUE"""),45120.6367361111)</f>
        <v>45120.636736111097</v>
      </c>
      <c r="C818" s="7" t="str">
        <f ca="1">IFERROR(__xludf.UNSUPPORTED("""COMPUTED_VALUE"""),"Itaguaí")</f>
        <v>Itaguaí</v>
      </c>
      <c r="D818" s="3" t="str">
        <f ca="1">IFERROR(__xludf.UNSUPPORTED("""COMPUTED_VALUE"""),"🚢 REGULAR")</f>
        <v>🚢 REGULAR</v>
      </c>
      <c r="E818" s="3" t="str">
        <f ca="1">IFERROR(__xludf.UNSUPPORTED("""COMPUTED_VALUE"""),"🚛 LIBERADO")</f>
        <v>🚛 LIBERADO</v>
      </c>
      <c r="F818" s="5">
        <f ca="1">IFERROR(__xludf.UNSUPPORTED("""COMPUTED_VALUE"""),0)</f>
        <v>0</v>
      </c>
      <c r="G818" s="3" t="str">
        <f ca="1">IFERROR(__xludf.UNSUPPORTED("""COMPUTED_VALUE"""),"Normalidade")</f>
        <v>Normalidade</v>
      </c>
      <c r="H818" s="4">
        <f ca="1">IFERROR(__xludf.UNSUPPORTED("""COMPUTED_VALUE"""),45120.6367361111)</f>
        <v>45120.636736111097</v>
      </c>
      <c r="I818" s="3">
        <f ca="1">IFERROR(__xludf.UNSUPPORTED("""COMPUTED_VALUE"""),24)</f>
        <v>24</v>
      </c>
      <c r="J818" s="4">
        <f ca="1">IFERROR(__xludf.UNSUPPORTED("""COMPUTED_VALUE"""),45121.6367361111)</f>
        <v>45121.636736111097</v>
      </c>
      <c r="L818" s="3" t="str">
        <f ca="1">IFERROR(__xludf.UNSUPPORTED("""COMPUTED_VALUE"""),"Normalidade")</f>
        <v>Normalidade</v>
      </c>
    </row>
    <row r="819" spans="1:12" ht="12.75">
      <c r="A819" s="3" t="str">
        <f ca="1">IFERROR(__xludf.UNSUPPORTED("""COMPUTED_VALUE"""),"pNlSaXDj")</f>
        <v>pNlSaXDj</v>
      </c>
      <c r="B819" s="4">
        <f ca="1">IFERROR(__xludf.UNSUPPORTED("""COMPUTED_VALUE"""),44589.5)</f>
        <v>44589.5</v>
      </c>
      <c r="C819" s="7" t="str">
        <f ca="1">IFERROR(__xludf.UNSUPPORTED("""COMPUTED_VALUE"""),"Itajaí")</f>
        <v>Itajaí</v>
      </c>
      <c r="D819" s="3" t="str">
        <f ca="1">IFERROR(__xludf.UNSUPPORTED("""COMPUTED_VALUE"""),"🚢 REGULAR")</f>
        <v>🚢 REGULAR</v>
      </c>
      <c r="E819" s="3" t="str">
        <f ca="1">IFERROR(__xludf.UNSUPPORTED("""COMPUTED_VALUE"""),"🚛 LIBERADO")</f>
        <v>🚛 LIBERADO</v>
      </c>
      <c r="F819" s="5">
        <f ca="1">IFERROR(__xludf.UNSUPPORTED("""COMPUTED_VALUE"""),0)</f>
        <v>0</v>
      </c>
      <c r="G819" s="3" t="str">
        <f ca="1">IFERROR(__xludf.UNSUPPORTED("""COMPUTED_VALUE"""),"Nada de paralisações, operações transcorrendo normalmente. Poucas faixas e manifestantes no momento.")</f>
        <v>Nada de paralisações, operações transcorrendo normalmente. Poucas faixas e manifestantes no momento.</v>
      </c>
      <c r="H819" s="4">
        <f ca="1">IFERROR(__xludf.UNSUPPORTED("""COMPUTED_VALUE"""),44589.3763888888)</f>
        <v>44589.376388888799</v>
      </c>
      <c r="I819" s="3">
        <f ca="1">IFERROR(__xludf.UNSUPPORTED("""COMPUTED_VALUE"""),3)</f>
        <v>3</v>
      </c>
      <c r="J819" s="4">
        <f ca="1">IFERROR(__xludf.UNSUPPORTED("""COMPUTED_VALUE"""),44589.5013888888)</f>
        <v>44589.501388888799</v>
      </c>
    </row>
    <row r="820" spans="1:12" ht="12.75">
      <c r="A820" s="3" t="str">
        <f ca="1">IFERROR(__xludf.UNSUPPORTED("""COMPUTED_VALUE"""),"014fb97d")</f>
        <v>014fb97d</v>
      </c>
      <c r="B820" s="4">
        <f ca="1">IFERROR(__xludf.UNSUPPORTED("""COMPUTED_VALUE"""),44866.3334606481)</f>
        <v>44866.3334606481</v>
      </c>
      <c r="C820" s="7" t="str">
        <f ca="1">IFERROR(__xludf.UNSUPPORTED("""COMPUTED_VALUE"""),"Itajaí")</f>
        <v>Itajaí</v>
      </c>
      <c r="D820" s="3" t="str">
        <f ca="1">IFERROR(__xludf.UNSUPPORTED("""COMPUTED_VALUE"""),"⚠️ COM ATRASOS")</f>
        <v>⚠️ COM ATRASOS</v>
      </c>
      <c r="E820" s="3" t="str">
        <f ca="1">IFERROR(__xludf.UNSUPPORTED("""COMPUTED_VALUE"""),"⚠️ PARCIALMENTE BLOQUEADO")</f>
        <v>⚠️ PARCIALMENTE BLOQUEADO</v>
      </c>
      <c r="F820" s="5">
        <f ca="1">IFERROR(__xludf.UNSUPPORTED("""COMPUTED_VALUE"""),0.75)</f>
        <v>0.75</v>
      </c>
      <c r="G820" s="3" t="str">
        <f ca="1">IFERROR(__xludf.UNSUPPORTED("""COMPUTED_VALUE"""),"BR 101 bloqueada em diversos pontos em SC, em ambos os sentidos. Vias de acesso praticamente todas interrompidas. Movimentação de caminhões ocorre praticamente apenas entre terminais retroportuários que já estão próximos ao Porto. 
Ao longo do dia 31/10/"&amp;"2022 houve interrupção momentânea nos gates da Portonave. Informação atualizada (01/11/2022 às 10:45) de que as operações de gate estão ocorrendo, com cerca de 10% a 15% apenas de volume de dias normais (majoritariamente cargas localizadas já nos terminai"&amp;"s retroportuários adjacentes). Ademais, atracações e desatracações estão ocorrendo normalmente.")</f>
        <v>BR 101 bloqueada em diversos pontos em SC, em ambos os sentidos. Vias de acesso praticamente todas interrompidas. Movimentação de caminhões ocorre praticamente apenas entre terminais retroportuários que já estão próximos ao Porto. 
Ao longo do dia 31/10/2022 houve interrupção momentânea nos gates da Portonave. Informação atualizada (01/11/2022 às 10:45) de que as operações de gate estão ocorrendo, com cerca de 10% a 15% apenas de volume de dias normais (majoritariamente cargas localizadas já nos terminais retroportuários adjacentes). Ademais, atracações e desatracações estão ocorrendo normalmente.</v>
      </c>
      <c r="H820" s="4">
        <f ca="1">IFERROR(__xludf.UNSUPPORTED("""COMPUTED_VALUE"""),44865.4166666666)</f>
        <v>44865.416666666599</v>
      </c>
      <c r="I820" s="3">
        <f ca="1">IFERROR(__xludf.UNSUPPORTED("""COMPUTED_VALUE"""),48)</f>
        <v>48</v>
      </c>
      <c r="J820" s="4">
        <f ca="1">IFERROR(__xludf.UNSUPPORTED("""COMPUTED_VALUE"""),44867.4166666666)</f>
        <v>44867.416666666599</v>
      </c>
    </row>
    <row r="821" spans="1:12" ht="12.75">
      <c r="A821" s="3" t="str">
        <f ca="1">IFERROR(__xludf.UNSUPPORTED("""COMPUTED_VALUE"""),"d5e01979")</f>
        <v>d5e01979</v>
      </c>
      <c r="B821" s="4">
        <f ca="1">IFERROR(__xludf.UNSUPPORTED("""COMPUTED_VALUE"""),44867.5007986111)</f>
        <v>44867.500798611101</v>
      </c>
      <c r="C821" s="8" t="str">
        <f ca="1">IFERROR(__xludf.UNSUPPORTED("""COMPUTED_VALUE"""),"Itajaí")</f>
        <v>Itajaí</v>
      </c>
      <c r="D821" s="3" t="str">
        <f ca="1">IFERROR(__xludf.UNSUPPORTED("""COMPUTED_VALUE"""),"⚠️ COM ATRASOS")</f>
        <v>⚠️ COM ATRASOS</v>
      </c>
      <c r="E821" s="3" t="str">
        <f ca="1">IFERROR(__xludf.UNSUPPORTED("""COMPUTED_VALUE"""),"⛔️ BLOQUEADO")</f>
        <v>⛔️ BLOQUEADO</v>
      </c>
      <c r="F821" s="5">
        <f ca="1">IFERROR(__xludf.UNSUPPORTED("""COMPUTED_VALUE"""),0.75)</f>
        <v>0.75</v>
      </c>
      <c r="G821" s="3" t="str">
        <f ca="1">IFERROR(__xludf.UNSUPPORTED("""COMPUTED_VALUE"""),"Em razão do feriado e dos bloqueios, não há operações de Gate de entrada e saída de caminhões na data de hoje (02/11/2022).
A operação interna de atendimento aos navios permanece normal.
A hidrovia permanece livre e normal.
Não há sinais de manifestações "&amp;"e bloqueios nas imediações do Porto de Itajaí.
Manifestações e bloqueios apenas nas rodovias federais e estaduais que dão acesso a cidade e ao Porto.
O TUP Portonave relatou que a operação interna e junto aos navios permanece, mas pouquíssimas entradas n"&amp;"os GATEs. Dificuldade para obter caminhões para buscarem carga da importação. Esperam maior reflexo da situação nos próximos dias, à medida que houver liberação das rodovias e excesso de depósito/retirada das cargas simultâneas, com risco de estrangulamen"&amp;"to da operação.")</f>
        <v>Em razão do feriado e dos bloqueios, não há operações de Gate de entrada e saída de caminhões na data de hoje (02/11/2022).
A operação interna de atendimento aos navios permanece normal.
A hidrovia permanece livre e normal.
Não há sinais de manifestações e bloqueios nas imediações do Porto de Itajaí.
Manifestações e bloqueios apenas nas rodovias federais e estaduais que dão acesso a cidade e ao Porto.
O TUP Portonave relatou que a operação interna e junto aos navios permanece, mas pouquíssimas entradas nos GATEs. Dificuldade para obter caminhões para buscarem carga da importação. Esperam maior reflexo da situação nos próximos dias, à medida que houver liberação das rodovias e excesso de depósito/retirada das cargas simultâneas, com risco de estrangulamento da operação.</v>
      </c>
      <c r="H821" s="4">
        <f ca="1">IFERROR(__xludf.UNSUPPORTED("""COMPUTED_VALUE"""),44867.5007986111)</f>
        <v>44867.500798611101</v>
      </c>
      <c r="I821" s="3">
        <f ca="1">IFERROR(__xludf.UNSUPPORTED("""COMPUTED_VALUE"""),24)</f>
        <v>24</v>
      </c>
      <c r="J821" s="4">
        <f ca="1">IFERROR(__xludf.UNSUPPORTED("""COMPUTED_VALUE"""),44868.5007986111)</f>
        <v>44868.500798611101</v>
      </c>
    </row>
    <row r="822" spans="1:12" ht="12.75">
      <c r="A822" s="3" t="str">
        <f ca="1">IFERROR(__xludf.UNSUPPORTED("""COMPUTED_VALUE"""),"27050219")</f>
        <v>27050219</v>
      </c>
      <c r="B822" s="4">
        <f ca="1">IFERROR(__xludf.UNSUPPORTED("""COMPUTED_VALUE"""),44868.4134837962)</f>
        <v>44868.413483796197</v>
      </c>
      <c r="C822" s="8" t="str">
        <f ca="1">IFERROR(__xludf.UNSUPPORTED("""COMPUTED_VALUE"""),"Itajaí")</f>
        <v>Itajaí</v>
      </c>
      <c r="D822" s="3" t="str">
        <f ca="1">IFERROR(__xludf.UNSUPPORTED("""COMPUTED_VALUE"""),"⚠️ COM ATRASOS")</f>
        <v>⚠️ COM ATRASOS</v>
      </c>
      <c r="E822" s="3" t="str">
        <f ca="1">IFERROR(__xludf.UNSUPPORTED("""COMPUTED_VALUE"""),"⚠️ PARCIALMENTE BLOQUEADO")</f>
        <v>⚠️ PARCIALMENTE BLOQUEADO</v>
      </c>
      <c r="F822" s="5">
        <f ca="1">IFERROR(__xludf.UNSUPPORTED("""COMPUTED_VALUE"""),0.75)</f>
        <v>0.75</v>
      </c>
      <c r="G822" s="3" t="str">
        <f ca="1">IFERROR(__xludf.UNSUPPORTED("""COMPUTED_VALUE"""),"Operação interna está ocorrendo. Contudo, entrada de caminhões ainda baixa. Os caminhões que entram vêm mais de terminais de retroarea. Contudo, BR470 foi liberada e espera-se aumento no fluxo de entrada de caminhões ao longo do dia, embora a BR 101 no no"&amp;"rte do estado ainda tenha alguns bloqueios.
Portonave também espera normalização do fluxo de caminhões ao longo do dia ou amanhã.")</f>
        <v>Operação interna está ocorrendo. Contudo, entrada de caminhões ainda baixa. Os caminhões que entram vêm mais de terminais de retroarea. Contudo, BR470 foi liberada e espera-se aumento no fluxo de entrada de caminhões ao longo do dia, embora a BR 101 no norte do estado ainda tenha alguns bloqueios.
Portonave também espera normalização do fluxo de caminhões ao longo do dia ou amanhã.</v>
      </c>
      <c r="H822" s="4">
        <f ca="1">IFERROR(__xludf.UNSUPPORTED("""COMPUTED_VALUE"""),44868.4134837962)</f>
        <v>44868.413483796197</v>
      </c>
      <c r="I822" s="3">
        <f ca="1">IFERROR(__xludf.UNSUPPORTED("""COMPUTED_VALUE"""),24)</f>
        <v>24</v>
      </c>
      <c r="J822" s="4">
        <f ca="1">IFERROR(__xludf.UNSUPPORTED("""COMPUTED_VALUE"""),44869.4134837962)</f>
        <v>44869.413483796197</v>
      </c>
    </row>
    <row r="823" spans="1:12" ht="12.75">
      <c r="A823" s="3" t="str">
        <f ca="1">IFERROR(__xludf.UNSUPPORTED("""COMPUTED_VALUE"""),"7465af88")</f>
        <v>7465af88</v>
      </c>
      <c r="B823" s="4">
        <f ca="1">IFERROR(__xludf.UNSUPPORTED("""COMPUTED_VALUE"""),44868.4313078703)</f>
        <v>44868.431307870298</v>
      </c>
      <c r="C823" s="7" t="str">
        <f ca="1">IFERROR(__xludf.UNSUPPORTED("""COMPUTED_VALUE"""),"Itajaí")</f>
        <v>Itajaí</v>
      </c>
      <c r="D823" s="3" t="str">
        <f ca="1">IFERROR(__xludf.UNSUPPORTED("""COMPUTED_VALUE"""),"⚠️ COM ATRASOS")</f>
        <v>⚠️ COM ATRASOS</v>
      </c>
      <c r="E823" s="3" t="str">
        <f ca="1">IFERROR(__xludf.UNSUPPORTED("""COMPUTED_VALUE"""),"⚠️ PARCIALMENTE BLOQUEADO")</f>
        <v>⚠️ PARCIALMENTE BLOQUEADO</v>
      </c>
      <c r="F823" s="5">
        <f ca="1">IFERROR(__xludf.UNSUPPORTED("""COMPUTED_VALUE"""),0.75)</f>
        <v>0.75</v>
      </c>
      <c r="G823" s="3" t="str">
        <f ca="1">IFERROR(__xludf.UNSUPPORTED("""COMPUTED_VALUE"""),"Operação interna está ocorrendo. Contudo, entrada de caminhões ainda baixa. Os caminhões que entram vêm principalmente de terminais da retroárea. Contudo, BR470 foi liberada e espera-se aumento no fluxo de entrada de caminhões ao longo do dia, embora a BR"&amp;" 101 no norte do estado ainda tenha alguns bloqueios.
Portonave também espera normalização do fluxo de caminhões ao longo do dia ou amanhã.")</f>
        <v>Operação interna está ocorrendo. Contudo, entrada de caminhões ainda baixa. Os caminhões que entram vêm principalmente de terminais da retroárea. Contudo, BR470 foi liberada e espera-se aumento no fluxo de entrada de caminhões ao longo do dia, embora a BR 101 no norte do estado ainda tenha alguns bloqueios.
Portonave também espera normalização do fluxo de caminhões ao longo do dia ou amanhã.</v>
      </c>
      <c r="H823" s="4">
        <f ca="1">IFERROR(__xludf.UNSUPPORTED("""COMPUTED_VALUE"""),44868.4313078703)</f>
        <v>44868.431307870298</v>
      </c>
      <c r="I823" s="3">
        <f ca="1">IFERROR(__xludf.UNSUPPORTED("""COMPUTED_VALUE"""),24)</f>
        <v>24</v>
      </c>
      <c r="J823" s="4">
        <f ca="1">IFERROR(__xludf.UNSUPPORTED("""COMPUTED_VALUE"""),44869.4313078703)</f>
        <v>44869.431307870298</v>
      </c>
    </row>
    <row r="824" spans="1:12" ht="12.75">
      <c r="A824" s="3" t="str">
        <f ca="1">IFERROR(__xludf.UNSUPPORTED("""COMPUTED_VALUE"""),"ec6a223c")</f>
        <v>ec6a223c</v>
      </c>
      <c r="B824" s="4">
        <f ca="1">IFERROR(__xludf.UNSUPPORTED("""COMPUTED_VALUE"""),44868.5578819444)</f>
        <v>44868.557881944398</v>
      </c>
      <c r="C824" s="7" t="str">
        <f ca="1">IFERROR(__xludf.UNSUPPORTED("""COMPUTED_VALUE"""),"Itajaí")</f>
        <v>Itajaí</v>
      </c>
      <c r="D824" s="3" t="str">
        <f ca="1">IFERROR(__xludf.UNSUPPORTED("""COMPUTED_VALUE"""),"🚢 REGULAR")</f>
        <v>🚢 REGULAR</v>
      </c>
      <c r="E824" s="3" t="str">
        <f ca="1">IFERROR(__xludf.UNSUPPORTED("""COMPUTED_VALUE"""),"🚛 LIBERADO")</f>
        <v>🚛 LIBERADO</v>
      </c>
      <c r="F824" s="5">
        <f ca="1">IFERROR(__xludf.UNSUPPORTED("""COMPUTED_VALUE"""),0.25)</f>
        <v>0.25</v>
      </c>
      <c r="G824" s="3" t="str">
        <f ca="1">IFERROR(__xludf.UNSUPPORTED("""COMPUTED_VALUE"""),"Itajaí: Operação com caminhões retomada e melhorando gradativamente.
Portonave reportou normalização da operação na entrada de gates.")</f>
        <v>Itajaí: Operação com caminhões retomada e melhorando gradativamente.
Portonave reportou normalização da operação na entrada de gates.</v>
      </c>
      <c r="H824" s="4">
        <f ca="1">IFERROR(__xludf.UNSUPPORTED("""COMPUTED_VALUE"""),44868.5578819444)</f>
        <v>44868.557881944398</v>
      </c>
      <c r="I824" s="3">
        <f ca="1">IFERROR(__xludf.UNSUPPORTED("""COMPUTED_VALUE"""),12)</f>
        <v>12</v>
      </c>
      <c r="J824" s="4">
        <f ca="1">IFERROR(__xludf.UNSUPPORTED("""COMPUTED_VALUE"""),44869.0578819444)</f>
        <v>44869.057881944398</v>
      </c>
    </row>
    <row r="825" spans="1:12" ht="12.75">
      <c r="A825" s="3" t="str">
        <f ca="1">IFERROR(__xludf.UNSUPPORTED("""COMPUTED_VALUE"""),"ee5e5f59")</f>
        <v>ee5e5f59</v>
      </c>
      <c r="B825" s="4">
        <f ca="1">IFERROR(__xludf.UNSUPPORTED("""COMPUTED_VALUE"""),44868.6229282407)</f>
        <v>44868.6229282407</v>
      </c>
      <c r="C825" s="7" t="str">
        <f ca="1">IFERROR(__xludf.UNSUPPORTED("""COMPUTED_VALUE"""),"Itajaí")</f>
        <v>Itajaí</v>
      </c>
      <c r="D825" s="3" t="str">
        <f ca="1">IFERROR(__xludf.UNSUPPORTED("""COMPUTED_VALUE"""),"🚢 REGULAR")</f>
        <v>🚢 REGULAR</v>
      </c>
      <c r="E825" s="3" t="str">
        <f ca="1">IFERROR(__xludf.UNSUPPORTED("""COMPUTED_VALUE"""),"⚠️ PARCIALMENTE BLOQUEADO")</f>
        <v>⚠️ PARCIALMENTE BLOQUEADO</v>
      </c>
      <c r="F825" s="5">
        <f ca="1">IFERROR(__xludf.UNSUPPORTED("""COMPUTED_VALUE"""),0.25)</f>
        <v>0.25</v>
      </c>
      <c r="G825" s="3" t="str">
        <f ca="1">IFERROR(__xludf.UNSUPPORTED("""COMPUTED_VALUE"""),"Com o desbloqueio das rodovias (BR 101 e BR 470), registra-se fila intensa no acesso ao Porto em razão da intensificação de caminhões simultaneamente em direção ao porto. Efeito rebote do represamento das cargas nas rodovias e em terminais de área secundá"&amp;"ria.
A grade de agendamentos do Porto de Itajaí está cheia para os próximos períodos.
A Portonave relatou abertura de agendamentos extras e horários adicionais ao longo do final de semana para dar vazão à demanda simultânea decorrente do represamento da"&amp;"s cargas nos últimos dias.")</f>
        <v>Com o desbloqueio das rodovias (BR 101 e BR 470), registra-se fila intensa no acesso ao Porto em razão da intensificação de caminhões simultaneamente em direção ao porto. Efeito rebote do represamento das cargas nas rodovias e em terminais de área secundária.
A grade de agendamentos do Porto de Itajaí está cheia para os próximos períodos.
A Portonave relatou abertura de agendamentos extras e horários adicionais ao longo do final de semana para dar vazão à demanda simultânea decorrente do represamento das cargas nos últimos dias.</v>
      </c>
      <c r="H825" s="4">
        <f ca="1">IFERROR(__xludf.UNSUPPORTED("""COMPUTED_VALUE"""),44868.6229282407)</f>
        <v>44868.6229282407</v>
      </c>
      <c r="I825" s="3">
        <f ca="1">IFERROR(__xludf.UNSUPPORTED("""COMPUTED_VALUE"""),12)</f>
        <v>12</v>
      </c>
      <c r="J825" s="4">
        <f ca="1">IFERROR(__xludf.UNSUPPORTED("""COMPUTED_VALUE"""),44869.1229282407)</f>
        <v>44869.1229282407</v>
      </c>
    </row>
    <row r="826" spans="1:12" ht="12.75">
      <c r="A826" s="3" t="str">
        <f ca="1">IFERROR(__xludf.UNSUPPORTED("""COMPUTED_VALUE"""),"197fc699")</f>
        <v>197fc699</v>
      </c>
      <c r="B826" s="4">
        <f ca="1">IFERROR(__xludf.UNSUPPORTED("""COMPUTED_VALUE"""),44869.3804629629)</f>
        <v>44869.380462962901</v>
      </c>
      <c r="C826" s="7" t="str">
        <f ca="1">IFERROR(__xludf.UNSUPPORTED("""COMPUTED_VALUE"""),"Itajaí")</f>
        <v>Itajaí</v>
      </c>
      <c r="D826" s="3" t="str">
        <f ca="1">IFERROR(__xludf.UNSUPPORTED("""COMPUTED_VALUE"""),"🚢 REGULAR")</f>
        <v>🚢 REGULAR</v>
      </c>
      <c r="E826" s="3" t="str">
        <f ca="1">IFERROR(__xludf.UNSUPPORTED("""COMPUTED_VALUE"""),"🚛 LIBERADO")</f>
        <v>🚛 LIBERADO</v>
      </c>
      <c r="F826" s="5">
        <f ca="1">IFERROR(__xludf.UNSUPPORTED("""COMPUTED_VALUE"""),0)</f>
        <v>0</v>
      </c>
      <c r="G826" s="3" t="str">
        <f ca="1">IFERROR(__xludf.UNSUPPORTED("""COMPUTED_VALUE"""),"Operação normalizada. Fluxo intenso de caminhões. Há pequenas filas, mas entrada ocorre segundo os agendamentos.
Portonave também reporta operação regular e fluxo de caminhões intenso, porém dentro do esperado.")</f>
        <v>Operação normalizada. Fluxo intenso de caminhões. Há pequenas filas, mas entrada ocorre segundo os agendamentos.
Portonave também reporta operação regular e fluxo de caminhões intenso, porém dentro do esperado.</v>
      </c>
      <c r="H826" s="4">
        <f ca="1">IFERROR(__xludf.UNSUPPORTED("""COMPUTED_VALUE"""),44869.3804629629)</f>
        <v>44869.380462962901</v>
      </c>
      <c r="I826" s="3">
        <f ca="1">IFERROR(__xludf.UNSUPPORTED("""COMPUTED_VALUE"""),24)</f>
        <v>24</v>
      </c>
      <c r="J826" s="4">
        <f ca="1">IFERROR(__xludf.UNSUPPORTED("""COMPUTED_VALUE"""),44870.3804629629)</f>
        <v>44870.380462962901</v>
      </c>
    </row>
    <row r="827" spans="1:12" ht="12.75">
      <c r="A827" s="3" t="str">
        <f ca="1">IFERROR(__xludf.UNSUPPORTED("""COMPUTED_VALUE"""),"2fda9d6d")</f>
        <v>2fda9d6d</v>
      </c>
      <c r="B827" s="4">
        <f ca="1">IFERROR(__xludf.UNSUPPORTED("""COMPUTED_VALUE"""),44869.7122337962)</f>
        <v>44869.712233796199</v>
      </c>
      <c r="C827" s="7" t="str">
        <f ca="1">IFERROR(__xludf.UNSUPPORTED("""COMPUTED_VALUE"""),"Itajaí")</f>
        <v>Itajaí</v>
      </c>
      <c r="D827" s="3" t="str">
        <f ca="1">IFERROR(__xludf.UNSUPPORTED("""COMPUTED_VALUE"""),"🚢 REGULAR")</f>
        <v>🚢 REGULAR</v>
      </c>
      <c r="E827" s="3" t="str">
        <f ca="1">IFERROR(__xludf.UNSUPPORTED("""COMPUTED_VALUE"""),"🚛 LIBERADO")</f>
        <v>🚛 LIBERADO</v>
      </c>
      <c r="F827" s="5">
        <f ca="1">IFERROR(__xludf.UNSUPPORTED("""COMPUTED_VALUE"""),0)</f>
        <v>0</v>
      </c>
      <c r="G827" s="3" t="str">
        <f ca="1">IFERROR(__xludf.UNSUPPORTED("""COMPUTED_VALUE"""),"Fluxo intenso de caminhões, com filas controladas, curtas próximas ao gate e similar ao habitual de períodos de grande intensidade, sem desrespeito aos agendamentos.
Portonave reporta:
Na data de ontem, 1.634 caminhões. Número dentro dos padrões de movim"&amp;"entação intensa do terminal. 
Hoje, até agora (15:30), já foram 1.535 caminhões. Segundo o terminal, considera-se normal para movimentação intensa e dentro da capacidade operacional prevista. Tempo de atendimento de pátio de 30 minutos no momento. Bastan"&amp;"te procura e demanda, mas todos sendo atendidos. No domingo em caráter excepcional, a Portonave abrirá o Gate para viabilizar os clientes terem mais um dia de opção de entrega e retirada de containers.")</f>
        <v>Fluxo intenso de caminhões, com filas controladas, curtas próximas ao gate e similar ao habitual de períodos de grande intensidade, sem desrespeito aos agendamentos.
Portonave reporta:
Na data de ontem, 1.634 caminhões. Número dentro dos padrões de movimentação intensa do terminal. 
Hoje, até agora (15:30), já foram 1.535 caminhões. Segundo o terminal, considera-se normal para movimentação intensa e dentro da capacidade operacional prevista. Tempo de atendimento de pátio de 30 minutos no momento. Bastante procura e demanda, mas todos sendo atendidos. No domingo em caráter excepcional, a Portonave abrirá o Gate para viabilizar os clientes terem mais um dia de opção de entrega e retirada de containers.</v>
      </c>
      <c r="H827" s="4">
        <f ca="1">IFERROR(__xludf.UNSUPPORTED("""COMPUTED_VALUE"""),44869.7122337962)</f>
        <v>44869.712233796199</v>
      </c>
      <c r="I827" s="3">
        <f ca="1">IFERROR(__xludf.UNSUPPORTED("""COMPUTED_VALUE"""),24)</f>
        <v>24</v>
      </c>
      <c r="J827" s="4">
        <f ca="1">IFERROR(__xludf.UNSUPPORTED("""COMPUTED_VALUE"""),44870.7122337962)</f>
        <v>44870.712233796199</v>
      </c>
    </row>
    <row r="828" spans="1:12" ht="12.75">
      <c r="A828" s="3" t="str">
        <f ca="1">IFERROR(__xludf.UNSUPPORTED("""COMPUTED_VALUE"""),"5b8fec7e")</f>
        <v>5b8fec7e</v>
      </c>
      <c r="B828" s="4">
        <f ca="1">IFERROR(__xludf.UNSUPPORTED("""COMPUTED_VALUE"""),44870.630949074)</f>
        <v>44870.630949074002</v>
      </c>
      <c r="C828" s="8" t="str">
        <f ca="1">IFERROR(__xludf.UNSUPPORTED("""COMPUTED_VALUE"""),"Itajaí")</f>
        <v>Itajaí</v>
      </c>
      <c r="D828" s="3" t="str">
        <f ca="1">IFERROR(__xludf.UNSUPPORTED("""COMPUTED_VALUE"""),"🚢 REGULAR")</f>
        <v>🚢 REGULAR</v>
      </c>
      <c r="E828" s="3" t="str">
        <f ca="1">IFERROR(__xludf.UNSUPPORTED("""COMPUTED_VALUE"""),"🚛 LIBERADO")</f>
        <v>🚛 LIBERADO</v>
      </c>
      <c r="F828" s="5">
        <f ca="1">IFERROR(__xludf.UNSUPPORTED("""COMPUTED_VALUE"""),0)</f>
        <v>0</v>
      </c>
      <c r="G828" s="3" t="str">
        <f ca="1">IFERROR(__xludf.UNSUPPORTED("""COMPUTED_VALUE"""),"Operação regular. Fluxo intenso de caminhões, mas dentro da normalidade.
Portonave relata movimentação intensa, mas normal, dentro da capacidade do terminal. Tempo médio de estadia do caminhão no terminal (gate in / gate out): 30 minutos. Portonave abrir"&amp;"á gratuitamente janelas extras de agendamento domingo para normalizar situação de cargas represadas.")</f>
        <v>Operação regular. Fluxo intenso de caminhões, mas dentro da normalidade.
Portonave relata movimentação intensa, mas normal, dentro da capacidade do terminal. Tempo médio de estadia do caminhão no terminal (gate in / gate out): 30 minutos. Portonave abrirá gratuitamente janelas extras de agendamento domingo para normalizar situação de cargas represadas.</v>
      </c>
      <c r="H828" s="4">
        <f ca="1">IFERROR(__xludf.UNSUPPORTED("""COMPUTED_VALUE"""),44870.630949074)</f>
        <v>44870.630949074002</v>
      </c>
      <c r="I828" s="3">
        <f ca="1">IFERROR(__xludf.UNSUPPORTED("""COMPUTED_VALUE"""),24)</f>
        <v>24</v>
      </c>
      <c r="J828" s="4">
        <f ca="1">IFERROR(__xludf.UNSUPPORTED("""COMPUTED_VALUE"""),44871.630949074)</f>
        <v>44871.630949074002</v>
      </c>
    </row>
    <row r="829" spans="1:12" ht="12.75">
      <c r="A829" s="3" t="str">
        <f ca="1">IFERROR(__xludf.UNSUPPORTED("""COMPUTED_VALUE"""),"8abf200b")</f>
        <v>8abf200b</v>
      </c>
      <c r="B829" s="4">
        <f ca="1">IFERROR(__xludf.UNSUPPORTED("""COMPUTED_VALUE"""),44872.3562847222)</f>
        <v>44872.356284722198</v>
      </c>
      <c r="C829" s="8" t="str">
        <f ca="1">IFERROR(__xludf.UNSUPPORTED("""COMPUTED_VALUE"""),"Itajaí")</f>
        <v>Itajaí</v>
      </c>
      <c r="D829" s="3" t="str">
        <f ca="1">IFERROR(__xludf.UNSUPPORTED("""COMPUTED_VALUE"""),"🚢 REGULAR")</f>
        <v>🚢 REGULAR</v>
      </c>
      <c r="E829" s="3" t="str">
        <f ca="1">IFERROR(__xludf.UNSUPPORTED("""COMPUTED_VALUE"""),"🚛 LIBERADO")</f>
        <v>🚛 LIBERADO</v>
      </c>
      <c r="F829" s="5">
        <f ca="1">IFERROR(__xludf.UNSUPPORTED("""COMPUTED_VALUE"""),0)</f>
        <v>0</v>
      </c>
      <c r="G829" s="3" t="str">
        <f ca="1">IFERROR(__xludf.UNSUPPORTED("""COMPUTED_VALUE"""),"Operação regular. Fluxo de caminhões normal.")</f>
        <v>Operação regular. Fluxo de caminhões normal.</v>
      </c>
      <c r="H829" s="4">
        <f ca="1">IFERROR(__xludf.UNSUPPORTED("""COMPUTED_VALUE"""),44872.3562847222)</f>
        <v>44872.356284722198</v>
      </c>
      <c r="I829" s="3">
        <f ca="1">IFERROR(__xludf.UNSUPPORTED("""COMPUTED_VALUE"""),24)</f>
        <v>24</v>
      </c>
      <c r="J829" s="4">
        <f ca="1">IFERROR(__xludf.UNSUPPORTED("""COMPUTED_VALUE"""),44873.3562847222)</f>
        <v>44873.356284722198</v>
      </c>
    </row>
    <row r="830" spans="1:12" ht="12.75">
      <c r="A830" s="3" t="str">
        <f ca="1">IFERROR(__xludf.UNSUPPORTED("""COMPUTED_VALUE"""),"ae7a577e")</f>
        <v>ae7a577e</v>
      </c>
      <c r="B830" s="4">
        <f ca="1">IFERROR(__xludf.UNSUPPORTED("""COMPUTED_VALUE"""),44883.4925231481)</f>
        <v>44883.492523148103</v>
      </c>
      <c r="C830" s="8" t="str">
        <f ca="1">IFERROR(__xludf.UNSUPPORTED("""COMPUTED_VALUE"""),"Itajaí")</f>
        <v>Itajaí</v>
      </c>
      <c r="D830" s="3" t="str">
        <f ca="1">IFERROR(__xludf.UNSUPPORTED("""COMPUTED_VALUE"""),"🚢 REGULAR")</f>
        <v>🚢 REGULAR</v>
      </c>
      <c r="E830" s="3" t="str">
        <f ca="1">IFERROR(__xludf.UNSUPPORTED("""COMPUTED_VALUE"""),"🚛 LIBERADO")</f>
        <v>🚛 LIBERADO</v>
      </c>
      <c r="F830" s="5">
        <f ca="1">IFERROR(__xludf.UNSUPPORTED("""COMPUTED_VALUE"""),0)</f>
        <v>0</v>
      </c>
      <c r="G830" s="3" t="str">
        <f ca="1">IFERROR(__xludf.UNSUPPORTED("""COMPUTED_VALUE"""),"Operação normal, dentro do esperado.")</f>
        <v>Operação normal, dentro do esperado.</v>
      </c>
      <c r="H830" s="4">
        <f ca="1">IFERROR(__xludf.UNSUPPORTED("""COMPUTED_VALUE"""),44883.4925231481)</f>
        <v>44883.492523148103</v>
      </c>
      <c r="I830" s="3">
        <f ca="1">IFERROR(__xludf.UNSUPPORTED("""COMPUTED_VALUE"""),24)</f>
        <v>24</v>
      </c>
      <c r="J830" s="4">
        <f ca="1">IFERROR(__xludf.UNSUPPORTED("""COMPUTED_VALUE"""),44884.4925231481)</f>
        <v>44884.492523148103</v>
      </c>
    </row>
    <row r="831" spans="1:12" ht="12.75">
      <c r="A831" s="3" t="str">
        <f ca="1">IFERROR(__xludf.UNSUPPORTED("""COMPUTED_VALUE"""),"f6ac3397")</f>
        <v>f6ac3397</v>
      </c>
      <c r="B831" s="4">
        <f ca="1">IFERROR(__xludf.UNSUPPORTED("""COMPUTED_VALUE"""),44886.3330671295)</f>
        <v>44886.333067129497</v>
      </c>
      <c r="C831" s="8" t="str">
        <f ca="1">IFERROR(__xludf.UNSUPPORTED("""COMPUTED_VALUE"""),"Itajaí")</f>
        <v>Itajaí</v>
      </c>
      <c r="D831" s="3" t="str">
        <f ca="1">IFERROR(__xludf.UNSUPPORTED("""COMPUTED_VALUE"""),"🚢 REGULAR")</f>
        <v>🚢 REGULAR</v>
      </c>
      <c r="E831" s="3" t="str">
        <f ca="1">IFERROR(__xludf.UNSUPPORTED("""COMPUTED_VALUE"""),"🚛 LIBERADO")</f>
        <v>🚛 LIBERADO</v>
      </c>
      <c r="F831" s="5">
        <f ca="1">IFERROR(__xludf.UNSUPPORTED("""COMPUTED_VALUE"""),0)</f>
        <v>0</v>
      </c>
      <c r="G831" s="3" t="str">
        <f ca="1">IFERROR(__xludf.UNSUPPORTED("""COMPUTED_VALUE"""),"Operação ocorre com plena normalidade, sem registro de nenhuma intercorrência.")</f>
        <v>Operação ocorre com plena normalidade, sem registro de nenhuma intercorrência.</v>
      </c>
      <c r="H831" s="4">
        <f ca="1">IFERROR(__xludf.UNSUPPORTED("""COMPUTED_VALUE"""),44885.3326388888)</f>
        <v>44885.332638888802</v>
      </c>
      <c r="I831" s="3">
        <f ca="1">IFERROR(__xludf.UNSUPPORTED("""COMPUTED_VALUE"""),24)</f>
        <v>24</v>
      </c>
      <c r="J831" s="4">
        <f ca="1">IFERROR(__xludf.UNSUPPORTED("""COMPUTED_VALUE"""),44886.3326388888)</f>
        <v>44886.332638888802</v>
      </c>
    </row>
    <row r="832" spans="1:12" ht="12.75">
      <c r="A832" s="3" t="str">
        <f ca="1">IFERROR(__xludf.UNSUPPORTED("""COMPUTED_VALUE"""),"06e029a2")</f>
        <v>06e029a2</v>
      </c>
      <c r="B832" s="4">
        <f ca="1">IFERROR(__xludf.UNSUPPORTED("""COMPUTED_VALUE"""),44886.3339236111)</f>
        <v>44886.333923611099</v>
      </c>
      <c r="C832" s="7" t="str">
        <f ca="1">IFERROR(__xludf.UNSUPPORTED("""COMPUTED_VALUE"""),"Itajaí")</f>
        <v>Itajaí</v>
      </c>
      <c r="D832" s="3" t="str">
        <f ca="1">IFERROR(__xludf.UNSUPPORTED("""COMPUTED_VALUE"""),"🚢 REGULAR")</f>
        <v>🚢 REGULAR</v>
      </c>
      <c r="E832" s="3" t="str">
        <f ca="1">IFERROR(__xludf.UNSUPPORTED("""COMPUTED_VALUE"""),"🚛 LIBERADO")</f>
        <v>🚛 LIBERADO</v>
      </c>
      <c r="F832" s="5">
        <f ca="1">IFERROR(__xludf.UNSUPPORTED("""COMPUTED_VALUE"""),0)</f>
        <v>0</v>
      </c>
      <c r="G832" s="3" t="str">
        <f ca="1">IFERROR(__xludf.UNSUPPORTED("""COMPUTED_VALUE"""),"Operação ocorre com plena normalidade, sem registro de nenhuma intercorrência.")</f>
        <v>Operação ocorre com plena normalidade, sem registro de nenhuma intercorrência.</v>
      </c>
      <c r="H832" s="4">
        <f ca="1">IFERROR(__xludf.UNSUPPORTED("""COMPUTED_VALUE"""),44886.3339236111)</f>
        <v>44886.333923611099</v>
      </c>
      <c r="I832" s="3">
        <f ca="1">IFERROR(__xludf.UNSUPPORTED("""COMPUTED_VALUE"""),24)</f>
        <v>24</v>
      </c>
      <c r="J832" s="4">
        <f ca="1">IFERROR(__xludf.UNSUPPORTED("""COMPUTED_VALUE"""),44887.3339236111)</f>
        <v>44887.333923611099</v>
      </c>
    </row>
    <row r="833" spans="1:12" ht="12.75">
      <c r="A833" s="3" t="str">
        <f ca="1">IFERROR(__xludf.UNSUPPORTED("""COMPUTED_VALUE"""),"dac015f0")</f>
        <v>dac015f0</v>
      </c>
      <c r="B833" s="4">
        <f ca="1">IFERROR(__xludf.UNSUPPORTED("""COMPUTED_VALUE"""),44887.4619907407)</f>
        <v>44887.461990740703</v>
      </c>
      <c r="C833" s="7" t="str">
        <f ca="1">IFERROR(__xludf.UNSUPPORTED("""COMPUTED_VALUE"""),"Itajaí")</f>
        <v>Itajaí</v>
      </c>
      <c r="D833" s="3" t="str">
        <f ca="1">IFERROR(__xludf.UNSUPPORTED("""COMPUTED_VALUE"""),"🚢 REGULAR")</f>
        <v>🚢 REGULAR</v>
      </c>
      <c r="E833" s="3" t="str">
        <f ca="1">IFERROR(__xludf.UNSUPPORTED("""COMPUTED_VALUE"""),"🚛 LIBERADO")</f>
        <v>🚛 LIBERADO</v>
      </c>
      <c r="F833" s="5">
        <f ca="1">IFERROR(__xludf.UNSUPPORTED("""COMPUTED_VALUE"""),0)</f>
        <v>0</v>
      </c>
      <c r="G833" s="3" t="str">
        <f ca="1">IFERROR(__xludf.UNSUPPORTED("""COMPUTED_VALUE"""),"Operação normal sem qualquer intercorrência em relação ao acesso rodoviário ao Porto.")</f>
        <v>Operação normal sem qualquer intercorrência em relação ao acesso rodoviário ao Porto.</v>
      </c>
      <c r="H833" s="4">
        <f ca="1">IFERROR(__xludf.UNSUPPORTED("""COMPUTED_VALUE"""),44887.4619907407)</f>
        <v>44887.461990740703</v>
      </c>
      <c r="I833" s="3">
        <f ca="1">IFERROR(__xludf.UNSUPPORTED("""COMPUTED_VALUE"""),24)</f>
        <v>24</v>
      </c>
      <c r="J833" s="4">
        <f ca="1">IFERROR(__xludf.UNSUPPORTED("""COMPUTED_VALUE"""),44888.4619907407)</f>
        <v>44888.461990740703</v>
      </c>
    </row>
    <row r="834" spans="1:12" ht="12.75">
      <c r="A834" s="3" t="str">
        <f ca="1">IFERROR(__xludf.UNSUPPORTED("""COMPUTED_VALUE"""),"751b60e1")</f>
        <v>751b60e1</v>
      </c>
      <c r="B834" s="4">
        <f ca="1">IFERROR(__xludf.UNSUPPORTED("""COMPUTED_VALUE"""),44888.4428587963)</f>
        <v>44888.442858796298</v>
      </c>
      <c r="C834" s="8" t="str">
        <f ca="1">IFERROR(__xludf.UNSUPPORTED("""COMPUTED_VALUE"""),"Itajaí")</f>
        <v>Itajaí</v>
      </c>
      <c r="D834" s="3" t="str">
        <f ca="1">IFERROR(__xludf.UNSUPPORTED("""COMPUTED_VALUE"""),"🚢 REGULAR")</f>
        <v>🚢 REGULAR</v>
      </c>
      <c r="E834" s="3" t="str">
        <f ca="1">IFERROR(__xludf.UNSUPPORTED("""COMPUTED_VALUE"""),"🚛 LIBERADO")</f>
        <v>🚛 LIBERADO</v>
      </c>
      <c r="F834" s="5">
        <f ca="1">IFERROR(__xludf.UNSUPPORTED("""COMPUTED_VALUE"""),0)</f>
        <v>0</v>
      </c>
      <c r="G834" s="3" t="str">
        <f ca="1">IFERROR(__xludf.UNSUPPORTED("""COMPUTED_VALUE"""),"Operação ocorre com plena normalidade.")</f>
        <v>Operação ocorre com plena normalidade.</v>
      </c>
      <c r="H834" s="4">
        <f ca="1">IFERROR(__xludf.UNSUPPORTED("""COMPUTED_VALUE"""),44888.4428587963)</f>
        <v>44888.442858796298</v>
      </c>
      <c r="I834" s="3">
        <f ca="1">IFERROR(__xludf.UNSUPPORTED("""COMPUTED_VALUE"""),24)</f>
        <v>24</v>
      </c>
      <c r="J834" s="4">
        <f ca="1">IFERROR(__xludf.UNSUPPORTED("""COMPUTED_VALUE"""),44889.4428587963)</f>
        <v>44889.442858796298</v>
      </c>
    </row>
    <row r="835" spans="1:12" ht="12.75">
      <c r="A835" s="3" t="str">
        <f ca="1">IFERROR(__xludf.UNSUPPORTED("""COMPUTED_VALUE"""),"1c64e3f4")</f>
        <v>1c64e3f4</v>
      </c>
      <c r="B835" s="4">
        <f ca="1">IFERROR(__xludf.UNSUPPORTED("""COMPUTED_VALUE"""),44889.3991203703)</f>
        <v>44889.399120370297</v>
      </c>
      <c r="C835" s="7" t="str">
        <f ca="1">IFERROR(__xludf.UNSUPPORTED("""COMPUTED_VALUE"""),"Itajaí")</f>
        <v>Itajaí</v>
      </c>
      <c r="D835" s="3" t="str">
        <f ca="1">IFERROR(__xludf.UNSUPPORTED("""COMPUTED_VALUE"""),"🚢 REGULAR")</f>
        <v>🚢 REGULAR</v>
      </c>
      <c r="E835" s="3" t="str">
        <f ca="1">IFERROR(__xludf.UNSUPPORTED("""COMPUTED_VALUE"""),"🚛 LIBERADO")</f>
        <v>🚛 LIBERADO</v>
      </c>
      <c r="F835" s="5">
        <f ca="1">IFERROR(__xludf.UNSUPPORTED("""COMPUTED_VALUE"""),0)</f>
        <v>0</v>
      </c>
      <c r="G835" s="3" t="str">
        <f ca="1">IFERROR(__xludf.UNSUPPORTED("""COMPUTED_VALUE"""),"Operação normal")</f>
        <v>Operação normal</v>
      </c>
      <c r="H835" s="4">
        <f ca="1">IFERROR(__xludf.UNSUPPORTED("""COMPUTED_VALUE"""),44889.3991203703)</f>
        <v>44889.399120370297</v>
      </c>
      <c r="I835" s="3">
        <f ca="1">IFERROR(__xludf.UNSUPPORTED("""COMPUTED_VALUE"""),24)</f>
        <v>24</v>
      </c>
      <c r="J835" s="4">
        <f ca="1">IFERROR(__xludf.UNSUPPORTED("""COMPUTED_VALUE"""),44890.3991203703)</f>
        <v>44890.399120370297</v>
      </c>
    </row>
    <row r="836" spans="1:12" ht="12.75">
      <c r="A836" s="3" t="str">
        <f ca="1">IFERROR(__xludf.UNSUPPORTED("""COMPUTED_VALUE"""),"47505f80")</f>
        <v>47505f80</v>
      </c>
      <c r="B836" s="4">
        <f ca="1">IFERROR(__xludf.UNSUPPORTED("""COMPUTED_VALUE"""),44890.3556134259)</f>
        <v>44890.355613425898</v>
      </c>
      <c r="C836" s="7" t="str">
        <f ca="1">IFERROR(__xludf.UNSUPPORTED("""COMPUTED_VALUE"""),"Itajaí")</f>
        <v>Itajaí</v>
      </c>
      <c r="D836" s="3" t="str">
        <f ca="1">IFERROR(__xludf.UNSUPPORTED("""COMPUTED_VALUE"""),"🚢 REGULAR")</f>
        <v>🚢 REGULAR</v>
      </c>
      <c r="E836" s="3" t="str">
        <f ca="1">IFERROR(__xludf.UNSUPPORTED("""COMPUTED_VALUE"""),"🚛 LIBERADO")</f>
        <v>🚛 LIBERADO</v>
      </c>
      <c r="F836" s="5">
        <f ca="1">IFERROR(__xludf.UNSUPPORTED("""COMPUTED_VALUE"""),0)</f>
        <v>0</v>
      </c>
      <c r="G836" s="3" t="str">
        <f ca="1">IFERROR(__xludf.UNSUPPORTED("""COMPUTED_VALUE"""),"Operação normal.")</f>
        <v>Operação normal.</v>
      </c>
      <c r="H836" s="4">
        <f ca="1">IFERROR(__xludf.UNSUPPORTED("""COMPUTED_VALUE"""),44890.3556134259)</f>
        <v>44890.355613425898</v>
      </c>
      <c r="I836" s="3">
        <f ca="1">IFERROR(__xludf.UNSUPPORTED("""COMPUTED_VALUE"""),24)</f>
        <v>24</v>
      </c>
      <c r="J836" s="4">
        <f ca="1">IFERROR(__xludf.UNSUPPORTED("""COMPUTED_VALUE"""),44891.3556134259)</f>
        <v>44891.355613425898</v>
      </c>
    </row>
    <row r="837" spans="1:12" ht="12.75">
      <c r="A837" s="3" t="str">
        <f ca="1">IFERROR(__xludf.UNSUPPORTED("""COMPUTED_VALUE"""),"4d948f32")</f>
        <v>4d948f32</v>
      </c>
      <c r="B837" s="4">
        <f ca="1">IFERROR(__xludf.UNSUPPORTED("""COMPUTED_VALUE"""),44892.4328472222)</f>
        <v>44892.432847222197</v>
      </c>
      <c r="C837" s="8" t="str">
        <f ca="1">IFERROR(__xludf.UNSUPPORTED("""COMPUTED_VALUE"""),"Itajaí")</f>
        <v>Itajaí</v>
      </c>
      <c r="D837" s="3" t="str">
        <f ca="1">IFERROR(__xludf.UNSUPPORTED("""COMPUTED_VALUE"""),"🚢 REGULAR")</f>
        <v>🚢 REGULAR</v>
      </c>
      <c r="E837" s="3" t="str">
        <f ca="1">IFERROR(__xludf.UNSUPPORTED("""COMPUTED_VALUE"""),"🚛 LIBERADO")</f>
        <v>🚛 LIBERADO</v>
      </c>
      <c r="F837" s="5">
        <f ca="1">IFERROR(__xludf.UNSUPPORTED("""COMPUTED_VALUE"""),0)</f>
        <v>0</v>
      </c>
      <c r="G837" s="3" t="str">
        <f ca="1">IFERROR(__xludf.UNSUPPORTED("""COMPUTED_VALUE"""),"Operação ocorre sem intercorrências.")</f>
        <v>Operação ocorre sem intercorrências.</v>
      </c>
      <c r="H837" s="4">
        <f ca="1">IFERROR(__xludf.UNSUPPORTED("""COMPUTED_VALUE"""),44892.4328472222)</f>
        <v>44892.432847222197</v>
      </c>
      <c r="I837" s="3">
        <f ca="1">IFERROR(__xludf.UNSUPPORTED("""COMPUTED_VALUE"""),24)</f>
        <v>24</v>
      </c>
      <c r="J837" s="4">
        <f ca="1">IFERROR(__xludf.UNSUPPORTED("""COMPUTED_VALUE"""),44893.4328472222)</f>
        <v>44893.432847222197</v>
      </c>
    </row>
    <row r="838" spans="1:12" ht="12.75">
      <c r="A838" s="3" t="str">
        <f ca="1">IFERROR(__xludf.UNSUPPORTED("""COMPUTED_VALUE"""),"1227497e")</f>
        <v>1227497e</v>
      </c>
      <c r="B838" s="4">
        <f ca="1">IFERROR(__xludf.UNSUPPORTED("""COMPUTED_VALUE"""),44894.3692939814)</f>
        <v>44894.369293981399</v>
      </c>
      <c r="C838" s="7" t="str">
        <f ca="1">IFERROR(__xludf.UNSUPPORTED("""COMPUTED_VALUE"""),"Itajaí")</f>
        <v>Itajaí</v>
      </c>
      <c r="D838" s="3" t="str">
        <f ca="1">IFERROR(__xludf.UNSUPPORTED("""COMPUTED_VALUE"""),"❗️ PARALISADA")</f>
        <v>❗️ PARALISADA</v>
      </c>
      <c r="E838" s="3" t="str">
        <f ca="1">IFERROR(__xludf.UNSUPPORTED("""COMPUTED_VALUE"""),"🚛 LIBERADO")</f>
        <v>🚛 LIBERADO</v>
      </c>
      <c r="F838" s="5">
        <f ca="1">IFERROR(__xludf.UNSUPPORTED("""COMPUTED_VALUE"""),0.25)</f>
        <v>0.25</v>
      </c>
      <c r="G838" s="3" t="str">
        <f ca="1">IFERROR(__xludf.UNSUPPORTED("""COMPUTED_VALUE"""),"A operação de pátio segue normalmente.
Entretanto, a operação de navios está prejudicada desde domingo (27/11) devido ao fechamento da barra, por decisão da praticagem, em razão da ondulação, ventos e correnteza acima dos padrões de segurança para as mano"&amp;"bras. Hoje (29/11) haverá nova avaliação e possível abertura da barra apenas para saída dos navios já atracados.
As quedas de barreiras nas rodovias BR 280 e BR 376, na região do Planalto norte do estado de SC não prejudicam o acesso de caminhões e as ope"&amp;"rações de Gate.")</f>
        <v>A operação de pátio segue normalmente.
Entretanto, a operação de navios está prejudicada desde domingo (27/11) devido ao fechamento da barra, por decisão da praticagem, em razão da ondulação, ventos e correnteza acima dos padrões de segurança para as manobras. Hoje (29/11) haverá nova avaliação e possível abertura da barra apenas para saída dos navios já atracados.
As quedas de barreiras nas rodovias BR 280 e BR 376, na região do Planalto norte do estado de SC não prejudicam o acesso de caminhões e as operações de Gate.</v>
      </c>
      <c r="H838" s="4">
        <f ca="1">IFERROR(__xludf.UNSUPPORTED("""COMPUTED_VALUE"""),44894.3692939814)</f>
        <v>44894.369293981399</v>
      </c>
      <c r="I838" s="3">
        <f ca="1">IFERROR(__xludf.UNSUPPORTED("""COMPUTED_VALUE"""),24)</f>
        <v>24</v>
      </c>
      <c r="J838" s="4">
        <f ca="1">IFERROR(__xludf.UNSUPPORTED("""COMPUTED_VALUE"""),44895.3692939814)</f>
        <v>44895.369293981399</v>
      </c>
    </row>
    <row r="839" spans="1:12" ht="12.75">
      <c r="A839" s="3" t="str">
        <f ca="1">IFERROR(__xludf.UNSUPPORTED("""COMPUTED_VALUE"""),"7c632078")</f>
        <v>7c632078</v>
      </c>
      <c r="B839" s="4">
        <f ca="1">IFERROR(__xludf.UNSUPPORTED("""COMPUTED_VALUE"""),44895.3576388888)</f>
        <v>44895.357638888803</v>
      </c>
      <c r="C839" s="8" t="str">
        <f ca="1">IFERROR(__xludf.UNSUPPORTED("""COMPUTED_VALUE"""),"Itajaí")</f>
        <v>Itajaí</v>
      </c>
      <c r="D839" s="3" t="str">
        <f ca="1">IFERROR(__xludf.UNSUPPORTED("""COMPUTED_VALUE"""),"❗️ PARALISADA")</f>
        <v>❗️ PARALISADA</v>
      </c>
      <c r="E839" s="3" t="str">
        <f ca="1">IFERROR(__xludf.UNSUPPORTED("""COMPUTED_VALUE"""),"🚛 LIBERADO")</f>
        <v>🚛 LIBERADO</v>
      </c>
      <c r="F839" s="5">
        <f ca="1">IFERROR(__xludf.UNSUPPORTED("""COMPUTED_VALUE"""),0.25)</f>
        <v>0.25</v>
      </c>
      <c r="G839" s="3" t="str">
        <f ca="1">IFERROR(__xludf.UNSUPPORTED("""COMPUTED_VALUE"""),"A operação de pátio segue normalmente.
Entretanto, a operação de navios está prejudicada desde domingo (27/11) devido ao fechamento da barra, por decisão da praticagem, em razão da ondulação, ventos e correnteza acima dos padrões de segurança para as mano"&amp;"bras. 
As quedas de barreiras nas rodovias BR 280 (região do Planalto norte do estado de SC) e BR 376 PR/BR101 sul, não prejudicam o acesso de caminhões e as operações de Gate, que ocorrem normalmente.")</f>
        <v>A operação de pátio segue normalmente.
Entretanto, a operação de navios está prejudicada desde domingo (27/11) devido ao fechamento da barra, por decisão da praticagem, em razão da ondulação, ventos e correnteza acima dos padrões de segurança para as manobras. 
As quedas de barreiras nas rodovias BR 280 (região do Planalto norte do estado de SC) e BR 376 PR/BR101 sul, não prejudicam o acesso de caminhões e as operações de Gate, que ocorrem normalmente.</v>
      </c>
      <c r="H839" s="4">
        <f ca="1">IFERROR(__xludf.UNSUPPORTED("""COMPUTED_VALUE"""),44895.3576388888)</f>
        <v>44895.357638888803</v>
      </c>
      <c r="I839" s="3">
        <f ca="1">IFERROR(__xludf.UNSUPPORTED("""COMPUTED_VALUE"""),24)</f>
        <v>24</v>
      </c>
      <c r="J839" s="4">
        <f ca="1">IFERROR(__xludf.UNSUPPORTED("""COMPUTED_VALUE"""),44896.3576388888)</f>
        <v>44896.357638888803</v>
      </c>
    </row>
    <row r="840" spans="1:12" ht="12.75">
      <c r="A840" s="3" t="str">
        <f ca="1">IFERROR(__xludf.UNSUPPORTED("""COMPUTED_VALUE"""),"345e3ad4")</f>
        <v>345e3ad4</v>
      </c>
      <c r="B840" s="4">
        <f ca="1">IFERROR(__xludf.UNSUPPORTED("""COMPUTED_VALUE"""),44896.4362268518)</f>
        <v>44896.436226851802</v>
      </c>
      <c r="C840" s="7" t="str">
        <f ca="1">IFERROR(__xludf.UNSUPPORTED("""COMPUTED_VALUE"""),"Itajaí")</f>
        <v>Itajaí</v>
      </c>
      <c r="D840" s="3" t="str">
        <f ca="1">IFERROR(__xludf.UNSUPPORTED("""COMPUTED_VALUE"""),"❗️ PARALISADA")</f>
        <v>❗️ PARALISADA</v>
      </c>
      <c r="E840" s="3" t="str">
        <f ca="1">IFERROR(__xludf.UNSUPPORTED("""COMPUTED_VALUE"""),"🚛 LIBERADO")</f>
        <v>🚛 LIBERADO</v>
      </c>
      <c r="F840" s="5">
        <f ca="1">IFERROR(__xludf.UNSUPPORTED("""COMPUTED_VALUE"""),0.25)</f>
        <v>0.25</v>
      </c>
      <c r="G840" s="3" t="str">
        <f ca="1">IFERROR(__xludf.UNSUPPORTED("""COMPUTED_VALUE"""),"Operação de atracação de embarcações segue paralisada desde sábado (26/12), quando a praticagem decidiu fechar a barra do Rio Itajaí-Açu em função das fortes chuvas e ventos. 
Operação de pátio ocorre normalmente. Acesso ao gate também ocorre normalmente,"&amp;" embora se tenha registrado uma leve redução na entrada de caminhões em razão do acidente que bloqueou a BR 376PR/BR 101. 
Nova avaliação sobre abertura da barra será feita amanhã, dia 02/12.")</f>
        <v>Operação de atracação de embarcações segue paralisada desde sábado (26/12), quando a praticagem decidiu fechar a barra do Rio Itajaí-Açu em função das fortes chuvas e ventos. 
Operação de pátio ocorre normalmente. Acesso ao gate também ocorre normalmente, embora se tenha registrado uma leve redução na entrada de caminhões em razão do acidente que bloqueou a BR 376PR/BR 101. 
Nova avaliação sobre abertura da barra será feita amanhã, dia 02/12.</v>
      </c>
      <c r="H840" s="4">
        <f ca="1">IFERROR(__xludf.UNSUPPORTED("""COMPUTED_VALUE"""),44896.375)</f>
        <v>44896.375</v>
      </c>
      <c r="I840" s="3">
        <f ca="1">IFERROR(__xludf.UNSUPPORTED("""COMPUTED_VALUE"""),23)</f>
        <v>23</v>
      </c>
      <c r="J840" s="4">
        <f ca="1">IFERROR(__xludf.UNSUPPORTED("""COMPUTED_VALUE"""),44897.3333333333)</f>
        <v>44897.333333333299</v>
      </c>
    </row>
    <row r="841" spans="1:12" ht="12.75">
      <c r="A841" s="3" t="str">
        <f ca="1">IFERROR(__xludf.UNSUPPORTED("""COMPUTED_VALUE"""),"ee7fed51")</f>
        <v>ee7fed51</v>
      </c>
      <c r="B841" s="4">
        <f ca="1">IFERROR(__xludf.UNSUPPORTED("""COMPUTED_VALUE"""),44897.3552777777)</f>
        <v>44897.3552777777</v>
      </c>
      <c r="C841" s="8" t="str">
        <f ca="1">IFERROR(__xludf.UNSUPPORTED("""COMPUTED_VALUE"""),"Itajaí")</f>
        <v>Itajaí</v>
      </c>
      <c r="D841" s="3" t="str">
        <f ca="1">IFERROR(__xludf.UNSUPPORTED("""COMPUTED_VALUE"""),"🚢 REGULAR")</f>
        <v>🚢 REGULAR</v>
      </c>
      <c r="E841" s="3" t="str">
        <f ca="1">IFERROR(__xludf.UNSUPPORTED("""COMPUTED_VALUE"""),"🚛 LIBERADO")</f>
        <v>🚛 LIBERADO</v>
      </c>
      <c r="F841" s="5">
        <f ca="1">IFERROR(__xludf.UNSUPPORTED("""COMPUTED_VALUE"""),0)</f>
        <v>0</v>
      </c>
      <c r="G841" s="3" t="str">
        <f ca="1">IFERROR(__xludf.UNSUPPORTED("""COMPUTED_VALUE"""),"Após avaliação da praticagem, a barra foi reaberta e as atracações retomadas desde às 08h. Operação regular. Operação de gates normal. Acesso ao terminal liberado.")</f>
        <v>Após avaliação da praticagem, a barra foi reaberta e as atracações retomadas desde às 08h. Operação regular. Operação de gates normal. Acesso ao terminal liberado.</v>
      </c>
      <c r="H841" s="4">
        <f ca="1">IFERROR(__xludf.UNSUPPORTED("""COMPUTED_VALUE"""),44897.3552777777)</f>
        <v>44897.3552777777</v>
      </c>
      <c r="I841" s="3">
        <f ca="1">IFERROR(__xludf.UNSUPPORTED("""COMPUTED_VALUE"""),24)</f>
        <v>24</v>
      </c>
      <c r="J841" s="4">
        <f ca="1">IFERROR(__xludf.UNSUPPORTED("""COMPUTED_VALUE"""),44898.3552777777)</f>
        <v>44898.3552777777</v>
      </c>
    </row>
    <row r="842" spans="1:12" ht="12.75">
      <c r="A842" s="3" t="str">
        <f ca="1">IFERROR(__xludf.UNSUPPORTED("""COMPUTED_VALUE"""),"5ebd153c")</f>
        <v>5ebd153c</v>
      </c>
      <c r="B842" s="4">
        <f ca="1">IFERROR(__xludf.UNSUPPORTED("""COMPUTED_VALUE"""),44900.6216782407)</f>
        <v>44900.621678240699</v>
      </c>
      <c r="C842" s="7" t="str">
        <f ca="1">IFERROR(__xludf.UNSUPPORTED("""COMPUTED_VALUE"""),"Itajaí")</f>
        <v>Itajaí</v>
      </c>
      <c r="D842" s="3" t="str">
        <f ca="1">IFERROR(__xludf.UNSUPPORTED("""COMPUTED_VALUE"""),"🚢 REGULAR")</f>
        <v>🚢 REGULAR</v>
      </c>
      <c r="E842" s="3" t="str">
        <f ca="1">IFERROR(__xludf.UNSUPPORTED("""COMPUTED_VALUE"""),"🚛 LIBERADO")</f>
        <v>🚛 LIBERADO</v>
      </c>
      <c r="F842" s="5">
        <f ca="1">IFERROR(__xludf.UNSUPPORTED("""COMPUTED_VALUE"""),0)</f>
        <v>0</v>
      </c>
      <c r="G842" s="3" t="str">
        <f ca="1">IFERROR(__xludf.UNSUPPORTED("""COMPUTED_VALUE"""),"Normal")</f>
        <v>Normal</v>
      </c>
      <c r="H842" s="4">
        <f ca="1">IFERROR(__xludf.UNSUPPORTED("""COMPUTED_VALUE"""),44900.6216782407)</f>
        <v>44900.621678240699</v>
      </c>
      <c r="I842" s="3">
        <f ca="1">IFERROR(__xludf.UNSUPPORTED("""COMPUTED_VALUE"""),1)</f>
        <v>1</v>
      </c>
      <c r="J842" s="4">
        <f ca="1">IFERROR(__xludf.UNSUPPORTED("""COMPUTED_VALUE"""),44900.6633449074)</f>
        <v>44900.6633449074</v>
      </c>
    </row>
    <row r="843" spans="1:12" ht="12.75">
      <c r="A843" s="3" t="str">
        <f ca="1">IFERROR(__xludf.UNSUPPORTED("""COMPUTED_VALUE"""),"4d344372")</f>
        <v>4d344372</v>
      </c>
      <c r="B843" s="4">
        <f ca="1">IFERROR(__xludf.UNSUPPORTED("""COMPUTED_VALUE"""),44901.420636574)</f>
        <v>44901.420636574003</v>
      </c>
      <c r="C843" s="8" t="str">
        <f ca="1">IFERROR(__xludf.UNSUPPORTED("""COMPUTED_VALUE"""),"Itajaí")</f>
        <v>Itajaí</v>
      </c>
      <c r="D843" s="3" t="str">
        <f ca="1">IFERROR(__xludf.UNSUPPORTED("""COMPUTED_VALUE"""),"🚢 REGULAR")</f>
        <v>🚢 REGULAR</v>
      </c>
      <c r="E843" s="3" t="str">
        <f ca="1">IFERROR(__xludf.UNSUPPORTED("""COMPUTED_VALUE"""),"🚛 LIBERADO")</f>
        <v>🚛 LIBERADO</v>
      </c>
      <c r="F843" s="5">
        <f ca="1">IFERROR(__xludf.UNSUPPORTED("""COMPUTED_VALUE"""),0)</f>
        <v>0</v>
      </c>
      <c r="G843" s="3" t="str">
        <f ca="1">IFERROR(__xludf.UNSUPPORTED("""COMPUTED_VALUE"""),"Normal")</f>
        <v>Normal</v>
      </c>
      <c r="H843" s="4">
        <f ca="1">IFERROR(__xludf.UNSUPPORTED("""COMPUTED_VALUE"""),44901.420636574)</f>
        <v>44901.420636574003</v>
      </c>
      <c r="I843" s="3">
        <f ca="1">IFERROR(__xludf.UNSUPPORTED("""COMPUTED_VALUE"""),1)</f>
        <v>1</v>
      </c>
      <c r="J843" s="4">
        <f ca="1">IFERROR(__xludf.UNSUPPORTED("""COMPUTED_VALUE"""),44901.4623032407)</f>
        <v>44901.462303240703</v>
      </c>
    </row>
    <row r="844" spans="1:12" ht="12.75">
      <c r="A844" s="3" t="str">
        <f ca="1">IFERROR(__xludf.UNSUPPORTED("""COMPUTED_VALUE"""),"27a6828d")</f>
        <v>27a6828d</v>
      </c>
      <c r="B844" s="4">
        <f ca="1">IFERROR(__xludf.UNSUPPORTED("""COMPUTED_VALUE"""),44902.429699074)</f>
        <v>44902.429699073997</v>
      </c>
      <c r="C844" s="8" t="str">
        <f ca="1">IFERROR(__xludf.UNSUPPORTED("""COMPUTED_VALUE"""),"Itajaí")</f>
        <v>Itajaí</v>
      </c>
      <c r="D844" s="3" t="str">
        <f ca="1">IFERROR(__xludf.UNSUPPORTED("""COMPUTED_VALUE"""),"🚢 REGULAR")</f>
        <v>🚢 REGULAR</v>
      </c>
      <c r="E844" s="3" t="str">
        <f ca="1">IFERROR(__xludf.UNSUPPORTED("""COMPUTED_VALUE"""),"🚛 LIBERADO")</f>
        <v>🚛 LIBERADO</v>
      </c>
      <c r="F844" s="5">
        <f ca="1">IFERROR(__xludf.UNSUPPORTED("""COMPUTED_VALUE"""),0)</f>
        <v>0</v>
      </c>
      <c r="G844" s="3" t="str">
        <f ca="1">IFERROR(__xludf.UNSUPPORTED("""COMPUTED_VALUE"""),"Normal")</f>
        <v>Normal</v>
      </c>
      <c r="H844" s="4">
        <f ca="1">IFERROR(__xludf.UNSUPPORTED("""COMPUTED_VALUE"""),44902.429699074)</f>
        <v>44902.429699073997</v>
      </c>
      <c r="I844" s="3">
        <f ca="1">IFERROR(__xludf.UNSUPPORTED("""COMPUTED_VALUE"""),1)</f>
        <v>1</v>
      </c>
      <c r="J844" s="4">
        <f ca="1">IFERROR(__xludf.UNSUPPORTED("""COMPUTED_VALUE"""),44902.4713657407)</f>
        <v>44902.471365740697</v>
      </c>
    </row>
    <row r="845" spans="1:12" ht="12.75">
      <c r="A845" s="3" t="str">
        <f ca="1">IFERROR(__xludf.UNSUPPORTED("""COMPUTED_VALUE"""),"b0ebb7c9")</f>
        <v>b0ebb7c9</v>
      </c>
      <c r="B845" s="4">
        <f ca="1">IFERROR(__xludf.UNSUPPORTED("""COMPUTED_VALUE"""),44923.4340509259)</f>
        <v>44923.434050925898</v>
      </c>
      <c r="C845" s="8" t="str">
        <f ca="1">IFERROR(__xludf.UNSUPPORTED("""COMPUTED_VALUE"""),"Itajaí")</f>
        <v>Itajaí</v>
      </c>
      <c r="D845" s="3" t="str">
        <f ca="1">IFERROR(__xludf.UNSUPPORTED("""COMPUTED_VALUE"""),"🚢 REGULAR")</f>
        <v>🚢 REGULAR</v>
      </c>
      <c r="E845" s="3" t="str">
        <f ca="1">IFERROR(__xludf.UNSUPPORTED("""COMPUTED_VALUE"""),"🚛 LIBERADO")</f>
        <v>🚛 LIBERADO</v>
      </c>
      <c r="F845" s="5">
        <f ca="1">IFERROR(__xludf.UNSUPPORTED("""COMPUTED_VALUE"""),0)</f>
        <v>0</v>
      </c>
      <c r="G845" s="3" t="str">
        <f ca="1">IFERROR(__xludf.UNSUPPORTED("""COMPUTED_VALUE"""),"Normal")</f>
        <v>Normal</v>
      </c>
      <c r="H845" s="4">
        <f ca="1">IFERROR(__xludf.UNSUPPORTED("""COMPUTED_VALUE"""),44923.4340509259)</f>
        <v>44923.434050925898</v>
      </c>
      <c r="I845" s="3">
        <f ca="1">IFERROR(__xludf.UNSUPPORTED("""COMPUTED_VALUE"""),1)</f>
        <v>1</v>
      </c>
      <c r="J845" s="4">
        <f ca="1">IFERROR(__xludf.UNSUPPORTED("""COMPUTED_VALUE"""),44923.4757175925)</f>
        <v>44923.475717592497</v>
      </c>
    </row>
    <row r="846" spans="1:12" ht="12.75">
      <c r="A846" s="3" t="str">
        <f ca="1">IFERROR(__xludf.UNSUPPORTED("""COMPUTED_VALUE"""),"459c0e87")</f>
        <v>459c0e87</v>
      </c>
      <c r="B846" s="4">
        <f ca="1">IFERROR(__xludf.UNSUPPORTED("""COMPUTED_VALUE"""),44935.3176504629)</f>
        <v>44935.317650462901</v>
      </c>
      <c r="C846" s="7" t="str">
        <f ca="1">IFERROR(__xludf.UNSUPPORTED("""COMPUTED_VALUE"""),"Itajaí")</f>
        <v>Itajaí</v>
      </c>
      <c r="D846" s="3" t="str">
        <f ca="1">IFERROR(__xludf.UNSUPPORTED("""COMPUTED_VALUE"""),"🚢 REGULAR")</f>
        <v>🚢 REGULAR</v>
      </c>
      <c r="E846" s="3" t="str">
        <f ca="1">IFERROR(__xludf.UNSUPPORTED("""COMPUTED_VALUE"""),"🚛 LIBERADO")</f>
        <v>🚛 LIBERADO</v>
      </c>
      <c r="F846" s="5">
        <f ca="1">IFERROR(__xludf.UNSUPPORTED("""COMPUTED_VALUE"""),0)</f>
        <v>0</v>
      </c>
      <c r="G846" s="3" t="str">
        <f ca="1">IFERROR(__xludf.UNSUPPORTED("""COMPUTED_VALUE"""),"Normalidade")</f>
        <v>Normalidade</v>
      </c>
      <c r="H846" s="4">
        <f ca="1">IFERROR(__xludf.UNSUPPORTED("""COMPUTED_VALUE"""),44935.3176504629)</f>
        <v>44935.317650462901</v>
      </c>
      <c r="I846" s="3">
        <f ca="1">IFERROR(__xludf.UNSUPPORTED("""COMPUTED_VALUE"""),24)</f>
        <v>24</v>
      </c>
      <c r="J846" s="4">
        <f ca="1">IFERROR(__xludf.UNSUPPORTED("""COMPUTED_VALUE"""),44936.3176504629)</f>
        <v>44936.317650462901</v>
      </c>
      <c r="L846" s="3" t="str">
        <f ca="1">IFERROR(__xludf.UNSUPPORTED("""COMPUTED_VALUE"""),"Normalidade")</f>
        <v>Normalidade</v>
      </c>
    </row>
    <row r="847" spans="1:12" ht="12.75">
      <c r="A847" s="3" t="str">
        <f ca="1">IFERROR(__xludf.UNSUPPORTED("""COMPUTED_VALUE"""),"e31a55ea")</f>
        <v>e31a55ea</v>
      </c>
      <c r="B847" s="4">
        <f ca="1">IFERROR(__xludf.UNSUPPORTED("""COMPUTED_VALUE"""),45120.6477083333)</f>
        <v>45120.647708333301</v>
      </c>
      <c r="C847" s="7" t="str">
        <f ca="1">IFERROR(__xludf.UNSUPPORTED("""COMPUTED_VALUE"""),"Itajaí")</f>
        <v>Itajaí</v>
      </c>
      <c r="D847" s="3" t="str">
        <f ca="1">IFERROR(__xludf.UNSUPPORTED("""COMPUTED_VALUE"""),"❗️ PARALISADA")</f>
        <v>❗️ PARALISADA</v>
      </c>
      <c r="E847" s="3" t="str">
        <f ca="1">IFERROR(__xludf.UNSUPPORTED("""COMPUTED_VALUE"""),"🚛 LIBERADO")</f>
        <v>🚛 LIBERADO</v>
      </c>
      <c r="F847" s="5">
        <f ca="1">IFERROR(__xludf.UNSUPPORTED("""COMPUTED_VALUE"""),1)</f>
        <v>1</v>
      </c>
      <c r="G847" s="3" t="str">
        <f ca="1">IFERROR(__xludf.UNSUPPORTED("""COMPUTED_VALUE"""),"Barra fechada em função de ciclone.")</f>
        <v>Barra fechada em função de ciclone.</v>
      </c>
      <c r="H847" s="4">
        <f ca="1">IFERROR(__xludf.UNSUPPORTED("""COMPUTED_VALUE"""),45120.6477083333)</f>
        <v>45120.647708333301</v>
      </c>
      <c r="I847" s="3">
        <f ca="1">IFERROR(__xludf.UNSUPPORTED("""COMPUTED_VALUE"""),12)</f>
        <v>12</v>
      </c>
      <c r="J847" s="4">
        <f ca="1">IFERROR(__xludf.UNSUPPORTED("""COMPUTED_VALUE"""),45121.1477083333)</f>
        <v>45121.147708333301</v>
      </c>
      <c r="K847" s="3" t="str">
        <f ca="1">IFERROR(__xludf.UNSUPPORTED("""COMPUTED_VALUE"""),"Porto de Itajaí")</f>
        <v>Porto de Itajaí</v>
      </c>
      <c r="L847" s="3" t="str">
        <f ca="1">IFERROR(__xludf.UNSUPPORTED("""COMPUTED_VALUE"""),"Crítico")</f>
        <v>Crítico</v>
      </c>
    </row>
    <row r="848" spans="1:12" ht="12.75">
      <c r="A848" s="3" t="str">
        <f ca="1">IFERROR(__xludf.UNSUPPORTED("""COMPUTED_VALUE"""),"96cf73ad")</f>
        <v>96cf73ad</v>
      </c>
      <c r="B848" s="4">
        <f ca="1">IFERROR(__xludf.UNSUPPORTED("""COMPUTED_VALUE"""),45121.5365625)</f>
        <v>45121.536562499998</v>
      </c>
      <c r="C848" s="7" t="str">
        <f ca="1">IFERROR(__xludf.UNSUPPORTED("""COMPUTED_VALUE"""),"Itajaí")</f>
        <v>Itajaí</v>
      </c>
      <c r="D848" s="3" t="str">
        <f ca="1">IFERROR(__xludf.UNSUPPORTED("""COMPUTED_VALUE"""),"⚠️ COM ATRASOS")</f>
        <v>⚠️ COM ATRASOS</v>
      </c>
      <c r="E848" s="3" t="str">
        <f ca="1">IFERROR(__xludf.UNSUPPORTED("""COMPUTED_VALUE"""),"🚛 LIBERADO")</f>
        <v>🚛 LIBERADO</v>
      </c>
      <c r="F848" s="5">
        <f ca="1">IFERROR(__xludf.UNSUPPORTED("""COMPUTED_VALUE"""),0.75)</f>
        <v>0.75</v>
      </c>
      <c r="G848" s="3" t="str">
        <f ca="1">IFERROR(__xludf.UNSUPPORTED("""COMPUTED_VALUE"""),"Barra permanece fechada em razão das condições de navegação. Há 5 navios fundeados aguardando abertura da barra.")</f>
        <v>Barra permanece fechada em razão das condições de navegação. Há 5 navios fundeados aguardando abertura da barra.</v>
      </c>
      <c r="H848" s="4">
        <f ca="1">IFERROR(__xludf.UNSUPPORTED("""COMPUTED_VALUE"""),45121.5365625)</f>
        <v>45121.536562499998</v>
      </c>
      <c r="I848" s="3">
        <f ca="1">IFERROR(__xludf.UNSUPPORTED("""COMPUTED_VALUE"""),12)</f>
        <v>12</v>
      </c>
      <c r="J848" s="4">
        <f ca="1">IFERROR(__xludf.UNSUPPORTED("""COMPUTED_VALUE"""),45122.0365625)</f>
        <v>45122.036562499998</v>
      </c>
      <c r="K848" s="3" t="str">
        <f ca="1">IFERROR(__xludf.UNSUPPORTED("""COMPUTED_VALUE"""),"Porto de Itajaí")</f>
        <v>Porto de Itajaí</v>
      </c>
      <c r="L848" s="3" t="str">
        <f ca="1">IFERROR(__xludf.UNSUPPORTED("""COMPUTED_VALUE"""),"Crítico")</f>
        <v>Crítico</v>
      </c>
    </row>
    <row r="849" spans="1:12" ht="12.75">
      <c r="A849" s="3" t="str">
        <f ca="1">IFERROR(__xludf.UNSUPPORTED("""COMPUTED_VALUE"""),"14de8785")</f>
        <v>14de8785</v>
      </c>
      <c r="B849" s="4">
        <f ca="1">IFERROR(__xludf.UNSUPPORTED("""COMPUTED_VALUE"""),45122.4375462962)</f>
        <v>45122.437546296198</v>
      </c>
      <c r="C849" s="7" t="str">
        <f ca="1">IFERROR(__xludf.UNSUPPORTED("""COMPUTED_VALUE"""),"Itajaí")</f>
        <v>Itajaí</v>
      </c>
      <c r="D849" s="3" t="str">
        <f ca="1">IFERROR(__xludf.UNSUPPORTED("""COMPUTED_VALUE"""),"🚢 REGULAR")</f>
        <v>🚢 REGULAR</v>
      </c>
      <c r="E849" s="3" t="str">
        <f ca="1">IFERROR(__xludf.UNSUPPORTED("""COMPUTED_VALUE"""),"🚛 LIBERADO")</f>
        <v>🚛 LIBERADO</v>
      </c>
      <c r="F849" s="5">
        <f ca="1">IFERROR(__xludf.UNSUPPORTED("""COMPUTED_VALUE"""),0)</f>
        <v>0</v>
      </c>
      <c r="G849" s="3" t="str">
        <f ca="1">IFERROR(__xludf.UNSUPPORTED("""COMPUTED_VALUE"""),"Normalidade")</f>
        <v>Normalidade</v>
      </c>
      <c r="H849" s="4">
        <f ca="1">IFERROR(__xludf.UNSUPPORTED("""COMPUTED_VALUE"""),45122.4375462962)</f>
        <v>45122.437546296198</v>
      </c>
      <c r="I849" s="3">
        <f ca="1">IFERROR(__xludf.UNSUPPORTED("""COMPUTED_VALUE"""),24)</f>
        <v>24</v>
      </c>
      <c r="J849" s="4">
        <f ca="1">IFERROR(__xludf.UNSUPPORTED("""COMPUTED_VALUE"""),45123.4375462962)</f>
        <v>45123.437546296198</v>
      </c>
      <c r="L849" s="3" t="str">
        <f ca="1">IFERROR(__xludf.UNSUPPORTED("""COMPUTED_VALUE"""),"Normalidade")</f>
        <v>Normalidade</v>
      </c>
    </row>
    <row r="850" spans="1:12" ht="12.75">
      <c r="A850" s="3" t="str">
        <f ca="1">IFERROR(__xludf.UNSUPPORTED("""COMPUTED_VALUE"""),"fbae6ac7")</f>
        <v>fbae6ac7</v>
      </c>
      <c r="B850" s="4">
        <f ca="1">IFERROR(__xludf.UNSUPPORTED("""COMPUTED_VALUE"""),45587.4119907407)</f>
        <v>45587.4119907407</v>
      </c>
      <c r="C850" s="8" t="str">
        <f ca="1">IFERROR(__xludf.UNSUPPORTED("""COMPUTED_VALUE"""),"Itajaí")</f>
        <v>Itajaí</v>
      </c>
      <c r="D850" s="3" t="str">
        <f ca="1">IFERROR(__xludf.UNSUPPORTED("""COMPUTED_VALUE"""),"❗️ PARALISADA")</f>
        <v>❗️ PARALISADA</v>
      </c>
      <c r="E850" s="3" t="str">
        <f ca="1">IFERROR(__xludf.UNSUPPORTED("""COMPUTED_VALUE"""),"⚠️ PARCIALMENTE BLOQUEADO")</f>
        <v>⚠️ PARCIALMENTE BLOQUEADO</v>
      </c>
      <c r="F850" s="5">
        <f ca="1">IFERROR(__xludf.UNSUPPORTED("""COMPUTED_VALUE"""),0.25)</f>
        <v>0.25</v>
      </c>
      <c r="G850" s="3" t="str">
        <f ca="1">IFERROR(__xludf.UNSUPPORTED("""COMPUTED_VALUE"""),"Paralisação dos portuários")</f>
        <v>Paralisação dos portuários</v>
      </c>
      <c r="H850" s="4">
        <f ca="1">IFERROR(__xludf.UNSUPPORTED("""COMPUTED_VALUE"""),45587.4119907407)</f>
        <v>45587.4119907407</v>
      </c>
      <c r="I850" s="3">
        <f ca="1">IFERROR(__xludf.UNSUPPORTED("""COMPUTED_VALUE"""),12)</f>
        <v>12</v>
      </c>
      <c r="J850" s="4">
        <f ca="1">IFERROR(__xludf.UNSUPPORTED("""COMPUTED_VALUE"""),45587.9119907407)</f>
        <v>45587.9119907407</v>
      </c>
      <c r="K850" s="3" t="str">
        <f ca="1">IFERROR(__xludf.UNSUPPORTED("""COMPUTED_VALUE"""),"Guarda Portuária")</f>
        <v>Guarda Portuária</v>
      </c>
      <c r="L850" s="3" t="str">
        <f ca="1">IFERROR(__xludf.UNSUPPORTED("""COMPUTED_VALUE"""),"Crítico")</f>
        <v>Crítico</v>
      </c>
    </row>
    <row r="851" spans="1:12" ht="12.75">
      <c r="A851" s="3" t="str">
        <f ca="1">IFERROR(__xludf.UNSUPPORTED("""COMPUTED_VALUE"""),"f66f00e6")</f>
        <v>f66f00e6</v>
      </c>
      <c r="B851" s="4">
        <f ca="1">IFERROR(__xludf.UNSUPPORTED("""COMPUTED_VALUE"""),45636.3107754629)</f>
        <v>45636.310775462902</v>
      </c>
      <c r="C851" s="8" t="str">
        <f ca="1">IFERROR(__xludf.UNSUPPORTED("""COMPUTED_VALUE"""),"Itajaí")</f>
        <v>Itajaí</v>
      </c>
      <c r="D851" s="3" t="str">
        <f ca="1">IFERROR(__xludf.UNSUPPORTED("""COMPUTED_VALUE"""),"❗️ PARALISADA")</f>
        <v>❗️ PARALISADA</v>
      </c>
      <c r="E851" s="3" t="str">
        <f ca="1">IFERROR(__xludf.UNSUPPORTED("""COMPUTED_VALUE"""),"⛔️ BLOQUEADO")</f>
        <v>⛔️ BLOQUEADO</v>
      </c>
      <c r="F851" s="5">
        <f ca="1">IFERROR(__xludf.UNSUPPORTED("""COMPUTED_VALUE"""),0.75)</f>
        <v>0.75</v>
      </c>
      <c r="G851" s="3" t="str">
        <f ca="1">IFERROR(__xludf.UNSUPPORTED("""COMPUTED_VALUE"""),"Paralisação convocada pela mão de obra à frente do gate de acesso em protesto pela possível federalizacão do Porto de Itajaí.")</f>
        <v>Paralisação convocada pela mão de obra à frente do gate de acesso em protesto pela possível federalizacão do Porto de Itajaí.</v>
      </c>
      <c r="H851" s="4">
        <f ca="1">IFERROR(__xludf.UNSUPPORTED("""COMPUTED_VALUE"""),45636.3107754629)</f>
        <v>45636.310775462902</v>
      </c>
      <c r="I851" s="3">
        <f ca="1">IFERROR(__xludf.UNSUPPORTED("""COMPUTED_VALUE"""),3)</f>
        <v>3</v>
      </c>
      <c r="J851" s="4">
        <f ca="1">IFERROR(__xludf.UNSUPPORTED("""COMPUTED_VALUE"""),45636.4357754629)</f>
        <v>45636.435775462902</v>
      </c>
      <c r="K851" s="3" t="str">
        <f ca="1">IFERROR(__xludf.UNSUPPORTED("""COMPUTED_VALUE"""),"In loco")</f>
        <v>In loco</v>
      </c>
      <c r="L851" s="3" t="str">
        <f ca="1">IFERROR(__xludf.UNSUPPORTED("""COMPUTED_VALUE"""),"Crítico")</f>
        <v>Crítico</v>
      </c>
    </row>
    <row r="852" spans="1:12" ht="12.75">
      <c r="A852" s="3" t="str">
        <f ca="1">IFERROR(__xludf.UNSUPPORTED("""COMPUTED_VALUE"""),"eErZaWJG")</f>
        <v>eErZaWJG</v>
      </c>
      <c r="B852" s="4">
        <f ca="1">IFERROR(__xludf.UNSUPPORTED("""COMPUTED_VALUE"""),44589.5)</f>
        <v>44589.5</v>
      </c>
      <c r="C852" s="8" t="str">
        <f ca="1">IFERROR(__xludf.UNSUPPORTED("""COMPUTED_VALUE"""),"Itaqui")</f>
        <v>Itaqui</v>
      </c>
      <c r="D852" s="3" t="str">
        <f ca="1">IFERROR(__xludf.UNSUPPORTED("""COMPUTED_VALUE"""),"🚢 REGULAR")</f>
        <v>🚢 REGULAR</v>
      </c>
      <c r="E852" s="3" t="str">
        <f ca="1">IFERROR(__xludf.UNSUPPORTED("""COMPUTED_VALUE"""),"🚛 LIBERADO")</f>
        <v>🚛 LIBERADO</v>
      </c>
      <c r="F852" s="5">
        <f ca="1">IFERROR(__xludf.UNSUPPORTED("""COMPUTED_VALUE"""),0)</f>
        <v>0</v>
      </c>
      <c r="G852" s="3" t="str">
        <f ca="1">IFERROR(__xludf.UNSUPPORTED("""COMPUTED_VALUE"""),"Nada de manifesto ou paralisações no Porto IQI, operações transcorrendo normalmente.")</f>
        <v>Nada de manifesto ou paralisações no Porto IQI, operações transcorrendo normalmente.</v>
      </c>
      <c r="H852" s="4">
        <f ca="1">IFERROR(__xludf.UNSUPPORTED("""COMPUTED_VALUE"""),44589.3541666666)</f>
        <v>44589.354166666599</v>
      </c>
      <c r="I852" s="3">
        <f ca="1">IFERROR(__xludf.UNSUPPORTED("""COMPUTED_VALUE"""),3)</f>
        <v>3</v>
      </c>
      <c r="J852" s="4">
        <f ca="1">IFERROR(__xludf.UNSUPPORTED("""COMPUTED_VALUE"""),44589.4791666666)</f>
        <v>44589.479166666599</v>
      </c>
    </row>
    <row r="853" spans="1:12" ht="12.75">
      <c r="A853" s="3" t="str">
        <f ca="1">IFERROR(__xludf.UNSUPPORTED("""COMPUTED_VALUE"""),"c3339db4")</f>
        <v>c3339db4</v>
      </c>
      <c r="B853" s="4">
        <f ca="1">IFERROR(__xludf.UNSUPPORTED("""COMPUTED_VALUE"""),44866.3899074074)</f>
        <v>44866.3899074074</v>
      </c>
      <c r="C853" s="7" t="str">
        <f ca="1">IFERROR(__xludf.UNSUPPORTED("""COMPUTED_VALUE"""),"Itaqui")</f>
        <v>Itaqui</v>
      </c>
      <c r="D853" s="3" t="str">
        <f ca="1">IFERROR(__xludf.UNSUPPORTED("""COMPUTED_VALUE"""),"🚢 REGULAR")</f>
        <v>🚢 REGULAR</v>
      </c>
      <c r="E853" s="3" t="str">
        <f ca="1">IFERROR(__xludf.UNSUPPORTED("""COMPUTED_VALUE"""),"⚠️ PARCIALMENTE BLOQUEADO")</f>
        <v>⚠️ PARCIALMENTE BLOQUEADO</v>
      </c>
      <c r="F853" s="5">
        <f ca="1">IFERROR(__xludf.UNSUPPORTED("""COMPUTED_VALUE"""),0.25)</f>
        <v>0.25</v>
      </c>
      <c r="G853" s="3" t="str">
        <f ca="1">IFERROR(__xludf.UNSUPPORTED("""COMPUTED_VALUE"""),"Houve interdições parciais no dia 31 de outubro. Hoje, dia 01 de novembro, fluxo de veículos e operações portuárias ocorrem em normalidade.")</f>
        <v>Houve interdições parciais no dia 31 de outubro. Hoje, dia 01 de novembro, fluxo de veículos e operações portuárias ocorrem em normalidade.</v>
      </c>
      <c r="H853" s="4">
        <f ca="1">IFERROR(__xludf.UNSUPPORTED("""COMPUTED_VALUE"""),44866.3899074074)</f>
        <v>44866.3899074074</v>
      </c>
      <c r="I853" s="3">
        <f ca="1">IFERROR(__xludf.UNSUPPORTED("""COMPUTED_VALUE"""),8)</f>
        <v>8</v>
      </c>
      <c r="J853" s="4">
        <f ca="1">IFERROR(__xludf.UNSUPPORTED("""COMPUTED_VALUE"""),44866.7232407407)</f>
        <v>44866.723240740699</v>
      </c>
    </row>
    <row r="854" spans="1:12" ht="12.75">
      <c r="A854" s="3" t="str">
        <f ca="1">IFERROR(__xludf.UNSUPPORTED("""COMPUTED_VALUE"""),"a56903a9")</f>
        <v>a56903a9</v>
      </c>
      <c r="B854" s="4">
        <f ca="1">IFERROR(__xludf.UNSUPPORTED("""COMPUTED_VALUE"""),44868.3580787037)</f>
        <v>44868.358078703699</v>
      </c>
      <c r="C854" s="7" t="str">
        <f ca="1">IFERROR(__xludf.UNSUPPORTED("""COMPUTED_VALUE"""),"Itaqui")</f>
        <v>Itaqui</v>
      </c>
      <c r="D854" s="3" t="str">
        <f ca="1">IFERROR(__xludf.UNSUPPORTED("""COMPUTED_VALUE"""),"🚢 REGULAR")</f>
        <v>🚢 REGULAR</v>
      </c>
      <c r="E854" s="3" t="str">
        <f ca="1">IFERROR(__xludf.UNSUPPORTED("""COMPUTED_VALUE"""),"🚛 LIBERADO")</f>
        <v>🚛 LIBERADO</v>
      </c>
      <c r="F854" s="5">
        <f ca="1">IFERROR(__xludf.UNSUPPORTED("""COMPUTED_VALUE"""),0)</f>
        <v>0</v>
      </c>
      <c r="G854" s="3" t="str">
        <f ca="1">IFERROR(__xludf.UNSUPPORTED("""COMPUTED_VALUE"""),"Normalizada")</f>
        <v>Normalizada</v>
      </c>
      <c r="H854" s="4">
        <f ca="1">IFERROR(__xludf.UNSUPPORTED("""COMPUTED_VALUE"""),44868.3580787037)</f>
        <v>44868.358078703699</v>
      </c>
      <c r="I854" s="3">
        <f ca="1">IFERROR(__xludf.UNSUPPORTED("""COMPUTED_VALUE"""),1)</f>
        <v>1</v>
      </c>
      <c r="J854" s="4">
        <f ca="1">IFERROR(__xludf.UNSUPPORTED("""COMPUTED_VALUE"""),44868.3997453703)</f>
        <v>44868.399745370298</v>
      </c>
    </row>
    <row r="855" spans="1:12" ht="12.75">
      <c r="A855" s="3" t="str">
        <f ca="1">IFERROR(__xludf.UNSUPPORTED("""COMPUTED_VALUE"""),"341b2058")</f>
        <v>341b2058</v>
      </c>
      <c r="B855" s="4">
        <f ca="1">IFERROR(__xludf.UNSUPPORTED("""COMPUTED_VALUE"""),44869.3588194444)</f>
        <v>44869.358819444402</v>
      </c>
      <c r="C855" s="7" t="str">
        <f ca="1">IFERROR(__xludf.UNSUPPORTED("""COMPUTED_VALUE"""),"Itaqui")</f>
        <v>Itaqui</v>
      </c>
      <c r="D855" s="3" t="str">
        <f ca="1">IFERROR(__xludf.UNSUPPORTED("""COMPUTED_VALUE"""),"🚢 REGULAR")</f>
        <v>🚢 REGULAR</v>
      </c>
      <c r="E855" s="3" t="str">
        <f ca="1">IFERROR(__xludf.UNSUPPORTED("""COMPUTED_VALUE"""),"🚛 LIBERADO")</f>
        <v>🚛 LIBERADO</v>
      </c>
      <c r="F855" s="5">
        <f ca="1">IFERROR(__xludf.UNSUPPORTED("""COMPUTED_VALUE"""),0)</f>
        <v>0</v>
      </c>
      <c r="G855" s="3" t="str">
        <f ca="1">IFERROR(__xludf.UNSUPPORTED("""COMPUTED_VALUE"""),"Normalizada")</f>
        <v>Normalizada</v>
      </c>
      <c r="H855" s="4">
        <f ca="1">IFERROR(__xludf.UNSUPPORTED("""COMPUTED_VALUE"""),44869.3588194444)</f>
        <v>44869.358819444402</v>
      </c>
      <c r="I855" s="3">
        <f ca="1">IFERROR(__xludf.UNSUPPORTED("""COMPUTED_VALUE"""),1)</f>
        <v>1</v>
      </c>
      <c r="J855" s="4">
        <f ca="1">IFERROR(__xludf.UNSUPPORTED("""COMPUTED_VALUE"""),44869.4004861111)</f>
        <v>44869.400486111103</v>
      </c>
    </row>
    <row r="856" spans="1:12" ht="12.75">
      <c r="A856" s="3" t="str">
        <f ca="1">IFERROR(__xludf.UNSUPPORTED("""COMPUTED_VALUE"""),"f764e688")</f>
        <v>f764e688</v>
      </c>
      <c r="B856" s="4">
        <f ca="1">IFERROR(__xludf.UNSUPPORTED("""COMPUTED_VALUE"""),44886.3870023148)</f>
        <v>44886.387002314797</v>
      </c>
      <c r="C856" s="7" t="str">
        <f ca="1">IFERROR(__xludf.UNSUPPORTED("""COMPUTED_VALUE"""),"Itaqui")</f>
        <v>Itaqui</v>
      </c>
      <c r="D856" s="3" t="str">
        <f ca="1">IFERROR(__xludf.UNSUPPORTED("""COMPUTED_VALUE"""),"🚢 REGULAR")</f>
        <v>🚢 REGULAR</v>
      </c>
      <c r="E856" s="3" t="str">
        <f ca="1">IFERROR(__xludf.UNSUPPORTED("""COMPUTED_VALUE"""),"🚛 LIBERADO")</f>
        <v>🚛 LIBERADO</v>
      </c>
      <c r="F856" s="5">
        <f ca="1">IFERROR(__xludf.UNSUPPORTED("""COMPUTED_VALUE"""),0)</f>
        <v>0</v>
      </c>
      <c r="G856" s="3" t="str">
        <f ca="1">IFERROR(__xludf.UNSUPPORTED("""COMPUTED_VALUE"""),"Não há pontos de paralização nos acessos ao Porto do Itaqui. Registra-se que houve apenas uma manifestação do sindicato dos marítimos na sexta pela manhã.")</f>
        <v>Não há pontos de paralização nos acessos ao Porto do Itaqui. Registra-se que houve apenas uma manifestação do sindicato dos marítimos na sexta pela manhã.</v>
      </c>
      <c r="H856" s="4">
        <f ca="1">IFERROR(__xludf.UNSUPPORTED("""COMPUTED_VALUE"""),44886.3870023148)</f>
        <v>44886.387002314797</v>
      </c>
      <c r="I856" s="3">
        <f ca="1">IFERROR(__xludf.UNSUPPORTED("""COMPUTED_VALUE"""),8)</f>
        <v>8</v>
      </c>
      <c r="J856" s="4">
        <f ca="1">IFERROR(__xludf.UNSUPPORTED("""COMPUTED_VALUE"""),44886.7203356481)</f>
        <v>44886.720335648097</v>
      </c>
    </row>
    <row r="857" spans="1:12" ht="12.75">
      <c r="A857" s="3" t="str">
        <f ca="1">IFERROR(__xludf.UNSUPPORTED("""COMPUTED_VALUE"""),"28d68b5b")</f>
        <v>28d68b5b</v>
      </c>
      <c r="B857" s="4">
        <f ca="1">IFERROR(__xludf.UNSUPPORTED("""COMPUTED_VALUE"""),44888.4323958333)</f>
        <v>44888.432395833297</v>
      </c>
      <c r="C857" s="7" t="str">
        <f ca="1">IFERROR(__xludf.UNSUPPORTED("""COMPUTED_VALUE"""),"Itaqui")</f>
        <v>Itaqui</v>
      </c>
      <c r="D857" s="3" t="str">
        <f ca="1">IFERROR(__xludf.UNSUPPORTED("""COMPUTED_VALUE"""),"🚢 REGULAR")</f>
        <v>🚢 REGULAR</v>
      </c>
      <c r="E857" s="3" t="str">
        <f ca="1">IFERROR(__xludf.UNSUPPORTED("""COMPUTED_VALUE"""),"🚛 LIBERADO")</f>
        <v>🚛 LIBERADO</v>
      </c>
      <c r="F857" s="5">
        <f ca="1">IFERROR(__xludf.UNSUPPORTED("""COMPUTED_VALUE"""),0)</f>
        <v>0</v>
      </c>
      <c r="G857" s="3" t="str">
        <f ca="1">IFERROR(__xludf.UNSUPPORTED("""COMPUTED_VALUE"""),"Acessos ao Porto do Itaqui liberado e sem ocorrências")</f>
        <v>Acessos ao Porto do Itaqui liberado e sem ocorrências</v>
      </c>
      <c r="H857" s="4">
        <f ca="1">IFERROR(__xludf.UNSUPPORTED("""COMPUTED_VALUE"""),44888.3333333333)</f>
        <v>44888.333333333299</v>
      </c>
      <c r="I857" s="3">
        <f ca="1">IFERROR(__xludf.UNSUPPORTED("""COMPUTED_VALUE"""),8)</f>
        <v>8</v>
      </c>
      <c r="J857" s="4">
        <f ca="1">IFERROR(__xludf.UNSUPPORTED("""COMPUTED_VALUE"""),44888.6666666666)</f>
        <v>44888.666666666599</v>
      </c>
    </row>
    <row r="858" spans="1:12" ht="12.75">
      <c r="A858" s="3" t="str">
        <f ca="1">IFERROR(__xludf.UNSUPPORTED("""COMPUTED_VALUE"""),"f3689b97")</f>
        <v>f3689b97</v>
      </c>
      <c r="B858" s="4">
        <f ca="1">IFERROR(__xludf.UNSUPPORTED("""COMPUTED_VALUE"""),44888.4334027777)</f>
        <v>44888.4334027777</v>
      </c>
      <c r="C858" s="8" t="str">
        <f ca="1">IFERROR(__xludf.UNSUPPORTED("""COMPUTED_VALUE"""),"Itaqui")</f>
        <v>Itaqui</v>
      </c>
      <c r="D858" s="3" t="str">
        <f ca="1">IFERROR(__xludf.UNSUPPORTED("""COMPUTED_VALUE"""),"🚢 REGULAR")</f>
        <v>🚢 REGULAR</v>
      </c>
      <c r="E858" s="3" t="str">
        <f ca="1">IFERROR(__xludf.UNSUPPORTED("""COMPUTED_VALUE"""),"🚛 LIBERADO")</f>
        <v>🚛 LIBERADO</v>
      </c>
      <c r="F858" s="5">
        <f ca="1">IFERROR(__xludf.UNSUPPORTED("""COMPUTED_VALUE"""),0)</f>
        <v>0</v>
      </c>
      <c r="G858" s="3" t="str">
        <f ca="1">IFERROR(__xludf.UNSUPPORTED("""COMPUTED_VALUE"""),"Acessos do Porto do Itaqui sem registro de bloqueios")</f>
        <v>Acessos do Porto do Itaqui sem registro de bloqueios</v>
      </c>
      <c r="H858" s="4">
        <f ca="1">IFERROR(__xludf.UNSUPPORTED("""COMPUTED_VALUE"""),44888.3333333333)</f>
        <v>44888.333333333299</v>
      </c>
      <c r="I858" s="3">
        <f ca="1">IFERROR(__xludf.UNSUPPORTED("""COMPUTED_VALUE"""),24)</f>
        <v>24</v>
      </c>
      <c r="J858" s="4">
        <f ca="1">IFERROR(__xludf.UNSUPPORTED("""COMPUTED_VALUE"""),44889.3333333333)</f>
        <v>44889.333333333299</v>
      </c>
    </row>
    <row r="859" spans="1:12" ht="12.75">
      <c r="A859" s="3" t="str">
        <f ca="1">IFERROR(__xludf.UNSUPPORTED("""COMPUTED_VALUE"""),"b6ff2cc0")</f>
        <v>b6ff2cc0</v>
      </c>
      <c r="B859" s="4">
        <f ca="1">IFERROR(__xludf.UNSUPPORTED("""COMPUTED_VALUE"""),44889.3984722222)</f>
        <v>44889.398472222201</v>
      </c>
      <c r="C859" s="7" t="str">
        <f ca="1">IFERROR(__xludf.UNSUPPORTED("""COMPUTED_VALUE"""),"Itaqui")</f>
        <v>Itaqui</v>
      </c>
      <c r="D859" s="3" t="str">
        <f ca="1">IFERROR(__xludf.UNSUPPORTED("""COMPUTED_VALUE"""),"🚢 REGULAR")</f>
        <v>🚢 REGULAR</v>
      </c>
      <c r="E859" s="3" t="str">
        <f ca="1">IFERROR(__xludf.UNSUPPORTED("""COMPUTED_VALUE"""),"🚛 LIBERADO")</f>
        <v>🚛 LIBERADO</v>
      </c>
      <c r="F859" s="5">
        <f ca="1">IFERROR(__xludf.UNSUPPORTED("""COMPUTED_VALUE"""),0)</f>
        <v>0</v>
      </c>
      <c r="G859" s="3" t="str">
        <f ca="1">IFERROR(__xludf.UNSUPPORTED("""COMPUTED_VALUE"""),"Porto do Itaqui operando normalmente sem registro de bloqueios em seus acessos.")</f>
        <v>Porto do Itaqui operando normalmente sem registro de bloqueios em seus acessos.</v>
      </c>
      <c r="H859" s="4">
        <f ca="1">IFERROR(__xludf.UNSUPPORTED("""COMPUTED_VALUE"""),44889.3333333333)</f>
        <v>44889.333333333299</v>
      </c>
      <c r="I859" s="3">
        <f ca="1">IFERROR(__xludf.UNSUPPORTED("""COMPUTED_VALUE"""),24)</f>
        <v>24</v>
      </c>
      <c r="J859" s="4">
        <f ca="1">IFERROR(__xludf.UNSUPPORTED("""COMPUTED_VALUE"""),44890.3333333333)</f>
        <v>44890.333333333299</v>
      </c>
    </row>
    <row r="860" spans="1:12" ht="12.75">
      <c r="A860" s="3" t="str">
        <f ca="1">IFERROR(__xludf.UNSUPPORTED("""COMPUTED_VALUE"""),"cf5c5e77")</f>
        <v>cf5c5e77</v>
      </c>
      <c r="B860" s="4">
        <f ca="1">IFERROR(__xludf.UNSUPPORTED("""COMPUTED_VALUE"""),44890.6252083333)</f>
        <v>44890.625208333302</v>
      </c>
      <c r="C860" s="7" t="str">
        <f ca="1">IFERROR(__xludf.UNSUPPORTED("""COMPUTED_VALUE"""),"Itaqui")</f>
        <v>Itaqui</v>
      </c>
      <c r="D860" s="3" t="str">
        <f ca="1">IFERROR(__xludf.UNSUPPORTED("""COMPUTED_VALUE"""),"🚢 REGULAR")</f>
        <v>🚢 REGULAR</v>
      </c>
      <c r="E860" s="3" t="str">
        <f ca="1">IFERROR(__xludf.UNSUPPORTED("""COMPUTED_VALUE"""),"🚛 LIBERADO")</f>
        <v>🚛 LIBERADO</v>
      </c>
      <c r="F860" s="5">
        <f ca="1">IFERROR(__xludf.UNSUPPORTED("""COMPUTED_VALUE"""),0.25)</f>
        <v>0.25</v>
      </c>
      <c r="G860" s="3" t="str">
        <f ca="1">IFERROR(__xludf.UNSUPPORTED("""COMPUTED_VALUE"""),"Normal")</f>
        <v>Normal</v>
      </c>
      <c r="H860" s="4">
        <f ca="1">IFERROR(__xludf.UNSUPPORTED("""COMPUTED_VALUE"""),44890.6252083333)</f>
        <v>44890.625208333302</v>
      </c>
      <c r="I860" s="3">
        <f ca="1">IFERROR(__xludf.UNSUPPORTED("""COMPUTED_VALUE"""),8)</f>
        <v>8</v>
      </c>
      <c r="J860" s="4">
        <f ca="1">IFERROR(__xludf.UNSUPPORTED("""COMPUTED_VALUE"""),44890.9585416666)</f>
        <v>44890.958541666601</v>
      </c>
    </row>
    <row r="861" spans="1:12" ht="12.75">
      <c r="A861" s="3" t="str">
        <f ca="1">IFERROR(__xludf.UNSUPPORTED("""COMPUTED_VALUE"""),"bb2c4258")</f>
        <v>bb2c4258</v>
      </c>
      <c r="B861" s="4">
        <f ca="1">IFERROR(__xludf.UNSUPPORTED("""COMPUTED_VALUE"""),44892.5940856481)</f>
        <v>44892.594085648103</v>
      </c>
      <c r="C861" s="8" t="str">
        <f ca="1">IFERROR(__xludf.UNSUPPORTED("""COMPUTED_VALUE"""),"Itaqui")</f>
        <v>Itaqui</v>
      </c>
      <c r="D861" s="3" t="str">
        <f ca="1">IFERROR(__xludf.UNSUPPORTED("""COMPUTED_VALUE"""),"🚢 REGULAR")</f>
        <v>🚢 REGULAR</v>
      </c>
      <c r="E861" s="3" t="str">
        <f ca="1">IFERROR(__xludf.UNSUPPORTED("""COMPUTED_VALUE"""),"🚛 LIBERADO")</f>
        <v>🚛 LIBERADO</v>
      </c>
      <c r="F861" s="5">
        <f ca="1">IFERROR(__xludf.UNSUPPORTED("""COMPUTED_VALUE"""),0.25)</f>
        <v>0.25</v>
      </c>
      <c r="G861" s="3" t="str">
        <f ca="1">IFERROR(__xludf.UNSUPPORTED("""COMPUTED_VALUE"""),"Normal")</f>
        <v>Normal</v>
      </c>
      <c r="H861" s="4">
        <f ca="1">IFERROR(__xludf.UNSUPPORTED("""COMPUTED_VALUE"""),44892.5940856481)</f>
        <v>44892.594085648103</v>
      </c>
      <c r="I861" s="3">
        <f ca="1">IFERROR(__xludf.UNSUPPORTED("""COMPUTED_VALUE"""),3)</f>
        <v>3</v>
      </c>
      <c r="J861" s="4">
        <f ca="1">IFERROR(__xludf.UNSUPPORTED("""COMPUTED_VALUE"""),44892.7190856481)</f>
        <v>44892.719085648103</v>
      </c>
    </row>
    <row r="862" spans="1:12" ht="12.75">
      <c r="A862" s="3" t="str">
        <f ca="1">IFERROR(__xludf.UNSUPPORTED("""COMPUTED_VALUE"""),"74ae5be2")</f>
        <v>74ae5be2</v>
      </c>
      <c r="B862" s="4">
        <f ca="1">IFERROR(__xludf.UNSUPPORTED("""COMPUTED_VALUE"""),44893.4054513887)</f>
        <v>44893.405451388702</v>
      </c>
      <c r="C862" s="7" t="str">
        <f ca="1">IFERROR(__xludf.UNSUPPORTED("""COMPUTED_VALUE"""),"Itaqui")</f>
        <v>Itaqui</v>
      </c>
      <c r="D862" s="3" t="str">
        <f ca="1">IFERROR(__xludf.UNSUPPORTED("""COMPUTED_VALUE"""),"🚢 REGULAR")</f>
        <v>🚢 REGULAR</v>
      </c>
      <c r="E862" s="3" t="str">
        <f ca="1">IFERROR(__xludf.UNSUPPORTED("""COMPUTED_VALUE"""),"🚛 LIBERADO")</f>
        <v>🚛 LIBERADO</v>
      </c>
      <c r="F862" s="5">
        <f ca="1">IFERROR(__xludf.UNSUPPORTED("""COMPUTED_VALUE"""),0.25)</f>
        <v>0.25</v>
      </c>
      <c r="G862" s="3" t="str">
        <f ca="1">IFERROR(__xludf.UNSUPPORTED("""COMPUTED_VALUE"""),"Normal")</f>
        <v>Normal</v>
      </c>
      <c r="H862" s="4">
        <f ca="1">IFERROR(__xludf.UNSUPPORTED("""COMPUTED_VALUE"""),44893.4054513887)</f>
        <v>44893.405451388702</v>
      </c>
      <c r="I862" s="3">
        <f ca="1">IFERROR(__xludf.UNSUPPORTED("""COMPUTED_VALUE"""),24)</f>
        <v>24</v>
      </c>
      <c r="J862" s="4">
        <f ca="1">IFERROR(__xludf.UNSUPPORTED("""COMPUTED_VALUE"""),44894.4054513887)</f>
        <v>44894.405451388702</v>
      </c>
    </row>
    <row r="863" spans="1:12" ht="12.75">
      <c r="A863" s="3" t="str">
        <f ca="1">IFERROR(__xludf.UNSUPPORTED("""COMPUTED_VALUE"""),"464f84ad")</f>
        <v>464f84ad</v>
      </c>
      <c r="B863" s="4">
        <f ca="1">IFERROR(__xludf.UNSUPPORTED("""COMPUTED_VALUE"""),44894.3573842592)</f>
        <v>44894.357384259201</v>
      </c>
      <c r="C863" s="7" t="str">
        <f ca="1">IFERROR(__xludf.UNSUPPORTED("""COMPUTED_VALUE"""),"Itaqui")</f>
        <v>Itaqui</v>
      </c>
      <c r="D863" s="3" t="str">
        <f ca="1">IFERROR(__xludf.UNSUPPORTED("""COMPUTED_VALUE"""),"🚢 REGULAR")</f>
        <v>🚢 REGULAR</v>
      </c>
      <c r="E863" s="3" t="str">
        <f ca="1">IFERROR(__xludf.UNSUPPORTED("""COMPUTED_VALUE"""),"🚛 LIBERADO")</f>
        <v>🚛 LIBERADO</v>
      </c>
      <c r="F863" s="5">
        <f ca="1">IFERROR(__xludf.UNSUPPORTED("""COMPUTED_VALUE"""),0.5)</f>
        <v>0.5</v>
      </c>
      <c r="G863" s="3" t="str">
        <f ca="1">IFERROR(__xludf.UNSUPPORTED("""COMPUTED_VALUE"""),"Normal")</f>
        <v>Normal</v>
      </c>
      <c r="H863" s="4">
        <f ca="1">IFERROR(__xludf.UNSUPPORTED("""COMPUTED_VALUE"""),44894.3573842592)</f>
        <v>44894.357384259201</v>
      </c>
      <c r="I863" s="3">
        <f ca="1">IFERROR(__xludf.UNSUPPORTED("""COMPUTED_VALUE"""),23)</f>
        <v>23</v>
      </c>
      <c r="J863" s="4">
        <f ca="1">IFERROR(__xludf.UNSUPPORTED("""COMPUTED_VALUE"""),44895.3157175925)</f>
        <v>44895.315717592501</v>
      </c>
    </row>
    <row r="864" spans="1:12" ht="12.75">
      <c r="A864" s="3" t="str">
        <f ca="1">IFERROR(__xludf.UNSUPPORTED("""COMPUTED_VALUE"""),"e1014872")</f>
        <v>e1014872</v>
      </c>
      <c r="B864" s="4">
        <f ca="1">IFERROR(__xludf.UNSUPPORTED("""COMPUTED_VALUE"""),44896.393761574)</f>
        <v>44896.393761574</v>
      </c>
      <c r="C864" s="8" t="str">
        <f ca="1">IFERROR(__xludf.UNSUPPORTED("""COMPUTED_VALUE"""),"Itaqui")</f>
        <v>Itaqui</v>
      </c>
      <c r="D864" s="3" t="str">
        <f ca="1">IFERROR(__xludf.UNSUPPORTED("""COMPUTED_VALUE"""),"🚢 REGULAR")</f>
        <v>🚢 REGULAR</v>
      </c>
      <c r="E864" s="3" t="str">
        <f ca="1">IFERROR(__xludf.UNSUPPORTED("""COMPUTED_VALUE"""),"🚛 LIBERADO")</f>
        <v>🚛 LIBERADO</v>
      </c>
      <c r="F864" s="5">
        <f ca="1">IFERROR(__xludf.UNSUPPORTED("""COMPUTED_VALUE"""),0)</f>
        <v>0</v>
      </c>
      <c r="G864" s="3" t="str">
        <f ca="1">IFERROR(__xludf.UNSUPPORTED("""COMPUTED_VALUE"""),"Operação ocorrendo dentro da normalidade")</f>
        <v>Operação ocorrendo dentro da normalidade</v>
      </c>
      <c r="H864" s="4">
        <f ca="1">IFERROR(__xludf.UNSUPPORTED("""COMPUTED_VALUE"""),44896.3333333333)</f>
        <v>44896.333333333299</v>
      </c>
      <c r="I864" s="3">
        <f ca="1">IFERROR(__xludf.UNSUPPORTED("""COMPUTED_VALUE"""),24)</f>
        <v>24</v>
      </c>
      <c r="J864" s="4">
        <f ca="1">IFERROR(__xludf.UNSUPPORTED("""COMPUTED_VALUE"""),44897.3333333333)</f>
        <v>44897.333333333299</v>
      </c>
    </row>
    <row r="865" spans="1:12" ht="12.75">
      <c r="A865" s="3" t="str">
        <f ca="1">IFERROR(__xludf.UNSUPPORTED("""COMPUTED_VALUE"""),"c18e8c4e")</f>
        <v>c18e8c4e</v>
      </c>
      <c r="B865" s="4">
        <f ca="1">IFERROR(__xludf.UNSUPPORTED("""COMPUTED_VALUE"""),44900.6619560185)</f>
        <v>44900.661956018499</v>
      </c>
      <c r="C865" s="7" t="str">
        <f ca="1">IFERROR(__xludf.UNSUPPORTED("""COMPUTED_VALUE"""),"Itaqui")</f>
        <v>Itaqui</v>
      </c>
      <c r="D865" s="3" t="str">
        <f ca="1">IFERROR(__xludf.UNSUPPORTED("""COMPUTED_VALUE"""),"🚢 REGULAR")</f>
        <v>🚢 REGULAR</v>
      </c>
      <c r="E865" s="3" t="str">
        <f ca="1">IFERROR(__xludf.UNSUPPORTED("""COMPUTED_VALUE"""),"🚛 LIBERADO")</f>
        <v>🚛 LIBERADO</v>
      </c>
      <c r="F865" s="5">
        <f ca="1">IFERROR(__xludf.UNSUPPORTED("""COMPUTED_VALUE"""),0.25)</f>
        <v>0.25</v>
      </c>
      <c r="G865" s="3" t="str">
        <f ca="1">IFERROR(__xludf.UNSUPPORTED("""COMPUTED_VALUE"""),"Sem intercorrências")</f>
        <v>Sem intercorrências</v>
      </c>
      <c r="H865" s="4">
        <f ca="1">IFERROR(__xludf.UNSUPPORTED("""COMPUTED_VALUE"""),44900.6619560185)</f>
        <v>44900.661956018499</v>
      </c>
      <c r="I865" s="3">
        <f ca="1">IFERROR(__xludf.UNSUPPORTED("""COMPUTED_VALUE"""),24)</f>
        <v>24</v>
      </c>
      <c r="J865" s="4">
        <f ca="1">IFERROR(__xludf.UNSUPPORTED("""COMPUTED_VALUE"""),44901.6619560185)</f>
        <v>44901.661956018499</v>
      </c>
    </row>
    <row r="866" spans="1:12" ht="12.75">
      <c r="A866" s="3" t="str">
        <f ca="1">IFERROR(__xludf.UNSUPPORTED("""COMPUTED_VALUE"""),"4eaf84b6")</f>
        <v>4eaf84b6</v>
      </c>
      <c r="B866" s="4">
        <f ca="1">IFERROR(__xludf.UNSUPPORTED("""COMPUTED_VALUE"""),44901.402037037)</f>
        <v>44901.402037036998</v>
      </c>
      <c r="C866" s="8" t="str">
        <f ca="1">IFERROR(__xludf.UNSUPPORTED("""COMPUTED_VALUE"""),"Itaqui")</f>
        <v>Itaqui</v>
      </c>
      <c r="D866" s="3" t="str">
        <f ca="1">IFERROR(__xludf.UNSUPPORTED("""COMPUTED_VALUE"""),"🚢 REGULAR")</f>
        <v>🚢 REGULAR</v>
      </c>
      <c r="E866" s="3" t="str">
        <f ca="1">IFERROR(__xludf.UNSUPPORTED("""COMPUTED_VALUE"""),"🚛 LIBERADO")</f>
        <v>🚛 LIBERADO</v>
      </c>
      <c r="F866" s="5">
        <f ca="1">IFERROR(__xludf.UNSUPPORTED("""COMPUTED_VALUE"""),0.25)</f>
        <v>0.25</v>
      </c>
      <c r="G866" s="3" t="str">
        <f ca="1">IFERROR(__xludf.UNSUPPORTED("""COMPUTED_VALUE"""),"Sem intercorrências")</f>
        <v>Sem intercorrências</v>
      </c>
      <c r="H866" s="4">
        <f ca="1">IFERROR(__xludf.UNSUPPORTED("""COMPUTED_VALUE"""),44901.402037037)</f>
        <v>44901.402037036998</v>
      </c>
      <c r="I866" s="3">
        <f ca="1">IFERROR(__xludf.UNSUPPORTED("""COMPUTED_VALUE"""),24)</f>
        <v>24</v>
      </c>
      <c r="J866" s="4">
        <f ca="1">IFERROR(__xludf.UNSUPPORTED("""COMPUTED_VALUE"""),44902.402037037)</f>
        <v>44902.402037036998</v>
      </c>
    </row>
    <row r="867" spans="1:12" ht="12.75">
      <c r="A867" s="3" t="str">
        <f ca="1">IFERROR(__xludf.UNSUPPORTED("""COMPUTED_VALUE"""),"f6b9cad4")</f>
        <v>f6b9cad4</v>
      </c>
      <c r="B867" s="4">
        <f ca="1">IFERROR(__xludf.UNSUPPORTED("""COMPUTED_VALUE"""),44907.3755324074)</f>
        <v>44907.375532407401</v>
      </c>
      <c r="C867" s="7" t="str">
        <f ca="1">IFERROR(__xludf.UNSUPPORTED("""COMPUTED_VALUE"""),"Itaqui")</f>
        <v>Itaqui</v>
      </c>
      <c r="D867" s="3" t="str">
        <f ca="1">IFERROR(__xludf.UNSUPPORTED("""COMPUTED_VALUE"""),"🚢 REGULAR")</f>
        <v>🚢 REGULAR</v>
      </c>
      <c r="E867" s="3" t="str">
        <f ca="1">IFERROR(__xludf.UNSUPPORTED("""COMPUTED_VALUE"""),"🚛 LIBERADO")</f>
        <v>🚛 LIBERADO</v>
      </c>
      <c r="F867" s="5">
        <f ca="1">IFERROR(__xludf.UNSUPPORTED("""COMPUTED_VALUE"""),0.25)</f>
        <v>0.25</v>
      </c>
      <c r="G867" s="3" t="str">
        <f ca="1">IFERROR(__xludf.UNSUPPORTED("""COMPUTED_VALUE"""),"Normal")</f>
        <v>Normal</v>
      </c>
      <c r="H867" s="4">
        <f ca="1">IFERROR(__xludf.UNSUPPORTED("""COMPUTED_VALUE"""),44907.3755324074)</f>
        <v>44907.375532407401</v>
      </c>
      <c r="I867" s="3">
        <f ca="1">IFERROR(__xludf.UNSUPPORTED("""COMPUTED_VALUE"""),16)</f>
        <v>16</v>
      </c>
      <c r="J867" s="4">
        <f ca="1">IFERROR(__xludf.UNSUPPORTED("""COMPUTED_VALUE"""),44908.042199074)</f>
        <v>44908.042199074</v>
      </c>
    </row>
    <row r="868" spans="1:12" ht="12.75">
      <c r="A868" s="3" t="str">
        <f ca="1">IFERROR(__xludf.UNSUPPORTED("""COMPUTED_VALUE"""),"7bf02611")</f>
        <v>7bf02611</v>
      </c>
      <c r="B868" s="4">
        <f ca="1">IFERROR(__xludf.UNSUPPORTED("""COMPUTED_VALUE"""),44935.4165046296)</f>
        <v>44935.416504629597</v>
      </c>
      <c r="C868" s="7" t="str">
        <f ca="1">IFERROR(__xludf.UNSUPPORTED("""COMPUTED_VALUE"""),"Itaqui")</f>
        <v>Itaqui</v>
      </c>
      <c r="D868" s="3" t="str">
        <f ca="1">IFERROR(__xludf.UNSUPPORTED("""COMPUTED_VALUE"""),"🚢 REGULAR")</f>
        <v>🚢 REGULAR</v>
      </c>
      <c r="E868" s="3" t="str">
        <f ca="1">IFERROR(__xludf.UNSUPPORTED("""COMPUTED_VALUE"""),"🚛 LIBERADO")</f>
        <v>🚛 LIBERADO</v>
      </c>
      <c r="F868" s="5">
        <f ca="1">IFERROR(__xludf.UNSUPPORTED("""COMPUTED_VALUE"""),0)</f>
        <v>0</v>
      </c>
      <c r="G868" s="3" t="str">
        <f ca="1">IFERROR(__xludf.UNSUPPORTED("""COMPUTED_VALUE"""),"Normalidade")</f>
        <v>Normalidade</v>
      </c>
      <c r="H868" s="4">
        <f ca="1">IFERROR(__xludf.UNSUPPORTED("""COMPUTED_VALUE"""),44935.4165046296)</f>
        <v>44935.416504629597</v>
      </c>
      <c r="I868" s="3">
        <f ca="1">IFERROR(__xludf.UNSUPPORTED("""COMPUTED_VALUE"""),24)</f>
        <v>24</v>
      </c>
      <c r="J868" s="4">
        <f ca="1">IFERROR(__xludf.UNSUPPORTED("""COMPUTED_VALUE"""),44936.4165046296)</f>
        <v>44936.416504629597</v>
      </c>
      <c r="L868" s="3" t="str">
        <f ca="1">IFERROR(__xludf.UNSUPPORTED("""COMPUTED_VALUE"""),"Normalidade")</f>
        <v>Normalidade</v>
      </c>
    </row>
    <row r="869" spans="1:12" ht="12.75">
      <c r="A869" s="3" t="str">
        <f ca="1">IFERROR(__xludf.UNSUPPORTED("""COMPUTED_VALUE"""),"242cd10a")</f>
        <v>242cd10a</v>
      </c>
      <c r="B869" s="4">
        <f ca="1">IFERROR(__xludf.UNSUPPORTED("""COMPUTED_VALUE"""),44935.4175578703)</f>
        <v>44935.4175578703</v>
      </c>
      <c r="C869" s="8" t="str">
        <f ca="1">IFERROR(__xludf.UNSUPPORTED("""COMPUTED_VALUE"""),"Itaqui")</f>
        <v>Itaqui</v>
      </c>
      <c r="D869" s="3" t="str">
        <f ca="1">IFERROR(__xludf.UNSUPPORTED("""COMPUTED_VALUE"""),"🚢 REGULAR")</f>
        <v>🚢 REGULAR</v>
      </c>
      <c r="E869" s="3" t="str">
        <f ca="1">IFERROR(__xludf.UNSUPPORTED("""COMPUTED_VALUE"""),"🚛 LIBERADO")</f>
        <v>🚛 LIBERADO</v>
      </c>
      <c r="F869" s="5">
        <f ca="1">IFERROR(__xludf.UNSUPPORTED("""COMPUTED_VALUE"""),0)</f>
        <v>0</v>
      </c>
      <c r="G869" s="3" t="str">
        <f ca="1">IFERROR(__xludf.UNSUPPORTED("""COMPUTED_VALUE"""),"Normalidade")</f>
        <v>Normalidade</v>
      </c>
      <c r="H869" s="4">
        <f ca="1">IFERROR(__xludf.UNSUPPORTED("""COMPUTED_VALUE"""),44935.4175578703)</f>
        <v>44935.4175578703</v>
      </c>
      <c r="I869" s="3">
        <f ca="1">IFERROR(__xludf.UNSUPPORTED("""COMPUTED_VALUE"""),24)</f>
        <v>24</v>
      </c>
      <c r="J869" s="4">
        <f ca="1">IFERROR(__xludf.UNSUPPORTED("""COMPUTED_VALUE"""),44936.4175578703)</f>
        <v>44936.4175578703</v>
      </c>
      <c r="L869" s="3" t="str">
        <f ca="1">IFERROR(__xludf.UNSUPPORTED("""COMPUTED_VALUE"""),"Normalidade")</f>
        <v>Normalidade</v>
      </c>
    </row>
    <row r="870" spans="1:12" ht="12.75">
      <c r="A870" s="3" t="str">
        <f ca="1">IFERROR(__xludf.UNSUPPORTED("""COMPUTED_VALUE"""),"8e4027a0")</f>
        <v>8e4027a0</v>
      </c>
      <c r="B870" s="4">
        <f ca="1">IFERROR(__xludf.UNSUPPORTED("""COMPUTED_VALUE"""),45400.4424537037)</f>
        <v>45400.442453703698</v>
      </c>
      <c r="C870" s="7" t="str">
        <f ca="1">IFERROR(__xludf.UNSUPPORTED("""COMPUTED_VALUE"""),"Itaqui")</f>
        <v>Itaqui</v>
      </c>
      <c r="D870" s="3" t="str">
        <f ca="1">IFERROR(__xludf.UNSUPPORTED("""COMPUTED_VALUE"""),"🚢 REGULAR")</f>
        <v>🚢 REGULAR</v>
      </c>
      <c r="E870" s="3" t="str">
        <f ca="1">IFERROR(__xludf.UNSUPPORTED("""COMPUTED_VALUE"""),"🚛 LIBERADO")</f>
        <v>🚛 LIBERADO</v>
      </c>
      <c r="F870" s="5">
        <f ca="1">IFERROR(__xludf.UNSUPPORTED("""COMPUTED_VALUE"""),0)</f>
        <v>0</v>
      </c>
      <c r="G870" s="3" t="str">
        <f ca="1">IFERROR(__xludf.UNSUPPORTED("""COMPUTED_VALUE"""),"Normalidade")</f>
        <v>Normalidade</v>
      </c>
      <c r="H870" s="4">
        <f ca="1">IFERROR(__xludf.UNSUPPORTED("""COMPUTED_VALUE"""),45400.4424537037)</f>
        <v>45400.442453703698</v>
      </c>
      <c r="I870" s="3">
        <f ca="1">IFERROR(__xludf.UNSUPPORTED("""COMPUTED_VALUE"""),24)</f>
        <v>24</v>
      </c>
      <c r="J870" s="4">
        <f ca="1">IFERROR(__xludf.UNSUPPORTED("""COMPUTED_VALUE"""),45401.4424537037)</f>
        <v>45401.442453703698</v>
      </c>
      <c r="L870" s="3" t="str">
        <f ca="1">IFERROR(__xludf.UNSUPPORTED("""COMPUTED_VALUE"""),"Normalidade")</f>
        <v>Normalidade</v>
      </c>
    </row>
    <row r="871" spans="1:12" ht="12.75">
      <c r="A871" s="3" t="str">
        <f ca="1">IFERROR(__xludf.UNSUPPORTED("""COMPUTED_VALUE"""),"OHWxMTde")</f>
        <v>OHWxMTde</v>
      </c>
      <c r="B871" s="4">
        <f ca="1">IFERROR(__xludf.UNSUPPORTED("""COMPUTED_VALUE"""),44589.5)</f>
        <v>44589.5</v>
      </c>
      <c r="C871" s="7" t="str">
        <f ca="1">IFERROR(__xludf.UNSUPPORTED("""COMPUTED_VALUE"""),"Maceió")</f>
        <v>Maceió</v>
      </c>
      <c r="D871" s="3" t="str">
        <f ca="1">IFERROR(__xludf.UNSUPPORTED("""COMPUTED_VALUE"""),"🚢 REGULAR")</f>
        <v>🚢 REGULAR</v>
      </c>
      <c r="E871" s="3" t="str">
        <f ca="1">IFERROR(__xludf.UNSUPPORTED("""COMPUTED_VALUE"""),"⛔️ BLOQUEADO")</f>
        <v>⛔️ BLOQUEADO</v>
      </c>
      <c r="F871" s="5">
        <f ca="1">IFERROR(__xludf.UNSUPPORTED("""COMPUTED_VALUE"""),0.65)</f>
        <v>0.65</v>
      </c>
      <c r="G871" s="3" t="str">
        <f ca="1">IFERROR(__xludf.UNSUPPORTED("""COMPUTED_VALUE"""),"Por conta do feriado do dia dos portuários a administração está fechada. Temos um navio de açúcar demerara a granel, onde a operação e por shippoader o qual está operando normalmente. Porém a entrada do porto está bloqueada, ninguém entra ou sai.")</f>
        <v>Por conta do feriado do dia dos portuários a administração está fechada. Temos um navio de açúcar demerara a granel, onde a operação e por shippoader o qual está operando normalmente. Porém a entrada do porto está bloqueada, ninguém entra ou sai.</v>
      </c>
      <c r="H871" s="4">
        <f ca="1">IFERROR(__xludf.UNSUPPORTED("""COMPUTED_VALUE"""),44589.5777777777)</f>
        <v>44589.577777777697</v>
      </c>
      <c r="I871" s="3">
        <f ca="1">IFERROR(__xludf.UNSUPPORTED("""COMPUTED_VALUE"""),3)</f>
        <v>3</v>
      </c>
      <c r="J871" s="4">
        <f ca="1">IFERROR(__xludf.UNSUPPORTED("""COMPUTED_VALUE"""),44589.7027777777)</f>
        <v>44589.702777777697</v>
      </c>
    </row>
    <row r="872" spans="1:12" ht="12.75">
      <c r="A872" s="3" t="str">
        <f ca="1">IFERROR(__xludf.UNSUPPORTED("""COMPUTED_VALUE"""),"4937d63f")</f>
        <v>4937d63f</v>
      </c>
      <c r="B872" s="4">
        <f ca="1">IFERROR(__xludf.UNSUPPORTED("""COMPUTED_VALUE"""),44866.4575347222)</f>
        <v>44866.457534722198</v>
      </c>
      <c r="C872" s="8" t="str">
        <f ca="1">IFERROR(__xludf.UNSUPPORTED("""COMPUTED_VALUE"""),"Maceió")</f>
        <v>Maceió</v>
      </c>
      <c r="D872" s="3" t="str">
        <f ca="1">IFERROR(__xludf.UNSUPPORTED("""COMPUTED_VALUE"""),"🚢 REGULAR")</f>
        <v>🚢 REGULAR</v>
      </c>
      <c r="E872" s="3" t="str">
        <f ca="1">IFERROR(__xludf.UNSUPPORTED("""COMPUTED_VALUE"""),"🚛 LIBERADO")</f>
        <v>🚛 LIBERADO</v>
      </c>
      <c r="F872" s="5">
        <f ca="1">IFERROR(__xludf.UNSUPPORTED("""COMPUTED_VALUE"""),0)</f>
        <v>0</v>
      </c>
      <c r="G872" s="3" t="str">
        <f ca="1">IFERROR(__xludf.UNSUPPORTED("""COMPUTED_VALUE"""),"situação normal")</f>
        <v>situação normal</v>
      </c>
      <c r="H872" s="4">
        <f ca="1">IFERROR(__xludf.UNSUPPORTED("""COMPUTED_VALUE"""),44866.4575347222)</f>
        <v>44866.457534722198</v>
      </c>
      <c r="I872" s="3">
        <f ca="1">IFERROR(__xludf.UNSUPPORTED("""COMPUTED_VALUE"""),8)</f>
        <v>8</v>
      </c>
      <c r="J872" s="4">
        <f ca="1">IFERROR(__xludf.UNSUPPORTED("""COMPUTED_VALUE"""),44866.7908680555)</f>
        <v>44866.790868055497</v>
      </c>
    </row>
    <row r="873" spans="1:12" ht="12.75">
      <c r="A873" s="3" t="str">
        <f ca="1">IFERROR(__xludf.UNSUPPORTED("""COMPUTED_VALUE"""),"7a51ec91")</f>
        <v>7a51ec91</v>
      </c>
      <c r="B873" s="4">
        <f ca="1">IFERROR(__xludf.UNSUPPORTED("""COMPUTED_VALUE"""),44868.3858333333)</f>
        <v>44868.385833333297</v>
      </c>
      <c r="C873" s="8" t="str">
        <f ca="1">IFERROR(__xludf.UNSUPPORTED("""COMPUTED_VALUE"""),"Maceió")</f>
        <v>Maceió</v>
      </c>
      <c r="D873" s="3" t="str">
        <f ca="1">IFERROR(__xludf.UNSUPPORTED("""COMPUTED_VALUE"""),"🚢 REGULAR")</f>
        <v>🚢 REGULAR</v>
      </c>
      <c r="E873" s="3" t="str">
        <f ca="1">IFERROR(__xludf.UNSUPPORTED("""COMPUTED_VALUE"""),"🚛 LIBERADO")</f>
        <v>🚛 LIBERADO</v>
      </c>
      <c r="F873" s="5">
        <f ca="1">IFERROR(__xludf.UNSUPPORTED("""COMPUTED_VALUE"""),0)</f>
        <v>0</v>
      </c>
      <c r="G873" s="3" t="str">
        <f ca="1">IFERROR(__xludf.UNSUPPORTED("""COMPUTED_VALUE"""),"Situação normal")</f>
        <v>Situação normal</v>
      </c>
      <c r="H873" s="4">
        <f ca="1">IFERROR(__xludf.UNSUPPORTED("""COMPUTED_VALUE"""),44868.3858333333)</f>
        <v>44868.385833333297</v>
      </c>
      <c r="I873" s="3">
        <f ca="1">IFERROR(__xludf.UNSUPPORTED("""COMPUTED_VALUE"""),1)</f>
        <v>1</v>
      </c>
      <c r="J873" s="4">
        <f ca="1">IFERROR(__xludf.UNSUPPORTED("""COMPUTED_VALUE"""),44868.4275)</f>
        <v>44868.427499999998</v>
      </c>
    </row>
    <row r="874" spans="1:12" ht="12.75">
      <c r="A874" s="3" t="str">
        <f ca="1">IFERROR(__xludf.UNSUPPORTED("""COMPUTED_VALUE"""),"d0d2d368")</f>
        <v>d0d2d368</v>
      </c>
      <c r="B874" s="4">
        <f ca="1">IFERROR(__xludf.UNSUPPORTED("""COMPUTED_VALUE"""),44869.40875)</f>
        <v>44869.408750000002</v>
      </c>
      <c r="C874" s="7" t="str">
        <f ca="1">IFERROR(__xludf.UNSUPPORTED("""COMPUTED_VALUE"""),"Maceió")</f>
        <v>Maceió</v>
      </c>
      <c r="D874" s="3" t="str">
        <f ca="1">IFERROR(__xludf.UNSUPPORTED("""COMPUTED_VALUE"""),"🚢 REGULAR")</f>
        <v>🚢 REGULAR</v>
      </c>
      <c r="E874" s="3" t="str">
        <f ca="1">IFERROR(__xludf.UNSUPPORTED("""COMPUTED_VALUE"""),"🚛 LIBERADO")</f>
        <v>🚛 LIBERADO</v>
      </c>
      <c r="F874" s="5">
        <f ca="1">IFERROR(__xludf.UNSUPPORTED("""COMPUTED_VALUE"""),0)</f>
        <v>0</v>
      </c>
      <c r="G874" s="3" t="str">
        <f ca="1">IFERROR(__xludf.UNSUPPORTED("""COMPUTED_VALUE"""),"Normal")</f>
        <v>Normal</v>
      </c>
      <c r="H874" s="4">
        <f ca="1">IFERROR(__xludf.UNSUPPORTED("""COMPUTED_VALUE"""),44869.40875)</f>
        <v>44869.408750000002</v>
      </c>
      <c r="I874" s="3">
        <f ca="1">IFERROR(__xludf.UNSUPPORTED("""COMPUTED_VALUE"""),1)</f>
        <v>1</v>
      </c>
      <c r="J874" s="4">
        <f ca="1">IFERROR(__xludf.UNSUPPORTED("""COMPUTED_VALUE"""),44869.4504166666)</f>
        <v>44869.450416666601</v>
      </c>
    </row>
    <row r="875" spans="1:12" ht="12.75">
      <c r="A875" s="3" t="str">
        <f ca="1">IFERROR(__xludf.UNSUPPORTED("""COMPUTED_VALUE"""),"7e44c444")</f>
        <v>7e44c444</v>
      </c>
      <c r="B875" s="4">
        <f ca="1">IFERROR(__xludf.UNSUPPORTED("""COMPUTED_VALUE"""),44870.402974537)</f>
        <v>44870.402974536999</v>
      </c>
      <c r="C875" s="7" t="str">
        <f ca="1">IFERROR(__xludf.UNSUPPORTED("""COMPUTED_VALUE"""),"Maceió")</f>
        <v>Maceió</v>
      </c>
      <c r="D875" s="3" t="str">
        <f ca="1">IFERROR(__xludf.UNSUPPORTED("""COMPUTED_VALUE"""),"🚢 REGULAR")</f>
        <v>🚢 REGULAR</v>
      </c>
      <c r="E875" s="3" t="str">
        <f ca="1">IFERROR(__xludf.UNSUPPORTED("""COMPUTED_VALUE"""),"🚛 LIBERADO")</f>
        <v>🚛 LIBERADO</v>
      </c>
      <c r="F875" s="5">
        <f ca="1">IFERROR(__xludf.UNSUPPORTED("""COMPUTED_VALUE"""),0)</f>
        <v>0</v>
      </c>
      <c r="G875" s="3" t="str">
        <f ca="1">IFERROR(__xludf.UNSUPPORTED("""COMPUTED_VALUE"""),"Normal")</f>
        <v>Normal</v>
      </c>
      <c r="H875" s="4">
        <f ca="1">IFERROR(__xludf.UNSUPPORTED("""COMPUTED_VALUE"""),44870.402974537)</f>
        <v>44870.402974536999</v>
      </c>
      <c r="I875" s="3">
        <f ca="1">IFERROR(__xludf.UNSUPPORTED("""COMPUTED_VALUE"""),1)</f>
        <v>1</v>
      </c>
      <c r="J875" s="4">
        <f ca="1">IFERROR(__xludf.UNSUPPORTED("""COMPUTED_VALUE"""),44870.4446412037)</f>
        <v>44870.4446412037</v>
      </c>
    </row>
    <row r="876" spans="1:12" ht="12.75">
      <c r="A876" s="3" t="str">
        <f ca="1">IFERROR(__xludf.UNSUPPORTED("""COMPUTED_VALUE"""),"683cef1a")</f>
        <v>683cef1a</v>
      </c>
      <c r="B876" s="4">
        <f ca="1">IFERROR(__xludf.UNSUPPORTED("""COMPUTED_VALUE"""),44871.4185763888)</f>
        <v>44871.418576388802</v>
      </c>
      <c r="C876" s="7" t="str">
        <f ca="1">IFERROR(__xludf.UNSUPPORTED("""COMPUTED_VALUE"""),"Maceió")</f>
        <v>Maceió</v>
      </c>
      <c r="D876" s="3" t="str">
        <f ca="1">IFERROR(__xludf.UNSUPPORTED("""COMPUTED_VALUE"""),"🚢 REGULAR")</f>
        <v>🚢 REGULAR</v>
      </c>
      <c r="E876" s="3" t="str">
        <f ca="1">IFERROR(__xludf.UNSUPPORTED("""COMPUTED_VALUE"""),"🚛 LIBERADO")</f>
        <v>🚛 LIBERADO</v>
      </c>
      <c r="F876" s="5">
        <f ca="1">IFERROR(__xludf.UNSUPPORTED("""COMPUTED_VALUE"""),0)</f>
        <v>0</v>
      </c>
      <c r="G876" s="3" t="str">
        <f ca="1">IFERROR(__xludf.UNSUPPORTED("""COMPUTED_VALUE"""),"Normal")</f>
        <v>Normal</v>
      </c>
      <c r="H876" s="4">
        <f ca="1">IFERROR(__xludf.UNSUPPORTED("""COMPUTED_VALUE"""),44871.4185763888)</f>
        <v>44871.418576388802</v>
      </c>
      <c r="I876" s="3">
        <f ca="1">IFERROR(__xludf.UNSUPPORTED("""COMPUTED_VALUE"""),1)</f>
        <v>1</v>
      </c>
      <c r="J876" s="4">
        <f ca="1">IFERROR(__xludf.UNSUPPORTED("""COMPUTED_VALUE"""),44871.4602430555)</f>
        <v>44871.460243055502</v>
      </c>
    </row>
    <row r="877" spans="1:12" ht="12.75">
      <c r="A877" s="3" t="str">
        <f ca="1">IFERROR(__xludf.UNSUPPORTED("""COMPUTED_VALUE"""),"2c8926b2")</f>
        <v>2c8926b2</v>
      </c>
      <c r="B877" s="4">
        <f ca="1">IFERROR(__xludf.UNSUPPORTED("""COMPUTED_VALUE"""),44872.53625)</f>
        <v>44872.536249999997</v>
      </c>
      <c r="C877" s="8" t="str">
        <f ca="1">IFERROR(__xludf.UNSUPPORTED("""COMPUTED_VALUE"""),"Maceió")</f>
        <v>Maceió</v>
      </c>
      <c r="D877" s="3" t="str">
        <f ca="1">IFERROR(__xludf.UNSUPPORTED("""COMPUTED_VALUE"""),"🚢 REGULAR")</f>
        <v>🚢 REGULAR</v>
      </c>
      <c r="E877" s="3" t="str">
        <f ca="1">IFERROR(__xludf.UNSUPPORTED("""COMPUTED_VALUE"""),"🚛 LIBERADO")</f>
        <v>🚛 LIBERADO</v>
      </c>
      <c r="F877" s="5">
        <f ca="1">IFERROR(__xludf.UNSUPPORTED("""COMPUTED_VALUE"""),0)</f>
        <v>0</v>
      </c>
      <c r="G877" s="3" t="str">
        <f ca="1">IFERROR(__xludf.UNSUPPORTED("""COMPUTED_VALUE"""),"Normal")</f>
        <v>Normal</v>
      </c>
      <c r="H877" s="4">
        <f ca="1">IFERROR(__xludf.UNSUPPORTED("""COMPUTED_VALUE"""),44872.53625)</f>
        <v>44872.536249999997</v>
      </c>
      <c r="I877" s="3">
        <f ca="1">IFERROR(__xludf.UNSUPPORTED("""COMPUTED_VALUE"""),1)</f>
        <v>1</v>
      </c>
      <c r="J877" s="4">
        <f ca="1">IFERROR(__xludf.UNSUPPORTED("""COMPUTED_VALUE"""),44872.5779166666)</f>
        <v>44872.577916666603</v>
      </c>
    </row>
    <row r="878" spans="1:12" ht="12.75">
      <c r="A878" s="3" t="str">
        <f ca="1">IFERROR(__xludf.UNSUPPORTED("""COMPUTED_VALUE"""),"33c9b613")</f>
        <v>33c9b613</v>
      </c>
      <c r="B878" s="4">
        <f ca="1">IFERROR(__xludf.UNSUPPORTED("""COMPUTED_VALUE"""),44874.6210300925)</f>
        <v>44874.621030092501</v>
      </c>
      <c r="C878" s="8" t="str">
        <f ca="1">IFERROR(__xludf.UNSUPPORTED("""COMPUTED_VALUE"""),"Maceió")</f>
        <v>Maceió</v>
      </c>
      <c r="D878" s="3" t="str">
        <f ca="1">IFERROR(__xludf.UNSUPPORTED("""COMPUTED_VALUE"""),"🚢 REGULAR")</f>
        <v>🚢 REGULAR</v>
      </c>
      <c r="E878" s="3" t="str">
        <f ca="1">IFERROR(__xludf.UNSUPPORTED("""COMPUTED_VALUE"""),"🚛 LIBERADO")</f>
        <v>🚛 LIBERADO</v>
      </c>
      <c r="F878" s="5">
        <f ca="1">IFERROR(__xludf.UNSUPPORTED("""COMPUTED_VALUE"""),0)</f>
        <v>0</v>
      </c>
      <c r="G878" s="3" t="str">
        <f ca="1">IFERROR(__xludf.UNSUPPORTED("""COMPUTED_VALUE"""),"Normal")</f>
        <v>Normal</v>
      </c>
      <c r="H878" s="4">
        <f ca="1">IFERROR(__xludf.UNSUPPORTED("""COMPUTED_VALUE"""),44874.6210300925)</f>
        <v>44874.621030092501</v>
      </c>
      <c r="I878" s="3">
        <f ca="1">IFERROR(__xludf.UNSUPPORTED("""COMPUTED_VALUE"""),1)</f>
        <v>1</v>
      </c>
      <c r="J878" s="4">
        <f ca="1">IFERROR(__xludf.UNSUPPORTED("""COMPUTED_VALUE"""),44874.6626967592)</f>
        <v>44874.662696759202</v>
      </c>
    </row>
    <row r="879" spans="1:12" ht="12.75">
      <c r="A879" s="3" t="str">
        <f ca="1">IFERROR(__xludf.UNSUPPORTED("""COMPUTED_VALUE"""),"15718767")</f>
        <v>15718767</v>
      </c>
      <c r="B879" s="4">
        <f ca="1">IFERROR(__xludf.UNSUPPORTED("""COMPUTED_VALUE"""),44875.6402430555)</f>
        <v>44875.640243055503</v>
      </c>
      <c r="C879" s="7" t="str">
        <f ca="1">IFERROR(__xludf.UNSUPPORTED("""COMPUTED_VALUE"""),"Maceió")</f>
        <v>Maceió</v>
      </c>
      <c r="D879" s="3" t="str">
        <f ca="1">IFERROR(__xludf.UNSUPPORTED("""COMPUTED_VALUE"""),"🚢 REGULAR")</f>
        <v>🚢 REGULAR</v>
      </c>
      <c r="E879" s="3" t="str">
        <f ca="1">IFERROR(__xludf.UNSUPPORTED("""COMPUTED_VALUE"""),"🚛 LIBERADO")</f>
        <v>🚛 LIBERADO</v>
      </c>
      <c r="F879" s="5">
        <f ca="1">IFERROR(__xludf.UNSUPPORTED("""COMPUTED_VALUE"""),0)</f>
        <v>0</v>
      </c>
      <c r="G879" s="3" t="str">
        <f ca="1">IFERROR(__xludf.UNSUPPORTED("""COMPUTED_VALUE"""),"Normal")</f>
        <v>Normal</v>
      </c>
      <c r="H879" s="4">
        <f ca="1">IFERROR(__xludf.UNSUPPORTED("""COMPUTED_VALUE"""),44875.6402430555)</f>
        <v>44875.640243055503</v>
      </c>
      <c r="I879" s="3">
        <f ca="1">IFERROR(__xludf.UNSUPPORTED("""COMPUTED_VALUE"""),1)</f>
        <v>1</v>
      </c>
      <c r="J879" s="4">
        <f ca="1">IFERROR(__xludf.UNSUPPORTED("""COMPUTED_VALUE"""),44875.6819097222)</f>
        <v>44875.681909722203</v>
      </c>
    </row>
    <row r="880" spans="1:12" ht="12.75">
      <c r="A880" s="3" t="str">
        <f ca="1">IFERROR(__xludf.UNSUPPORTED("""COMPUTED_VALUE"""),"2d184142")</f>
        <v>2d184142</v>
      </c>
      <c r="B880" s="4">
        <f ca="1">IFERROR(__xludf.UNSUPPORTED("""COMPUTED_VALUE"""),44878.6676041666)</f>
        <v>44878.6676041666</v>
      </c>
      <c r="C880" s="7" t="str">
        <f ca="1">IFERROR(__xludf.UNSUPPORTED("""COMPUTED_VALUE"""),"Maceió")</f>
        <v>Maceió</v>
      </c>
      <c r="D880" s="3" t="str">
        <f ca="1">IFERROR(__xludf.UNSUPPORTED("""COMPUTED_VALUE"""),"🚢 REGULAR")</f>
        <v>🚢 REGULAR</v>
      </c>
      <c r="E880" s="3" t="str">
        <f ca="1">IFERROR(__xludf.UNSUPPORTED("""COMPUTED_VALUE"""),"🚛 LIBERADO")</f>
        <v>🚛 LIBERADO</v>
      </c>
      <c r="F880" s="5">
        <f ca="1">IFERROR(__xludf.UNSUPPORTED("""COMPUTED_VALUE"""),0)</f>
        <v>0</v>
      </c>
      <c r="G880" s="3" t="str">
        <f ca="1">IFERROR(__xludf.UNSUPPORTED("""COMPUTED_VALUE"""),"Normal")</f>
        <v>Normal</v>
      </c>
      <c r="H880" s="4">
        <f ca="1">IFERROR(__xludf.UNSUPPORTED("""COMPUTED_VALUE"""),44878.6676041666)</f>
        <v>44878.6676041666</v>
      </c>
      <c r="I880" s="3">
        <f ca="1">IFERROR(__xludf.UNSUPPORTED("""COMPUTED_VALUE"""),1)</f>
        <v>1</v>
      </c>
      <c r="J880" s="4">
        <f ca="1">IFERROR(__xludf.UNSUPPORTED("""COMPUTED_VALUE"""),44878.7092708333)</f>
        <v>44878.7092708333</v>
      </c>
    </row>
    <row r="881" spans="1:10" ht="12.75">
      <c r="A881" s="3" t="str">
        <f ca="1">IFERROR(__xludf.UNSUPPORTED("""COMPUTED_VALUE"""),"f8b41a9a")</f>
        <v>f8b41a9a</v>
      </c>
      <c r="B881" s="4">
        <f ca="1">IFERROR(__xludf.UNSUPPORTED("""COMPUTED_VALUE"""),44879.3629976851)</f>
        <v>44879.362997685101</v>
      </c>
      <c r="C881" s="7" t="str">
        <f ca="1">IFERROR(__xludf.UNSUPPORTED("""COMPUTED_VALUE"""),"Maceió")</f>
        <v>Maceió</v>
      </c>
      <c r="D881" s="3" t="str">
        <f ca="1">IFERROR(__xludf.UNSUPPORTED("""COMPUTED_VALUE"""),"🚢 REGULAR")</f>
        <v>🚢 REGULAR</v>
      </c>
      <c r="E881" s="3" t="str">
        <f ca="1">IFERROR(__xludf.UNSUPPORTED("""COMPUTED_VALUE"""),"🚛 LIBERADO")</f>
        <v>🚛 LIBERADO</v>
      </c>
      <c r="F881" s="5">
        <f ca="1">IFERROR(__xludf.UNSUPPORTED("""COMPUTED_VALUE"""),0)</f>
        <v>0</v>
      </c>
      <c r="G881" s="3" t="str">
        <f ca="1">IFERROR(__xludf.UNSUPPORTED("""COMPUTED_VALUE"""),"Normal")</f>
        <v>Normal</v>
      </c>
      <c r="H881" s="4">
        <f ca="1">IFERROR(__xludf.UNSUPPORTED("""COMPUTED_VALUE"""),44879.3629976851)</f>
        <v>44879.362997685101</v>
      </c>
      <c r="I881" s="3">
        <f ca="1">IFERROR(__xludf.UNSUPPORTED("""COMPUTED_VALUE"""),1)</f>
        <v>1</v>
      </c>
      <c r="J881" s="4">
        <f ca="1">IFERROR(__xludf.UNSUPPORTED("""COMPUTED_VALUE"""),44879.4046643518)</f>
        <v>44879.404664351801</v>
      </c>
    </row>
    <row r="882" spans="1:10" ht="12.75">
      <c r="A882" s="3" t="str">
        <f ca="1">IFERROR(__xludf.UNSUPPORTED("""COMPUTED_VALUE"""),"3f3d0bd6")</f>
        <v>3f3d0bd6</v>
      </c>
      <c r="B882" s="4">
        <f ca="1">IFERROR(__xludf.UNSUPPORTED("""COMPUTED_VALUE"""),44880.353599537)</f>
        <v>44880.353599536997</v>
      </c>
      <c r="C882" s="7" t="str">
        <f ca="1">IFERROR(__xludf.UNSUPPORTED("""COMPUTED_VALUE"""),"Maceió")</f>
        <v>Maceió</v>
      </c>
      <c r="D882" s="3" t="str">
        <f ca="1">IFERROR(__xludf.UNSUPPORTED("""COMPUTED_VALUE"""),"🚢 REGULAR")</f>
        <v>🚢 REGULAR</v>
      </c>
      <c r="E882" s="3" t="str">
        <f ca="1">IFERROR(__xludf.UNSUPPORTED("""COMPUTED_VALUE"""),"🚛 LIBERADO")</f>
        <v>🚛 LIBERADO</v>
      </c>
      <c r="F882" s="5">
        <f ca="1">IFERROR(__xludf.UNSUPPORTED("""COMPUTED_VALUE"""),0)</f>
        <v>0</v>
      </c>
      <c r="G882" s="3" t="str">
        <f ca="1">IFERROR(__xludf.UNSUPPORTED("""COMPUTED_VALUE"""),"Normal")</f>
        <v>Normal</v>
      </c>
      <c r="H882" s="4">
        <f ca="1">IFERROR(__xludf.UNSUPPORTED("""COMPUTED_VALUE"""),44880.353599537)</f>
        <v>44880.353599536997</v>
      </c>
      <c r="I882" s="3">
        <f ca="1">IFERROR(__xludf.UNSUPPORTED("""COMPUTED_VALUE"""),1)</f>
        <v>1</v>
      </c>
      <c r="J882" s="4">
        <f ca="1">IFERROR(__xludf.UNSUPPORTED("""COMPUTED_VALUE"""),44880.3952662037)</f>
        <v>44880.395266203697</v>
      </c>
    </row>
    <row r="883" spans="1:10" ht="12.75">
      <c r="A883" s="3" t="str">
        <f ca="1">IFERROR(__xludf.UNSUPPORTED("""COMPUTED_VALUE"""),"d09733a8")</f>
        <v>d09733a8</v>
      </c>
      <c r="B883" s="4">
        <f ca="1">IFERROR(__xludf.UNSUPPORTED("""COMPUTED_VALUE"""),44881.7357754629)</f>
        <v>44881.735775462897</v>
      </c>
      <c r="C883" s="8" t="str">
        <f ca="1">IFERROR(__xludf.UNSUPPORTED("""COMPUTED_VALUE"""),"Maceió")</f>
        <v>Maceió</v>
      </c>
      <c r="D883" s="3" t="str">
        <f ca="1">IFERROR(__xludf.UNSUPPORTED("""COMPUTED_VALUE"""),"🚢 REGULAR")</f>
        <v>🚢 REGULAR</v>
      </c>
      <c r="E883" s="3" t="str">
        <f ca="1">IFERROR(__xludf.UNSUPPORTED("""COMPUTED_VALUE"""),"🚛 LIBERADO")</f>
        <v>🚛 LIBERADO</v>
      </c>
      <c r="F883" s="5">
        <f ca="1">IFERROR(__xludf.UNSUPPORTED("""COMPUTED_VALUE"""),0)</f>
        <v>0</v>
      </c>
      <c r="G883" s="3" t="str">
        <f ca="1">IFERROR(__xludf.UNSUPPORTED("""COMPUTED_VALUE"""),"Normal")</f>
        <v>Normal</v>
      </c>
      <c r="H883" s="4">
        <f ca="1">IFERROR(__xludf.UNSUPPORTED("""COMPUTED_VALUE"""),44881.7357754629)</f>
        <v>44881.735775462897</v>
      </c>
      <c r="I883" s="3">
        <f ca="1">IFERROR(__xludf.UNSUPPORTED("""COMPUTED_VALUE"""),1)</f>
        <v>1</v>
      </c>
      <c r="J883" s="4">
        <f ca="1">IFERROR(__xludf.UNSUPPORTED("""COMPUTED_VALUE"""),44881.7774421296)</f>
        <v>44881.777442129598</v>
      </c>
    </row>
    <row r="884" spans="1:10" ht="12.75">
      <c r="A884" s="3" t="str">
        <f ca="1">IFERROR(__xludf.UNSUPPORTED("""COMPUTED_VALUE"""),"2eaa06f6")</f>
        <v>2eaa06f6</v>
      </c>
      <c r="B884" s="4">
        <f ca="1">IFERROR(__xludf.UNSUPPORTED("""COMPUTED_VALUE"""),44883.344699074)</f>
        <v>44883.344699073998</v>
      </c>
      <c r="C884" s="8" t="str">
        <f ca="1">IFERROR(__xludf.UNSUPPORTED("""COMPUTED_VALUE"""),"Maceió")</f>
        <v>Maceió</v>
      </c>
      <c r="D884" s="3" t="str">
        <f ca="1">IFERROR(__xludf.UNSUPPORTED("""COMPUTED_VALUE"""),"🚢 REGULAR")</f>
        <v>🚢 REGULAR</v>
      </c>
      <c r="E884" s="3" t="str">
        <f ca="1">IFERROR(__xludf.UNSUPPORTED("""COMPUTED_VALUE"""),"🚛 LIBERADO")</f>
        <v>🚛 LIBERADO</v>
      </c>
      <c r="F884" s="5">
        <f ca="1">IFERROR(__xludf.UNSUPPORTED("""COMPUTED_VALUE"""),0)</f>
        <v>0</v>
      </c>
      <c r="G884" s="3" t="str">
        <f ca="1">IFERROR(__xludf.UNSUPPORTED("""COMPUTED_VALUE"""),"Normal")</f>
        <v>Normal</v>
      </c>
      <c r="H884" s="4">
        <f ca="1">IFERROR(__xludf.UNSUPPORTED("""COMPUTED_VALUE"""),44883.344699074)</f>
        <v>44883.344699073998</v>
      </c>
      <c r="I884" s="3">
        <f ca="1">IFERROR(__xludf.UNSUPPORTED("""COMPUTED_VALUE"""),1)</f>
        <v>1</v>
      </c>
      <c r="J884" s="4">
        <f ca="1">IFERROR(__xludf.UNSUPPORTED("""COMPUTED_VALUE"""),44883.3863657407)</f>
        <v>44883.386365740698</v>
      </c>
    </row>
    <row r="885" spans="1:10" ht="12.75">
      <c r="A885" s="3" t="str">
        <f ca="1">IFERROR(__xludf.UNSUPPORTED("""COMPUTED_VALUE"""),"d5d9a3a9")</f>
        <v>d5d9a3a9</v>
      </c>
      <c r="B885" s="4">
        <f ca="1">IFERROR(__xludf.UNSUPPORTED("""COMPUTED_VALUE"""),44886.3578009259)</f>
        <v>44886.3578009259</v>
      </c>
      <c r="C885" s="7" t="str">
        <f ca="1">IFERROR(__xludf.UNSUPPORTED("""COMPUTED_VALUE"""),"Maceió")</f>
        <v>Maceió</v>
      </c>
      <c r="D885" s="3" t="str">
        <f ca="1">IFERROR(__xludf.UNSUPPORTED("""COMPUTED_VALUE"""),"🚢 REGULAR")</f>
        <v>🚢 REGULAR</v>
      </c>
      <c r="E885" s="3" t="str">
        <f ca="1">IFERROR(__xludf.UNSUPPORTED("""COMPUTED_VALUE"""),"🚛 LIBERADO")</f>
        <v>🚛 LIBERADO</v>
      </c>
      <c r="F885" s="5">
        <f ca="1">IFERROR(__xludf.UNSUPPORTED("""COMPUTED_VALUE"""),0)</f>
        <v>0</v>
      </c>
      <c r="G885" s="3" t="str">
        <f ca="1">IFERROR(__xludf.UNSUPPORTED("""COMPUTED_VALUE"""),"Normal")</f>
        <v>Normal</v>
      </c>
      <c r="H885" s="4">
        <f ca="1">IFERROR(__xludf.UNSUPPORTED("""COMPUTED_VALUE"""),44886.3578009259)</f>
        <v>44886.3578009259</v>
      </c>
      <c r="I885" s="3">
        <f ca="1">IFERROR(__xludf.UNSUPPORTED("""COMPUTED_VALUE"""),1)</f>
        <v>1</v>
      </c>
      <c r="J885" s="4">
        <f ca="1">IFERROR(__xludf.UNSUPPORTED("""COMPUTED_VALUE"""),44886.3994675925)</f>
        <v>44886.399467592499</v>
      </c>
    </row>
    <row r="886" spans="1:10" ht="12.75">
      <c r="A886" s="3" t="str">
        <f ca="1">IFERROR(__xludf.UNSUPPORTED("""COMPUTED_VALUE"""),"691c3589")</f>
        <v>691c3589</v>
      </c>
      <c r="B886" s="4">
        <f ca="1">IFERROR(__xludf.UNSUPPORTED("""COMPUTED_VALUE"""),44887.3482754629)</f>
        <v>44887.3482754629</v>
      </c>
      <c r="C886" s="8" t="str">
        <f ca="1">IFERROR(__xludf.UNSUPPORTED("""COMPUTED_VALUE"""),"Maceió")</f>
        <v>Maceió</v>
      </c>
      <c r="D886" s="3" t="str">
        <f ca="1">IFERROR(__xludf.UNSUPPORTED("""COMPUTED_VALUE"""),"🚢 REGULAR")</f>
        <v>🚢 REGULAR</v>
      </c>
      <c r="E886" s="3" t="str">
        <f ca="1">IFERROR(__xludf.UNSUPPORTED("""COMPUTED_VALUE"""),"🚛 LIBERADO")</f>
        <v>🚛 LIBERADO</v>
      </c>
      <c r="F886" s="5">
        <f ca="1">IFERROR(__xludf.UNSUPPORTED("""COMPUTED_VALUE"""),0)</f>
        <v>0</v>
      </c>
      <c r="G886" s="3" t="str">
        <f ca="1">IFERROR(__xludf.UNSUPPORTED("""COMPUTED_VALUE"""),"Normal")</f>
        <v>Normal</v>
      </c>
      <c r="H886" s="4">
        <f ca="1">IFERROR(__xludf.UNSUPPORTED("""COMPUTED_VALUE"""),44887.3482754629)</f>
        <v>44887.3482754629</v>
      </c>
      <c r="I886" s="3">
        <f ca="1">IFERROR(__xludf.UNSUPPORTED("""COMPUTED_VALUE"""),1)</f>
        <v>1</v>
      </c>
      <c r="J886" s="4">
        <f ca="1">IFERROR(__xludf.UNSUPPORTED("""COMPUTED_VALUE"""),44887.3899421296)</f>
        <v>44887.389942129601</v>
      </c>
    </row>
    <row r="887" spans="1:10" ht="12.75">
      <c r="A887" s="3" t="str">
        <f ca="1">IFERROR(__xludf.UNSUPPORTED("""COMPUTED_VALUE"""),"7c5bf51f")</f>
        <v>7c5bf51f</v>
      </c>
      <c r="B887" s="4">
        <f ca="1">IFERROR(__xludf.UNSUPPORTED("""COMPUTED_VALUE"""),44888.245011574)</f>
        <v>44888.245011573999</v>
      </c>
      <c r="C887" s="7" t="str">
        <f ca="1">IFERROR(__xludf.UNSUPPORTED("""COMPUTED_VALUE"""),"Maceió")</f>
        <v>Maceió</v>
      </c>
      <c r="D887" s="3" t="str">
        <f ca="1">IFERROR(__xludf.UNSUPPORTED("""COMPUTED_VALUE"""),"🚢 REGULAR")</f>
        <v>🚢 REGULAR</v>
      </c>
      <c r="E887" s="3" t="str">
        <f ca="1">IFERROR(__xludf.UNSUPPORTED("""COMPUTED_VALUE"""),"🚛 LIBERADO")</f>
        <v>🚛 LIBERADO</v>
      </c>
      <c r="F887" s="5">
        <f ca="1">IFERROR(__xludf.UNSUPPORTED("""COMPUTED_VALUE"""),0)</f>
        <v>0</v>
      </c>
      <c r="G887" s="3" t="str">
        <f ca="1">IFERROR(__xludf.UNSUPPORTED("""COMPUTED_VALUE"""),"Normal")</f>
        <v>Normal</v>
      </c>
      <c r="H887" s="4">
        <f ca="1">IFERROR(__xludf.UNSUPPORTED("""COMPUTED_VALUE"""),44888.245011574)</f>
        <v>44888.245011573999</v>
      </c>
      <c r="I887" s="3">
        <f ca="1">IFERROR(__xludf.UNSUPPORTED("""COMPUTED_VALUE"""),1)</f>
        <v>1</v>
      </c>
      <c r="J887" s="4">
        <f ca="1">IFERROR(__xludf.UNSUPPORTED("""COMPUTED_VALUE"""),44888.2866782407)</f>
        <v>44888.2866782407</v>
      </c>
    </row>
    <row r="888" spans="1:10" ht="12.75">
      <c r="A888" s="3" t="str">
        <f ca="1">IFERROR(__xludf.UNSUPPORTED("""COMPUTED_VALUE"""),"d199e7b0")</f>
        <v>d199e7b0</v>
      </c>
      <c r="B888" s="4">
        <f ca="1">IFERROR(__xludf.UNSUPPORTED("""COMPUTED_VALUE"""),44889.2673379629)</f>
        <v>44889.267337962898</v>
      </c>
      <c r="C888" s="7" t="str">
        <f ca="1">IFERROR(__xludf.UNSUPPORTED("""COMPUTED_VALUE"""),"Maceió")</f>
        <v>Maceió</v>
      </c>
      <c r="D888" s="3" t="str">
        <f ca="1">IFERROR(__xludf.UNSUPPORTED("""COMPUTED_VALUE"""),"🚢 REGULAR")</f>
        <v>🚢 REGULAR</v>
      </c>
      <c r="E888" s="3" t="str">
        <f ca="1">IFERROR(__xludf.UNSUPPORTED("""COMPUTED_VALUE"""),"🚛 LIBERADO")</f>
        <v>🚛 LIBERADO</v>
      </c>
      <c r="F888" s="5">
        <f ca="1">IFERROR(__xludf.UNSUPPORTED("""COMPUTED_VALUE"""),0)</f>
        <v>0</v>
      </c>
      <c r="G888" s="3" t="str">
        <f ca="1">IFERROR(__xludf.UNSUPPORTED("""COMPUTED_VALUE"""),"Normal")</f>
        <v>Normal</v>
      </c>
      <c r="H888" s="4">
        <f ca="1">IFERROR(__xludf.UNSUPPORTED("""COMPUTED_VALUE"""),44889.2673379629)</f>
        <v>44889.267337962898</v>
      </c>
      <c r="I888" s="3">
        <f ca="1">IFERROR(__xludf.UNSUPPORTED("""COMPUTED_VALUE"""),1)</f>
        <v>1</v>
      </c>
      <c r="J888" s="4">
        <f ca="1">IFERROR(__xludf.UNSUPPORTED("""COMPUTED_VALUE"""),44889.3090046296)</f>
        <v>44889.309004629598</v>
      </c>
    </row>
    <row r="889" spans="1:10" ht="12.75">
      <c r="A889" s="3" t="str">
        <f ca="1">IFERROR(__xludf.UNSUPPORTED("""COMPUTED_VALUE"""),"587175b4")</f>
        <v>587175b4</v>
      </c>
      <c r="B889" s="4">
        <f ca="1">IFERROR(__xludf.UNSUPPORTED("""COMPUTED_VALUE"""),44890.2601273148)</f>
        <v>44890.260127314803</v>
      </c>
      <c r="C889" s="7" t="str">
        <f ca="1">IFERROR(__xludf.UNSUPPORTED("""COMPUTED_VALUE"""),"Maceió")</f>
        <v>Maceió</v>
      </c>
      <c r="D889" s="3" t="str">
        <f ca="1">IFERROR(__xludf.UNSUPPORTED("""COMPUTED_VALUE"""),"🚢 REGULAR")</f>
        <v>🚢 REGULAR</v>
      </c>
      <c r="E889" s="3" t="str">
        <f ca="1">IFERROR(__xludf.UNSUPPORTED("""COMPUTED_VALUE"""),"🚛 LIBERADO")</f>
        <v>🚛 LIBERADO</v>
      </c>
      <c r="F889" s="5">
        <f ca="1">IFERROR(__xludf.UNSUPPORTED("""COMPUTED_VALUE"""),0)</f>
        <v>0</v>
      </c>
      <c r="G889" s="3" t="str">
        <f ca="1">IFERROR(__xludf.UNSUPPORTED("""COMPUTED_VALUE"""),"Normal")</f>
        <v>Normal</v>
      </c>
      <c r="H889" s="4">
        <f ca="1">IFERROR(__xludf.UNSUPPORTED("""COMPUTED_VALUE"""),44890.2601273148)</f>
        <v>44890.260127314803</v>
      </c>
      <c r="I889" s="3">
        <f ca="1">IFERROR(__xludf.UNSUPPORTED("""COMPUTED_VALUE"""),1)</f>
        <v>1</v>
      </c>
      <c r="J889" s="4">
        <f ca="1">IFERROR(__xludf.UNSUPPORTED("""COMPUTED_VALUE"""),44890.3017939814)</f>
        <v>44890.301793981402</v>
      </c>
    </row>
    <row r="890" spans="1:10" ht="12.75">
      <c r="A890" s="3" t="str">
        <f ca="1">IFERROR(__xludf.UNSUPPORTED("""COMPUTED_VALUE"""),"06498ff2")</f>
        <v>06498ff2</v>
      </c>
      <c r="B890" s="4">
        <f ca="1">IFERROR(__xludf.UNSUPPORTED("""COMPUTED_VALUE"""),44891.2611342592)</f>
        <v>44891.261134259199</v>
      </c>
      <c r="C890" s="8" t="str">
        <f ca="1">IFERROR(__xludf.UNSUPPORTED("""COMPUTED_VALUE"""),"Maceió")</f>
        <v>Maceió</v>
      </c>
      <c r="D890" s="3" t="str">
        <f ca="1">IFERROR(__xludf.UNSUPPORTED("""COMPUTED_VALUE"""),"🚢 REGULAR")</f>
        <v>🚢 REGULAR</v>
      </c>
      <c r="E890" s="3" t="str">
        <f ca="1">IFERROR(__xludf.UNSUPPORTED("""COMPUTED_VALUE"""),"🚛 LIBERADO")</f>
        <v>🚛 LIBERADO</v>
      </c>
      <c r="F890" s="5">
        <f ca="1">IFERROR(__xludf.UNSUPPORTED("""COMPUTED_VALUE"""),0)</f>
        <v>0</v>
      </c>
      <c r="G890" s="3" t="str">
        <f ca="1">IFERROR(__xludf.UNSUPPORTED("""COMPUTED_VALUE"""),"Normal")</f>
        <v>Normal</v>
      </c>
      <c r="H890" s="4">
        <f ca="1">IFERROR(__xludf.UNSUPPORTED("""COMPUTED_VALUE"""),44891.2611342592)</f>
        <v>44891.261134259199</v>
      </c>
      <c r="I890" s="3">
        <f ca="1">IFERROR(__xludf.UNSUPPORTED("""COMPUTED_VALUE"""),1)</f>
        <v>1</v>
      </c>
      <c r="J890" s="4">
        <f ca="1">IFERROR(__xludf.UNSUPPORTED("""COMPUTED_VALUE"""),44891.3028009259)</f>
        <v>44891.3028009259</v>
      </c>
    </row>
    <row r="891" spans="1:10" ht="12.75">
      <c r="A891" s="3" t="str">
        <f ca="1">IFERROR(__xludf.UNSUPPORTED("""COMPUTED_VALUE"""),"ef2bd46c")</f>
        <v>ef2bd46c</v>
      </c>
      <c r="B891" s="4">
        <f ca="1">IFERROR(__xludf.UNSUPPORTED("""COMPUTED_VALUE"""),44892.3404629629)</f>
        <v>44892.3404629629</v>
      </c>
      <c r="C891" s="8" t="str">
        <f ca="1">IFERROR(__xludf.UNSUPPORTED("""COMPUTED_VALUE"""),"Maceió")</f>
        <v>Maceió</v>
      </c>
      <c r="D891" s="3" t="str">
        <f ca="1">IFERROR(__xludf.UNSUPPORTED("""COMPUTED_VALUE"""),"🚢 REGULAR")</f>
        <v>🚢 REGULAR</v>
      </c>
      <c r="E891" s="3" t="str">
        <f ca="1">IFERROR(__xludf.UNSUPPORTED("""COMPUTED_VALUE"""),"🚛 LIBERADO")</f>
        <v>🚛 LIBERADO</v>
      </c>
      <c r="F891" s="5">
        <f ca="1">IFERROR(__xludf.UNSUPPORTED("""COMPUTED_VALUE"""),0)</f>
        <v>0</v>
      </c>
      <c r="G891" s="3" t="str">
        <f ca="1">IFERROR(__xludf.UNSUPPORTED("""COMPUTED_VALUE"""),"Normal")</f>
        <v>Normal</v>
      </c>
      <c r="H891" s="4">
        <f ca="1">IFERROR(__xludf.UNSUPPORTED("""COMPUTED_VALUE"""),44892.3404629629)</f>
        <v>44892.3404629629</v>
      </c>
      <c r="I891" s="3">
        <f ca="1">IFERROR(__xludf.UNSUPPORTED("""COMPUTED_VALUE"""),1)</f>
        <v>1</v>
      </c>
      <c r="J891" s="4">
        <f ca="1">IFERROR(__xludf.UNSUPPORTED("""COMPUTED_VALUE"""),44892.3821296296)</f>
        <v>44892.382129629601</v>
      </c>
    </row>
    <row r="892" spans="1:10" ht="12.75">
      <c r="A892" s="3" t="str">
        <f ca="1">IFERROR(__xludf.UNSUPPORTED("""COMPUTED_VALUE"""),"4d5eb8d5")</f>
        <v>4d5eb8d5</v>
      </c>
      <c r="B892" s="4">
        <f ca="1">IFERROR(__xludf.UNSUPPORTED("""COMPUTED_VALUE"""),44893.3389814814)</f>
        <v>44893.3389814814</v>
      </c>
      <c r="C892" s="7" t="str">
        <f ca="1">IFERROR(__xludf.UNSUPPORTED("""COMPUTED_VALUE"""),"Maceió")</f>
        <v>Maceió</v>
      </c>
      <c r="D892" s="3" t="str">
        <f ca="1">IFERROR(__xludf.UNSUPPORTED("""COMPUTED_VALUE"""),"🚢 REGULAR")</f>
        <v>🚢 REGULAR</v>
      </c>
      <c r="E892" s="3" t="str">
        <f ca="1">IFERROR(__xludf.UNSUPPORTED("""COMPUTED_VALUE"""),"🚛 LIBERADO")</f>
        <v>🚛 LIBERADO</v>
      </c>
      <c r="F892" s="5">
        <f ca="1">IFERROR(__xludf.UNSUPPORTED("""COMPUTED_VALUE"""),0)</f>
        <v>0</v>
      </c>
      <c r="G892" s="3" t="str">
        <f ca="1">IFERROR(__xludf.UNSUPPORTED("""COMPUTED_VALUE"""),"Normal")</f>
        <v>Normal</v>
      </c>
      <c r="H892" s="4">
        <f ca="1">IFERROR(__xludf.UNSUPPORTED("""COMPUTED_VALUE"""),44893.3389814814)</f>
        <v>44893.3389814814</v>
      </c>
      <c r="I892" s="3">
        <f ca="1">IFERROR(__xludf.UNSUPPORTED("""COMPUTED_VALUE"""),1)</f>
        <v>1</v>
      </c>
      <c r="J892" s="4">
        <f ca="1">IFERROR(__xludf.UNSUPPORTED("""COMPUTED_VALUE"""),44893.3806481481)</f>
        <v>44893.380648148101</v>
      </c>
    </row>
    <row r="893" spans="1:10" ht="12.75">
      <c r="A893" s="3" t="str">
        <f ca="1">IFERROR(__xludf.UNSUPPORTED("""COMPUTED_VALUE"""),"f13900ef")</f>
        <v>f13900ef</v>
      </c>
      <c r="B893" s="4">
        <f ca="1">IFERROR(__xludf.UNSUPPORTED("""COMPUTED_VALUE"""),44894.3917361111)</f>
        <v>44894.391736111102</v>
      </c>
      <c r="C893" s="7" t="str">
        <f ca="1">IFERROR(__xludf.UNSUPPORTED("""COMPUTED_VALUE"""),"Maceió")</f>
        <v>Maceió</v>
      </c>
      <c r="D893" s="3" t="str">
        <f ca="1">IFERROR(__xludf.UNSUPPORTED("""COMPUTED_VALUE"""),"🚢 REGULAR")</f>
        <v>🚢 REGULAR</v>
      </c>
      <c r="E893" s="3" t="str">
        <f ca="1">IFERROR(__xludf.UNSUPPORTED("""COMPUTED_VALUE"""),"🚛 LIBERADO")</f>
        <v>🚛 LIBERADO</v>
      </c>
      <c r="F893" s="5">
        <f ca="1">IFERROR(__xludf.UNSUPPORTED("""COMPUTED_VALUE"""),0)</f>
        <v>0</v>
      </c>
      <c r="G893" s="3" t="str">
        <f ca="1">IFERROR(__xludf.UNSUPPORTED("""COMPUTED_VALUE"""),"Normal")</f>
        <v>Normal</v>
      </c>
      <c r="H893" s="4">
        <f ca="1">IFERROR(__xludf.UNSUPPORTED("""COMPUTED_VALUE"""),44894.3917361111)</f>
        <v>44894.391736111102</v>
      </c>
      <c r="I893" s="3">
        <f ca="1">IFERROR(__xludf.UNSUPPORTED("""COMPUTED_VALUE"""),1)</f>
        <v>1</v>
      </c>
      <c r="J893" s="4">
        <f ca="1">IFERROR(__xludf.UNSUPPORTED("""COMPUTED_VALUE"""),44894.4334027777)</f>
        <v>44894.4334027777</v>
      </c>
    </row>
    <row r="894" spans="1:10" ht="12.75">
      <c r="A894" s="3" t="str">
        <f ca="1">IFERROR(__xludf.UNSUPPORTED("""COMPUTED_VALUE"""),"17e638a2")</f>
        <v>17e638a2</v>
      </c>
      <c r="B894" s="4">
        <f ca="1">IFERROR(__xludf.UNSUPPORTED("""COMPUTED_VALUE"""),44895.3323148148)</f>
        <v>44895.332314814797</v>
      </c>
      <c r="C894" s="8" t="str">
        <f ca="1">IFERROR(__xludf.UNSUPPORTED("""COMPUTED_VALUE"""),"Maceió")</f>
        <v>Maceió</v>
      </c>
      <c r="D894" s="3" t="str">
        <f ca="1">IFERROR(__xludf.UNSUPPORTED("""COMPUTED_VALUE"""),"🚢 REGULAR")</f>
        <v>🚢 REGULAR</v>
      </c>
      <c r="E894" s="3" t="str">
        <f ca="1">IFERROR(__xludf.UNSUPPORTED("""COMPUTED_VALUE"""),"🚛 LIBERADO")</f>
        <v>🚛 LIBERADO</v>
      </c>
      <c r="F894" s="5">
        <f ca="1">IFERROR(__xludf.UNSUPPORTED("""COMPUTED_VALUE"""),0)</f>
        <v>0</v>
      </c>
      <c r="G894" s="3" t="str">
        <f ca="1">IFERROR(__xludf.UNSUPPORTED("""COMPUTED_VALUE"""),"Normal")</f>
        <v>Normal</v>
      </c>
      <c r="H894" s="4">
        <f ca="1">IFERROR(__xludf.UNSUPPORTED("""COMPUTED_VALUE"""),44895.3323148148)</f>
        <v>44895.332314814797</v>
      </c>
      <c r="I894" s="3">
        <f ca="1">IFERROR(__xludf.UNSUPPORTED("""COMPUTED_VALUE"""),1)</f>
        <v>1</v>
      </c>
      <c r="J894" s="4">
        <f ca="1">IFERROR(__xludf.UNSUPPORTED("""COMPUTED_VALUE"""),44895.3739814814)</f>
        <v>44895.373981481403</v>
      </c>
    </row>
    <row r="895" spans="1:10" ht="12.75">
      <c r="A895" s="3" t="str">
        <f ca="1">IFERROR(__xludf.UNSUPPORTED("""COMPUTED_VALUE"""),"f87a825a")</f>
        <v>f87a825a</v>
      </c>
      <c r="B895" s="4">
        <f ca="1">IFERROR(__xludf.UNSUPPORTED("""COMPUTED_VALUE"""),44896.3607754629)</f>
        <v>44896.360775462897</v>
      </c>
      <c r="C895" s="7" t="str">
        <f ca="1">IFERROR(__xludf.UNSUPPORTED("""COMPUTED_VALUE"""),"Maceió")</f>
        <v>Maceió</v>
      </c>
      <c r="D895" s="3" t="str">
        <f ca="1">IFERROR(__xludf.UNSUPPORTED("""COMPUTED_VALUE"""),"🚢 REGULAR")</f>
        <v>🚢 REGULAR</v>
      </c>
      <c r="E895" s="3" t="str">
        <f ca="1">IFERROR(__xludf.UNSUPPORTED("""COMPUTED_VALUE"""),"🚛 LIBERADO")</f>
        <v>🚛 LIBERADO</v>
      </c>
      <c r="F895" s="5">
        <f ca="1">IFERROR(__xludf.UNSUPPORTED("""COMPUTED_VALUE"""),0)</f>
        <v>0</v>
      </c>
      <c r="G895" s="3" t="str">
        <f ca="1">IFERROR(__xludf.UNSUPPORTED("""COMPUTED_VALUE"""),"Normal")</f>
        <v>Normal</v>
      </c>
      <c r="H895" s="4">
        <f ca="1">IFERROR(__xludf.UNSUPPORTED("""COMPUTED_VALUE"""),44896.3607754629)</f>
        <v>44896.360775462897</v>
      </c>
      <c r="I895" s="3">
        <f ca="1">IFERROR(__xludf.UNSUPPORTED("""COMPUTED_VALUE"""),1)</f>
        <v>1</v>
      </c>
      <c r="J895" s="4">
        <f ca="1">IFERROR(__xludf.UNSUPPORTED("""COMPUTED_VALUE"""),44896.4024421296)</f>
        <v>44896.402442129598</v>
      </c>
    </row>
    <row r="896" spans="1:10" ht="12.75">
      <c r="A896" s="3" t="str">
        <f ca="1">IFERROR(__xludf.UNSUPPORTED("""COMPUTED_VALUE"""),"40f7712a")</f>
        <v>40f7712a</v>
      </c>
      <c r="B896" s="4">
        <f ca="1">IFERROR(__xludf.UNSUPPORTED("""COMPUTED_VALUE"""),44897.3589351851)</f>
        <v>44897.358935185097</v>
      </c>
      <c r="C896" s="8" t="str">
        <f ca="1">IFERROR(__xludf.UNSUPPORTED("""COMPUTED_VALUE"""),"Maceió")</f>
        <v>Maceió</v>
      </c>
      <c r="D896" s="3" t="str">
        <f ca="1">IFERROR(__xludf.UNSUPPORTED("""COMPUTED_VALUE"""),"🚢 REGULAR")</f>
        <v>🚢 REGULAR</v>
      </c>
      <c r="E896" s="3" t="str">
        <f ca="1">IFERROR(__xludf.UNSUPPORTED("""COMPUTED_VALUE"""),"🚛 LIBERADO")</f>
        <v>🚛 LIBERADO</v>
      </c>
      <c r="F896" s="5">
        <f ca="1">IFERROR(__xludf.UNSUPPORTED("""COMPUTED_VALUE"""),0)</f>
        <v>0</v>
      </c>
      <c r="G896" s="3" t="str">
        <f ca="1">IFERROR(__xludf.UNSUPPORTED("""COMPUTED_VALUE"""),"Normal")</f>
        <v>Normal</v>
      </c>
      <c r="H896" s="4">
        <f ca="1">IFERROR(__xludf.UNSUPPORTED("""COMPUTED_VALUE"""),44897.3589351851)</f>
        <v>44897.358935185097</v>
      </c>
      <c r="I896" s="3">
        <f ca="1">IFERROR(__xludf.UNSUPPORTED("""COMPUTED_VALUE"""),1)</f>
        <v>1</v>
      </c>
      <c r="J896" s="4">
        <f ca="1">IFERROR(__xludf.UNSUPPORTED("""COMPUTED_VALUE"""),44897.4006018518)</f>
        <v>44897.400601851798</v>
      </c>
    </row>
    <row r="897" spans="1:10" ht="12.75">
      <c r="A897" s="3" t="str">
        <f ca="1">IFERROR(__xludf.UNSUPPORTED("""COMPUTED_VALUE"""),"4b5e6073")</f>
        <v>4b5e6073</v>
      </c>
      <c r="B897" s="4">
        <f ca="1">IFERROR(__xludf.UNSUPPORTED("""COMPUTED_VALUE"""),44900.3892361111)</f>
        <v>44900.389236111099</v>
      </c>
      <c r="C897" s="7" t="str">
        <f ca="1">IFERROR(__xludf.UNSUPPORTED("""COMPUTED_VALUE"""),"Maceió")</f>
        <v>Maceió</v>
      </c>
      <c r="D897" s="3" t="str">
        <f ca="1">IFERROR(__xludf.UNSUPPORTED("""COMPUTED_VALUE"""),"🚢 REGULAR")</f>
        <v>🚢 REGULAR</v>
      </c>
      <c r="E897" s="3" t="str">
        <f ca="1">IFERROR(__xludf.UNSUPPORTED("""COMPUTED_VALUE"""),"🚛 LIBERADO")</f>
        <v>🚛 LIBERADO</v>
      </c>
      <c r="F897" s="5">
        <f ca="1">IFERROR(__xludf.UNSUPPORTED("""COMPUTED_VALUE"""),0)</f>
        <v>0</v>
      </c>
      <c r="G897" s="3" t="str">
        <f ca="1">IFERROR(__xludf.UNSUPPORTED("""COMPUTED_VALUE"""),"Normal")</f>
        <v>Normal</v>
      </c>
      <c r="H897" s="4">
        <f ca="1">IFERROR(__xludf.UNSUPPORTED("""COMPUTED_VALUE"""),44900.3892361111)</f>
        <v>44900.389236111099</v>
      </c>
      <c r="I897" s="3">
        <f ca="1">IFERROR(__xludf.UNSUPPORTED("""COMPUTED_VALUE"""),1)</f>
        <v>1</v>
      </c>
      <c r="J897" s="4">
        <f ca="1">IFERROR(__xludf.UNSUPPORTED("""COMPUTED_VALUE"""),44900.4309027777)</f>
        <v>44900.430902777698</v>
      </c>
    </row>
    <row r="898" spans="1:10" ht="12.75">
      <c r="A898" s="3" t="str">
        <f ca="1">IFERROR(__xludf.UNSUPPORTED("""COMPUTED_VALUE"""),"4ebbd19c")</f>
        <v>4ebbd19c</v>
      </c>
      <c r="B898" s="4">
        <f ca="1">IFERROR(__xludf.UNSUPPORTED("""COMPUTED_VALUE"""),44901.3751157407)</f>
        <v>44901.375115740702</v>
      </c>
      <c r="C898" s="8" t="str">
        <f ca="1">IFERROR(__xludf.UNSUPPORTED("""COMPUTED_VALUE"""),"Maceió")</f>
        <v>Maceió</v>
      </c>
      <c r="D898" s="3" t="str">
        <f ca="1">IFERROR(__xludf.UNSUPPORTED("""COMPUTED_VALUE"""),"🚢 REGULAR")</f>
        <v>🚢 REGULAR</v>
      </c>
      <c r="E898" s="3" t="str">
        <f ca="1">IFERROR(__xludf.UNSUPPORTED("""COMPUTED_VALUE"""),"🚛 LIBERADO")</f>
        <v>🚛 LIBERADO</v>
      </c>
      <c r="F898" s="5">
        <f ca="1">IFERROR(__xludf.UNSUPPORTED("""COMPUTED_VALUE"""),0)</f>
        <v>0</v>
      </c>
      <c r="G898" s="3" t="str">
        <f ca="1">IFERROR(__xludf.UNSUPPORTED("""COMPUTED_VALUE"""),"Normal")</f>
        <v>Normal</v>
      </c>
      <c r="H898" s="4">
        <f ca="1">IFERROR(__xludf.UNSUPPORTED("""COMPUTED_VALUE"""),44901.3751157407)</f>
        <v>44901.375115740702</v>
      </c>
      <c r="I898" s="3">
        <f ca="1">IFERROR(__xludf.UNSUPPORTED("""COMPUTED_VALUE"""),1)</f>
        <v>1</v>
      </c>
      <c r="J898" s="4">
        <f ca="1">IFERROR(__xludf.UNSUPPORTED("""COMPUTED_VALUE"""),44901.4167824074)</f>
        <v>44901.416782407403</v>
      </c>
    </row>
    <row r="899" spans="1:10" ht="12.75">
      <c r="A899" s="3" t="str">
        <f ca="1">IFERROR(__xludf.UNSUPPORTED("""COMPUTED_VALUE"""),"90d132df")</f>
        <v>90d132df</v>
      </c>
      <c r="B899" s="4">
        <f ca="1">IFERROR(__xludf.UNSUPPORTED("""COMPUTED_VALUE"""),44902.3267013888)</f>
        <v>44902.326701388803</v>
      </c>
      <c r="C899" s="8" t="str">
        <f ca="1">IFERROR(__xludf.UNSUPPORTED("""COMPUTED_VALUE"""),"Maceió")</f>
        <v>Maceió</v>
      </c>
      <c r="D899" s="3" t="str">
        <f ca="1">IFERROR(__xludf.UNSUPPORTED("""COMPUTED_VALUE"""),"🚢 REGULAR")</f>
        <v>🚢 REGULAR</v>
      </c>
      <c r="E899" s="3" t="str">
        <f ca="1">IFERROR(__xludf.UNSUPPORTED("""COMPUTED_VALUE"""),"🚛 LIBERADO")</f>
        <v>🚛 LIBERADO</v>
      </c>
      <c r="F899" s="5">
        <f ca="1">IFERROR(__xludf.UNSUPPORTED("""COMPUTED_VALUE"""),0)</f>
        <v>0</v>
      </c>
      <c r="G899" s="3" t="str">
        <f ca="1">IFERROR(__xludf.UNSUPPORTED("""COMPUTED_VALUE"""),"Normal")</f>
        <v>Normal</v>
      </c>
      <c r="H899" s="4">
        <f ca="1">IFERROR(__xludf.UNSUPPORTED("""COMPUTED_VALUE"""),44902.3267013888)</f>
        <v>44902.326701388803</v>
      </c>
      <c r="I899" s="3">
        <f ca="1">IFERROR(__xludf.UNSUPPORTED("""COMPUTED_VALUE"""),1)</f>
        <v>1</v>
      </c>
      <c r="J899" s="4">
        <f ca="1">IFERROR(__xludf.UNSUPPORTED("""COMPUTED_VALUE"""),44902.3683680555)</f>
        <v>44902.368368055497</v>
      </c>
    </row>
    <row r="900" spans="1:10" ht="12.75">
      <c r="A900" s="3" t="str">
        <f ca="1">IFERROR(__xludf.UNSUPPORTED("""COMPUTED_VALUE"""),"b40a036c")</f>
        <v>b40a036c</v>
      </c>
      <c r="B900" s="4">
        <f ca="1">IFERROR(__xludf.UNSUPPORTED("""COMPUTED_VALUE"""),44903.3224652777)</f>
        <v>44903.322465277699</v>
      </c>
      <c r="C900" s="7" t="str">
        <f ca="1">IFERROR(__xludf.UNSUPPORTED("""COMPUTED_VALUE"""),"Maceió")</f>
        <v>Maceió</v>
      </c>
      <c r="D900" s="3" t="str">
        <f ca="1">IFERROR(__xludf.UNSUPPORTED("""COMPUTED_VALUE"""),"🚢 REGULAR")</f>
        <v>🚢 REGULAR</v>
      </c>
      <c r="E900" s="3" t="str">
        <f ca="1">IFERROR(__xludf.UNSUPPORTED("""COMPUTED_VALUE"""),"🚛 LIBERADO")</f>
        <v>🚛 LIBERADO</v>
      </c>
      <c r="F900" s="5">
        <f ca="1">IFERROR(__xludf.UNSUPPORTED("""COMPUTED_VALUE"""),0)</f>
        <v>0</v>
      </c>
      <c r="G900" s="3" t="str">
        <f ca="1">IFERROR(__xludf.UNSUPPORTED("""COMPUTED_VALUE"""),"Normal")</f>
        <v>Normal</v>
      </c>
      <c r="H900" s="4">
        <f ca="1">IFERROR(__xludf.UNSUPPORTED("""COMPUTED_VALUE"""),44903.3224652777)</f>
        <v>44903.322465277699</v>
      </c>
      <c r="I900" s="3">
        <f ca="1">IFERROR(__xludf.UNSUPPORTED("""COMPUTED_VALUE"""),1)</f>
        <v>1</v>
      </c>
      <c r="J900" s="4">
        <f ca="1">IFERROR(__xludf.UNSUPPORTED("""COMPUTED_VALUE"""),44903.3641319444)</f>
        <v>44903.3641319444</v>
      </c>
    </row>
    <row r="901" spans="1:10" ht="12.75">
      <c r="A901" s="3" t="str">
        <f ca="1">IFERROR(__xludf.UNSUPPORTED("""COMPUTED_VALUE"""),"a1265b60")</f>
        <v>a1265b60</v>
      </c>
      <c r="B901" s="4">
        <f ca="1">IFERROR(__xludf.UNSUPPORTED("""COMPUTED_VALUE"""),44904.3692361111)</f>
        <v>44904.369236111103</v>
      </c>
      <c r="C901" s="7" t="str">
        <f ca="1">IFERROR(__xludf.UNSUPPORTED("""COMPUTED_VALUE"""),"Maceió")</f>
        <v>Maceió</v>
      </c>
      <c r="D901" s="3" t="str">
        <f ca="1">IFERROR(__xludf.UNSUPPORTED("""COMPUTED_VALUE"""),"🚢 REGULAR")</f>
        <v>🚢 REGULAR</v>
      </c>
      <c r="E901" s="3" t="str">
        <f ca="1">IFERROR(__xludf.UNSUPPORTED("""COMPUTED_VALUE"""),"🚛 LIBERADO")</f>
        <v>🚛 LIBERADO</v>
      </c>
      <c r="F901" s="5">
        <f ca="1">IFERROR(__xludf.UNSUPPORTED("""COMPUTED_VALUE"""),0)</f>
        <v>0</v>
      </c>
      <c r="G901" s="3" t="str">
        <f ca="1">IFERROR(__xludf.UNSUPPORTED("""COMPUTED_VALUE"""),"Normal")</f>
        <v>Normal</v>
      </c>
      <c r="H901" s="4">
        <f ca="1">IFERROR(__xludf.UNSUPPORTED("""COMPUTED_VALUE"""),44904.3692361111)</f>
        <v>44904.369236111103</v>
      </c>
      <c r="I901" s="3">
        <f ca="1">IFERROR(__xludf.UNSUPPORTED("""COMPUTED_VALUE"""),1)</f>
        <v>1</v>
      </c>
      <c r="J901" s="4">
        <f ca="1">IFERROR(__xludf.UNSUPPORTED("""COMPUTED_VALUE"""),44904.4109027777)</f>
        <v>44904.410902777701</v>
      </c>
    </row>
    <row r="902" spans="1:10" ht="12.75">
      <c r="A902" s="3" t="str">
        <f ca="1">IFERROR(__xludf.UNSUPPORTED("""COMPUTED_VALUE"""),"8ce6f476")</f>
        <v>8ce6f476</v>
      </c>
      <c r="B902" s="4">
        <f ca="1">IFERROR(__xludf.UNSUPPORTED("""COMPUTED_VALUE"""),44907.3868402777)</f>
        <v>44907.386840277701</v>
      </c>
      <c r="C902" s="8" t="str">
        <f ca="1">IFERROR(__xludf.UNSUPPORTED("""COMPUTED_VALUE"""),"Maceió")</f>
        <v>Maceió</v>
      </c>
      <c r="D902" s="3" t="str">
        <f ca="1">IFERROR(__xludf.UNSUPPORTED("""COMPUTED_VALUE"""),"🚢 REGULAR")</f>
        <v>🚢 REGULAR</v>
      </c>
      <c r="E902" s="3" t="str">
        <f ca="1">IFERROR(__xludf.UNSUPPORTED("""COMPUTED_VALUE"""),"🚛 LIBERADO")</f>
        <v>🚛 LIBERADO</v>
      </c>
      <c r="F902" s="5">
        <f ca="1">IFERROR(__xludf.UNSUPPORTED("""COMPUTED_VALUE"""),0)</f>
        <v>0</v>
      </c>
      <c r="G902" s="3" t="str">
        <f ca="1">IFERROR(__xludf.UNSUPPORTED("""COMPUTED_VALUE"""),"Normal")</f>
        <v>Normal</v>
      </c>
      <c r="H902" s="4">
        <f ca="1">IFERROR(__xludf.UNSUPPORTED("""COMPUTED_VALUE"""),44907.3868402777)</f>
        <v>44907.386840277701</v>
      </c>
      <c r="I902" s="3">
        <f ca="1">IFERROR(__xludf.UNSUPPORTED("""COMPUTED_VALUE"""),1)</f>
        <v>1</v>
      </c>
      <c r="J902" s="4">
        <f ca="1">IFERROR(__xludf.UNSUPPORTED("""COMPUTED_VALUE"""),44907.4285069444)</f>
        <v>44907.428506944401</v>
      </c>
    </row>
    <row r="903" spans="1:10" ht="12.75">
      <c r="A903" s="3" t="str">
        <f ca="1">IFERROR(__xludf.UNSUPPORTED("""COMPUTED_VALUE"""),"8a5b2bda")</f>
        <v>8a5b2bda</v>
      </c>
      <c r="B903" s="4">
        <f ca="1">IFERROR(__xludf.UNSUPPORTED("""COMPUTED_VALUE"""),44908.3667361111)</f>
        <v>44908.3667361111</v>
      </c>
      <c r="C903" s="7" t="str">
        <f ca="1">IFERROR(__xludf.UNSUPPORTED("""COMPUTED_VALUE"""),"Maceió")</f>
        <v>Maceió</v>
      </c>
      <c r="D903" s="3" t="str">
        <f ca="1">IFERROR(__xludf.UNSUPPORTED("""COMPUTED_VALUE"""),"🚢 REGULAR")</f>
        <v>🚢 REGULAR</v>
      </c>
      <c r="E903" s="3" t="str">
        <f ca="1">IFERROR(__xludf.UNSUPPORTED("""COMPUTED_VALUE"""),"🚛 LIBERADO")</f>
        <v>🚛 LIBERADO</v>
      </c>
      <c r="F903" s="5">
        <f ca="1">IFERROR(__xludf.UNSUPPORTED("""COMPUTED_VALUE"""),0)</f>
        <v>0</v>
      </c>
      <c r="G903" s="3" t="str">
        <f ca="1">IFERROR(__xludf.UNSUPPORTED("""COMPUTED_VALUE"""),"Normal")</f>
        <v>Normal</v>
      </c>
      <c r="H903" s="4">
        <f ca="1">IFERROR(__xludf.UNSUPPORTED("""COMPUTED_VALUE"""),44908.3667361111)</f>
        <v>44908.3667361111</v>
      </c>
      <c r="I903" s="3">
        <f ca="1">IFERROR(__xludf.UNSUPPORTED("""COMPUTED_VALUE"""),1)</f>
        <v>1</v>
      </c>
      <c r="J903" s="4">
        <f ca="1">IFERROR(__xludf.UNSUPPORTED("""COMPUTED_VALUE"""),44908.4084027777)</f>
        <v>44908.408402777699</v>
      </c>
    </row>
    <row r="904" spans="1:10" ht="12.75">
      <c r="A904" s="3" t="str">
        <f ca="1">IFERROR(__xludf.UNSUPPORTED("""COMPUTED_VALUE"""),"fa12de62")</f>
        <v>fa12de62</v>
      </c>
      <c r="B904" s="4">
        <f ca="1">IFERROR(__xludf.UNSUPPORTED("""COMPUTED_VALUE"""),44909.3722685185)</f>
        <v>44909.372268518498</v>
      </c>
      <c r="C904" s="7" t="str">
        <f ca="1">IFERROR(__xludf.UNSUPPORTED("""COMPUTED_VALUE"""),"Maceió")</f>
        <v>Maceió</v>
      </c>
      <c r="D904" s="3" t="str">
        <f ca="1">IFERROR(__xludf.UNSUPPORTED("""COMPUTED_VALUE"""),"🚢 REGULAR")</f>
        <v>🚢 REGULAR</v>
      </c>
      <c r="E904" s="3" t="str">
        <f ca="1">IFERROR(__xludf.UNSUPPORTED("""COMPUTED_VALUE"""),"🚛 LIBERADO")</f>
        <v>🚛 LIBERADO</v>
      </c>
      <c r="F904" s="5">
        <f ca="1">IFERROR(__xludf.UNSUPPORTED("""COMPUTED_VALUE"""),0)</f>
        <v>0</v>
      </c>
      <c r="G904" s="3" t="str">
        <f ca="1">IFERROR(__xludf.UNSUPPORTED("""COMPUTED_VALUE"""),"Normal")</f>
        <v>Normal</v>
      </c>
      <c r="H904" s="4">
        <f ca="1">IFERROR(__xludf.UNSUPPORTED("""COMPUTED_VALUE"""),44909.3722685185)</f>
        <v>44909.372268518498</v>
      </c>
      <c r="I904" s="3">
        <f ca="1">IFERROR(__xludf.UNSUPPORTED("""COMPUTED_VALUE"""),1)</f>
        <v>1</v>
      </c>
      <c r="J904" s="4">
        <f ca="1">IFERROR(__xludf.UNSUPPORTED("""COMPUTED_VALUE"""),44909.4139351851)</f>
        <v>44909.413935185097</v>
      </c>
    </row>
    <row r="905" spans="1:10" ht="12.75">
      <c r="A905" s="3" t="str">
        <f ca="1">IFERROR(__xludf.UNSUPPORTED("""COMPUTED_VALUE"""),"eaa35e9c")</f>
        <v>eaa35e9c</v>
      </c>
      <c r="B905" s="4">
        <f ca="1">IFERROR(__xludf.UNSUPPORTED("""COMPUTED_VALUE"""),44910.3517708333)</f>
        <v>44910.351770833302</v>
      </c>
      <c r="C905" s="7" t="str">
        <f ca="1">IFERROR(__xludf.UNSUPPORTED("""COMPUTED_VALUE"""),"Maceió")</f>
        <v>Maceió</v>
      </c>
      <c r="D905" s="3" t="str">
        <f ca="1">IFERROR(__xludf.UNSUPPORTED("""COMPUTED_VALUE"""),"🚢 REGULAR")</f>
        <v>🚢 REGULAR</v>
      </c>
      <c r="E905" s="3" t="str">
        <f ca="1">IFERROR(__xludf.UNSUPPORTED("""COMPUTED_VALUE"""),"🚛 LIBERADO")</f>
        <v>🚛 LIBERADO</v>
      </c>
      <c r="F905" s="5">
        <f ca="1">IFERROR(__xludf.UNSUPPORTED("""COMPUTED_VALUE"""),0)</f>
        <v>0</v>
      </c>
      <c r="G905" s="3" t="str">
        <f ca="1">IFERROR(__xludf.UNSUPPORTED("""COMPUTED_VALUE"""),"Normal")</f>
        <v>Normal</v>
      </c>
      <c r="H905" s="4">
        <f ca="1">IFERROR(__xludf.UNSUPPORTED("""COMPUTED_VALUE"""),44910.3517708333)</f>
        <v>44910.351770833302</v>
      </c>
      <c r="I905" s="3">
        <f ca="1">IFERROR(__xludf.UNSUPPORTED("""COMPUTED_VALUE"""),1)</f>
        <v>1</v>
      </c>
      <c r="J905" s="4">
        <f ca="1">IFERROR(__xludf.UNSUPPORTED("""COMPUTED_VALUE"""),44910.3934374999)</f>
        <v>44910.393437499901</v>
      </c>
    </row>
    <row r="906" spans="1:10" ht="12.75">
      <c r="A906" s="3" t="str">
        <f ca="1">IFERROR(__xludf.UNSUPPORTED("""COMPUTED_VALUE"""),"56a787c5")</f>
        <v>56a787c5</v>
      </c>
      <c r="B906" s="4">
        <f ca="1">IFERROR(__xludf.UNSUPPORTED("""COMPUTED_VALUE"""),44911.362349537)</f>
        <v>44911.362349536997</v>
      </c>
      <c r="C906" s="8" t="str">
        <f ca="1">IFERROR(__xludf.UNSUPPORTED("""COMPUTED_VALUE"""),"Maceió")</f>
        <v>Maceió</v>
      </c>
      <c r="D906" s="3" t="str">
        <f ca="1">IFERROR(__xludf.UNSUPPORTED("""COMPUTED_VALUE"""),"🚢 REGULAR")</f>
        <v>🚢 REGULAR</v>
      </c>
      <c r="E906" s="3" t="str">
        <f ca="1">IFERROR(__xludf.UNSUPPORTED("""COMPUTED_VALUE"""),"🚛 LIBERADO")</f>
        <v>🚛 LIBERADO</v>
      </c>
      <c r="F906" s="5">
        <f ca="1">IFERROR(__xludf.UNSUPPORTED("""COMPUTED_VALUE"""),0)</f>
        <v>0</v>
      </c>
      <c r="G906" s="3" t="str">
        <f ca="1">IFERROR(__xludf.UNSUPPORTED("""COMPUTED_VALUE"""),"Normal")</f>
        <v>Normal</v>
      </c>
      <c r="H906" s="4">
        <f ca="1">IFERROR(__xludf.UNSUPPORTED("""COMPUTED_VALUE"""),44911.362349537)</f>
        <v>44911.362349536997</v>
      </c>
      <c r="I906" s="3">
        <f ca="1">IFERROR(__xludf.UNSUPPORTED("""COMPUTED_VALUE"""),1)</f>
        <v>1</v>
      </c>
      <c r="J906" s="4">
        <f ca="1">IFERROR(__xludf.UNSUPPORTED("""COMPUTED_VALUE"""),44911.4040162037)</f>
        <v>44911.404016203698</v>
      </c>
    </row>
    <row r="907" spans="1:10" ht="12.75">
      <c r="A907" s="3" t="str">
        <f ca="1">IFERROR(__xludf.UNSUPPORTED("""COMPUTED_VALUE"""),"5e4937b4")</f>
        <v>5e4937b4</v>
      </c>
      <c r="B907" s="4">
        <f ca="1">IFERROR(__xludf.UNSUPPORTED("""COMPUTED_VALUE"""),44912.6116550925)</f>
        <v>44912.6116550925</v>
      </c>
      <c r="C907" s="7" t="str">
        <f ca="1">IFERROR(__xludf.UNSUPPORTED("""COMPUTED_VALUE"""),"Maceió")</f>
        <v>Maceió</v>
      </c>
      <c r="D907" s="3" t="str">
        <f ca="1">IFERROR(__xludf.UNSUPPORTED("""COMPUTED_VALUE"""),"🚢 REGULAR")</f>
        <v>🚢 REGULAR</v>
      </c>
      <c r="E907" s="3" t="str">
        <f ca="1">IFERROR(__xludf.UNSUPPORTED("""COMPUTED_VALUE"""),"🚛 LIBERADO")</f>
        <v>🚛 LIBERADO</v>
      </c>
      <c r="F907" s="5">
        <f ca="1">IFERROR(__xludf.UNSUPPORTED("""COMPUTED_VALUE"""),0)</f>
        <v>0</v>
      </c>
      <c r="G907" s="3" t="str">
        <f ca="1">IFERROR(__xludf.UNSUPPORTED("""COMPUTED_VALUE"""),"Normal")</f>
        <v>Normal</v>
      </c>
      <c r="H907" s="4">
        <f ca="1">IFERROR(__xludf.UNSUPPORTED("""COMPUTED_VALUE"""),44912.6116550925)</f>
        <v>44912.6116550925</v>
      </c>
      <c r="I907" s="3">
        <f ca="1">IFERROR(__xludf.UNSUPPORTED("""COMPUTED_VALUE"""),1)</f>
        <v>1</v>
      </c>
      <c r="J907" s="4">
        <f ca="1">IFERROR(__xludf.UNSUPPORTED("""COMPUTED_VALUE"""),44912.6533217592)</f>
        <v>44912.6533217592</v>
      </c>
    </row>
    <row r="908" spans="1:10" ht="12.75">
      <c r="A908" s="3" t="str">
        <f ca="1">IFERROR(__xludf.UNSUPPORTED("""COMPUTED_VALUE"""),"4a9db6b1")</f>
        <v>4a9db6b1</v>
      </c>
      <c r="B908" s="4">
        <f ca="1">IFERROR(__xludf.UNSUPPORTED("""COMPUTED_VALUE"""),44913.3690162037)</f>
        <v>44913.369016203702</v>
      </c>
      <c r="C908" s="8" t="str">
        <f ca="1">IFERROR(__xludf.UNSUPPORTED("""COMPUTED_VALUE"""),"Maceió")</f>
        <v>Maceió</v>
      </c>
      <c r="D908" s="3" t="str">
        <f ca="1">IFERROR(__xludf.UNSUPPORTED("""COMPUTED_VALUE"""),"🚢 REGULAR")</f>
        <v>🚢 REGULAR</v>
      </c>
      <c r="E908" s="3" t="str">
        <f ca="1">IFERROR(__xludf.UNSUPPORTED("""COMPUTED_VALUE"""),"🚛 LIBERADO")</f>
        <v>🚛 LIBERADO</v>
      </c>
      <c r="F908" s="5">
        <f ca="1">IFERROR(__xludf.UNSUPPORTED("""COMPUTED_VALUE"""),0)</f>
        <v>0</v>
      </c>
      <c r="G908" s="3" t="str">
        <f ca="1">IFERROR(__xludf.UNSUPPORTED("""COMPUTED_VALUE"""),"Normal")</f>
        <v>Normal</v>
      </c>
      <c r="H908" s="4">
        <f ca="1">IFERROR(__xludf.UNSUPPORTED("""COMPUTED_VALUE"""),44913.3690162037)</f>
        <v>44913.369016203702</v>
      </c>
      <c r="I908" s="3">
        <f ca="1">IFERROR(__xludf.UNSUPPORTED("""COMPUTED_VALUE"""),1)</f>
        <v>1</v>
      </c>
      <c r="J908" s="4">
        <f ca="1">IFERROR(__xludf.UNSUPPORTED("""COMPUTED_VALUE"""),44913.4106828703)</f>
        <v>44913.410682870301</v>
      </c>
    </row>
    <row r="909" spans="1:10" ht="12.75">
      <c r="A909" s="3" t="str">
        <f ca="1">IFERROR(__xludf.UNSUPPORTED("""COMPUTED_VALUE"""),"68801a84")</f>
        <v>68801a84</v>
      </c>
      <c r="B909" s="4">
        <f ca="1">IFERROR(__xludf.UNSUPPORTED("""COMPUTED_VALUE"""),44914.344537037)</f>
        <v>44914.344537037003</v>
      </c>
      <c r="C909" s="7" t="str">
        <f ca="1">IFERROR(__xludf.UNSUPPORTED("""COMPUTED_VALUE"""),"Maceió")</f>
        <v>Maceió</v>
      </c>
      <c r="D909" s="3" t="str">
        <f ca="1">IFERROR(__xludf.UNSUPPORTED("""COMPUTED_VALUE"""),"🚢 REGULAR")</f>
        <v>🚢 REGULAR</v>
      </c>
      <c r="E909" s="3" t="str">
        <f ca="1">IFERROR(__xludf.UNSUPPORTED("""COMPUTED_VALUE"""),"🚛 LIBERADO")</f>
        <v>🚛 LIBERADO</v>
      </c>
      <c r="F909" s="5">
        <f ca="1">IFERROR(__xludf.UNSUPPORTED("""COMPUTED_VALUE"""),0)</f>
        <v>0</v>
      </c>
      <c r="G909" s="3" t="str">
        <f ca="1">IFERROR(__xludf.UNSUPPORTED("""COMPUTED_VALUE"""),"Normal")</f>
        <v>Normal</v>
      </c>
      <c r="H909" s="4">
        <f ca="1">IFERROR(__xludf.UNSUPPORTED("""COMPUTED_VALUE"""),44914.344537037)</f>
        <v>44914.344537037003</v>
      </c>
      <c r="I909" s="3">
        <f ca="1">IFERROR(__xludf.UNSUPPORTED("""COMPUTED_VALUE"""),1)</f>
        <v>1</v>
      </c>
      <c r="J909" s="4">
        <f ca="1">IFERROR(__xludf.UNSUPPORTED("""COMPUTED_VALUE"""),44914.3862037037)</f>
        <v>44914.386203703703</v>
      </c>
    </row>
    <row r="910" spans="1:10" ht="12.75">
      <c r="A910" s="3" t="str">
        <f ca="1">IFERROR(__xludf.UNSUPPORTED("""COMPUTED_VALUE"""),"f178b753")</f>
        <v>f178b753</v>
      </c>
      <c r="B910" s="4">
        <f ca="1">IFERROR(__xludf.UNSUPPORTED("""COMPUTED_VALUE"""),44915.2684606481)</f>
        <v>44915.268460648098</v>
      </c>
      <c r="C910" s="7" t="str">
        <f ca="1">IFERROR(__xludf.UNSUPPORTED("""COMPUTED_VALUE"""),"Maceió")</f>
        <v>Maceió</v>
      </c>
      <c r="D910" s="3" t="str">
        <f ca="1">IFERROR(__xludf.UNSUPPORTED("""COMPUTED_VALUE"""),"🚢 REGULAR")</f>
        <v>🚢 REGULAR</v>
      </c>
      <c r="E910" s="3" t="str">
        <f ca="1">IFERROR(__xludf.UNSUPPORTED("""COMPUTED_VALUE"""),"🚛 LIBERADO")</f>
        <v>🚛 LIBERADO</v>
      </c>
      <c r="F910" s="5">
        <f ca="1">IFERROR(__xludf.UNSUPPORTED("""COMPUTED_VALUE"""),0)</f>
        <v>0</v>
      </c>
      <c r="G910" s="3" t="str">
        <f ca="1">IFERROR(__xludf.UNSUPPORTED("""COMPUTED_VALUE"""),"Normal")</f>
        <v>Normal</v>
      </c>
      <c r="H910" s="4">
        <f ca="1">IFERROR(__xludf.UNSUPPORTED("""COMPUTED_VALUE"""),44915.2684606481)</f>
        <v>44915.268460648098</v>
      </c>
      <c r="I910" s="3">
        <f ca="1">IFERROR(__xludf.UNSUPPORTED("""COMPUTED_VALUE"""),1)</f>
        <v>1</v>
      </c>
      <c r="J910" s="4">
        <f ca="1">IFERROR(__xludf.UNSUPPORTED("""COMPUTED_VALUE"""),44915.3101273148)</f>
        <v>44915.310127314799</v>
      </c>
    </row>
    <row r="911" spans="1:10" ht="12.75">
      <c r="A911" s="3" t="str">
        <f ca="1">IFERROR(__xludf.UNSUPPORTED("""COMPUTED_VALUE"""),"a620dbfe")</f>
        <v>a620dbfe</v>
      </c>
      <c r="B911" s="4">
        <f ca="1">IFERROR(__xludf.UNSUPPORTED("""COMPUTED_VALUE"""),44916.370011574)</f>
        <v>44916.370011573999</v>
      </c>
      <c r="C911" s="7" t="str">
        <f ca="1">IFERROR(__xludf.UNSUPPORTED("""COMPUTED_VALUE"""),"Maceió")</f>
        <v>Maceió</v>
      </c>
      <c r="D911" s="3" t="str">
        <f ca="1">IFERROR(__xludf.UNSUPPORTED("""COMPUTED_VALUE"""),"🚢 REGULAR")</f>
        <v>🚢 REGULAR</v>
      </c>
      <c r="E911" s="3" t="str">
        <f ca="1">IFERROR(__xludf.UNSUPPORTED("""COMPUTED_VALUE"""),"🚛 LIBERADO")</f>
        <v>🚛 LIBERADO</v>
      </c>
      <c r="F911" s="5">
        <f ca="1">IFERROR(__xludf.UNSUPPORTED("""COMPUTED_VALUE"""),0)</f>
        <v>0</v>
      </c>
      <c r="G911" s="3" t="str">
        <f ca="1">IFERROR(__xludf.UNSUPPORTED("""COMPUTED_VALUE"""),"Normal")</f>
        <v>Normal</v>
      </c>
      <c r="H911" s="4">
        <f ca="1">IFERROR(__xludf.UNSUPPORTED("""COMPUTED_VALUE"""),44916.370011574)</f>
        <v>44916.370011573999</v>
      </c>
      <c r="I911" s="3">
        <f ca="1">IFERROR(__xludf.UNSUPPORTED("""COMPUTED_VALUE"""),1)</f>
        <v>1</v>
      </c>
      <c r="J911" s="4">
        <f ca="1">IFERROR(__xludf.UNSUPPORTED("""COMPUTED_VALUE"""),44916.4116782407)</f>
        <v>44916.4116782407</v>
      </c>
    </row>
    <row r="912" spans="1:10" ht="12.75">
      <c r="A912" s="3" t="str">
        <f ca="1">IFERROR(__xludf.UNSUPPORTED("""COMPUTED_VALUE"""),"2a7209c5")</f>
        <v>2a7209c5</v>
      </c>
      <c r="B912" s="4">
        <f ca="1">IFERROR(__xludf.UNSUPPORTED("""COMPUTED_VALUE"""),44918.3833564814)</f>
        <v>44918.383356481398</v>
      </c>
      <c r="C912" s="8" t="str">
        <f ca="1">IFERROR(__xludf.UNSUPPORTED("""COMPUTED_VALUE"""),"Maceió")</f>
        <v>Maceió</v>
      </c>
      <c r="D912" s="3" t="str">
        <f ca="1">IFERROR(__xludf.UNSUPPORTED("""COMPUTED_VALUE"""),"🚢 REGULAR")</f>
        <v>🚢 REGULAR</v>
      </c>
      <c r="E912" s="3" t="str">
        <f ca="1">IFERROR(__xludf.UNSUPPORTED("""COMPUTED_VALUE"""),"🚛 LIBERADO")</f>
        <v>🚛 LIBERADO</v>
      </c>
      <c r="F912" s="5">
        <f ca="1">IFERROR(__xludf.UNSUPPORTED("""COMPUTED_VALUE"""),0)</f>
        <v>0</v>
      </c>
      <c r="G912" s="3" t="str">
        <f ca="1">IFERROR(__xludf.UNSUPPORTED("""COMPUTED_VALUE"""),"Normal")</f>
        <v>Normal</v>
      </c>
      <c r="H912" s="4">
        <f ca="1">IFERROR(__xludf.UNSUPPORTED("""COMPUTED_VALUE"""),44918.3833564814)</f>
        <v>44918.383356481398</v>
      </c>
      <c r="I912" s="3">
        <f ca="1">IFERROR(__xludf.UNSUPPORTED("""COMPUTED_VALUE"""),1)</f>
        <v>1</v>
      </c>
      <c r="J912" s="4">
        <f ca="1">IFERROR(__xludf.UNSUPPORTED("""COMPUTED_VALUE"""),44918.4250231481)</f>
        <v>44918.425023148098</v>
      </c>
    </row>
    <row r="913" spans="1:12" ht="12.75">
      <c r="A913" s="3" t="str">
        <f ca="1">IFERROR(__xludf.UNSUPPORTED("""COMPUTED_VALUE"""),"9abbb171")</f>
        <v>9abbb171</v>
      </c>
      <c r="B913" s="4">
        <f ca="1">IFERROR(__xludf.UNSUPPORTED("""COMPUTED_VALUE"""),44919.5386111111)</f>
        <v>44919.5386111111</v>
      </c>
      <c r="C913" s="7" t="str">
        <f ca="1">IFERROR(__xludf.UNSUPPORTED("""COMPUTED_VALUE"""),"Maceió")</f>
        <v>Maceió</v>
      </c>
      <c r="D913" s="3" t="str">
        <f ca="1">IFERROR(__xludf.UNSUPPORTED("""COMPUTED_VALUE"""),"🚢 REGULAR")</f>
        <v>🚢 REGULAR</v>
      </c>
      <c r="E913" s="3" t="str">
        <f ca="1">IFERROR(__xludf.UNSUPPORTED("""COMPUTED_VALUE"""),"🚛 LIBERADO")</f>
        <v>🚛 LIBERADO</v>
      </c>
      <c r="F913" s="5">
        <f ca="1">IFERROR(__xludf.UNSUPPORTED("""COMPUTED_VALUE"""),0)</f>
        <v>0</v>
      </c>
      <c r="G913" s="3" t="str">
        <f ca="1">IFERROR(__xludf.UNSUPPORTED("""COMPUTED_VALUE"""),"Normal")</f>
        <v>Normal</v>
      </c>
      <c r="H913" s="4">
        <f ca="1">IFERROR(__xludf.UNSUPPORTED("""COMPUTED_VALUE"""),44919.5386111111)</f>
        <v>44919.5386111111</v>
      </c>
      <c r="I913" s="3">
        <f ca="1">IFERROR(__xludf.UNSUPPORTED("""COMPUTED_VALUE"""),1)</f>
        <v>1</v>
      </c>
      <c r="J913" s="4">
        <f ca="1">IFERROR(__xludf.UNSUPPORTED("""COMPUTED_VALUE"""),44919.5802777777)</f>
        <v>44919.580277777699</v>
      </c>
    </row>
    <row r="914" spans="1:12" ht="12.75">
      <c r="A914" s="3" t="str">
        <f ca="1">IFERROR(__xludf.UNSUPPORTED("""COMPUTED_VALUE"""),"37e81b07")</f>
        <v>37e81b07</v>
      </c>
      <c r="B914" s="4">
        <f ca="1">IFERROR(__xludf.UNSUPPORTED("""COMPUTED_VALUE"""),44920.6040277777)</f>
        <v>44920.604027777699</v>
      </c>
      <c r="C914" s="8" t="str">
        <f ca="1">IFERROR(__xludf.UNSUPPORTED("""COMPUTED_VALUE"""),"Maceió")</f>
        <v>Maceió</v>
      </c>
      <c r="D914" s="3" t="str">
        <f ca="1">IFERROR(__xludf.UNSUPPORTED("""COMPUTED_VALUE"""),"🚢 REGULAR")</f>
        <v>🚢 REGULAR</v>
      </c>
      <c r="E914" s="3" t="str">
        <f ca="1">IFERROR(__xludf.UNSUPPORTED("""COMPUTED_VALUE"""),"🚛 LIBERADO")</f>
        <v>🚛 LIBERADO</v>
      </c>
      <c r="F914" s="5">
        <f ca="1">IFERROR(__xludf.UNSUPPORTED("""COMPUTED_VALUE"""),0)</f>
        <v>0</v>
      </c>
      <c r="G914" s="3" t="str">
        <f ca="1">IFERROR(__xludf.UNSUPPORTED("""COMPUTED_VALUE"""),"Normal")</f>
        <v>Normal</v>
      </c>
      <c r="H914" s="4">
        <f ca="1">IFERROR(__xludf.UNSUPPORTED("""COMPUTED_VALUE"""),44920.6040277777)</f>
        <v>44920.604027777699</v>
      </c>
      <c r="I914" s="3">
        <f ca="1">IFERROR(__xludf.UNSUPPORTED("""COMPUTED_VALUE"""),1)</f>
        <v>1</v>
      </c>
      <c r="J914" s="4">
        <f ca="1">IFERROR(__xludf.UNSUPPORTED("""COMPUTED_VALUE"""),44920.6456944444)</f>
        <v>44920.6456944444</v>
      </c>
    </row>
    <row r="915" spans="1:12" ht="12.75">
      <c r="A915" s="3" t="str">
        <f ca="1">IFERROR(__xludf.UNSUPPORTED("""COMPUTED_VALUE"""),"408a50c7")</f>
        <v>408a50c7</v>
      </c>
      <c r="B915" s="4">
        <f ca="1">IFERROR(__xludf.UNSUPPORTED("""COMPUTED_VALUE"""),44921.611574074)</f>
        <v>44921.611574073999</v>
      </c>
      <c r="C915" s="7" t="str">
        <f ca="1">IFERROR(__xludf.UNSUPPORTED("""COMPUTED_VALUE"""),"Maceió")</f>
        <v>Maceió</v>
      </c>
      <c r="D915" s="3" t="str">
        <f ca="1">IFERROR(__xludf.UNSUPPORTED("""COMPUTED_VALUE"""),"🚢 REGULAR")</f>
        <v>🚢 REGULAR</v>
      </c>
      <c r="E915" s="3" t="str">
        <f ca="1">IFERROR(__xludf.UNSUPPORTED("""COMPUTED_VALUE"""),"🚛 LIBERADO")</f>
        <v>🚛 LIBERADO</v>
      </c>
      <c r="F915" s="5">
        <f ca="1">IFERROR(__xludf.UNSUPPORTED("""COMPUTED_VALUE"""),0)</f>
        <v>0</v>
      </c>
      <c r="G915" s="3" t="str">
        <f ca="1">IFERROR(__xludf.UNSUPPORTED("""COMPUTED_VALUE"""),"Normal")</f>
        <v>Normal</v>
      </c>
      <c r="H915" s="4">
        <f ca="1">IFERROR(__xludf.UNSUPPORTED("""COMPUTED_VALUE"""),44921.611574074)</f>
        <v>44921.611574073999</v>
      </c>
      <c r="I915" s="3">
        <f ca="1">IFERROR(__xludf.UNSUPPORTED("""COMPUTED_VALUE"""),1)</f>
        <v>1</v>
      </c>
      <c r="J915" s="4">
        <f ca="1">IFERROR(__xludf.UNSUPPORTED("""COMPUTED_VALUE"""),44921.6532407407)</f>
        <v>44921.653240740699</v>
      </c>
    </row>
    <row r="916" spans="1:12" ht="12.75">
      <c r="A916" s="3" t="str">
        <f ca="1">IFERROR(__xludf.UNSUPPORTED("""COMPUTED_VALUE"""),"071ac4db")</f>
        <v>071ac4db</v>
      </c>
      <c r="B916" s="4">
        <f ca="1">IFERROR(__xludf.UNSUPPORTED("""COMPUTED_VALUE"""),44922.3326388888)</f>
        <v>44922.332638888802</v>
      </c>
      <c r="C916" s="7" t="str">
        <f ca="1">IFERROR(__xludf.UNSUPPORTED("""COMPUTED_VALUE"""),"Maceió")</f>
        <v>Maceió</v>
      </c>
      <c r="D916" s="3" t="str">
        <f ca="1">IFERROR(__xludf.UNSUPPORTED("""COMPUTED_VALUE"""),"🚢 REGULAR")</f>
        <v>🚢 REGULAR</v>
      </c>
      <c r="E916" s="3" t="str">
        <f ca="1">IFERROR(__xludf.UNSUPPORTED("""COMPUTED_VALUE"""),"🚛 LIBERADO")</f>
        <v>🚛 LIBERADO</v>
      </c>
      <c r="F916" s="5">
        <f ca="1">IFERROR(__xludf.UNSUPPORTED("""COMPUTED_VALUE"""),0)</f>
        <v>0</v>
      </c>
      <c r="G916" s="3" t="str">
        <f ca="1">IFERROR(__xludf.UNSUPPORTED("""COMPUTED_VALUE"""),"Normal")</f>
        <v>Normal</v>
      </c>
      <c r="H916" s="4">
        <f ca="1">IFERROR(__xludf.UNSUPPORTED("""COMPUTED_VALUE"""),44922.3326388888)</f>
        <v>44922.332638888802</v>
      </c>
      <c r="I916" s="3">
        <f ca="1">IFERROR(__xludf.UNSUPPORTED("""COMPUTED_VALUE"""),1)</f>
        <v>1</v>
      </c>
      <c r="J916" s="4">
        <f ca="1">IFERROR(__xludf.UNSUPPORTED("""COMPUTED_VALUE"""),44922.3743055555)</f>
        <v>44922.374305555502</v>
      </c>
    </row>
    <row r="917" spans="1:12" ht="12.75">
      <c r="A917" s="3" t="str">
        <f ca="1">IFERROR(__xludf.UNSUPPORTED("""COMPUTED_VALUE"""),"d5324d1b")</f>
        <v>d5324d1b</v>
      </c>
      <c r="B917" s="4">
        <f ca="1">IFERROR(__xludf.UNSUPPORTED("""COMPUTED_VALUE"""),44923.3802314814)</f>
        <v>44923.380231481402</v>
      </c>
      <c r="C917" s="8" t="str">
        <f ca="1">IFERROR(__xludf.UNSUPPORTED("""COMPUTED_VALUE"""),"Maceió")</f>
        <v>Maceió</v>
      </c>
      <c r="D917" s="3" t="str">
        <f ca="1">IFERROR(__xludf.UNSUPPORTED("""COMPUTED_VALUE"""),"🚢 REGULAR")</f>
        <v>🚢 REGULAR</v>
      </c>
      <c r="E917" s="3" t="str">
        <f ca="1">IFERROR(__xludf.UNSUPPORTED("""COMPUTED_VALUE"""),"🚛 LIBERADO")</f>
        <v>🚛 LIBERADO</v>
      </c>
      <c r="F917" s="5">
        <f ca="1">IFERROR(__xludf.UNSUPPORTED("""COMPUTED_VALUE"""),0)</f>
        <v>0</v>
      </c>
      <c r="G917" s="3" t="str">
        <f ca="1">IFERROR(__xludf.UNSUPPORTED("""COMPUTED_VALUE"""),"Normal")</f>
        <v>Normal</v>
      </c>
      <c r="H917" s="4">
        <f ca="1">IFERROR(__xludf.UNSUPPORTED("""COMPUTED_VALUE"""),44923.3802314814)</f>
        <v>44923.380231481402</v>
      </c>
      <c r="I917" s="3">
        <f ca="1">IFERROR(__xludf.UNSUPPORTED("""COMPUTED_VALUE"""),1)</f>
        <v>1</v>
      </c>
      <c r="J917" s="4">
        <f ca="1">IFERROR(__xludf.UNSUPPORTED("""COMPUTED_VALUE"""),44923.4218981481)</f>
        <v>44923.421898148103</v>
      </c>
    </row>
    <row r="918" spans="1:12" ht="12.75">
      <c r="A918" s="3" t="str">
        <f ca="1">IFERROR(__xludf.UNSUPPORTED("""COMPUTED_VALUE"""),"bf8b7728")</f>
        <v>bf8b7728</v>
      </c>
      <c r="B918" s="4">
        <f ca="1">IFERROR(__xludf.UNSUPPORTED("""COMPUTED_VALUE"""),44924.3983680555)</f>
        <v>44924.398368055503</v>
      </c>
      <c r="C918" s="7" t="str">
        <f ca="1">IFERROR(__xludf.UNSUPPORTED("""COMPUTED_VALUE"""),"Maceió")</f>
        <v>Maceió</v>
      </c>
      <c r="D918" s="3" t="str">
        <f ca="1">IFERROR(__xludf.UNSUPPORTED("""COMPUTED_VALUE"""),"🚢 REGULAR")</f>
        <v>🚢 REGULAR</v>
      </c>
      <c r="E918" s="3" t="str">
        <f ca="1">IFERROR(__xludf.UNSUPPORTED("""COMPUTED_VALUE"""),"🚛 LIBERADO")</f>
        <v>🚛 LIBERADO</v>
      </c>
      <c r="F918" s="5">
        <f ca="1">IFERROR(__xludf.UNSUPPORTED("""COMPUTED_VALUE"""),0)</f>
        <v>0</v>
      </c>
      <c r="G918" s="3" t="str">
        <f ca="1">IFERROR(__xludf.UNSUPPORTED("""COMPUTED_VALUE"""),"Normal")</f>
        <v>Normal</v>
      </c>
      <c r="H918" s="4">
        <f ca="1">IFERROR(__xludf.UNSUPPORTED("""COMPUTED_VALUE"""),44924.3983680555)</f>
        <v>44924.398368055503</v>
      </c>
      <c r="I918" s="3">
        <f ca="1">IFERROR(__xludf.UNSUPPORTED("""COMPUTED_VALUE"""),1)</f>
        <v>1</v>
      </c>
      <c r="J918" s="4">
        <f ca="1">IFERROR(__xludf.UNSUPPORTED("""COMPUTED_VALUE"""),44924.4400347222)</f>
        <v>44924.440034722204</v>
      </c>
    </row>
    <row r="919" spans="1:12" ht="12.75">
      <c r="A919" s="3" t="str">
        <f ca="1">IFERROR(__xludf.UNSUPPORTED("""COMPUTED_VALUE"""),"2a2684df")</f>
        <v>2a2684df</v>
      </c>
      <c r="B919" s="4">
        <f ca="1">IFERROR(__xludf.UNSUPPORTED("""COMPUTED_VALUE"""),44925.3870717592)</f>
        <v>44925.3870717592</v>
      </c>
      <c r="C919" s="7" t="str">
        <f ca="1">IFERROR(__xludf.UNSUPPORTED("""COMPUTED_VALUE"""),"Maceió")</f>
        <v>Maceió</v>
      </c>
      <c r="D919" s="3" t="str">
        <f ca="1">IFERROR(__xludf.UNSUPPORTED("""COMPUTED_VALUE"""),"🚢 REGULAR")</f>
        <v>🚢 REGULAR</v>
      </c>
      <c r="E919" s="3" t="str">
        <f ca="1">IFERROR(__xludf.UNSUPPORTED("""COMPUTED_VALUE"""),"🚛 LIBERADO")</f>
        <v>🚛 LIBERADO</v>
      </c>
      <c r="F919" s="5">
        <f ca="1">IFERROR(__xludf.UNSUPPORTED("""COMPUTED_VALUE"""),0)</f>
        <v>0</v>
      </c>
      <c r="G919" s="3" t="str">
        <f ca="1">IFERROR(__xludf.UNSUPPORTED("""COMPUTED_VALUE"""),"Normal")</f>
        <v>Normal</v>
      </c>
      <c r="H919" s="4">
        <f ca="1">IFERROR(__xludf.UNSUPPORTED("""COMPUTED_VALUE"""),44925.3870717592)</f>
        <v>44925.3870717592</v>
      </c>
      <c r="I919" s="3">
        <f ca="1">IFERROR(__xludf.UNSUPPORTED("""COMPUTED_VALUE"""),1)</f>
        <v>1</v>
      </c>
      <c r="J919" s="4">
        <f ca="1">IFERROR(__xludf.UNSUPPORTED("""COMPUTED_VALUE"""),44925.4287384259)</f>
        <v>44925.428738425901</v>
      </c>
    </row>
    <row r="920" spans="1:12" ht="12.75">
      <c r="A920" s="3" t="str">
        <f ca="1">IFERROR(__xludf.UNSUPPORTED("""COMPUTED_VALUE"""),"ffec3701")</f>
        <v>ffec3701</v>
      </c>
      <c r="B920" s="4">
        <f ca="1">IFERROR(__xludf.UNSUPPORTED("""COMPUTED_VALUE"""),44927.3274189814)</f>
        <v>44927.327418981396</v>
      </c>
      <c r="C920" s="8" t="str">
        <f ca="1">IFERROR(__xludf.UNSUPPORTED("""COMPUTED_VALUE"""),"Maceió")</f>
        <v>Maceió</v>
      </c>
      <c r="D920" s="3" t="str">
        <f ca="1">IFERROR(__xludf.UNSUPPORTED("""COMPUTED_VALUE"""),"🚢 REGULAR")</f>
        <v>🚢 REGULAR</v>
      </c>
      <c r="E920" s="3" t="str">
        <f ca="1">IFERROR(__xludf.UNSUPPORTED("""COMPUTED_VALUE"""),"🚛 LIBERADO")</f>
        <v>🚛 LIBERADO</v>
      </c>
      <c r="F920" s="5">
        <f ca="1">IFERROR(__xludf.UNSUPPORTED("""COMPUTED_VALUE"""),0)</f>
        <v>0</v>
      </c>
      <c r="G920" s="3" t="str">
        <f ca="1">IFERROR(__xludf.UNSUPPORTED("""COMPUTED_VALUE"""),"Normal")</f>
        <v>Normal</v>
      </c>
      <c r="H920" s="4">
        <f ca="1">IFERROR(__xludf.UNSUPPORTED("""COMPUTED_VALUE"""),44927.3274189814)</f>
        <v>44927.327418981396</v>
      </c>
      <c r="I920" s="3">
        <f ca="1">IFERROR(__xludf.UNSUPPORTED("""COMPUTED_VALUE"""),1)</f>
        <v>1</v>
      </c>
      <c r="J920" s="4">
        <f ca="1">IFERROR(__xludf.UNSUPPORTED("""COMPUTED_VALUE"""),44927.369085648)</f>
        <v>44927.369085648003</v>
      </c>
    </row>
    <row r="921" spans="1:12" ht="12.75">
      <c r="A921" s="3" t="str">
        <f ca="1">IFERROR(__xludf.UNSUPPORTED("""COMPUTED_VALUE"""),"a5e22fca")</f>
        <v>a5e22fca</v>
      </c>
      <c r="B921" s="4">
        <f ca="1">IFERROR(__xludf.UNSUPPORTED("""COMPUTED_VALUE"""),44928.3673726851)</f>
        <v>44928.367372685098</v>
      </c>
      <c r="C921" s="8" t="str">
        <f ca="1">IFERROR(__xludf.UNSUPPORTED("""COMPUTED_VALUE"""),"Maceió")</f>
        <v>Maceió</v>
      </c>
      <c r="D921" s="3" t="str">
        <f ca="1">IFERROR(__xludf.UNSUPPORTED("""COMPUTED_VALUE"""),"🚢 REGULAR")</f>
        <v>🚢 REGULAR</v>
      </c>
      <c r="E921" s="3" t="str">
        <f ca="1">IFERROR(__xludf.UNSUPPORTED("""COMPUTED_VALUE"""),"🚛 LIBERADO")</f>
        <v>🚛 LIBERADO</v>
      </c>
      <c r="F921" s="5">
        <f ca="1">IFERROR(__xludf.UNSUPPORTED("""COMPUTED_VALUE"""),0)</f>
        <v>0</v>
      </c>
      <c r="G921" s="3" t="str">
        <f ca="1">IFERROR(__xludf.UNSUPPORTED("""COMPUTED_VALUE"""),"Normal")</f>
        <v>Normal</v>
      </c>
      <c r="H921" s="4">
        <f ca="1">IFERROR(__xludf.UNSUPPORTED("""COMPUTED_VALUE"""),44928.3673726851)</f>
        <v>44928.367372685098</v>
      </c>
      <c r="I921" s="3">
        <f ca="1">IFERROR(__xludf.UNSUPPORTED("""COMPUTED_VALUE"""),1)</f>
        <v>1</v>
      </c>
      <c r="J921" s="4">
        <f ca="1">IFERROR(__xludf.UNSUPPORTED("""COMPUTED_VALUE"""),44928.4090393518)</f>
        <v>44928.409039351798</v>
      </c>
    </row>
    <row r="922" spans="1:12" ht="12.75">
      <c r="A922" s="3" t="str">
        <f ca="1">IFERROR(__xludf.UNSUPPORTED("""COMPUTED_VALUE"""),"942fade8")</f>
        <v>942fade8</v>
      </c>
      <c r="B922" s="4">
        <f ca="1">IFERROR(__xludf.UNSUPPORTED("""COMPUTED_VALUE"""),44929.3512731481)</f>
        <v>44929.351273148102</v>
      </c>
      <c r="C922" s="8" t="str">
        <f ca="1">IFERROR(__xludf.UNSUPPORTED("""COMPUTED_VALUE"""),"Maceió")</f>
        <v>Maceió</v>
      </c>
      <c r="D922" s="3" t="str">
        <f ca="1">IFERROR(__xludf.UNSUPPORTED("""COMPUTED_VALUE"""),"🚢 REGULAR")</f>
        <v>🚢 REGULAR</v>
      </c>
      <c r="E922" s="3" t="str">
        <f ca="1">IFERROR(__xludf.UNSUPPORTED("""COMPUTED_VALUE"""),"🚛 LIBERADO")</f>
        <v>🚛 LIBERADO</v>
      </c>
      <c r="F922" s="5">
        <f ca="1">IFERROR(__xludf.UNSUPPORTED("""COMPUTED_VALUE"""),0)</f>
        <v>0</v>
      </c>
      <c r="G922" s="3" t="str">
        <f ca="1">IFERROR(__xludf.UNSUPPORTED("""COMPUTED_VALUE"""),"Normal")</f>
        <v>Normal</v>
      </c>
      <c r="H922" s="4">
        <f ca="1">IFERROR(__xludf.UNSUPPORTED("""COMPUTED_VALUE"""),44929.3512731481)</f>
        <v>44929.351273148102</v>
      </c>
      <c r="I922" s="3">
        <f ca="1">IFERROR(__xludf.UNSUPPORTED("""COMPUTED_VALUE"""),1)</f>
        <v>1</v>
      </c>
      <c r="J922" s="4">
        <f ca="1">IFERROR(__xludf.UNSUPPORTED("""COMPUTED_VALUE"""),44929.3929398148)</f>
        <v>44929.392939814803</v>
      </c>
    </row>
    <row r="923" spans="1:12" ht="12.75">
      <c r="A923" s="3" t="str">
        <f ca="1">IFERROR(__xludf.UNSUPPORTED("""COMPUTED_VALUE"""),"063930cf")</f>
        <v>063930cf</v>
      </c>
      <c r="B923" s="4">
        <f ca="1">IFERROR(__xludf.UNSUPPORTED("""COMPUTED_VALUE"""),44930.354699074)</f>
        <v>44930.354699074</v>
      </c>
      <c r="C923" s="8" t="str">
        <f ca="1">IFERROR(__xludf.UNSUPPORTED("""COMPUTED_VALUE"""),"Maceió")</f>
        <v>Maceió</v>
      </c>
      <c r="D923" s="3" t="str">
        <f ca="1">IFERROR(__xludf.UNSUPPORTED("""COMPUTED_VALUE"""),"🚢 REGULAR")</f>
        <v>🚢 REGULAR</v>
      </c>
      <c r="E923" s="3" t="str">
        <f ca="1">IFERROR(__xludf.UNSUPPORTED("""COMPUTED_VALUE"""),"🚛 LIBERADO")</f>
        <v>🚛 LIBERADO</v>
      </c>
      <c r="F923" s="5">
        <f ca="1">IFERROR(__xludf.UNSUPPORTED("""COMPUTED_VALUE"""),0)</f>
        <v>0</v>
      </c>
      <c r="G923" s="3" t="str">
        <f ca="1">IFERROR(__xludf.UNSUPPORTED("""COMPUTED_VALUE"""),"Normal")</f>
        <v>Normal</v>
      </c>
      <c r="H923" s="4">
        <f ca="1">IFERROR(__xludf.UNSUPPORTED("""COMPUTED_VALUE"""),44930.354699074)</f>
        <v>44930.354699074</v>
      </c>
      <c r="I923" s="3">
        <f ca="1">IFERROR(__xludf.UNSUPPORTED("""COMPUTED_VALUE"""),1)</f>
        <v>1</v>
      </c>
      <c r="J923" s="4">
        <f ca="1">IFERROR(__xludf.UNSUPPORTED("""COMPUTED_VALUE"""),44930.3963657407)</f>
        <v>44930.3963657407</v>
      </c>
    </row>
    <row r="924" spans="1:12" ht="12.75">
      <c r="A924" s="3" t="str">
        <f ca="1">IFERROR(__xludf.UNSUPPORTED("""COMPUTED_VALUE"""),"4222b045")</f>
        <v>4222b045</v>
      </c>
      <c r="B924" s="4">
        <f ca="1">IFERROR(__xludf.UNSUPPORTED("""COMPUTED_VALUE"""),44931.3481481481)</f>
        <v>44931.348148148099</v>
      </c>
      <c r="C924" s="8" t="str">
        <f ca="1">IFERROR(__xludf.UNSUPPORTED("""COMPUTED_VALUE"""),"Maceió")</f>
        <v>Maceió</v>
      </c>
      <c r="D924" s="3" t="str">
        <f ca="1">IFERROR(__xludf.UNSUPPORTED("""COMPUTED_VALUE"""),"🚢 REGULAR")</f>
        <v>🚢 REGULAR</v>
      </c>
      <c r="E924" s="3" t="str">
        <f ca="1">IFERROR(__xludf.UNSUPPORTED("""COMPUTED_VALUE"""),"🚛 LIBERADO")</f>
        <v>🚛 LIBERADO</v>
      </c>
      <c r="F924" s="5">
        <f ca="1">IFERROR(__xludf.UNSUPPORTED("""COMPUTED_VALUE"""),0)</f>
        <v>0</v>
      </c>
      <c r="G924" s="3" t="str">
        <f ca="1">IFERROR(__xludf.UNSUPPORTED("""COMPUTED_VALUE"""),"Normalidade")</f>
        <v>Normalidade</v>
      </c>
      <c r="H924" s="4">
        <f ca="1">IFERROR(__xludf.UNSUPPORTED("""COMPUTED_VALUE"""),44931.3481481481)</f>
        <v>44931.348148148099</v>
      </c>
      <c r="I924" s="3">
        <f ca="1">IFERROR(__xludf.UNSUPPORTED("""COMPUTED_VALUE"""),24)</f>
        <v>24</v>
      </c>
      <c r="J924" s="4">
        <f ca="1">IFERROR(__xludf.UNSUPPORTED("""COMPUTED_VALUE"""),44932.3481481481)</f>
        <v>44932.348148148099</v>
      </c>
    </row>
    <row r="925" spans="1:12" ht="12.75">
      <c r="A925" s="3" t="str">
        <f ca="1">IFERROR(__xludf.UNSUPPORTED("""COMPUTED_VALUE"""),"af966f4e")</f>
        <v>af966f4e</v>
      </c>
      <c r="B925" s="4">
        <f ca="1">IFERROR(__xludf.UNSUPPORTED("""COMPUTED_VALUE"""),44932.5251041666)</f>
        <v>44932.525104166598</v>
      </c>
      <c r="C925" s="7" t="str">
        <f ca="1">IFERROR(__xludf.UNSUPPORTED("""COMPUTED_VALUE"""),"Maceió")</f>
        <v>Maceió</v>
      </c>
      <c r="D925" s="3" t="str">
        <f ca="1">IFERROR(__xludf.UNSUPPORTED("""COMPUTED_VALUE"""),"🚢 REGULAR")</f>
        <v>🚢 REGULAR</v>
      </c>
      <c r="E925" s="3" t="str">
        <f ca="1">IFERROR(__xludf.UNSUPPORTED("""COMPUTED_VALUE"""),"🚛 LIBERADO")</f>
        <v>🚛 LIBERADO</v>
      </c>
      <c r="F925" s="5">
        <f ca="1">IFERROR(__xludf.UNSUPPORTED("""COMPUTED_VALUE"""),0)</f>
        <v>0</v>
      </c>
      <c r="G925" s="3" t="str">
        <f ca="1">IFERROR(__xludf.UNSUPPORTED("""COMPUTED_VALUE"""),"Normalidade")</f>
        <v>Normalidade</v>
      </c>
      <c r="H925" s="4">
        <f ca="1">IFERROR(__xludf.UNSUPPORTED("""COMPUTED_VALUE"""),44932.5251041666)</f>
        <v>44932.525104166598</v>
      </c>
      <c r="I925" s="3">
        <f ca="1">IFERROR(__xludf.UNSUPPORTED("""COMPUTED_VALUE"""),24)</f>
        <v>24</v>
      </c>
      <c r="J925" s="4">
        <f ca="1">IFERROR(__xludf.UNSUPPORTED("""COMPUTED_VALUE"""),44933.5251041666)</f>
        <v>44933.525104166598</v>
      </c>
      <c r="L925" s="3" t="str">
        <f ca="1">IFERROR(__xludf.UNSUPPORTED("""COMPUTED_VALUE"""),"Normalidade")</f>
        <v>Normalidade</v>
      </c>
    </row>
    <row r="926" spans="1:12" ht="12.75">
      <c r="A926" s="3" t="str">
        <f ca="1">IFERROR(__xludf.UNSUPPORTED("""COMPUTED_VALUE"""),"55f1ac84")</f>
        <v>55f1ac84</v>
      </c>
      <c r="B926" s="4">
        <f ca="1">IFERROR(__xludf.UNSUPPORTED("""COMPUTED_VALUE"""),44933.4898148148)</f>
        <v>44933.489814814799</v>
      </c>
      <c r="C926" s="7" t="str">
        <f ca="1">IFERROR(__xludf.UNSUPPORTED("""COMPUTED_VALUE"""),"Maceió")</f>
        <v>Maceió</v>
      </c>
      <c r="D926" s="3" t="str">
        <f ca="1">IFERROR(__xludf.UNSUPPORTED("""COMPUTED_VALUE"""),"🚢 REGULAR")</f>
        <v>🚢 REGULAR</v>
      </c>
      <c r="E926" s="3" t="str">
        <f ca="1">IFERROR(__xludf.UNSUPPORTED("""COMPUTED_VALUE"""),"🚛 LIBERADO")</f>
        <v>🚛 LIBERADO</v>
      </c>
      <c r="F926" s="5">
        <f ca="1">IFERROR(__xludf.UNSUPPORTED("""COMPUTED_VALUE"""),0)</f>
        <v>0</v>
      </c>
      <c r="G926" s="3" t="str">
        <f ca="1">IFERROR(__xludf.UNSUPPORTED("""COMPUTED_VALUE"""),"Normalidade")</f>
        <v>Normalidade</v>
      </c>
      <c r="H926" s="4">
        <f ca="1">IFERROR(__xludf.UNSUPPORTED("""COMPUTED_VALUE"""),44933.4898148148)</f>
        <v>44933.489814814799</v>
      </c>
      <c r="I926" s="3">
        <f ca="1">IFERROR(__xludf.UNSUPPORTED("""COMPUTED_VALUE"""),24)</f>
        <v>24</v>
      </c>
      <c r="J926" s="4">
        <f ca="1">IFERROR(__xludf.UNSUPPORTED("""COMPUTED_VALUE"""),44934.4898148148)</f>
        <v>44934.489814814799</v>
      </c>
      <c r="L926" s="3" t="str">
        <f ca="1">IFERROR(__xludf.UNSUPPORTED("""COMPUTED_VALUE"""),"Normalidade")</f>
        <v>Normalidade</v>
      </c>
    </row>
    <row r="927" spans="1:12" ht="12.75">
      <c r="A927" s="3" t="str">
        <f ca="1">IFERROR(__xludf.UNSUPPORTED("""COMPUTED_VALUE"""),"41460e2c")</f>
        <v>41460e2c</v>
      </c>
      <c r="B927" s="4">
        <f ca="1">IFERROR(__xludf.UNSUPPORTED("""COMPUTED_VALUE"""),44934.4301504629)</f>
        <v>44934.430150462897</v>
      </c>
      <c r="C927" s="7" t="str">
        <f ca="1">IFERROR(__xludf.UNSUPPORTED("""COMPUTED_VALUE"""),"Maceió")</f>
        <v>Maceió</v>
      </c>
      <c r="D927" s="3" t="str">
        <f ca="1">IFERROR(__xludf.UNSUPPORTED("""COMPUTED_VALUE"""),"🚢 REGULAR")</f>
        <v>🚢 REGULAR</v>
      </c>
      <c r="E927" s="3" t="str">
        <f ca="1">IFERROR(__xludf.UNSUPPORTED("""COMPUTED_VALUE"""),"🚛 LIBERADO")</f>
        <v>🚛 LIBERADO</v>
      </c>
      <c r="F927" s="5">
        <f ca="1">IFERROR(__xludf.UNSUPPORTED("""COMPUTED_VALUE"""),0)</f>
        <v>0</v>
      </c>
      <c r="G927" s="3" t="str">
        <f ca="1">IFERROR(__xludf.UNSUPPORTED("""COMPUTED_VALUE"""),"Normalidade")</f>
        <v>Normalidade</v>
      </c>
      <c r="H927" s="4">
        <f ca="1">IFERROR(__xludf.UNSUPPORTED("""COMPUTED_VALUE"""),44934.4301504629)</f>
        <v>44934.430150462897</v>
      </c>
      <c r="I927" s="3">
        <f ca="1">IFERROR(__xludf.UNSUPPORTED("""COMPUTED_VALUE"""),24)</f>
        <v>24</v>
      </c>
      <c r="J927" s="4">
        <f ca="1">IFERROR(__xludf.UNSUPPORTED("""COMPUTED_VALUE"""),44935.4301504629)</f>
        <v>44935.430150462897</v>
      </c>
      <c r="L927" s="3" t="str">
        <f ca="1">IFERROR(__xludf.UNSUPPORTED("""COMPUTED_VALUE"""),"Normalidade")</f>
        <v>Normalidade</v>
      </c>
    </row>
    <row r="928" spans="1:12" ht="12.75">
      <c r="A928" s="3" t="str">
        <f ca="1">IFERROR(__xludf.UNSUPPORTED("""COMPUTED_VALUE"""),"6e24a5ea")</f>
        <v>6e24a5ea</v>
      </c>
      <c r="B928" s="4">
        <f ca="1">IFERROR(__xludf.UNSUPPORTED("""COMPUTED_VALUE"""),44935.3459374999)</f>
        <v>44935.3459374999</v>
      </c>
      <c r="C928" s="7" t="str">
        <f ca="1">IFERROR(__xludf.UNSUPPORTED("""COMPUTED_VALUE"""),"Maceió")</f>
        <v>Maceió</v>
      </c>
      <c r="D928" s="3" t="str">
        <f ca="1">IFERROR(__xludf.UNSUPPORTED("""COMPUTED_VALUE"""),"🚢 REGULAR")</f>
        <v>🚢 REGULAR</v>
      </c>
      <c r="E928" s="3" t="str">
        <f ca="1">IFERROR(__xludf.UNSUPPORTED("""COMPUTED_VALUE"""),"🚛 LIBERADO")</f>
        <v>🚛 LIBERADO</v>
      </c>
      <c r="F928" s="5">
        <f ca="1">IFERROR(__xludf.UNSUPPORTED("""COMPUTED_VALUE"""),0)</f>
        <v>0</v>
      </c>
      <c r="G928" s="3" t="str">
        <f ca="1">IFERROR(__xludf.UNSUPPORTED("""COMPUTED_VALUE"""),"Normalidade")</f>
        <v>Normalidade</v>
      </c>
      <c r="H928" s="4">
        <f ca="1">IFERROR(__xludf.UNSUPPORTED("""COMPUTED_VALUE"""),44935.3459374999)</f>
        <v>44935.3459374999</v>
      </c>
      <c r="I928" s="3">
        <f ca="1">IFERROR(__xludf.UNSUPPORTED("""COMPUTED_VALUE"""),24)</f>
        <v>24</v>
      </c>
      <c r="J928" s="4">
        <f ca="1">IFERROR(__xludf.UNSUPPORTED("""COMPUTED_VALUE"""),44936.3459374999)</f>
        <v>44936.3459374999</v>
      </c>
      <c r="L928" s="3" t="str">
        <f ca="1">IFERROR(__xludf.UNSUPPORTED("""COMPUTED_VALUE"""),"Normalidade")</f>
        <v>Normalidade</v>
      </c>
    </row>
    <row r="929" spans="1:12" ht="12.75">
      <c r="A929" s="3" t="str">
        <f ca="1">IFERROR(__xludf.UNSUPPORTED("""COMPUTED_VALUE"""),"dee4967e")</f>
        <v>dee4967e</v>
      </c>
      <c r="B929" s="4">
        <f ca="1">IFERROR(__xludf.UNSUPPORTED("""COMPUTED_VALUE"""),44936.3586226851)</f>
        <v>44936.358622685097</v>
      </c>
      <c r="C929" s="8" t="str">
        <f ca="1">IFERROR(__xludf.UNSUPPORTED("""COMPUTED_VALUE"""),"Maceió")</f>
        <v>Maceió</v>
      </c>
      <c r="D929" s="3" t="str">
        <f ca="1">IFERROR(__xludf.UNSUPPORTED("""COMPUTED_VALUE"""),"🚢 REGULAR")</f>
        <v>🚢 REGULAR</v>
      </c>
      <c r="E929" s="3" t="str">
        <f ca="1">IFERROR(__xludf.UNSUPPORTED("""COMPUTED_VALUE"""),"🚛 LIBERADO")</f>
        <v>🚛 LIBERADO</v>
      </c>
      <c r="F929" s="5">
        <f ca="1">IFERROR(__xludf.UNSUPPORTED("""COMPUTED_VALUE"""),0)</f>
        <v>0</v>
      </c>
      <c r="G929" s="3" t="str">
        <f ca="1">IFERROR(__xludf.UNSUPPORTED("""COMPUTED_VALUE"""),"Normalidade")</f>
        <v>Normalidade</v>
      </c>
      <c r="H929" s="4">
        <f ca="1">IFERROR(__xludf.UNSUPPORTED("""COMPUTED_VALUE"""),44936.3586226851)</f>
        <v>44936.358622685097</v>
      </c>
      <c r="I929" s="3">
        <f ca="1">IFERROR(__xludf.UNSUPPORTED("""COMPUTED_VALUE"""),24)</f>
        <v>24</v>
      </c>
      <c r="J929" s="4">
        <f ca="1">IFERROR(__xludf.UNSUPPORTED("""COMPUTED_VALUE"""),44937.3586226851)</f>
        <v>44937.358622685097</v>
      </c>
      <c r="L929" s="3" t="str">
        <f ca="1">IFERROR(__xludf.UNSUPPORTED("""COMPUTED_VALUE"""),"Normalidade")</f>
        <v>Normalidade</v>
      </c>
    </row>
    <row r="930" spans="1:12" ht="12.75">
      <c r="A930" s="3" t="str">
        <f ca="1">IFERROR(__xludf.UNSUPPORTED("""COMPUTED_VALUE"""),"de7d156e")</f>
        <v>de7d156e</v>
      </c>
      <c r="B930" s="4">
        <f ca="1">IFERROR(__xludf.UNSUPPORTED("""COMPUTED_VALUE"""),44937.3409375)</f>
        <v>44937.340937499997</v>
      </c>
      <c r="C930" s="8" t="str">
        <f ca="1">IFERROR(__xludf.UNSUPPORTED("""COMPUTED_VALUE"""),"Maceió")</f>
        <v>Maceió</v>
      </c>
      <c r="D930" s="3" t="str">
        <f ca="1">IFERROR(__xludf.UNSUPPORTED("""COMPUTED_VALUE"""),"🚢 REGULAR")</f>
        <v>🚢 REGULAR</v>
      </c>
      <c r="E930" s="3" t="str">
        <f ca="1">IFERROR(__xludf.UNSUPPORTED("""COMPUTED_VALUE"""),"🚛 LIBERADO")</f>
        <v>🚛 LIBERADO</v>
      </c>
      <c r="F930" s="5">
        <f ca="1">IFERROR(__xludf.UNSUPPORTED("""COMPUTED_VALUE"""),0)</f>
        <v>0</v>
      </c>
      <c r="G930" s="3" t="str">
        <f ca="1">IFERROR(__xludf.UNSUPPORTED("""COMPUTED_VALUE"""),"Normalidade")</f>
        <v>Normalidade</v>
      </c>
      <c r="H930" s="4">
        <f ca="1">IFERROR(__xludf.UNSUPPORTED("""COMPUTED_VALUE"""),44937.3409375)</f>
        <v>44937.340937499997</v>
      </c>
      <c r="I930" s="3">
        <f ca="1">IFERROR(__xludf.UNSUPPORTED("""COMPUTED_VALUE"""),24)</f>
        <v>24</v>
      </c>
      <c r="J930" s="4">
        <f ca="1">IFERROR(__xludf.UNSUPPORTED("""COMPUTED_VALUE"""),44938.3409375)</f>
        <v>44938.340937499997</v>
      </c>
      <c r="L930" s="3" t="str">
        <f ca="1">IFERROR(__xludf.UNSUPPORTED("""COMPUTED_VALUE"""),"Normalidade")</f>
        <v>Normalidade</v>
      </c>
    </row>
    <row r="931" spans="1:12" ht="12.75">
      <c r="A931" s="3" t="str">
        <f ca="1">IFERROR(__xludf.UNSUPPORTED("""COMPUTED_VALUE"""),"d0eeba31")</f>
        <v>d0eeba31</v>
      </c>
      <c r="B931" s="4">
        <f ca="1">IFERROR(__xludf.UNSUPPORTED("""COMPUTED_VALUE"""),44939.2913541666)</f>
        <v>44939.291354166598</v>
      </c>
      <c r="C931" s="7" t="str">
        <f ca="1">IFERROR(__xludf.UNSUPPORTED("""COMPUTED_VALUE"""),"Maceió")</f>
        <v>Maceió</v>
      </c>
      <c r="D931" s="3" t="str">
        <f ca="1">IFERROR(__xludf.UNSUPPORTED("""COMPUTED_VALUE"""),"🚢 REGULAR")</f>
        <v>🚢 REGULAR</v>
      </c>
      <c r="E931" s="3" t="str">
        <f ca="1">IFERROR(__xludf.UNSUPPORTED("""COMPUTED_VALUE"""),"🚛 LIBERADO")</f>
        <v>🚛 LIBERADO</v>
      </c>
      <c r="F931" s="5">
        <f ca="1">IFERROR(__xludf.UNSUPPORTED("""COMPUTED_VALUE"""),0)</f>
        <v>0</v>
      </c>
      <c r="G931" s="3" t="str">
        <f ca="1">IFERROR(__xludf.UNSUPPORTED("""COMPUTED_VALUE"""),"Normalidade")</f>
        <v>Normalidade</v>
      </c>
      <c r="H931" s="4">
        <f ca="1">IFERROR(__xludf.UNSUPPORTED("""COMPUTED_VALUE"""),44939.2913541666)</f>
        <v>44939.291354166598</v>
      </c>
      <c r="I931" s="3">
        <f ca="1">IFERROR(__xludf.UNSUPPORTED("""COMPUTED_VALUE"""),24)</f>
        <v>24</v>
      </c>
      <c r="J931" s="4">
        <f ca="1">IFERROR(__xludf.UNSUPPORTED("""COMPUTED_VALUE"""),44940.2913541666)</f>
        <v>44940.291354166598</v>
      </c>
      <c r="L931" s="3" t="str">
        <f ca="1">IFERROR(__xludf.UNSUPPORTED("""COMPUTED_VALUE"""),"Normalidade")</f>
        <v>Normalidade</v>
      </c>
    </row>
    <row r="932" spans="1:12" ht="12.75">
      <c r="A932" s="3" t="str">
        <f ca="1">IFERROR(__xludf.UNSUPPORTED("""COMPUTED_VALUE"""),"76b5fc92")</f>
        <v>76b5fc92</v>
      </c>
      <c r="B932" s="4">
        <f ca="1">IFERROR(__xludf.UNSUPPORTED("""COMPUTED_VALUE"""),44940.4092592592)</f>
        <v>44940.409259259199</v>
      </c>
      <c r="C932" s="7" t="str">
        <f ca="1">IFERROR(__xludf.UNSUPPORTED("""COMPUTED_VALUE"""),"Maceió")</f>
        <v>Maceió</v>
      </c>
      <c r="D932" s="3" t="str">
        <f ca="1">IFERROR(__xludf.UNSUPPORTED("""COMPUTED_VALUE"""),"🚢 REGULAR")</f>
        <v>🚢 REGULAR</v>
      </c>
      <c r="E932" s="3" t="str">
        <f ca="1">IFERROR(__xludf.UNSUPPORTED("""COMPUTED_VALUE"""),"🚛 LIBERADO")</f>
        <v>🚛 LIBERADO</v>
      </c>
      <c r="F932" s="5">
        <f ca="1">IFERROR(__xludf.UNSUPPORTED("""COMPUTED_VALUE"""),0)</f>
        <v>0</v>
      </c>
      <c r="G932" s="3" t="str">
        <f ca="1">IFERROR(__xludf.UNSUPPORTED("""COMPUTED_VALUE"""),"Normalidade")</f>
        <v>Normalidade</v>
      </c>
      <c r="H932" s="4">
        <f ca="1">IFERROR(__xludf.UNSUPPORTED("""COMPUTED_VALUE"""),44940.4092592592)</f>
        <v>44940.409259259199</v>
      </c>
      <c r="I932" s="3">
        <f ca="1">IFERROR(__xludf.UNSUPPORTED("""COMPUTED_VALUE"""),24)</f>
        <v>24</v>
      </c>
      <c r="J932" s="4">
        <f ca="1">IFERROR(__xludf.UNSUPPORTED("""COMPUTED_VALUE"""),44941.4092592592)</f>
        <v>44941.409259259199</v>
      </c>
      <c r="L932" s="3" t="str">
        <f ca="1">IFERROR(__xludf.UNSUPPORTED("""COMPUTED_VALUE"""),"Normalidade")</f>
        <v>Normalidade</v>
      </c>
    </row>
    <row r="933" spans="1:12" ht="12.75">
      <c r="A933" s="3" t="str">
        <f ca="1">IFERROR(__xludf.UNSUPPORTED("""COMPUTED_VALUE"""),"2fe84648")</f>
        <v>2fe84648</v>
      </c>
      <c r="B933" s="4">
        <f ca="1">IFERROR(__xludf.UNSUPPORTED("""COMPUTED_VALUE"""),44941.7243634259)</f>
        <v>44941.724363425899</v>
      </c>
      <c r="C933" s="7" t="str">
        <f ca="1">IFERROR(__xludf.UNSUPPORTED("""COMPUTED_VALUE"""),"Maceió")</f>
        <v>Maceió</v>
      </c>
      <c r="D933" s="3" t="str">
        <f ca="1">IFERROR(__xludf.UNSUPPORTED("""COMPUTED_VALUE"""),"🚢 REGULAR")</f>
        <v>🚢 REGULAR</v>
      </c>
      <c r="E933" s="3" t="str">
        <f ca="1">IFERROR(__xludf.UNSUPPORTED("""COMPUTED_VALUE"""),"🚛 LIBERADO")</f>
        <v>🚛 LIBERADO</v>
      </c>
      <c r="F933" s="5">
        <f ca="1">IFERROR(__xludf.UNSUPPORTED("""COMPUTED_VALUE"""),0)</f>
        <v>0</v>
      </c>
      <c r="G933" s="3" t="str">
        <f ca="1">IFERROR(__xludf.UNSUPPORTED("""COMPUTED_VALUE"""),"Normalidade")</f>
        <v>Normalidade</v>
      </c>
      <c r="H933" s="4">
        <f ca="1">IFERROR(__xludf.UNSUPPORTED("""COMPUTED_VALUE"""),44941.7243634259)</f>
        <v>44941.724363425899</v>
      </c>
      <c r="I933" s="3">
        <f ca="1">IFERROR(__xludf.UNSUPPORTED("""COMPUTED_VALUE"""),24)</f>
        <v>24</v>
      </c>
      <c r="J933" s="4">
        <f ca="1">IFERROR(__xludf.UNSUPPORTED("""COMPUTED_VALUE"""),44942.7243634259)</f>
        <v>44942.724363425899</v>
      </c>
      <c r="L933" s="3" t="str">
        <f ca="1">IFERROR(__xludf.UNSUPPORTED("""COMPUTED_VALUE"""),"Normalidade")</f>
        <v>Normalidade</v>
      </c>
    </row>
    <row r="934" spans="1:12" ht="12.75">
      <c r="A934" s="3" t="str">
        <f ca="1">IFERROR(__xludf.UNSUPPORTED("""COMPUTED_VALUE"""),"7af33fa8")</f>
        <v>7af33fa8</v>
      </c>
      <c r="B934" s="4">
        <f ca="1">IFERROR(__xludf.UNSUPPORTED("""COMPUTED_VALUE"""),44942.5847569444)</f>
        <v>44942.584756944401</v>
      </c>
      <c r="C934" s="8" t="str">
        <f ca="1">IFERROR(__xludf.UNSUPPORTED("""COMPUTED_VALUE"""),"Maceió")</f>
        <v>Maceió</v>
      </c>
      <c r="D934" s="3" t="str">
        <f ca="1">IFERROR(__xludf.UNSUPPORTED("""COMPUTED_VALUE"""),"🚢 REGULAR")</f>
        <v>🚢 REGULAR</v>
      </c>
      <c r="E934" s="3" t="str">
        <f ca="1">IFERROR(__xludf.UNSUPPORTED("""COMPUTED_VALUE"""),"🚛 LIBERADO")</f>
        <v>🚛 LIBERADO</v>
      </c>
      <c r="F934" s="5">
        <f ca="1">IFERROR(__xludf.UNSUPPORTED("""COMPUTED_VALUE"""),0)</f>
        <v>0</v>
      </c>
      <c r="G934" s="3" t="str">
        <f ca="1">IFERROR(__xludf.UNSUPPORTED("""COMPUTED_VALUE"""),"Normalidade")</f>
        <v>Normalidade</v>
      </c>
      <c r="H934" s="4">
        <f ca="1">IFERROR(__xludf.UNSUPPORTED("""COMPUTED_VALUE"""),44942.5847569444)</f>
        <v>44942.584756944401</v>
      </c>
      <c r="I934" s="3">
        <f ca="1">IFERROR(__xludf.UNSUPPORTED("""COMPUTED_VALUE"""),24)</f>
        <v>24</v>
      </c>
      <c r="J934" s="4">
        <f ca="1">IFERROR(__xludf.UNSUPPORTED("""COMPUTED_VALUE"""),44943.5847569444)</f>
        <v>44943.584756944401</v>
      </c>
      <c r="L934" s="3" t="str">
        <f ca="1">IFERROR(__xludf.UNSUPPORTED("""COMPUTED_VALUE"""),"Normalidade")</f>
        <v>Normalidade</v>
      </c>
    </row>
    <row r="935" spans="1:12" ht="12.75">
      <c r="A935" s="3" t="str">
        <f ca="1">IFERROR(__xludf.UNSUPPORTED("""COMPUTED_VALUE"""),"a990203c")</f>
        <v>a990203c</v>
      </c>
      <c r="B935" s="4">
        <f ca="1">IFERROR(__xludf.UNSUPPORTED("""COMPUTED_VALUE"""),44943.3617708333)</f>
        <v>44943.361770833297</v>
      </c>
      <c r="C935" s="8" t="str">
        <f ca="1">IFERROR(__xludf.UNSUPPORTED("""COMPUTED_VALUE"""),"Maceió")</f>
        <v>Maceió</v>
      </c>
      <c r="D935" s="3" t="str">
        <f ca="1">IFERROR(__xludf.UNSUPPORTED("""COMPUTED_VALUE"""),"🚢 REGULAR")</f>
        <v>🚢 REGULAR</v>
      </c>
      <c r="E935" s="3" t="str">
        <f ca="1">IFERROR(__xludf.UNSUPPORTED("""COMPUTED_VALUE"""),"🚛 LIBERADO")</f>
        <v>🚛 LIBERADO</v>
      </c>
      <c r="F935" s="5">
        <f ca="1">IFERROR(__xludf.UNSUPPORTED("""COMPUTED_VALUE"""),0)</f>
        <v>0</v>
      </c>
      <c r="G935" s="3" t="str">
        <f ca="1">IFERROR(__xludf.UNSUPPORTED("""COMPUTED_VALUE"""),"Normalidade")</f>
        <v>Normalidade</v>
      </c>
      <c r="H935" s="4">
        <f ca="1">IFERROR(__xludf.UNSUPPORTED("""COMPUTED_VALUE"""),44943.3617708333)</f>
        <v>44943.361770833297</v>
      </c>
      <c r="I935" s="3">
        <f ca="1">IFERROR(__xludf.UNSUPPORTED("""COMPUTED_VALUE"""),24)</f>
        <v>24</v>
      </c>
      <c r="J935" s="4">
        <f ca="1">IFERROR(__xludf.UNSUPPORTED("""COMPUTED_VALUE"""),44944.3617708333)</f>
        <v>44944.361770833297</v>
      </c>
      <c r="L935" s="3" t="str">
        <f ca="1">IFERROR(__xludf.UNSUPPORTED("""COMPUTED_VALUE"""),"Normalidade")</f>
        <v>Normalidade</v>
      </c>
    </row>
    <row r="936" spans="1:12" ht="12.75">
      <c r="A936" s="3" t="str">
        <f ca="1">IFERROR(__xludf.UNSUPPORTED("""COMPUTED_VALUE"""),"c707fc02")</f>
        <v>c707fc02</v>
      </c>
      <c r="B936" s="4">
        <f ca="1">IFERROR(__xludf.UNSUPPORTED("""COMPUTED_VALUE"""),44943.4434143518)</f>
        <v>44943.443414351801</v>
      </c>
      <c r="C936" s="7" t="str">
        <f ca="1">IFERROR(__xludf.UNSUPPORTED("""COMPUTED_VALUE"""),"Maceió")</f>
        <v>Maceió</v>
      </c>
      <c r="D936" s="3" t="str">
        <f ca="1">IFERROR(__xludf.UNSUPPORTED("""COMPUTED_VALUE"""),"🚢 REGULAR")</f>
        <v>🚢 REGULAR</v>
      </c>
      <c r="E936" s="3" t="str">
        <f ca="1">IFERROR(__xludf.UNSUPPORTED("""COMPUTED_VALUE"""),"🚛 LIBERADO")</f>
        <v>🚛 LIBERADO</v>
      </c>
      <c r="F936" s="5">
        <f ca="1">IFERROR(__xludf.UNSUPPORTED("""COMPUTED_VALUE"""),0)</f>
        <v>0</v>
      </c>
      <c r="G936" s="3" t="str">
        <f ca="1">IFERROR(__xludf.UNSUPPORTED("""COMPUTED_VALUE"""),"Normalidade")</f>
        <v>Normalidade</v>
      </c>
      <c r="H936" s="4">
        <f ca="1">IFERROR(__xludf.UNSUPPORTED("""COMPUTED_VALUE"""),44943.4434143518)</f>
        <v>44943.443414351801</v>
      </c>
      <c r="I936" s="3">
        <f ca="1">IFERROR(__xludf.UNSUPPORTED("""COMPUTED_VALUE"""),24)</f>
        <v>24</v>
      </c>
      <c r="J936" s="4">
        <f ca="1">IFERROR(__xludf.UNSUPPORTED("""COMPUTED_VALUE"""),44944.4434143518)</f>
        <v>44944.443414351801</v>
      </c>
      <c r="L936" s="3" t="str">
        <f ca="1">IFERROR(__xludf.UNSUPPORTED("""COMPUTED_VALUE"""),"Normalidade")</f>
        <v>Normalidade</v>
      </c>
    </row>
    <row r="937" spans="1:12" ht="12.75">
      <c r="A937" s="3" t="str">
        <f ca="1">IFERROR(__xludf.UNSUPPORTED("""COMPUTED_VALUE"""),"6cb83035")</f>
        <v>6cb83035</v>
      </c>
      <c r="B937" s="4">
        <f ca="1">IFERROR(__xludf.UNSUPPORTED("""COMPUTED_VALUE"""),44944.5064814814)</f>
        <v>44944.506481481403</v>
      </c>
      <c r="C937" s="8" t="str">
        <f ca="1">IFERROR(__xludf.UNSUPPORTED("""COMPUTED_VALUE"""),"Maceió")</f>
        <v>Maceió</v>
      </c>
      <c r="D937" s="3" t="str">
        <f ca="1">IFERROR(__xludf.UNSUPPORTED("""COMPUTED_VALUE"""),"🚢 REGULAR")</f>
        <v>🚢 REGULAR</v>
      </c>
      <c r="E937" s="3" t="str">
        <f ca="1">IFERROR(__xludf.UNSUPPORTED("""COMPUTED_VALUE"""),"🚛 LIBERADO")</f>
        <v>🚛 LIBERADO</v>
      </c>
      <c r="F937" s="5">
        <f ca="1">IFERROR(__xludf.UNSUPPORTED("""COMPUTED_VALUE"""),0)</f>
        <v>0</v>
      </c>
      <c r="G937" s="3" t="str">
        <f ca="1">IFERROR(__xludf.UNSUPPORTED("""COMPUTED_VALUE"""),"Normalidade")</f>
        <v>Normalidade</v>
      </c>
      <c r="H937" s="4">
        <f ca="1">IFERROR(__xludf.UNSUPPORTED("""COMPUTED_VALUE"""),44944.5064814814)</f>
        <v>44944.506481481403</v>
      </c>
      <c r="I937" s="3">
        <f ca="1">IFERROR(__xludf.UNSUPPORTED("""COMPUTED_VALUE"""),24)</f>
        <v>24</v>
      </c>
      <c r="J937" s="4">
        <f ca="1">IFERROR(__xludf.UNSUPPORTED("""COMPUTED_VALUE"""),44945.5064814814)</f>
        <v>44945.506481481403</v>
      </c>
      <c r="L937" s="3" t="str">
        <f ca="1">IFERROR(__xludf.UNSUPPORTED("""COMPUTED_VALUE"""),"Normalidade")</f>
        <v>Normalidade</v>
      </c>
    </row>
    <row r="938" spans="1:12" ht="12.75">
      <c r="A938" s="3" t="str">
        <f ca="1">IFERROR(__xludf.UNSUPPORTED("""COMPUTED_VALUE"""),"17c6ab1e")</f>
        <v>17c6ab1e</v>
      </c>
      <c r="B938" s="4">
        <f ca="1">IFERROR(__xludf.UNSUPPORTED("""COMPUTED_VALUE"""),44945.3802893518)</f>
        <v>44945.3802893518</v>
      </c>
      <c r="C938" s="7" t="str">
        <f ca="1">IFERROR(__xludf.UNSUPPORTED("""COMPUTED_VALUE"""),"Maceió")</f>
        <v>Maceió</v>
      </c>
      <c r="D938" s="3" t="str">
        <f ca="1">IFERROR(__xludf.UNSUPPORTED("""COMPUTED_VALUE"""),"🚢 REGULAR")</f>
        <v>🚢 REGULAR</v>
      </c>
      <c r="E938" s="3" t="str">
        <f ca="1">IFERROR(__xludf.UNSUPPORTED("""COMPUTED_VALUE"""),"🚛 LIBERADO")</f>
        <v>🚛 LIBERADO</v>
      </c>
      <c r="F938" s="5">
        <f ca="1">IFERROR(__xludf.UNSUPPORTED("""COMPUTED_VALUE"""),0)</f>
        <v>0</v>
      </c>
      <c r="G938" s="3" t="str">
        <f ca="1">IFERROR(__xludf.UNSUPPORTED("""COMPUTED_VALUE"""),"Normalidade")</f>
        <v>Normalidade</v>
      </c>
      <c r="H938" s="4">
        <f ca="1">IFERROR(__xludf.UNSUPPORTED("""COMPUTED_VALUE"""),44945.3802893518)</f>
        <v>44945.3802893518</v>
      </c>
      <c r="I938" s="3">
        <f ca="1">IFERROR(__xludf.UNSUPPORTED("""COMPUTED_VALUE"""),24)</f>
        <v>24</v>
      </c>
      <c r="J938" s="4">
        <f ca="1">IFERROR(__xludf.UNSUPPORTED("""COMPUTED_VALUE"""),44946.3802893518)</f>
        <v>44946.3802893518</v>
      </c>
      <c r="L938" s="3" t="str">
        <f ca="1">IFERROR(__xludf.UNSUPPORTED("""COMPUTED_VALUE"""),"Normalidade")</f>
        <v>Normalidade</v>
      </c>
    </row>
    <row r="939" spans="1:12" ht="12.75">
      <c r="A939" s="3" t="str">
        <f ca="1">IFERROR(__xludf.UNSUPPORTED("""COMPUTED_VALUE"""),"63c989a6")</f>
        <v>63c989a6</v>
      </c>
      <c r="B939" s="4">
        <f ca="1">IFERROR(__xludf.UNSUPPORTED("""COMPUTED_VALUE"""),44949.4089814814)</f>
        <v>44949.4089814814</v>
      </c>
      <c r="C939" s="8" t="str">
        <f ca="1">IFERROR(__xludf.UNSUPPORTED("""COMPUTED_VALUE"""),"Maceió")</f>
        <v>Maceió</v>
      </c>
      <c r="D939" s="3" t="str">
        <f ca="1">IFERROR(__xludf.UNSUPPORTED("""COMPUTED_VALUE"""),"🚢 REGULAR")</f>
        <v>🚢 REGULAR</v>
      </c>
      <c r="E939" s="3" t="str">
        <f ca="1">IFERROR(__xludf.UNSUPPORTED("""COMPUTED_VALUE"""),"🚛 LIBERADO")</f>
        <v>🚛 LIBERADO</v>
      </c>
      <c r="F939" s="5">
        <f ca="1">IFERROR(__xludf.UNSUPPORTED("""COMPUTED_VALUE"""),0)</f>
        <v>0</v>
      </c>
      <c r="G939" s="3" t="str">
        <f ca="1">IFERROR(__xludf.UNSUPPORTED("""COMPUTED_VALUE"""),"Normalidade")</f>
        <v>Normalidade</v>
      </c>
      <c r="H939" s="4">
        <f ca="1">IFERROR(__xludf.UNSUPPORTED("""COMPUTED_VALUE"""),44949.4089814814)</f>
        <v>44949.4089814814</v>
      </c>
      <c r="I939" s="3">
        <f ca="1">IFERROR(__xludf.UNSUPPORTED("""COMPUTED_VALUE"""),24)</f>
        <v>24</v>
      </c>
      <c r="J939" s="4">
        <f ca="1">IFERROR(__xludf.UNSUPPORTED("""COMPUTED_VALUE"""),44950.4089814814)</f>
        <v>44950.4089814814</v>
      </c>
    </row>
    <row r="940" spans="1:12" ht="12.75">
      <c r="A940" s="3" t="str">
        <f ca="1">IFERROR(__xludf.UNSUPPORTED("""COMPUTED_VALUE"""),"487a0de0")</f>
        <v>487a0de0</v>
      </c>
      <c r="B940" s="4">
        <f ca="1">IFERROR(__xludf.UNSUPPORTED("""COMPUTED_VALUE"""),44951.7864814814)</f>
        <v>44951.786481481402</v>
      </c>
      <c r="C940" s="7" t="str">
        <f ca="1">IFERROR(__xludf.UNSUPPORTED("""COMPUTED_VALUE"""),"Maceió")</f>
        <v>Maceió</v>
      </c>
      <c r="D940" s="3" t="str">
        <f ca="1">IFERROR(__xludf.UNSUPPORTED("""COMPUTED_VALUE"""),"🚢 REGULAR")</f>
        <v>🚢 REGULAR</v>
      </c>
      <c r="E940" s="3" t="str">
        <f ca="1">IFERROR(__xludf.UNSUPPORTED("""COMPUTED_VALUE"""),"🚛 LIBERADO")</f>
        <v>🚛 LIBERADO</v>
      </c>
      <c r="F940" s="5">
        <f ca="1">IFERROR(__xludf.UNSUPPORTED("""COMPUTED_VALUE"""),0)</f>
        <v>0</v>
      </c>
      <c r="G940" s="3" t="str">
        <f ca="1">IFERROR(__xludf.UNSUPPORTED("""COMPUTED_VALUE"""),"Normalidade")</f>
        <v>Normalidade</v>
      </c>
      <c r="H940" s="4">
        <f ca="1">IFERROR(__xludf.UNSUPPORTED("""COMPUTED_VALUE"""),44951.7864814814)</f>
        <v>44951.786481481402</v>
      </c>
      <c r="I940" s="3">
        <f ca="1">IFERROR(__xludf.UNSUPPORTED("""COMPUTED_VALUE"""),24)</f>
        <v>24</v>
      </c>
      <c r="J940" s="4">
        <f ca="1">IFERROR(__xludf.UNSUPPORTED("""COMPUTED_VALUE"""),44952.7864814814)</f>
        <v>44952.786481481402</v>
      </c>
    </row>
    <row r="941" spans="1:12" ht="12.75">
      <c r="A941" s="3" t="str">
        <f ca="1">IFERROR(__xludf.UNSUPPORTED("""COMPUTED_VALUE"""),"5175c68a")</f>
        <v>5175c68a</v>
      </c>
      <c r="B941" s="4">
        <f ca="1">IFERROR(__xludf.UNSUPPORTED("""COMPUTED_VALUE"""),44952.4152430555)</f>
        <v>44952.415243055497</v>
      </c>
      <c r="C941" s="7" t="str">
        <f ca="1">IFERROR(__xludf.UNSUPPORTED("""COMPUTED_VALUE"""),"Maceió")</f>
        <v>Maceió</v>
      </c>
      <c r="D941" s="3" t="str">
        <f ca="1">IFERROR(__xludf.UNSUPPORTED("""COMPUTED_VALUE"""),"🚢 REGULAR")</f>
        <v>🚢 REGULAR</v>
      </c>
      <c r="E941" s="3" t="str">
        <f ca="1">IFERROR(__xludf.UNSUPPORTED("""COMPUTED_VALUE"""),"🚛 LIBERADO")</f>
        <v>🚛 LIBERADO</v>
      </c>
      <c r="F941" s="5">
        <f ca="1">IFERROR(__xludf.UNSUPPORTED("""COMPUTED_VALUE"""),0)</f>
        <v>0</v>
      </c>
      <c r="G941" s="3" t="str">
        <f ca="1">IFERROR(__xludf.UNSUPPORTED("""COMPUTED_VALUE"""),"Normalidade")</f>
        <v>Normalidade</v>
      </c>
      <c r="H941" s="4">
        <f ca="1">IFERROR(__xludf.UNSUPPORTED("""COMPUTED_VALUE"""),44952.4152430555)</f>
        <v>44952.415243055497</v>
      </c>
      <c r="I941" s="3">
        <f ca="1">IFERROR(__xludf.UNSUPPORTED("""COMPUTED_VALUE"""),24)</f>
        <v>24</v>
      </c>
      <c r="J941" s="4">
        <f ca="1">IFERROR(__xludf.UNSUPPORTED("""COMPUTED_VALUE"""),44953.4152430555)</f>
        <v>44953.415243055497</v>
      </c>
    </row>
    <row r="942" spans="1:12" ht="12.75">
      <c r="A942" s="3" t="str">
        <f ca="1">IFERROR(__xludf.UNSUPPORTED("""COMPUTED_VALUE"""),"ac326e83")</f>
        <v>ac326e83</v>
      </c>
      <c r="B942" s="4">
        <f ca="1">IFERROR(__xludf.UNSUPPORTED("""COMPUTED_VALUE"""),44953.4139814814)</f>
        <v>44953.413981481397</v>
      </c>
      <c r="C942" s="8" t="str">
        <f ca="1">IFERROR(__xludf.UNSUPPORTED("""COMPUTED_VALUE"""),"Maceió")</f>
        <v>Maceió</v>
      </c>
      <c r="D942" s="3" t="str">
        <f ca="1">IFERROR(__xludf.UNSUPPORTED("""COMPUTED_VALUE"""),"🚢 REGULAR")</f>
        <v>🚢 REGULAR</v>
      </c>
      <c r="E942" s="3" t="str">
        <f ca="1">IFERROR(__xludf.UNSUPPORTED("""COMPUTED_VALUE"""),"🚛 LIBERADO")</f>
        <v>🚛 LIBERADO</v>
      </c>
      <c r="F942" s="5">
        <f ca="1">IFERROR(__xludf.UNSUPPORTED("""COMPUTED_VALUE"""),0)</f>
        <v>0</v>
      </c>
      <c r="G942" s="3" t="str">
        <f ca="1">IFERROR(__xludf.UNSUPPORTED("""COMPUTED_VALUE"""),"Normalidade")</f>
        <v>Normalidade</v>
      </c>
      <c r="H942" s="4">
        <f ca="1">IFERROR(__xludf.UNSUPPORTED("""COMPUTED_VALUE"""),44953.4139814814)</f>
        <v>44953.413981481397</v>
      </c>
      <c r="I942" s="3">
        <f ca="1">IFERROR(__xludf.UNSUPPORTED("""COMPUTED_VALUE"""),24)</f>
        <v>24</v>
      </c>
      <c r="J942" s="4">
        <f ca="1">IFERROR(__xludf.UNSUPPORTED("""COMPUTED_VALUE"""),44954.4139814814)</f>
        <v>44954.413981481397</v>
      </c>
      <c r="L942" s="3" t="str">
        <f ca="1">IFERROR(__xludf.UNSUPPORTED("""COMPUTED_VALUE"""),"Normalidade")</f>
        <v>Normalidade</v>
      </c>
    </row>
    <row r="943" spans="1:12" ht="12.75">
      <c r="A943" s="3" t="str">
        <f ca="1">IFERROR(__xludf.UNSUPPORTED("""COMPUTED_VALUE"""),"54bb6b36")</f>
        <v>54bb6b36</v>
      </c>
      <c r="B943" s="4">
        <f ca="1">IFERROR(__xludf.UNSUPPORTED("""COMPUTED_VALUE"""),44956.3916087963)</f>
        <v>44956.391608796301</v>
      </c>
      <c r="C943" s="7" t="str">
        <f ca="1">IFERROR(__xludf.UNSUPPORTED("""COMPUTED_VALUE"""),"Maceió")</f>
        <v>Maceió</v>
      </c>
      <c r="D943" s="3" t="str">
        <f ca="1">IFERROR(__xludf.UNSUPPORTED("""COMPUTED_VALUE"""),"🚢 REGULAR")</f>
        <v>🚢 REGULAR</v>
      </c>
      <c r="E943" s="3" t="str">
        <f ca="1">IFERROR(__xludf.UNSUPPORTED("""COMPUTED_VALUE"""),"🚛 LIBERADO")</f>
        <v>🚛 LIBERADO</v>
      </c>
      <c r="F943" s="5">
        <f ca="1">IFERROR(__xludf.UNSUPPORTED("""COMPUTED_VALUE"""),0)</f>
        <v>0</v>
      </c>
      <c r="G943" s="3" t="str">
        <f ca="1">IFERROR(__xludf.UNSUPPORTED("""COMPUTED_VALUE"""),"Normalidade")</f>
        <v>Normalidade</v>
      </c>
      <c r="H943" s="4">
        <f ca="1">IFERROR(__xludf.UNSUPPORTED("""COMPUTED_VALUE"""),44956.3916087963)</f>
        <v>44956.391608796301</v>
      </c>
      <c r="I943" s="3">
        <f ca="1">IFERROR(__xludf.UNSUPPORTED("""COMPUTED_VALUE"""),24)</f>
        <v>24</v>
      </c>
      <c r="J943" s="4">
        <f ca="1">IFERROR(__xludf.UNSUPPORTED("""COMPUTED_VALUE"""),44957.3916087963)</f>
        <v>44957.391608796301</v>
      </c>
      <c r="L943" s="3" t="str">
        <f ca="1">IFERROR(__xludf.UNSUPPORTED("""COMPUTED_VALUE"""),"Normalidade")</f>
        <v>Normalidade</v>
      </c>
    </row>
    <row r="944" spans="1:12" ht="12.75">
      <c r="A944" s="3" t="str">
        <f ca="1">IFERROR(__xludf.UNSUPPORTED("""COMPUTED_VALUE"""),"c50f3a5f")</f>
        <v>c50f3a5f</v>
      </c>
      <c r="B944" s="4">
        <f ca="1">IFERROR(__xludf.UNSUPPORTED("""COMPUTED_VALUE"""),44957.3416782407)</f>
        <v>44957.3416782407</v>
      </c>
      <c r="C944" s="8" t="str">
        <f ca="1">IFERROR(__xludf.UNSUPPORTED("""COMPUTED_VALUE"""),"Maceió")</f>
        <v>Maceió</v>
      </c>
      <c r="D944" s="3" t="str">
        <f ca="1">IFERROR(__xludf.UNSUPPORTED("""COMPUTED_VALUE"""),"🚢 REGULAR")</f>
        <v>🚢 REGULAR</v>
      </c>
      <c r="E944" s="3" t="str">
        <f ca="1">IFERROR(__xludf.UNSUPPORTED("""COMPUTED_VALUE"""),"🚛 LIBERADO")</f>
        <v>🚛 LIBERADO</v>
      </c>
      <c r="F944" s="5">
        <f ca="1">IFERROR(__xludf.UNSUPPORTED("""COMPUTED_VALUE"""),0)</f>
        <v>0</v>
      </c>
      <c r="G944" s="3" t="str">
        <f ca="1">IFERROR(__xludf.UNSUPPORTED("""COMPUTED_VALUE"""),"Normalidade")</f>
        <v>Normalidade</v>
      </c>
      <c r="H944" s="4">
        <f ca="1">IFERROR(__xludf.UNSUPPORTED("""COMPUTED_VALUE"""),44957.3416782407)</f>
        <v>44957.3416782407</v>
      </c>
      <c r="I944" s="3">
        <f ca="1">IFERROR(__xludf.UNSUPPORTED("""COMPUTED_VALUE"""),24)</f>
        <v>24</v>
      </c>
      <c r="J944" s="4">
        <f ca="1">IFERROR(__xludf.UNSUPPORTED("""COMPUTED_VALUE"""),44958.3416782407)</f>
        <v>44958.3416782407</v>
      </c>
      <c r="L944" s="3" t="str">
        <f ca="1">IFERROR(__xludf.UNSUPPORTED("""COMPUTED_VALUE"""),"Normalidade")</f>
        <v>Normalidade</v>
      </c>
    </row>
    <row r="945" spans="1:12" ht="12.75">
      <c r="A945" s="3" t="str">
        <f ca="1">IFERROR(__xludf.UNSUPPORTED("""COMPUTED_VALUE"""),"014c07f9")</f>
        <v>014c07f9</v>
      </c>
      <c r="B945" s="4">
        <f ca="1">IFERROR(__xludf.UNSUPPORTED("""COMPUTED_VALUE"""),44958.3508796296)</f>
        <v>44958.350879629601</v>
      </c>
      <c r="C945" s="7" t="str">
        <f ca="1">IFERROR(__xludf.UNSUPPORTED("""COMPUTED_VALUE"""),"Maceió")</f>
        <v>Maceió</v>
      </c>
      <c r="D945" s="3" t="str">
        <f ca="1">IFERROR(__xludf.UNSUPPORTED("""COMPUTED_VALUE"""),"🚢 REGULAR")</f>
        <v>🚢 REGULAR</v>
      </c>
      <c r="E945" s="3" t="str">
        <f ca="1">IFERROR(__xludf.UNSUPPORTED("""COMPUTED_VALUE"""),"🚛 LIBERADO")</f>
        <v>🚛 LIBERADO</v>
      </c>
      <c r="F945" s="5">
        <f ca="1">IFERROR(__xludf.UNSUPPORTED("""COMPUTED_VALUE"""),0)</f>
        <v>0</v>
      </c>
      <c r="G945" s="3" t="str">
        <f ca="1">IFERROR(__xludf.UNSUPPORTED("""COMPUTED_VALUE"""),"Normalidade")</f>
        <v>Normalidade</v>
      </c>
      <c r="H945" s="4">
        <f ca="1">IFERROR(__xludf.UNSUPPORTED("""COMPUTED_VALUE"""),44958.3508796296)</f>
        <v>44958.350879629601</v>
      </c>
      <c r="I945" s="3">
        <f ca="1">IFERROR(__xludf.UNSUPPORTED("""COMPUTED_VALUE"""),24)</f>
        <v>24</v>
      </c>
      <c r="J945" s="4">
        <f ca="1">IFERROR(__xludf.UNSUPPORTED("""COMPUTED_VALUE"""),44959.3508796296)</f>
        <v>44959.350879629601</v>
      </c>
      <c r="L945" s="3" t="str">
        <f ca="1">IFERROR(__xludf.UNSUPPORTED("""COMPUTED_VALUE"""),"Normalidade")</f>
        <v>Normalidade</v>
      </c>
    </row>
    <row r="946" spans="1:12" ht="12.75">
      <c r="A946" s="3" t="str">
        <f ca="1">IFERROR(__xludf.UNSUPPORTED("""COMPUTED_VALUE"""),"6981f4ce")</f>
        <v>6981f4ce</v>
      </c>
      <c r="B946" s="4">
        <f ca="1">IFERROR(__xludf.UNSUPPORTED("""COMPUTED_VALUE"""),44959.3564814814)</f>
        <v>44959.356481481402</v>
      </c>
      <c r="C946" s="8" t="str">
        <f ca="1">IFERROR(__xludf.UNSUPPORTED("""COMPUTED_VALUE"""),"Maceió")</f>
        <v>Maceió</v>
      </c>
      <c r="D946" s="3" t="str">
        <f ca="1">IFERROR(__xludf.UNSUPPORTED("""COMPUTED_VALUE"""),"🚢 REGULAR")</f>
        <v>🚢 REGULAR</v>
      </c>
      <c r="E946" s="3" t="str">
        <f ca="1">IFERROR(__xludf.UNSUPPORTED("""COMPUTED_VALUE"""),"🚛 LIBERADO")</f>
        <v>🚛 LIBERADO</v>
      </c>
      <c r="F946" s="5">
        <f ca="1">IFERROR(__xludf.UNSUPPORTED("""COMPUTED_VALUE"""),0)</f>
        <v>0</v>
      </c>
      <c r="G946" s="3" t="str">
        <f ca="1">IFERROR(__xludf.UNSUPPORTED("""COMPUTED_VALUE"""),"Normalidade")</f>
        <v>Normalidade</v>
      </c>
      <c r="H946" s="4">
        <f ca="1">IFERROR(__xludf.UNSUPPORTED("""COMPUTED_VALUE"""),44959.3564814814)</f>
        <v>44959.356481481402</v>
      </c>
      <c r="I946" s="3">
        <f ca="1">IFERROR(__xludf.UNSUPPORTED("""COMPUTED_VALUE"""),24)</f>
        <v>24</v>
      </c>
      <c r="J946" s="4">
        <f ca="1">IFERROR(__xludf.UNSUPPORTED("""COMPUTED_VALUE"""),44960.3564814814)</f>
        <v>44960.356481481402</v>
      </c>
      <c r="L946" s="3" t="str">
        <f ca="1">IFERROR(__xludf.UNSUPPORTED("""COMPUTED_VALUE"""),"Normalidade")</f>
        <v>Normalidade</v>
      </c>
    </row>
    <row r="947" spans="1:12" ht="12.75">
      <c r="A947" s="3" t="str">
        <f ca="1">IFERROR(__xludf.UNSUPPORTED("""COMPUTED_VALUE"""),"fbe8692b")</f>
        <v>fbe8692b</v>
      </c>
      <c r="B947" s="4">
        <f ca="1">IFERROR(__xludf.UNSUPPORTED("""COMPUTED_VALUE"""),44960.4073379629)</f>
        <v>44960.407337962897</v>
      </c>
      <c r="C947" s="8" t="str">
        <f ca="1">IFERROR(__xludf.UNSUPPORTED("""COMPUTED_VALUE"""),"Maceió")</f>
        <v>Maceió</v>
      </c>
      <c r="D947" s="3" t="str">
        <f ca="1">IFERROR(__xludf.UNSUPPORTED("""COMPUTED_VALUE"""),"🚢 REGULAR")</f>
        <v>🚢 REGULAR</v>
      </c>
      <c r="E947" s="3" t="str">
        <f ca="1">IFERROR(__xludf.UNSUPPORTED("""COMPUTED_VALUE"""),"🚛 LIBERADO")</f>
        <v>🚛 LIBERADO</v>
      </c>
      <c r="F947" s="5">
        <f ca="1">IFERROR(__xludf.UNSUPPORTED("""COMPUTED_VALUE"""),0)</f>
        <v>0</v>
      </c>
      <c r="G947" s="3" t="str">
        <f ca="1">IFERROR(__xludf.UNSUPPORTED("""COMPUTED_VALUE"""),"Normalidade")</f>
        <v>Normalidade</v>
      </c>
      <c r="H947" s="4">
        <f ca="1">IFERROR(__xludf.UNSUPPORTED("""COMPUTED_VALUE"""),44960.4073379629)</f>
        <v>44960.407337962897</v>
      </c>
      <c r="I947" s="3">
        <f ca="1">IFERROR(__xludf.UNSUPPORTED("""COMPUTED_VALUE"""),24)</f>
        <v>24</v>
      </c>
      <c r="J947" s="4">
        <f ca="1">IFERROR(__xludf.UNSUPPORTED("""COMPUTED_VALUE"""),44961.4073379629)</f>
        <v>44961.407337962897</v>
      </c>
      <c r="L947" s="3" t="str">
        <f ca="1">IFERROR(__xludf.UNSUPPORTED("""COMPUTED_VALUE"""),"Normalidade")</f>
        <v>Normalidade</v>
      </c>
    </row>
    <row r="948" spans="1:12" ht="12.75">
      <c r="A948" s="3" t="str">
        <f ca="1">IFERROR(__xludf.UNSUPPORTED("""COMPUTED_VALUE"""),"ecd7f5af")</f>
        <v>ecd7f5af</v>
      </c>
      <c r="B948" s="4">
        <f ca="1">IFERROR(__xludf.UNSUPPORTED("""COMPUTED_VALUE"""),44963.3680787037)</f>
        <v>44963.368078703701</v>
      </c>
      <c r="C948" s="7" t="str">
        <f ca="1">IFERROR(__xludf.UNSUPPORTED("""COMPUTED_VALUE"""),"Maceió")</f>
        <v>Maceió</v>
      </c>
      <c r="D948" s="3" t="str">
        <f ca="1">IFERROR(__xludf.UNSUPPORTED("""COMPUTED_VALUE"""),"🚢 REGULAR")</f>
        <v>🚢 REGULAR</v>
      </c>
      <c r="E948" s="3" t="str">
        <f ca="1">IFERROR(__xludf.UNSUPPORTED("""COMPUTED_VALUE"""),"🚛 LIBERADO")</f>
        <v>🚛 LIBERADO</v>
      </c>
      <c r="F948" s="5">
        <f ca="1">IFERROR(__xludf.UNSUPPORTED("""COMPUTED_VALUE"""),0)</f>
        <v>0</v>
      </c>
      <c r="G948" s="3" t="str">
        <f ca="1">IFERROR(__xludf.UNSUPPORTED("""COMPUTED_VALUE"""),"Normalidade")</f>
        <v>Normalidade</v>
      </c>
      <c r="H948" s="4">
        <f ca="1">IFERROR(__xludf.UNSUPPORTED("""COMPUTED_VALUE"""),44963.3680787037)</f>
        <v>44963.368078703701</v>
      </c>
      <c r="I948" s="3">
        <f ca="1">IFERROR(__xludf.UNSUPPORTED("""COMPUTED_VALUE"""),24)</f>
        <v>24</v>
      </c>
      <c r="J948" s="4">
        <f ca="1">IFERROR(__xludf.UNSUPPORTED("""COMPUTED_VALUE"""),44964.3680787037)</f>
        <v>44964.368078703701</v>
      </c>
      <c r="L948" s="3" t="str">
        <f ca="1">IFERROR(__xludf.UNSUPPORTED("""COMPUTED_VALUE"""),"Normalidade")</f>
        <v>Normalidade</v>
      </c>
    </row>
    <row r="949" spans="1:12" ht="12.75">
      <c r="A949" s="3" t="str">
        <f ca="1">IFERROR(__xludf.UNSUPPORTED("""COMPUTED_VALUE"""),"adb8b070")</f>
        <v>adb8b070</v>
      </c>
      <c r="B949" s="4">
        <f ca="1">IFERROR(__xludf.UNSUPPORTED("""COMPUTED_VALUE"""),44964.3486805555)</f>
        <v>44964.3486805555</v>
      </c>
      <c r="C949" s="8" t="str">
        <f ca="1">IFERROR(__xludf.UNSUPPORTED("""COMPUTED_VALUE"""),"Maceió")</f>
        <v>Maceió</v>
      </c>
      <c r="D949" s="3" t="str">
        <f ca="1">IFERROR(__xludf.UNSUPPORTED("""COMPUTED_VALUE"""),"🚢 REGULAR")</f>
        <v>🚢 REGULAR</v>
      </c>
      <c r="E949" s="3" t="str">
        <f ca="1">IFERROR(__xludf.UNSUPPORTED("""COMPUTED_VALUE"""),"🚛 LIBERADO")</f>
        <v>🚛 LIBERADO</v>
      </c>
      <c r="F949" s="5">
        <f ca="1">IFERROR(__xludf.UNSUPPORTED("""COMPUTED_VALUE"""),0)</f>
        <v>0</v>
      </c>
      <c r="G949" s="3" t="str">
        <f ca="1">IFERROR(__xludf.UNSUPPORTED("""COMPUTED_VALUE"""),"Normalidade")</f>
        <v>Normalidade</v>
      </c>
      <c r="H949" s="4">
        <f ca="1">IFERROR(__xludf.UNSUPPORTED("""COMPUTED_VALUE"""),44964.3486805555)</f>
        <v>44964.3486805555</v>
      </c>
      <c r="I949" s="3">
        <f ca="1">IFERROR(__xludf.UNSUPPORTED("""COMPUTED_VALUE"""),24)</f>
        <v>24</v>
      </c>
      <c r="J949" s="4">
        <f ca="1">IFERROR(__xludf.UNSUPPORTED("""COMPUTED_VALUE"""),44965.3486805555)</f>
        <v>44965.3486805555</v>
      </c>
      <c r="L949" s="3" t="str">
        <f ca="1">IFERROR(__xludf.UNSUPPORTED("""COMPUTED_VALUE"""),"Normalidade")</f>
        <v>Normalidade</v>
      </c>
    </row>
    <row r="950" spans="1:12" ht="12.75">
      <c r="A950" s="3" t="str">
        <f ca="1">IFERROR(__xludf.UNSUPPORTED("""COMPUTED_VALUE"""),"e3ce765c")</f>
        <v>e3ce765c</v>
      </c>
      <c r="B950" s="4">
        <f ca="1">IFERROR(__xludf.UNSUPPORTED("""COMPUTED_VALUE"""),44965.3610300925)</f>
        <v>44965.361030092499</v>
      </c>
      <c r="C950" s="8" t="str">
        <f ca="1">IFERROR(__xludf.UNSUPPORTED("""COMPUTED_VALUE"""),"Maceió")</f>
        <v>Maceió</v>
      </c>
      <c r="D950" s="3" t="str">
        <f ca="1">IFERROR(__xludf.UNSUPPORTED("""COMPUTED_VALUE"""),"🚢 REGULAR")</f>
        <v>🚢 REGULAR</v>
      </c>
      <c r="E950" s="3" t="str">
        <f ca="1">IFERROR(__xludf.UNSUPPORTED("""COMPUTED_VALUE"""),"🚛 LIBERADO")</f>
        <v>🚛 LIBERADO</v>
      </c>
      <c r="F950" s="5">
        <f ca="1">IFERROR(__xludf.UNSUPPORTED("""COMPUTED_VALUE"""),0)</f>
        <v>0</v>
      </c>
      <c r="G950" s="3" t="str">
        <f ca="1">IFERROR(__xludf.UNSUPPORTED("""COMPUTED_VALUE"""),"Normalidade")</f>
        <v>Normalidade</v>
      </c>
      <c r="H950" s="4">
        <f ca="1">IFERROR(__xludf.UNSUPPORTED("""COMPUTED_VALUE"""),44965.3610300925)</f>
        <v>44965.361030092499</v>
      </c>
      <c r="I950" s="3">
        <f ca="1">IFERROR(__xludf.UNSUPPORTED("""COMPUTED_VALUE"""),24)</f>
        <v>24</v>
      </c>
      <c r="J950" s="4">
        <f ca="1">IFERROR(__xludf.UNSUPPORTED("""COMPUTED_VALUE"""),44966.3610300925)</f>
        <v>44966.361030092499</v>
      </c>
      <c r="L950" s="3" t="str">
        <f ca="1">IFERROR(__xludf.UNSUPPORTED("""COMPUTED_VALUE"""),"Normalidade")</f>
        <v>Normalidade</v>
      </c>
    </row>
    <row r="951" spans="1:12" ht="12.75">
      <c r="A951" s="3" t="str">
        <f ca="1">IFERROR(__xludf.UNSUPPORTED("""COMPUTED_VALUE"""),"138d08cf")</f>
        <v>138d08cf</v>
      </c>
      <c r="B951" s="4">
        <f ca="1">IFERROR(__xludf.UNSUPPORTED("""COMPUTED_VALUE"""),44966.4057986111)</f>
        <v>44966.4057986111</v>
      </c>
      <c r="C951" s="8" t="str">
        <f ca="1">IFERROR(__xludf.UNSUPPORTED("""COMPUTED_VALUE"""),"Maceió")</f>
        <v>Maceió</v>
      </c>
      <c r="D951" s="3" t="str">
        <f ca="1">IFERROR(__xludf.UNSUPPORTED("""COMPUTED_VALUE"""),"🚢 REGULAR")</f>
        <v>🚢 REGULAR</v>
      </c>
      <c r="E951" s="3" t="str">
        <f ca="1">IFERROR(__xludf.UNSUPPORTED("""COMPUTED_VALUE"""),"🚛 LIBERADO")</f>
        <v>🚛 LIBERADO</v>
      </c>
      <c r="F951" s="5">
        <f ca="1">IFERROR(__xludf.UNSUPPORTED("""COMPUTED_VALUE"""),0)</f>
        <v>0</v>
      </c>
      <c r="G951" s="3" t="str">
        <f ca="1">IFERROR(__xludf.UNSUPPORTED("""COMPUTED_VALUE"""),"Normalidade")</f>
        <v>Normalidade</v>
      </c>
      <c r="H951" s="4">
        <f ca="1">IFERROR(__xludf.UNSUPPORTED("""COMPUTED_VALUE"""),44966.4057986111)</f>
        <v>44966.4057986111</v>
      </c>
      <c r="I951" s="3">
        <f ca="1">IFERROR(__xludf.UNSUPPORTED("""COMPUTED_VALUE"""),24)</f>
        <v>24</v>
      </c>
      <c r="J951" s="4">
        <f ca="1">IFERROR(__xludf.UNSUPPORTED("""COMPUTED_VALUE"""),44967.4057986111)</f>
        <v>44967.4057986111</v>
      </c>
      <c r="L951" s="3" t="str">
        <f ca="1">IFERROR(__xludf.UNSUPPORTED("""COMPUTED_VALUE"""),"Normalidade")</f>
        <v>Normalidade</v>
      </c>
    </row>
    <row r="952" spans="1:12" ht="12.75">
      <c r="A952" s="3" t="str">
        <f ca="1">IFERROR(__xludf.UNSUPPORTED("""COMPUTED_VALUE"""),"25eabe04")</f>
        <v>25eabe04</v>
      </c>
      <c r="B952" s="4">
        <f ca="1">IFERROR(__xludf.UNSUPPORTED("""COMPUTED_VALUE"""),44967.5063310185)</f>
        <v>44967.5063310185</v>
      </c>
      <c r="C952" s="8" t="str">
        <f ca="1">IFERROR(__xludf.UNSUPPORTED("""COMPUTED_VALUE"""),"Maceió")</f>
        <v>Maceió</v>
      </c>
      <c r="D952" s="3" t="str">
        <f ca="1">IFERROR(__xludf.UNSUPPORTED("""COMPUTED_VALUE"""),"🚢 REGULAR")</f>
        <v>🚢 REGULAR</v>
      </c>
      <c r="E952" s="3" t="str">
        <f ca="1">IFERROR(__xludf.UNSUPPORTED("""COMPUTED_VALUE"""),"🚛 LIBERADO")</f>
        <v>🚛 LIBERADO</v>
      </c>
      <c r="F952" s="5">
        <f ca="1">IFERROR(__xludf.UNSUPPORTED("""COMPUTED_VALUE"""),0)</f>
        <v>0</v>
      </c>
      <c r="G952" s="3" t="str">
        <f ca="1">IFERROR(__xludf.UNSUPPORTED("""COMPUTED_VALUE"""),"Normalidade")</f>
        <v>Normalidade</v>
      </c>
      <c r="H952" s="4">
        <f ca="1">IFERROR(__xludf.UNSUPPORTED("""COMPUTED_VALUE"""),44967.5063310185)</f>
        <v>44967.5063310185</v>
      </c>
      <c r="I952" s="3">
        <f ca="1">IFERROR(__xludf.UNSUPPORTED("""COMPUTED_VALUE"""),24)</f>
        <v>24</v>
      </c>
      <c r="J952" s="4">
        <f ca="1">IFERROR(__xludf.UNSUPPORTED("""COMPUTED_VALUE"""),44968.5063310185)</f>
        <v>44968.5063310185</v>
      </c>
      <c r="L952" s="3" t="str">
        <f ca="1">IFERROR(__xludf.UNSUPPORTED("""COMPUTED_VALUE"""),"Normalidade")</f>
        <v>Normalidade</v>
      </c>
    </row>
    <row r="953" spans="1:12" ht="12.75">
      <c r="A953" s="3" t="str">
        <f ca="1">IFERROR(__xludf.UNSUPPORTED("""COMPUTED_VALUE"""),"e6cc2def")</f>
        <v>e6cc2def</v>
      </c>
      <c r="B953" s="4">
        <f ca="1">IFERROR(__xludf.UNSUPPORTED("""COMPUTED_VALUE"""),44970.3659143518)</f>
        <v>44970.365914351802</v>
      </c>
      <c r="C953" s="7" t="str">
        <f ca="1">IFERROR(__xludf.UNSUPPORTED("""COMPUTED_VALUE"""),"Maceió")</f>
        <v>Maceió</v>
      </c>
      <c r="D953" s="3" t="str">
        <f ca="1">IFERROR(__xludf.UNSUPPORTED("""COMPUTED_VALUE"""),"🚢 REGULAR")</f>
        <v>🚢 REGULAR</v>
      </c>
      <c r="E953" s="3" t="str">
        <f ca="1">IFERROR(__xludf.UNSUPPORTED("""COMPUTED_VALUE"""),"🚛 LIBERADO")</f>
        <v>🚛 LIBERADO</v>
      </c>
      <c r="F953" s="5">
        <f ca="1">IFERROR(__xludf.UNSUPPORTED("""COMPUTED_VALUE"""),0)</f>
        <v>0</v>
      </c>
      <c r="G953" s="3" t="str">
        <f ca="1">IFERROR(__xludf.UNSUPPORTED("""COMPUTED_VALUE"""),"Normalidade")</f>
        <v>Normalidade</v>
      </c>
      <c r="H953" s="4">
        <f ca="1">IFERROR(__xludf.UNSUPPORTED("""COMPUTED_VALUE"""),44970.3659143518)</f>
        <v>44970.365914351802</v>
      </c>
      <c r="I953" s="3">
        <f ca="1">IFERROR(__xludf.UNSUPPORTED("""COMPUTED_VALUE"""),24)</f>
        <v>24</v>
      </c>
      <c r="J953" s="4">
        <f ca="1">IFERROR(__xludf.UNSUPPORTED("""COMPUTED_VALUE"""),44971.3659143518)</f>
        <v>44971.365914351802</v>
      </c>
      <c r="L953" s="3" t="str">
        <f ca="1">IFERROR(__xludf.UNSUPPORTED("""COMPUTED_VALUE"""),"Normalidade")</f>
        <v>Normalidade</v>
      </c>
    </row>
    <row r="954" spans="1:12" ht="12.75">
      <c r="A954" s="3" t="str">
        <f ca="1">IFERROR(__xludf.UNSUPPORTED("""COMPUTED_VALUE"""),"ca0b664e")</f>
        <v>ca0b664e</v>
      </c>
      <c r="B954" s="4">
        <f ca="1">IFERROR(__xludf.UNSUPPORTED("""COMPUTED_VALUE"""),44971.3363194444)</f>
        <v>44971.336319444403</v>
      </c>
      <c r="C954" s="8" t="str">
        <f ca="1">IFERROR(__xludf.UNSUPPORTED("""COMPUTED_VALUE"""),"Maceió")</f>
        <v>Maceió</v>
      </c>
      <c r="D954" s="3" t="str">
        <f ca="1">IFERROR(__xludf.UNSUPPORTED("""COMPUTED_VALUE"""),"🚢 REGULAR")</f>
        <v>🚢 REGULAR</v>
      </c>
      <c r="E954" s="3" t="str">
        <f ca="1">IFERROR(__xludf.UNSUPPORTED("""COMPUTED_VALUE"""),"🚛 LIBERADO")</f>
        <v>🚛 LIBERADO</v>
      </c>
      <c r="F954" s="5">
        <f ca="1">IFERROR(__xludf.UNSUPPORTED("""COMPUTED_VALUE"""),0)</f>
        <v>0</v>
      </c>
      <c r="G954" s="3" t="str">
        <f ca="1">IFERROR(__xludf.UNSUPPORTED("""COMPUTED_VALUE"""),"Normalidade")</f>
        <v>Normalidade</v>
      </c>
      <c r="H954" s="4">
        <f ca="1">IFERROR(__xludf.UNSUPPORTED("""COMPUTED_VALUE"""),44971.3363194444)</f>
        <v>44971.336319444403</v>
      </c>
      <c r="I954" s="3">
        <f ca="1">IFERROR(__xludf.UNSUPPORTED("""COMPUTED_VALUE"""),24)</f>
        <v>24</v>
      </c>
      <c r="J954" s="4">
        <f ca="1">IFERROR(__xludf.UNSUPPORTED("""COMPUTED_VALUE"""),44972.3363194444)</f>
        <v>44972.336319444403</v>
      </c>
      <c r="L954" s="3" t="str">
        <f ca="1">IFERROR(__xludf.UNSUPPORTED("""COMPUTED_VALUE"""),"Normalidade")</f>
        <v>Normalidade</v>
      </c>
    </row>
    <row r="955" spans="1:12" ht="12.75">
      <c r="A955" s="3" t="str">
        <f ca="1">IFERROR(__xludf.UNSUPPORTED("""COMPUTED_VALUE"""),"505e6e32")</f>
        <v>505e6e32</v>
      </c>
      <c r="B955" s="4">
        <f ca="1">IFERROR(__xludf.UNSUPPORTED("""COMPUTED_VALUE"""),44973.3121643518)</f>
        <v>44973.312164351802</v>
      </c>
      <c r="C955" s="8" t="str">
        <f ca="1">IFERROR(__xludf.UNSUPPORTED("""COMPUTED_VALUE"""),"Maceió")</f>
        <v>Maceió</v>
      </c>
      <c r="D955" s="3" t="str">
        <f ca="1">IFERROR(__xludf.UNSUPPORTED("""COMPUTED_VALUE"""),"🚢 REGULAR")</f>
        <v>🚢 REGULAR</v>
      </c>
      <c r="E955" s="3" t="str">
        <f ca="1">IFERROR(__xludf.UNSUPPORTED("""COMPUTED_VALUE"""),"🚛 LIBERADO")</f>
        <v>🚛 LIBERADO</v>
      </c>
      <c r="F955" s="5">
        <f ca="1">IFERROR(__xludf.UNSUPPORTED("""COMPUTED_VALUE"""),0)</f>
        <v>0</v>
      </c>
      <c r="G955" s="3" t="str">
        <f ca="1">IFERROR(__xludf.UNSUPPORTED("""COMPUTED_VALUE"""),"Normalidade")</f>
        <v>Normalidade</v>
      </c>
      <c r="H955" s="4">
        <f ca="1">IFERROR(__xludf.UNSUPPORTED("""COMPUTED_VALUE"""),44973.3121643518)</f>
        <v>44973.312164351802</v>
      </c>
      <c r="I955" s="3">
        <f ca="1">IFERROR(__xludf.UNSUPPORTED("""COMPUTED_VALUE"""),24)</f>
        <v>24</v>
      </c>
      <c r="J955" s="4">
        <f ca="1">IFERROR(__xludf.UNSUPPORTED("""COMPUTED_VALUE"""),44974.3121643518)</f>
        <v>44974.312164351802</v>
      </c>
      <c r="L955" s="3" t="str">
        <f ca="1">IFERROR(__xludf.UNSUPPORTED("""COMPUTED_VALUE"""),"Normalidade")</f>
        <v>Normalidade</v>
      </c>
    </row>
    <row r="956" spans="1:12" ht="12.75">
      <c r="A956" s="3" t="str">
        <f ca="1">IFERROR(__xludf.UNSUPPORTED("""COMPUTED_VALUE"""),"5e94458a")</f>
        <v>5e94458a</v>
      </c>
      <c r="B956" s="4">
        <f ca="1">IFERROR(__xludf.UNSUPPORTED("""COMPUTED_VALUE"""),44980.4028587962)</f>
        <v>44980.402858796202</v>
      </c>
      <c r="C956" s="7" t="str">
        <f ca="1">IFERROR(__xludf.UNSUPPORTED("""COMPUTED_VALUE"""),"Maceió")</f>
        <v>Maceió</v>
      </c>
      <c r="D956" s="3" t="str">
        <f ca="1">IFERROR(__xludf.UNSUPPORTED("""COMPUTED_VALUE"""),"🚢 REGULAR")</f>
        <v>🚢 REGULAR</v>
      </c>
      <c r="E956" s="3" t="str">
        <f ca="1">IFERROR(__xludf.UNSUPPORTED("""COMPUTED_VALUE"""),"🚛 LIBERADO")</f>
        <v>🚛 LIBERADO</v>
      </c>
      <c r="F956" s="5">
        <f ca="1">IFERROR(__xludf.UNSUPPORTED("""COMPUTED_VALUE"""),0)</f>
        <v>0</v>
      </c>
      <c r="G956" s="3" t="str">
        <f ca="1">IFERROR(__xludf.UNSUPPORTED("""COMPUTED_VALUE"""),"Normalidade")</f>
        <v>Normalidade</v>
      </c>
      <c r="H956" s="4">
        <f ca="1">IFERROR(__xludf.UNSUPPORTED("""COMPUTED_VALUE"""),44980.4028587962)</f>
        <v>44980.402858796202</v>
      </c>
      <c r="I956" s="3">
        <f ca="1">IFERROR(__xludf.UNSUPPORTED("""COMPUTED_VALUE"""),24)</f>
        <v>24</v>
      </c>
      <c r="J956" s="4">
        <f ca="1">IFERROR(__xludf.UNSUPPORTED("""COMPUTED_VALUE"""),44981.4028587962)</f>
        <v>44981.402858796202</v>
      </c>
      <c r="L956" s="3" t="str">
        <f ca="1">IFERROR(__xludf.UNSUPPORTED("""COMPUTED_VALUE"""),"Normalidade")</f>
        <v>Normalidade</v>
      </c>
    </row>
    <row r="957" spans="1:12" ht="12.75">
      <c r="A957" s="3" t="str">
        <f ca="1">IFERROR(__xludf.UNSUPPORTED("""COMPUTED_VALUE"""),"7617e2e0")</f>
        <v>7617e2e0</v>
      </c>
      <c r="B957" s="4">
        <f ca="1">IFERROR(__xludf.UNSUPPORTED("""COMPUTED_VALUE"""),44981.3644791666)</f>
        <v>44981.364479166601</v>
      </c>
      <c r="C957" s="7" t="str">
        <f ca="1">IFERROR(__xludf.UNSUPPORTED("""COMPUTED_VALUE"""),"Maceió")</f>
        <v>Maceió</v>
      </c>
      <c r="D957" s="3" t="str">
        <f ca="1">IFERROR(__xludf.UNSUPPORTED("""COMPUTED_VALUE"""),"🚢 REGULAR")</f>
        <v>🚢 REGULAR</v>
      </c>
      <c r="E957" s="3" t="str">
        <f ca="1">IFERROR(__xludf.UNSUPPORTED("""COMPUTED_VALUE"""),"🚛 LIBERADO")</f>
        <v>🚛 LIBERADO</v>
      </c>
      <c r="F957" s="5">
        <f ca="1">IFERROR(__xludf.UNSUPPORTED("""COMPUTED_VALUE"""),0)</f>
        <v>0</v>
      </c>
      <c r="G957" s="3" t="str">
        <f ca="1">IFERROR(__xludf.UNSUPPORTED("""COMPUTED_VALUE"""),"Normalidade")</f>
        <v>Normalidade</v>
      </c>
      <c r="H957" s="4">
        <f ca="1">IFERROR(__xludf.UNSUPPORTED("""COMPUTED_VALUE"""),44981.3644791666)</f>
        <v>44981.364479166601</v>
      </c>
      <c r="I957" s="3">
        <f ca="1">IFERROR(__xludf.UNSUPPORTED("""COMPUTED_VALUE"""),24)</f>
        <v>24</v>
      </c>
      <c r="J957" s="4">
        <f ca="1">IFERROR(__xludf.UNSUPPORTED("""COMPUTED_VALUE"""),44982.3644791666)</f>
        <v>44982.364479166601</v>
      </c>
      <c r="L957" s="3" t="str">
        <f ca="1">IFERROR(__xludf.UNSUPPORTED("""COMPUTED_VALUE"""),"Normalidade")</f>
        <v>Normalidade</v>
      </c>
    </row>
    <row r="958" spans="1:12" ht="12.75">
      <c r="A958" s="3" t="str">
        <f ca="1">IFERROR(__xludf.UNSUPPORTED("""COMPUTED_VALUE"""),"5b4a7188")</f>
        <v>5b4a7188</v>
      </c>
      <c r="B958" s="4">
        <f ca="1">IFERROR(__xludf.UNSUPPORTED("""COMPUTED_VALUE"""),44984.3751504629)</f>
        <v>44984.375150462904</v>
      </c>
      <c r="C958" s="8" t="str">
        <f ca="1">IFERROR(__xludf.UNSUPPORTED("""COMPUTED_VALUE"""),"Maceió")</f>
        <v>Maceió</v>
      </c>
      <c r="D958" s="3" t="str">
        <f ca="1">IFERROR(__xludf.UNSUPPORTED("""COMPUTED_VALUE"""),"🚢 REGULAR")</f>
        <v>🚢 REGULAR</v>
      </c>
      <c r="E958" s="3" t="str">
        <f ca="1">IFERROR(__xludf.UNSUPPORTED("""COMPUTED_VALUE"""),"🚛 LIBERADO")</f>
        <v>🚛 LIBERADO</v>
      </c>
      <c r="F958" s="5">
        <f ca="1">IFERROR(__xludf.UNSUPPORTED("""COMPUTED_VALUE"""),0)</f>
        <v>0</v>
      </c>
      <c r="G958" s="3" t="str">
        <f ca="1">IFERROR(__xludf.UNSUPPORTED("""COMPUTED_VALUE"""),"Normalidade")</f>
        <v>Normalidade</v>
      </c>
      <c r="H958" s="4">
        <f ca="1">IFERROR(__xludf.UNSUPPORTED("""COMPUTED_VALUE"""),44984.3751504629)</f>
        <v>44984.375150462904</v>
      </c>
      <c r="I958" s="3">
        <f ca="1">IFERROR(__xludf.UNSUPPORTED("""COMPUTED_VALUE"""),24)</f>
        <v>24</v>
      </c>
      <c r="J958" s="4">
        <f ca="1">IFERROR(__xludf.UNSUPPORTED("""COMPUTED_VALUE"""),44985.3751504629)</f>
        <v>44985.375150462904</v>
      </c>
      <c r="L958" s="3" t="str">
        <f ca="1">IFERROR(__xludf.UNSUPPORTED("""COMPUTED_VALUE"""),"Normalidade")</f>
        <v>Normalidade</v>
      </c>
    </row>
    <row r="959" spans="1:12" ht="12.75">
      <c r="A959" s="3" t="str">
        <f ca="1">IFERROR(__xludf.UNSUPPORTED("""COMPUTED_VALUE"""),"bcf04f59")</f>
        <v>bcf04f59</v>
      </c>
      <c r="B959" s="4">
        <f ca="1">IFERROR(__xludf.UNSUPPORTED("""COMPUTED_VALUE"""),44985.3204398148)</f>
        <v>44985.320439814801</v>
      </c>
      <c r="C959" s="8" t="str">
        <f ca="1">IFERROR(__xludf.UNSUPPORTED("""COMPUTED_VALUE"""),"Maceió")</f>
        <v>Maceió</v>
      </c>
      <c r="D959" s="3" t="str">
        <f ca="1">IFERROR(__xludf.UNSUPPORTED("""COMPUTED_VALUE"""),"🚢 REGULAR")</f>
        <v>🚢 REGULAR</v>
      </c>
      <c r="E959" s="3" t="str">
        <f ca="1">IFERROR(__xludf.UNSUPPORTED("""COMPUTED_VALUE"""),"🚛 LIBERADO")</f>
        <v>🚛 LIBERADO</v>
      </c>
      <c r="F959" s="5">
        <f ca="1">IFERROR(__xludf.UNSUPPORTED("""COMPUTED_VALUE"""),0)</f>
        <v>0</v>
      </c>
      <c r="G959" s="3" t="str">
        <f ca="1">IFERROR(__xludf.UNSUPPORTED("""COMPUTED_VALUE"""),"Normalidade")</f>
        <v>Normalidade</v>
      </c>
      <c r="H959" s="4">
        <f ca="1">IFERROR(__xludf.UNSUPPORTED("""COMPUTED_VALUE"""),44985.3204398148)</f>
        <v>44985.320439814801</v>
      </c>
      <c r="I959" s="3">
        <f ca="1">IFERROR(__xludf.UNSUPPORTED("""COMPUTED_VALUE"""),24)</f>
        <v>24</v>
      </c>
      <c r="J959" s="4">
        <f ca="1">IFERROR(__xludf.UNSUPPORTED("""COMPUTED_VALUE"""),44986.3204398148)</f>
        <v>44986.320439814801</v>
      </c>
      <c r="L959" s="3" t="str">
        <f ca="1">IFERROR(__xludf.UNSUPPORTED("""COMPUTED_VALUE"""),"Normalidade")</f>
        <v>Normalidade</v>
      </c>
    </row>
    <row r="960" spans="1:12" ht="12.75">
      <c r="A960" s="3" t="str">
        <f ca="1">IFERROR(__xludf.UNSUPPORTED("""COMPUTED_VALUE"""),"b705ac78")</f>
        <v>b705ac78</v>
      </c>
      <c r="B960" s="4">
        <f ca="1">IFERROR(__xludf.UNSUPPORTED("""COMPUTED_VALUE"""),44986.3945717592)</f>
        <v>44986.3945717592</v>
      </c>
      <c r="C960" s="8" t="str">
        <f ca="1">IFERROR(__xludf.UNSUPPORTED("""COMPUTED_VALUE"""),"Maceió")</f>
        <v>Maceió</v>
      </c>
      <c r="D960" s="3" t="str">
        <f ca="1">IFERROR(__xludf.UNSUPPORTED("""COMPUTED_VALUE"""),"🚢 REGULAR")</f>
        <v>🚢 REGULAR</v>
      </c>
      <c r="E960" s="3" t="str">
        <f ca="1">IFERROR(__xludf.UNSUPPORTED("""COMPUTED_VALUE"""),"🚛 LIBERADO")</f>
        <v>🚛 LIBERADO</v>
      </c>
      <c r="F960" s="5">
        <f ca="1">IFERROR(__xludf.UNSUPPORTED("""COMPUTED_VALUE"""),0)</f>
        <v>0</v>
      </c>
      <c r="G960" s="3" t="str">
        <f ca="1">IFERROR(__xludf.UNSUPPORTED("""COMPUTED_VALUE"""),"Normalidade")</f>
        <v>Normalidade</v>
      </c>
      <c r="H960" s="4">
        <f ca="1">IFERROR(__xludf.UNSUPPORTED("""COMPUTED_VALUE"""),44986.3945717592)</f>
        <v>44986.3945717592</v>
      </c>
      <c r="I960" s="3">
        <f ca="1">IFERROR(__xludf.UNSUPPORTED("""COMPUTED_VALUE"""),24)</f>
        <v>24</v>
      </c>
      <c r="J960" s="4">
        <f ca="1">IFERROR(__xludf.UNSUPPORTED("""COMPUTED_VALUE"""),44987.3945717592)</f>
        <v>44987.3945717592</v>
      </c>
      <c r="L960" s="3" t="str">
        <f ca="1">IFERROR(__xludf.UNSUPPORTED("""COMPUTED_VALUE"""),"Normalidade")</f>
        <v>Normalidade</v>
      </c>
    </row>
    <row r="961" spans="1:12" ht="12.75">
      <c r="A961" s="3" t="str">
        <f ca="1">IFERROR(__xludf.UNSUPPORTED("""COMPUTED_VALUE"""),"aed56574")</f>
        <v>aed56574</v>
      </c>
      <c r="B961" s="4">
        <f ca="1">IFERROR(__xludf.UNSUPPORTED("""COMPUTED_VALUE"""),44987.3925462962)</f>
        <v>44987.3925462962</v>
      </c>
      <c r="C961" s="7" t="str">
        <f ca="1">IFERROR(__xludf.UNSUPPORTED("""COMPUTED_VALUE"""),"Maceió")</f>
        <v>Maceió</v>
      </c>
      <c r="D961" s="3" t="str">
        <f ca="1">IFERROR(__xludf.UNSUPPORTED("""COMPUTED_VALUE"""),"🚢 REGULAR")</f>
        <v>🚢 REGULAR</v>
      </c>
      <c r="E961" s="3" t="str">
        <f ca="1">IFERROR(__xludf.UNSUPPORTED("""COMPUTED_VALUE"""),"🚛 LIBERADO")</f>
        <v>🚛 LIBERADO</v>
      </c>
      <c r="F961" s="5">
        <f ca="1">IFERROR(__xludf.UNSUPPORTED("""COMPUTED_VALUE"""),0)</f>
        <v>0</v>
      </c>
      <c r="G961" s="3" t="str">
        <f ca="1">IFERROR(__xludf.UNSUPPORTED("""COMPUTED_VALUE"""),"Normalidade")</f>
        <v>Normalidade</v>
      </c>
      <c r="H961" s="4">
        <f ca="1">IFERROR(__xludf.UNSUPPORTED("""COMPUTED_VALUE"""),44987.3925462962)</f>
        <v>44987.3925462962</v>
      </c>
      <c r="I961" s="3">
        <f ca="1">IFERROR(__xludf.UNSUPPORTED("""COMPUTED_VALUE"""),24)</f>
        <v>24</v>
      </c>
      <c r="J961" s="4">
        <f ca="1">IFERROR(__xludf.UNSUPPORTED("""COMPUTED_VALUE"""),44988.3925462962)</f>
        <v>44988.3925462962</v>
      </c>
      <c r="L961" s="3" t="str">
        <f ca="1">IFERROR(__xludf.UNSUPPORTED("""COMPUTED_VALUE"""),"Normalidade")</f>
        <v>Normalidade</v>
      </c>
    </row>
    <row r="962" spans="1:12" ht="12.75">
      <c r="A962" s="3" t="str">
        <f ca="1">IFERROR(__xludf.UNSUPPORTED("""COMPUTED_VALUE"""),"75e27e84")</f>
        <v>75e27e84</v>
      </c>
      <c r="B962" s="4">
        <f ca="1">IFERROR(__xludf.UNSUPPORTED("""COMPUTED_VALUE"""),44988.3800347222)</f>
        <v>44988.380034722199</v>
      </c>
      <c r="C962" s="7" t="str">
        <f ca="1">IFERROR(__xludf.UNSUPPORTED("""COMPUTED_VALUE"""),"Maceió")</f>
        <v>Maceió</v>
      </c>
      <c r="D962" s="3" t="str">
        <f ca="1">IFERROR(__xludf.UNSUPPORTED("""COMPUTED_VALUE"""),"🚢 REGULAR")</f>
        <v>🚢 REGULAR</v>
      </c>
      <c r="E962" s="3" t="str">
        <f ca="1">IFERROR(__xludf.UNSUPPORTED("""COMPUTED_VALUE"""),"🚛 LIBERADO")</f>
        <v>🚛 LIBERADO</v>
      </c>
      <c r="F962" s="5">
        <f ca="1">IFERROR(__xludf.UNSUPPORTED("""COMPUTED_VALUE"""),0)</f>
        <v>0</v>
      </c>
      <c r="G962" s="3" t="str">
        <f ca="1">IFERROR(__xludf.UNSUPPORTED("""COMPUTED_VALUE"""),"Normalidade")</f>
        <v>Normalidade</v>
      </c>
      <c r="H962" s="4">
        <f ca="1">IFERROR(__xludf.UNSUPPORTED("""COMPUTED_VALUE"""),44988.3800347222)</f>
        <v>44988.380034722199</v>
      </c>
      <c r="I962" s="3">
        <f ca="1">IFERROR(__xludf.UNSUPPORTED("""COMPUTED_VALUE"""),24)</f>
        <v>24</v>
      </c>
      <c r="J962" s="4">
        <f ca="1">IFERROR(__xludf.UNSUPPORTED("""COMPUTED_VALUE"""),44989.3800347222)</f>
        <v>44989.380034722199</v>
      </c>
      <c r="L962" s="3" t="str">
        <f ca="1">IFERROR(__xludf.UNSUPPORTED("""COMPUTED_VALUE"""),"Normalidade")</f>
        <v>Normalidade</v>
      </c>
    </row>
    <row r="963" spans="1:12" ht="12.75">
      <c r="A963" s="3" t="str">
        <f ca="1">IFERROR(__xludf.UNSUPPORTED("""COMPUTED_VALUE"""),"7ce2e25c")</f>
        <v>7ce2e25c</v>
      </c>
      <c r="B963" s="4">
        <f ca="1">IFERROR(__xludf.UNSUPPORTED("""COMPUTED_VALUE"""),44992.3805902777)</f>
        <v>44992.380590277702</v>
      </c>
      <c r="C963" s="7" t="str">
        <f ca="1">IFERROR(__xludf.UNSUPPORTED("""COMPUTED_VALUE"""),"Maceió")</f>
        <v>Maceió</v>
      </c>
      <c r="D963" s="3" t="str">
        <f ca="1">IFERROR(__xludf.UNSUPPORTED("""COMPUTED_VALUE"""),"🚢 REGULAR")</f>
        <v>🚢 REGULAR</v>
      </c>
      <c r="E963" s="3" t="str">
        <f ca="1">IFERROR(__xludf.UNSUPPORTED("""COMPUTED_VALUE"""),"🚛 LIBERADO")</f>
        <v>🚛 LIBERADO</v>
      </c>
      <c r="F963" s="5">
        <f ca="1">IFERROR(__xludf.UNSUPPORTED("""COMPUTED_VALUE"""),0)</f>
        <v>0</v>
      </c>
      <c r="G963" s="3" t="str">
        <f ca="1">IFERROR(__xludf.UNSUPPORTED("""COMPUTED_VALUE"""),"Normalidade")</f>
        <v>Normalidade</v>
      </c>
      <c r="H963" s="4">
        <f ca="1">IFERROR(__xludf.UNSUPPORTED("""COMPUTED_VALUE"""),44992.3805902777)</f>
        <v>44992.380590277702</v>
      </c>
      <c r="I963" s="3">
        <f ca="1">IFERROR(__xludf.UNSUPPORTED("""COMPUTED_VALUE"""),24)</f>
        <v>24</v>
      </c>
      <c r="J963" s="4">
        <f ca="1">IFERROR(__xludf.UNSUPPORTED("""COMPUTED_VALUE"""),44993.3805902777)</f>
        <v>44993.380590277702</v>
      </c>
      <c r="L963" s="3" t="str">
        <f ca="1">IFERROR(__xludf.UNSUPPORTED("""COMPUTED_VALUE"""),"Normalidade")</f>
        <v>Normalidade</v>
      </c>
    </row>
    <row r="964" spans="1:12" ht="12.75">
      <c r="A964" s="3" t="str">
        <f ca="1">IFERROR(__xludf.UNSUPPORTED("""COMPUTED_VALUE"""),"9ec8a413")</f>
        <v>9ec8a413</v>
      </c>
      <c r="B964" s="4">
        <f ca="1">IFERROR(__xludf.UNSUPPORTED("""COMPUTED_VALUE"""),44993.3810763888)</f>
        <v>44993.381076388803</v>
      </c>
      <c r="C964" s="8" t="str">
        <f ca="1">IFERROR(__xludf.UNSUPPORTED("""COMPUTED_VALUE"""),"Maceió")</f>
        <v>Maceió</v>
      </c>
      <c r="D964" s="3" t="str">
        <f ca="1">IFERROR(__xludf.UNSUPPORTED("""COMPUTED_VALUE"""),"🚢 REGULAR")</f>
        <v>🚢 REGULAR</v>
      </c>
      <c r="E964" s="3" t="str">
        <f ca="1">IFERROR(__xludf.UNSUPPORTED("""COMPUTED_VALUE"""),"🚛 LIBERADO")</f>
        <v>🚛 LIBERADO</v>
      </c>
      <c r="F964" s="5">
        <f ca="1">IFERROR(__xludf.UNSUPPORTED("""COMPUTED_VALUE"""),0)</f>
        <v>0</v>
      </c>
      <c r="G964" s="3" t="str">
        <f ca="1">IFERROR(__xludf.UNSUPPORTED("""COMPUTED_VALUE"""),"Normalidade")</f>
        <v>Normalidade</v>
      </c>
      <c r="H964" s="4">
        <f ca="1">IFERROR(__xludf.UNSUPPORTED("""COMPUTED_VALUE"""),44993.3810763888)</f>
        <v>44993.381076388803</v>
      </c>
      <c r="I964" s="3">
        <f ca="1">IFERROR(__xludf.UNSUPPORTED("""COMPUTED_VALUE"""),24)</f>
        <v>24</v>
      </c>
      <c r="J964" s="4">
        <f ca="1">IFERROR(__xludf.UNSUPPORTED("""COMPUTED_VALUE"""),44994.3810763888)</f>
        <v>44994.381076388803</v>
      </c>
      <c r="L964" s="3" t="str">
        <f ca="1">IFERROR(__xludf.UNSUPPORTED("""COMPUTED_VALUE"""),"Normalidade")</f>
        <v>Normalidade</v>
      </c>
    </row>
    <row r="965" spans="1:12" ht="12.75">
      <c r="A965" s="3" t="str">
        <f ca="1">IFERROR(__xludf.UNSUPPORTED("""COMPUTED_VALUE"""),"ef29c8ed")</f>
        <v>ef29c8ed</v>
      </c>
      <c r="B965" s="4">
        <f ca="1">IFERROR(__xludf.UNSUPPORTED("""COMPUTED_VALUE"""),44993.382037037)</f>
        <v>44993.382037037001</v>
      </c>
      <c r="C965" s="7" t="str">
        <f ca="1">IFERROR(__xludf.UNSUPPORTED("""COMPUTED_VALUE"""),"Maceió")</f>
        <v>Maceió</v>
      </c>
      <c r="D965" s="3" t="str">
        <f ca="1">IFERROR(__xludf.UNSUPPORTED("""COMPUTED_VALUE"""),"🚢 REGULAR")</f>
        <v>🚢 REGULAR</v>
      </c>
      <c r="E965" s="3" t="str">
        <f ca="1">IFERROR(__xludf.UNSUPPORTED("""COMPUTED_VALUE"""),"🚛 LIBERADO")</f>
        <v>🚛 LIBERADO</v>
      </c>
      <c r="F965" s="5">
        <f ca="1">IFERROR(__xludf.UNSUPPORTED("""COMPUTED_VALUE"""),0)</f>
        <v>0</v>
      </c>
      <c r="G965" s="3" t="str">
        <f ca="1">IFERROR(__xludf.UNSUPPORTED("""COMPUTED_VALUE"""),"Normalidade")</f>
        <v>Normalidade</v>
      </c>
      <c r="H965" s="4">
        <f ca="1">IFERROR(__xludf.UNSUPPORTED("""COMPUTED_VALUE"""),44993.382037037)</f>
        <v>44993.382037037001</v>
      </c>
      <c r="I965" s="3">
        <f ca="1">IFERROR(__xludf.UNSUPPORTED("""COMPUTED_VALUE"""),24)</f>
        <v>24</v>
      </c>
      <c r="J965" s="4">
        <f ca="1">IFERROR(__xludf.UNSUPPORTED("""COMPUTED_VALUE"""),44994.382037037)</f>
        <v>44994.382037037001</v>
      </c>
      <c r="L965" s="3" t="str">
        <f ca="1">IFERROR(__xludf.UNSUPPORTED("""COMPUTED_VALUE"""),"Normalidade")</f>
        <v>Normalidade</v>
      </c>
    </row>
    <row r="966" spans="1:12" ht="12.75">
      <c r="A966" s="3" t="str">
        <f ca="1">IFERROR(__xludf.UNSUPPORTED("""COMPUTED_VALUE"""),"80cde004")</f>
        <v>80cde004</v>
      </c>
      <c r="B966" s="4">
        <f ca="1">IFERROR(__xludf.UNSUPPORTED("""COMPUTED_VALUE"""),44994.4140162037)</f>
        <v>44994.4140162037</v>
      </c>
      <c r="C966" s="8" t="str">
        <f ca="1">IFERROR(__xludf.UNSUPPORTED("""COMPUTED_VALUE"""),"Maceió")</f>
        <v>Maceió</v>
      </c>
      <c r="D966" s="3" t="str">
        <f ca="1">IFERROR(__xludf.UNSUPPORTED("""COMPUTED_VALUE"""),"🚢 REGULAR")</f>
        <v>🚢 REGULAR</v>
      </c>
      <c r="E966" s="3" t="str">
        <f ca="1">IFERROR(__xludf.UNSUPPORTED("""COMPUTED_VALUE"""),"🚛 LIBERADO")</f>
        <v>🚛 LIBERADO</v>
      </c>
      <c r="F966" s="5">
        <f ca="1">IFERROR(__xludf.UNSUPPORTED("""COMPUTED_VALUE"""),0)</f>
        <v>0</v>
      </c>
      <c r="G966" s="3" t="str">
        <f ca="1">IFERROR(__xludf.UNSUPPORTED("""COMPUTED_VALUE"""),"Normalidade")</f>
        <v>Normalidade</v>
      </c>
      <c r="H966" s="4">
        <f ca="1">IFERROR(__xludf.UNSUPPORTED("""COMPUTED_VALUE"""),44994.4140162037)</f>
        <v>44994.4140162037</v>
      </c>
      <c r="I966" s="3">
        <f ca="1">IFERROR(__xludf.UNSUPPORTED("""COMPUTED_VALUE"""),24)</f>
        <v>24</v>
      </c>
      <c r="J966" s="4">
        <f ca="1">IFERROR(__xludf.UNSUPPORTED("""COMPUTED_VALUE"""),44995.4140162037)</f>
        <v>44995.4140162037</v>
      </c>
      <c r="L966" s="3" t="str">
        <f ca="1">IFERROR(__xludf.UNSUPPORTED("""COMPUTED_VALUE"""),"Normalidade")</f>
        <v>Normalidade</v>
      </c>
    </row>
    <row r="967" spans="1:12" ht="12.75">
      <c r="A967" s="3" t="str">
        <f ca="1">IFERROR(__xludf.UNSUPPORTED("""COMPUTED_VALUE"""),"adb4141d")</f>
        <v>adb4141d</v>
      </c>
      <c r="B967" s="4">
        <f ca="1">IFERROR(__xludf.UNSUPPORTED("""COMPUTED_VALUE"""),44995.334699074)</f>
        <v>44995.334699074003</v>
      </c>
      <c r="C967" s="7" t="str">
        <f ca="1">IFERROR(__xludf.UNSUPPORTED("""COMPUTED_VALUE"""),"Maceió")</f>
        <v>Maceió</v>
      </c>
      <c r="D967" s="3" t="str">
        <f ca="1">IFERROR(__xludf.UNSUPPORTED("""COMPUTED_VALUE"""),"🚢 REGULAR")</f>
        <v>🚢 REGULAR</v>
      </c>
      <c r="E967" s="3" t="str">
        <f ca="1">IFERROR(__xludf.UNSUPPORTED("""COMPUTED_VALUE"""),"🚛 LIBERADO")</f>
        <v>🚛 LIBERADO</v>
      </c>
      <c r="F967" s="5">
        <f ca="1">IFERROR(__xludf.UNSUPPORTED("""COMPUTED_VALUE"""),0)</f>
        <v>0</v>
      </c>
      <c r="G967" s="3" t="str">
        <f ca="1">IFERROR(__xludf.UNSUPPORTED("""COMPUTED_VALUE"""),"Normalidade")</f>
        <v>Normalidade</v>
      </c>
      <c r="H967" s="4">
        <f ca="1">IFERROR(__xludf.UNSUPPORTED("""COMPUTED_VALUE"""),44995.334699074)</f>
        <v>44995.334699074003</v>
      </c>
      <c r="I967" s="3">
        <f ca="1">IFERROR(__xludf.UNSUPPORTED("""COMPUTED_VALUE"""),24)</f>
        <v>24</v>
      </c>
      <c r="J967" s="4">
        <f ca="1">IFERROR(__xludf.UNSUPPORTED("""COMPUTED_VALUE"""),44996.334699074)</f>
        <v>44996.334699074003</v>
      </c>
      <c r="L967" s="3" t="str">
        <f ca="1">IFERROR(__xludf.UNSUPPORTED("""COMPUTED_VALUE"""),"Normalidade")</f>
        <v>Normalidade</v>
      </c>
    </row>
    <row r="968" spans="1:12" ht="12.75">
      <c r="A968" s="3" t="str">
        <f ca="1">IFERROR(__xludf.UNSUPPORTED("""COMPUTED_VALUE"""),"ee7c31a4")</f>
        <v>ee7c31a4</v>
      </c>
      <c r="B968" s="4">
        <f ca="1">IFERROR(__xludf.UNSUPPORTED("""COMPUTED_VALUE"""),44998.3584837963)</f>
        <v>44998.358483796299</v>
      </c>
      <c r="C968" s="8" t="str">
        <f ca="1">IFERROR(__xludf.UNSUPPORTED("""COMPUTED_VALUE"""),"Maceió")</f>
        <v>Maceió</v>
      </c>
      <c r="D968" s="3" t="str">
        <f ca="1">IFERROR(__xludf.UNSUPPORTED("""COMPUTED_VALUE"""),"🚢 REGULAR")</f>
        <v>🚢 REGULAR</v>
      </c>
      <c r="E968" s="3" t="str">
        <f ca="1">IFERROR(__xludf.UNSUPPORTED("""COMPUTED_VALUE"""),"🚛 LIBERADO")</f>
        <v>🚛 LIBERADO</v>
      </c>
      <c r="F968" s="5">
        <f ca="1">IFERROR(__xludf.UNSUPPORTED("""COMPUTED_VALUE"""),0)</f>
        <v>0</v>
      </c>
      <c r="G968" s="3" t="str">
        <f ca="1">IFERROR(__xludf.UNSUPPORTED("""COMPUTED_VALUE"""),"Normalidade")</f>
        <v>Normalidade</v>
      </c>
      <c r="H968" s="4">
        <f ca="1">IFERROR(__xludf.UNSUPPORTED("""COMPUTED_VALUE"""),44998.3584837963)</f>
        <v>44998.358483796299</v>
      </c>
      <c r="I968" s="3">
        <f ca="1">IFERROR(__xludf.UNSUPPORTED("""COMPUTED_VALUE"""),24)</f>
        <v>24</v>
      </c>
      <c r="J968" s="4">
        <f ca="1">IFERROR(__xludf.UNSUPPORTED("""COMPUTED_VALUE"""),44999.3584837963)</f>
        <v>44999.358483796299</v>
      </c>
      <c r="L968" s="3" t="str">
        <f ca="1">IFERROR(__xludf.UNSUPPORTED("""COMPUTED_VALUE"""),"Normalidade")</f>
        <v>Normalidade</v>
      </c>
    </row>
    <row r="969" spans="1:12" ht="12.75">
      <c r="A969" s="3" t="str">
        <f ca="1">IFERROR(__xludf.UNSUPPORTED("""COMPUTED_VALUE"""),"b7050daa")</f>
        <v>b7050daa</v>
      </c>
      <c r="B969" s="4">
        <f ca="1">IFERROR(__xludf.UNSUPPORTED("""COMPUTED_VALUE"""),44999.3497337963)</f>
        <v>44999.349733796298</v>
      </c>
      <c r="C969" s="7" t="str">
        <f ca="1">IFERROR(__xludf.UNSUPPORTED("""COMPUTED_VALUE"""),"Maceió")</f>
        <v>Maceió</v>
      </c>
      <c r="D969" s="3" t="str">
        <f ca="1">IFERROR(__xludf.UNSUPPORTED("""COMPUTED_VALUE"""),"🚢 REGULAR")</f>
        <v>🚢 REGULAR</v>
      </c>
      <c r="E969" s="3" t="str">
        <f ca="1">IFERROR(__xludf.UNSUPPORTED("""COMPUTED_VALUE"""),"🚛 LIBERADO")</f>
        <v>🚛 LIBERADO</v>
      </c>
      <c r="F969" s="5">
        <f ca="1">IFERROR(__xludf.UNSUPPORTED("""COMPUTED_VALUE"""),0)</f>
        <v>0</v>
      </c>
      <c r="G969" s="3" t="str">
        <f ca="1">IFERROR(__xludf.UNSUPPORTED("""COMPUTED_VALUE"""),"Normalidade")</f>
        <v>Normalidade</v>
      </c>
      <c r="H969" s="4">
        <f ca="1">IFERROR(__xludf.UNSUPPORTED("""COMPUTED_VALUE"""),44999.3497337963)</f>
        <v>44999.349733796298</v>
      </c>
      <c r="I969" s="3">
        <f ca="1">IFERROR(__xludf.UNSUPPORTED("""COMPUTED_VALUE"""),24)</f>
        <v>24</v>
      </c>
      <c r="J969" s="4">
        <f ca="1">IFERROR(__xludf.UNSUPPORTED("""COMPUTED_VALUE"""),45000.3497337963)</f>
        <v>45000.349733796298</v>
      </c>
      <c r="L969" s="3" t="str">
        <f ca="1">IFERROR(__xludf.UNSUPPORTED("""COMPUTED_VALUE"""),"Normalidade")</f>
        <v>Normalidade</v>
      </c>
    </row>
    <row r="970" spans="1:12" ht="12.75">
      <c r="A970" s="3" t="str">
        <f ca="1">IFERROR(__xludf.UNSUPPORTED("""COMPUTED_VALUE"""),"7008c16e")</f>
        <v>7008c16e</v>
      </c>
      <c r="B970" s="4">
        <f ca="1">IFERROR(__xludf.UNSUPPORTED("""COMPUTED_VALUE"""),45016.418287037)</f>
        <v>45016.418287036999</v>
      </c>
      <c r="C970" s="8" t="str">
        <f ca="1">IFERROR(__xludf.UNSUPPORTED("""COMPUTED_VALUE"""),"Maceió")</f>
        <v>Maceió</v>
      </c>
      <c r="D970" s="3" t="str">
        <f ca="1">IFERROR(__xludf.UNSUPPORTED("""COMPUTED_VALUE"""),"🚢 REGULAR")</f>
        <v>🚢 REGULAR</v>
      </c>
      <c r="E970" s="3" t="str">
        <f ca="1">IFERROR(__xludf.UNSUPPORTED("""COMPUTED_VALUE"""),"🚛 LIBERADO")</f>
        <v>🚛 LIBERADO</v>
      </c>
      <c r="F970" s="5">
        <f ca="1">IFERROR(__xludf.UNSUPPORTED("""COMPUTED_VALUE"""),0)</f>
        <v>0</v>
      </c>
      <c r="G970" s="3" t="str">
        <f ca="1">IFERROR(__xludf.UNSUPPORTED("""COMPUTED_VALUE"""),"Normalidade")</f>
        <v>Normalidade</v>
      </c>
      <c r="H970" s="4">
        <f ca="1">IFERROR(__xludf.UNSUPPORTED("""COMPUTED_VALUE"""),45016.418287037)</f>
        <v>45016.418287036999</v>
      </c>
      <c r="I970" s="3">
        <f ca="1">IFERROR(__xludf.UNSUPPORTED("""COMPUTED_VALUE"""),24)</f>
        <v>24</v>
      </c>
      <c r="J970" s="4">
        <f ca="1">IFERROR(__xludf.UNSUPPORTED("""COMPUTED_VALUE"""),45017.418287037)</f>
        <v>45017.418287036999</v>
      </c>
      <c r="L970" s="3" t="str">
        <f ca="1">IFERROR(__xludf.UNSUPPORTED("""COMPUTED_VALUE"""),"Normalidade")</f>
        <v>Normalidade</v>
      </c>
    </row>
    <row r="971" spans="1:12" ht="12.75">
      <c r="A971" s="3" t="str">
        <f ca="1">IFERROR(__xludf.UNSUPPORTED("""COMPUTED_VALUE"""),"93b0393f")</f>
        <v>93b0393f</v>
      </c>
      <c r="B971" s="4">
        <f ca="1">IFERROR(__xludf.UNSUPPORTED("""COMPUTED_VALUE"""),45019.3735185185)</f>
        <v>45019.3735185185</v>
      </c>
      <c r="C971" s="8" t="str">
        <f ca="1">IFERROR(__xludf.UNSUPPORTED("""COMPUTED_VALUE"""),"Maceió")</f>
        <v>Maceió</v>
      </c>
      <c r="D971" s="3" t="str">
        <f ca="1">IFERROR(__xludf.UNSUPPORTED("""COMPUTED_VALUE"""),"🚢 REGULAR")</f>
        <v>🚢 REGULAR</v>
      </c>
      <c r="E971" s="3" t="str">
        <f ca="1">IFERROR(__xludf.UNSUPPORTED("""COMPUTED_VALUE"""),"🚛 LIBERADO")</f>
        <v>🚛 LIBERADO</v>
      </c>
      <c r="F971" s="5">
        <f ca="1">IFERROR(__xludf.UNSUPPORTED("""COMPUTED_VALUE"""),0)</f>
        <v>0</v>
      </c>
      <c r="G971" s="3" t="str">
        <f ca="1">IFERROR(__xludf.UNSUPPORTED("""COMPUTED_VALUE"""),"Normalidade")</f>
        <v>Normalidade</v>
      </c>
      <c r="H971" s="4">
        <f ca="1">IFERROR(__xludf.UNSUPPORTED("""COMPUTED_VALUE"""),45019.3735185185)</f>
        <v>45019.3735185185</v>
      </c>
      <c r="I971" s="3">
        <f ca="1">IFERROR(__xludf.UNSUPPORTED("""COMPUTED_VALUE"""),24)</f>
        <v>24</v>
      </c>
      <c r="J971" s="4">
        <f ca="1">IFERROR(__xludf.UNSUPPORTED("""COMPUTED_VALUE"""),45020.3735185185)</f>
        <v>45020.3735185185</v>
      </c>
      <c r="L971" s="3" t="str">
        <f ca="1">IFERROR(__xludf.UNSUPPORTED("""COMPUTED_VALUE"""),"Normalidade")</f>
        <v>Normalidade</v>
      </c>
    </row>
    <row r="972" spans="1:12" ht="12.75">
      <c r="A972" s="3" t="str">
        <f ca="1">IFERROR(__xludf.UNSUPPORTED("""COMPUTED_VALUE"""),"fd93691f")</f>
        <v>fd93691f</v>
      </c>
      <c r="B972" s="4">
        <f ca="1">IFERROR(__xludf.UNSUPPORTED("""COMPUTED_VALUE"""),45020.3216203703)</f>
        <v>45020.321620370298</v>
      </c>
      <c r="C972" s="8" t="str">
        <f ca="1">IFERROR(__xludf.UNSUPPORTED("""COMPUTED_VALUE"""),"Maceió")</f>
        <v>Maceió</v>
      </c>
      <c r="D972" s="3" t="str">
        <f ca="1">IFERROR(__xludf.UNSUPPORTED("""COMPUTED_VALUE"""),"🚢 REGULAR")</f>
        <v>🚢 REGULAR</v>
      </c>
      <c r="E972" s="3" t="str">
        <f ca="1">IFERROR(__xludf.UNSUPPORTED("""COMPUTED_VALUE"""),"🚛 LIBERADO")</f>
        <v>🚛 LIBERADO</v>
      </c>
      <c r="F972" s="5">
        <f ca="1">IFERROR(__xludf.UNSUPPORTED("""COMPUTED_VALUE"""),0)</f>
        <v>0</v>
      </c>
      <c r="G972" s="3" t="str">
        <f ca="1">IFERROR(__xludf.UNSUPPORTED("""COMPUTED_VALUE"""),"Normalidade")</f>
        <v>Normalidade</v>
      </c>
      <c r="H972" s="4">
        <f ca="1">IFERROR(__xludf.UNSUPPORTED("""COMPUTED_VALUE"""),45020.3216203703)</f>
        <v>45020.321620370298</v>
      </c>
      <c r="I972" s="3">
        <f ca="1">IFERROR(__xludf.UNSUPPORTED("""COMPUTED_VALUE"""),24)</f>
        <v>24</v>
      </c>
      <c r="J972" s="4">
        <f ca="1">IFERROR(__xludf.UNSUPPORTED("""COMPUTED_VALUE"""),45021.3216203703)</f>
        <v>45021.321620370298</v>
      </c>
      <c r="L972" s="3" t="str">
        <f ca="1">IFERROR(__xludf.UNSUPPORTED("""COMPUTED_VALUE"""),"Normalidade")</f>
        <v>Normalidade</v>
      </c>
    </row>
    <row r="973" spans="1:12" ht="12.75">
      <c r="A973" s="3" t="str">
        <f ca="1">IFERROR(__xludf.UNSUPPORTED("""COMPUTED_VALUE"""),"d4a5d29a")</f>
        <v>d4a5d29a</v>
      </c>
      <c r="B973" s="4">
        <f ca="1">IFERROR(__xludf.UNSUPPORTED("""COMPUTED_VALUE"""),45021.418136574)</f>
        <v>45021.418136574001</v>
      </c>
      <c r="C973" s="8" t="str">
        <f ca="1">IFERROR(__xludf.UNSUPPORTED("""COMPUTED_VALUE"""),"Maceió")</f>
        <v>Maceió</v>
      </c>
      <c r="D973" s="3" t="str">
        <f ca="1">IFERROR(__xludf.UNSUPPORTED("""COMPUTED_VALUE"""),"🚢 REGULAR")</f>
        <v>🚢 REGULAR</v>
      </c>
      <c r="E973" s="3" t="str">
        <f ca="1">IFERROR(__xludf.UNSUPPORTED("""COMPUTED_VALUE"""),"🚛 LIBERADO")</f>
        <v>🚛 LIBERADO</v>
      </c>
      <c r="F973" s="5">
        <f ca="1">IFERROR(__xludf.UNSUPPORTED("""COMPUTED_VALUE"""),0)</f>
        <v>0</v>
      </c>
      <c r="G973" s="3" t="str">
        <f ca="1">IFERROR(__xludf.UNSUPPORTED("""COMPUTED_VALUE"""),"Normalidade")</f>
        <v>Normalidade</v>
      </c>
      <c r="H973" s="4">
        <f ca="1">IFERROR(__xludf.UNSUPPORTED("""COMPUTED_VALUE"""),45021.418136574)</f>
        <v>45021.418136574001</v>
      </c>
      <c r="I973" s="3">
        <f ca="1">IFERROR(__xludf.UNSUPPORTED("""COMPUTED_VALUE"""),24)</f>
        <v>24</v>
      </c>
      <c r="J973" s="4">
        <f ca="1">IFERROR(__xludf.UNSUPPORTED("""COMPUTED_VALUE"""),45022.418136574)</f>
        <v>45022.418136574001</v>
      </c>
      <c r="L973" s="3" t="str">
        <f ca="1">IFERROR(__xludf.UNSUPPORTED("""COMPUTED_VALUE"""),"Normalidade")</f>
        <v>Normalidade</v>
      </c>
    </row>
    <row r="974" spans="1:12" ht="12.75">
      <c r="A974" s="3" t="str">
        <f ca="1">IFERROR(__xludf.UNSUPPORTED("""COMPUTED_VALUE"""),"2c47d1ee")</f>
        <v>2c47d1ee</v>
      </c>
      <c r="B974" s="4">
        <f ca="1">IFERROR(__xludf.UNSUPPORTED("""COMPUTED_VALUE"""),45022.3036342592)</f>
        <v>45022.303634259202</v>
      </c>
      <c r="C974" s="8" t="str">
        <f ca="1">IFERROR(__xludf.UNSUPPORTED("""COMPUTED_VALUE"""),"Maceió")</f>
        <v>Maceió</v>
      </c>
      <c r="D974" s="3" t="str">
        <f ca="1">IFERROR(__xludf.UNSUPPORTED("""COMPUTED_VALUE"""),"🚢 REGULAR")</f>
        <v>🚢 REGULAR</v>
      </c>
      <c r="E974" s="3" t="str">
        <f ca="1">IFERROR(__xludf.UNSUPPORTED("""COMPUTED_VALUE"""),"🚛 LIBERADO")</f>
        <v>🚛 LIBERADO</v>
      </c>
      <c r="F974" s="5">
        <f ca="1">IFERROR(__xludf.UNSUPPORTED("""COMPUTED_VALUE"""),0)</f>
        <v>0</v>
      </c>
      <c r="G974" s="3" t="str">
        <f ca="1">IFERROR(__xludf.UNSUPPORTED("""COMPUTED_VALUE"""),"Normalidade")</f>
        <v>Normalidade</v>
      </c>
      <c r="H974" s="4">
        <f ca="1">IFERROR(__xludf.UNSUPPORTED("""COMPUTED_VALUE"""),45022.3036342592)</f>
        <v>45022.303634259202</v>
      </c>
      <c r="I974" s="3">
        <f ca="1">IFERROR(__xludf.UNSUPPORTED("""COMPUTED_VALUE"""),24)</f>
        <v>24</v>
      </c>
      <c r="J974" s="4">
        <f ca="1">IFERROR(__xludf.UNSUPPORTED("""COMPUTED_VALUE"""),45023.3036342592)</f>
        <v>45023.303634259202</v>
      </c>
      <c r="L974" s="3" t="str">
        <f ca="1">IFERROR(__xludf.UNSUPPORTED("""COMPUTED_VALUE"""),"Normalidade")</f>
        <v>Normalidade</v>
      </c>
    </row>
    <row r="975" spans="1:12" ht="12.75">
      <c r="A975" s="3" t="str">
        <f ca="1">IFERROR(__xludf.UNSUPPORTED("""COMPUTED_VALUE"""),"e86e8f25")</f>
        <v>e86e8f25</v>
      </c>
      <c r="B975" s="4">
        <f ca="1">IFERROR(__xludf.UNSUPPORTED("""COMPUTED_VALUE"""),45022.3052199074)</f>
        <v>45022.305219907401</v>
      </c>
      <c r="C975" s="7" t="str">
        <f ca="1">IFERROR(__xludf.UNSUPPORTED("""COMPUTED_VALUE"""),"Maceió")</f>
        <v>Maceió</v>
      </c>
      <c r="D975" s="3" t="str">
        <f ca="1">IFERROR(__xludf.UNSUPPORTED("""COMPUTED_VALUE"""),"🚢 REGULAR")</f>
        <v>🚢 REGULAR</v>
      </c>
      <c r="E975" s="3" t="str">
        <f ca="1">IFERROR(__xludf.UNSUPPORTED("""COMPUTED_VALUE"""),"🚛 LIBERADO")</f>
        <v>🚛 LIBERADO</v>
      </c>
      <c r="F975" s="5">
        <f ca="1">IFERROR(__xludf.UNSUPPORTED("""COMPUTED_VALUE"""),0)</f>
        <v>0</v>
      </c>
      <c r="G975" s="3" t="str">
        <f ca="1">IFERROR(__xludf.UNSUPPORTED("""COMPUTED_VALUE"""),"Normalidade")</f>
        <v>Normalidade</v>
      </c>
      <c r="H975" s="4">
        <f ca="1">IFERROR(__xludf.UNSUPPORTED("""COMPUTED_VALUE"""),45022.3052199074)</f>
        <v>45022.305219907401</v>
      </c>
      <c r="I975" s="3">
        <f ca="1">IFERROR(__xludf.UNSUPPORTED("""COMPUTED_VALUE"""),24)</f>
        <v>24</v>
      </c>
      <c r="J975" s="4">
        <f ca="1">IFERROR(__xludf.UNSUPPORTED("""COMPUTED_VALUE"""),45023.3052199074)</f>
        <v>45023.305219907401</v>
      </c>
      <c r="L975" s="3" t="str">
        <f ca="1">IFERROR(__xludf.UNSUPPORTED("""COMPUTED_VALUE"""),"Normalidade")</f>
        <v>Normalidade</v>
      </c>
    </row>
    <row r="976" spans="1:12" ht="12.75">
      <c r="A976" s="3" t="str">
        <f ca="1">IFERROR(__xludf.UNSUPPORTED("""COMPUTED_VALUE"""),"8d7ae21e")</f>
        <v>8d7ae21e</v>
      </c>
      <c r="B976" s="4">
        <f ca="1">IFERROR(__xludf.UNSUPPORTED("""COMPUTED_VALUE"""),45026.3864236111)</f>
        <v>45026.386423611097</v>
      </c>
      <c r="C976" s="7" t="str">
        <f ca="1">IFERROR(__xludf.UNSUPPORTED("""COMPUTED_VALUE"""),"Maceió")</f>
        <v>Maceió</v>
      </c>
      <c r="D976" s="3" t="str">
        <f ca="1">IFERROR(__xludf.UNSUPPORTED("""COMPUTED_VALUE"""),"🚢 REGULAR")</f>
        <v>🚢 REGULAR</v>
      </c>
      <c r="E976" s="3" t="str">
        <f ca="1">IFERROR(__xludf.UNSUPPORTED("""COMPUTED_VALUE"""),"🚛 LIBERADO")</f>
        <v>🚛 LIBERADO</v>
      </c>
      <c r="F976" s="5">
        <f ca="1">IFERROR(__xludf.UNSUPPORTED("""COMPUTED_VALUE"""),0)</f>
        <v>0</v>
      </c>
      <c r="G976" s="3" t="str">
        <f ca="1">IFERROR(__xludf.UNSUPPORTED("""COMPUTED_VALUE"""),"Normalidade")</f>
        <v>Normalidade</v>
      </c>
      <c r="H976" s="4">
        <f ca="1">IFERROR(__xludf.UNSUPPORTED("""COMPUTED_VALUE"""),45026.3864236111)</f>
        <v>45026.386423611097</v>
      </c>
      <c r="I976" s="3">
        <f ca="1">IFERROR(__xludf.UNSUPPORTED("""COMPUTED_VALUE"""),24)</f>
        <v>24</v>
      </c>
      <c r="J976" s="4">
        <f ca="1">IFERROR(__xludf.UNSUPPORTED("""COMPUTED_VALUE"""),45027.3864236111)</f>
        <v>45027.386423611097</v>
      </c>
      <c r="L976" s="3" t="str">
        <f ca="1">IFERROR(__xludf.UNSUPPORTED("""COMPUTED_VALUE"""),"Normalidade")</f>
        <v>Normalidade</v>
      </c>
    </row>
    <row r="977" spans="1:12" ht="12.75">
      <c r="A977" s="3" t="str">
        <f ca="1">IFERROR(__xludf.UNSUPPORTED("""COMPUTED_VALUE"""),"5f4fdc4d")</f>
        <v>5f4fdc4d</v>
      </c>
      <c r="B977" s="4">
        <f ca="1">IFERROR(__xludf.UNSUPPORTED("""COMPUTED_VALUE"""),45027.3589930555)</f>
        <v>45027.358993055503</v>
      </c>
      <c r="C977" s="8" t="str">
        <f ca="1">IFERROR(__xludf.UNSUPPORTED("""COMPUTED_VALUE"""),"Maceió")</f>
        <v>Maceió</v>
      </c>
      <c r="D977" s="3" t="str">
        <f ca="1">IFERROR(__xludf.UNSUPPORTED("""COMPUTED_VALUE"""),"🚢 REGULAR")</f>
        <v>🚢 REGULAR</v>
      </c>
      <c r="E977" s="3" t="str">
        <f ca="1">IFERROR(__xludf.UNSUPPORTED("""COMPUTED_VALUE"""),"🚛 LIBERADO")</f>
        <v>🚛 LIBERADO</v>
      </c>
      <c r="F977" s="5">
        <f ca="1">IFERROR(__xludf.UNSUPPORTED("""COMPUTED_VALUE"""),0)</f>
        <v>0</v>
      </c>
      <c r="G977" s="3" t="str">
        <f ca="1">IFERROR(__xludf.UNSUPPORTED("""COMPUTED_VALUE"""),"Normalidade")</f>
        <v>Normalidade</v>
      </c>
      <c r="H977" s="4">
        <f ca="1">IFERROR(__xludf.UNSUPPORTED("""COMPUTED_VALUE"""),45027.3589930555)</f>
        <v>45027.358993055503</v>
      </c>
      <c r="I977" s="3">
        <f ca="1">IFERROR(__xludf.UNSUPPORTED("""COMPUTED_VALUE"""),24)</f>
        <v>24</v>
      </c>
      <c r="J977" s="4">
        <f ca="1">IFERROR(__xludf.UNSUPPORTED("""COMPUTED_VALUE"""),45028.3589930555)</f>
        <v>45028.358993055503</v>
      </c>
      <c r="L977" s="3" t="str">
        <f ca="1">IFERROR(__xludf.UNSUPPORTED("""COMPUTED_VALUE"""),"Normalidade")</f>
        <v>Normalidade</v>
      </c>
    </row>
    <row r="978" spans="1:12" ht="12.75">
      <c r="A978" s="3" t="str">
        <f ca="1">IFERROR(__xludf.UNSUPPORTED("""COMPUTED_VALUE"""),"c2238f1c")</f>
        <v>c2238f1c</v>
      </c>
      <c r="B978" s="4">
        <f ca="1">IFERROR(__xludf.UNSUPPORTED("""COMPUTED_VALUE"""),45028.3425347222)</f>
        <v>45028.3425347222</v>
      </c>
      <c r="C978" s="7" t="str">
        <f ca="1">IFERROR(__xludf.UNSUPPORTED("""COMPUTED_VALUE"""),"Maceió")</f>
        <v>Maceió</v>
      </c>
      <c r="D978" s="3" t="str">
        <f ca="1">IFERROR(__xludf.UNSUPPORTED("""COMPUTED_VALUE"""),"🚢 REGULAR")</f>
        <v>🚢 REGULAR</v>
      </c>
      <c r="E978" s="3" t="str">
        <f ca="1">IFERROR(__xludf.UNSUPPORTED("""COMPUTED_VALUE"""),"🚛 LIBERADO")</f>
        <v>🚛 LIBERADO</v>
      </c>
      <c r="F978" s="5">
        <f ca="1">IFERROR(__xludf.UNSUPPORTED("""COMPUTED_VALUE"""),0)</f>
        <v>0</v>
      </c>
      <c r="G978" s="3" t="str">
        <f ca="1">IFERROR(__xludf.UNSUPPORTED("""COMPUTED_VALUE"""),"Normalidade")</f>
        <v>Normalidade</v>
      </c>
      <c r="H978" s="4">
        <f ca="1">IFERROR(__xludf.UNSUPPORTED("""COMPUTED_VALUE"""),45028.3425347222)</f>
        <v>45028.3425347222</v>
      </c>
      <c r="I978" s="3">
        <f ca="1">IFERROR(__xludf.UNSUPPORTED("""COMPUTED_VALUE"""),24)</f>
        <v>24</v>
      </c>
      <c r="J978" s="4">
        <f ca="1">IFERROR(__xludf.UNSUPPORTED("""COMPUTED_VALUE"""),45029.3425347222)</f>
        <v>45029.3425347222</v>
      </c>
      <c r="L978" s="3" t="str">
        <f ca="1">IFERROR(__xludf.UNSUPPORTED("""COMPUTED_VALUE"""),"Normalidade")</f>
        <v>Normalidade</v>
      </c>
    </row>
    <row r="979" spans="1:12" ht="12.75">
      <c r="A979" s="3" t="str">
        <f ca="1">IFERROR(__xludf.UNSUPPORTED("""COMPUTED_VALUE"""),"7e9f3950")</f>
        <v>7e9f3950</v>
      </c>
      <c r="B979" s="4">
        <f ca="1">IFERROR(__xludf.UNSUPPORTED("""COMPUTED_VALUE"""),45029.3130092592)</f>
        <v>45029.313009259196</v>
      </c>
      <c r="C979" s="7" t="str">
        <f ca="1">IFERROR(__xludf.UNSUPPORTED("""COMPUTED_VALUE"""),"Maceió")</f>
        <v>Maceió</v>
      </c>
      <c r="D979" s="3" t="str">
        <f ca="1">IFERROR(__xludf.UNSUPPORTED("""COMPUTED_VALUE"""),"🚢 REGULAR")</f>
        <v>🚢 REGULAR</v>
      </c>
      <c r="E979" s="3" t="str">
        <f ca="1">IFERROR(__xludf.UNSUPPORTED("""COMPUTED_VALUE"""),"🚛 LIBERADO")</f>
        <v>🚛 LIBERADO</v>
      </c>
      <c r="F979" s="5">
        <f ca="1">IFERROR(__xludf.UNSUPPORTED("""COMPUTED_VALUE"""),0)</f>
        <v>0</v>
      </c>
      <c r="G979" s="3" t="str">
        <f ca="1">IFERROR(__xludf.UNSUPPORTED("""COMPUTED_VALUE"""),"Normalidade")</f>
        <v>Normalidade</v>
      </c>
      <c r="H979" s="4">
        <f ca="1">IFERROR(__xludf.UNSUPPORTED("""COMPUTED_VALUE"""),45029.3130092592)</f>
        <v>45029.313009259196</v>
      </c>
      <c r="I979" s="3">
        <f ca="1">IFERROR(__xludf.UNSUPPORTED("""COMPUTED_VALUE"""),24)</f>
        <v>24</v>
      </c>
      <c r="J979" s="4">
        <f ca="1">IFERROR(__xludf.UNSUPPORTED("""COMPUTED_VALUE"""),45030.3130092592)</f>
        <v>45030.313009259196</v>
      </c>
      <c r="L979" s="3" t="str">
        <f ca="1">IFERROR(__xludf.UNSUPPORTED("""COMPUTED_VALUE"""),"Normalidade")</f>
        <v>Normalidade</v>
      </c>
    </row>
    <row r="980" spans="1:12" ht="12.75">
      <c r="A980" s="3" t="str">
        <f ca="1">IFERROR(__xludf.UNSUPPORTED("""COMPUTED_VALUE"""),"69ae4031")</f>
        <v>69ae4031</v>
      </c>
      <c r="B980" s="4">
        <f ca="1">IFERROR(__xludf.UNSUPPORTED("""COMPUTED_VALUE"""),45033.3672106481)</f>
        <v>45033.367210648103</v>
      </c>
      <c r="C980" s="8" t="str">
        <f ca="1">IFERROR(__xludf.UNSUPPORTED("""COMPUTED_VALUE"""),"Maceió")</f>
        <v>Maceió</v>
      </c>
      <c r="D980" s="3" t="str">
        <f ca="1">IFERROR(__xludf.UNSUPPORTED("""COMPUTED_VALUE"""),"🚢 REGULAR")</f>
        <v>🚢 REGULAR</v>
      </c>
      <c r="E980" s="3" t="str">
        <f ca="1">IFERROR(__xludf.UNSUPPORTED("""COMPUTED_VALUE"""),"🚛 LIBERADO")</f>
        <v>🚛 LIBERADO</v>
      </c>
      <c r="F980" s="5">
        <f ca="1">IFERROR(__xludf.UNSUPPORTED("""COMPUTED_VALUE"""),0)</f>
        <v>0</v>
      </c>
      <c r="G980" s="3" t="str">
        <f ca="1">IFERROR(__xludf.UNSUPPORTED("""COMPUTED_VALUE"""),"Normalidade")</f>
        <v>Normalidade</v>
      </c>
      <c r="H980" s="4">
        <f ca="1">IFERROR(__xludf.UNSUPPORTED("""COMPUTED_VALUE"""),45033.3672106481)</f>
        <v>45033.367210648103</v>
      </c>
      <c r="I980" s="3">
        <f ca="1">IFERROR(__xludf.UNSUPPORTED("""COMPUTED_VALUE"""),24)</f>
        <v>24</v>
      </c>
      <c r="J980" s="4">
        <f ca="1">IFERROR(__xludf.UNSUPPORTED("""COMPUTED_VALUE"""),45034.3672106481)</f>
        <v>45034.367210648103</v>
      </c>
      <c r="L980" s="3" t="str">
        <f ca="1">IFERROR(__xludf.UNSUPPORTED("""COMPUTED_VALUE"""),"Normalidade")</f>
        <v>Normalidade</v>
      </c>
    </row>
    <row r="981" spans="1:12" ht="12.75">
      <c r="A981" s="3" t="str">
        <f ca="1">IFERROR(__xludf.UNSUPPORTED("""COMPUTED_VALUE"""),"5029a301")</f>
        <v>5029a301</v>
      </c>
      <c r="B981" s="4">
        <f ca="1">IFERROR(__xludf.UNSUPPORTED("""COMPUTED_VALUE"""),45034.4219791666)</f>
        <v>45034.421979166596</v>
      </c>
      <c r="C981" s="7" t="str">
        <f ca="1">IFERROR(__xludf.UNSUPPORTED("""COMPUTED_VALUE"""),"Maceió")</f>
        <v>Maceió</v>
      </c>
      <c r="D981" s="3" t="str">
        <f ca="1">IFERROR(__xludf.UNSUPPORTED("""COMPUTED_VALUE"""),"🚢 REGULAR")</f>
        <v>🚢 REGULAR</v>
      </c>
      <c r="E981" s="3" t="str">
        <f ca="1">IFERROR(__xludf.UNSUPPORTED("""COMPUTED_VALUE"""),"🚛 LIBERADO")</f>
        <v>🚛 LIBERADO</v>
      </c>
      <c r="F981" s="5">
        <f ca="1">IFERROR(__xludf.UNSUPPORTED("""COMPUTED_VALUE"""),0)</f>
        <v>0</v>
      </c>
      <c r="G981" s="3" t="str">
        <f ca="1">IFERROR(__xludf.UNSUPPORTED("""COMPUTED_VALUE"""),"Normalidade")</f>
        <v>Normalidade</v>
      </c>
      <c r="H981" s="4">
        <f ca="1">IFERROR(__xludf.UNSUPPORTED("""COMPUTED_VALUE"""),45034.4219791666)</f>
        <v>45034.421979166596</v>
      </c>
      <c r="I981" s="3">
        <f ca="1">IFERROR(__xludf.UNSUPPORTED("""COMPUTED_VALUE"""),24)</f>
        <v>24</v>
      </c>
      <c r="J981" s="4">
        <f ca="1">IFERROR(__xludf.UNSUPPORTED("""COMPUTED_VALUE"""),45035.4219791666)</f>
        <v>45035.421979166596</v>
      </c>
      <c r="L981" s="3" t="str">
        <f ca="1">IFERROR(__xludf.UNSUPPORTED("""COMPUTED_VALUE"""),"Normalidade")</f>
        <v>Normalidade</v>
      </c>
    </row>
    <row r="982" spans="1:12" ht="12.75">
      <c r="A982" s="3" t="str">
        <f ca="1">IFERROR(__xludf.UNSUPPORTED("""COMPUTED_VALUE"""),"c7ffa9d0")</f>
        <v>c7ffa9d0</v>
      </c>
      <c r="B982" s="4">
        <f ca="1">IFERROR(__xludf.UNSUPPORTED("""COMPUTED_VALUE"""),45036.4604166666)</f>
        <v>45036.460416666603</v>
      </c>
      <c r="C982" s="7" t="str">
        <f ca="1">IFERROR(__xludf.UNSUPPORTED("""COMPUTED_VALUE"""),"Maceió")</f>
        <v>Maceió</v>
      </c>
      <c r="D982" s="3" t="str">
        <f ca="1">IFERROR(__xludf.UNSUPPORTED("""COMPUTED_VALUE"""),"🚢 REGULAR")</f>
        <v>🚢 REGULAR</v>
      </c>
      <c r="E982" s="3" t="str">
        <f ca="1">IFERROR(__xludf.UNSUPPORTED("""COMPUTED_VALUE"""),"🚛 LIBERADO")</f>
        <v>🚛 LIBERADO</v>
      </c>
      <c r="F982" s="5">
        <f ca="1">IFERROR(__xludf.UNSUPPORTED("""COMPUTED_VALUE"""),0)</f>
        <v>0</v>
      </c>
      <c r="G982" s="3" t="str">
        <f ca="1">IFERROR(__xludf.UNSUPPORTED("""COMPUTED_VALUE"""),"Normalidade")</f>
        <v>Normalidade</v>
      </c>
      <c r="H982" s="4">
        <f ca="1">IFERROR(__xludf.UNSUPPORTED("""COMPUTED_VALUE"""),45036.4604166666)</f>
        <v>45036.460416666603</v>
      </c>
      <c r="I982" s="3">
        <f ca="1">IFERROR(__xludf.UNSUPPORTED("""COMPUTED_VALUE"""),24)</f>
        <v>24</v>
      </c>
      <c r="J982" s="4">
        <f ca="1">IFERROR(__xludf.UNSUPPORTED("""COMPUTED_VALUE"""),45037.4604166666)</f>
        <v>45037.460416666603</v>
      </c>
      <c r="L982" s="3" t="str">
        <f ca="1">IFERROR(__xludf.UNSUPPORTED("""COMPUTED_VALUE"""),"Normalidade")</f>
        <v>Normalidade</v>
      </c>
    </row>
    <row r="983" spans="1:12" ht="12.75">
      <c r="A983" s="3" t="str">
        <f ca="1">IFERROR(__xludf.UNSUPPORTED("""COMPUTED_VALUE"""),"f3c38e69")</f>
        <v>f3c38e69</v>
      </c>
      <c r="B983" s="4">
        <f ca="1">IFERROR(__xludf.UNSUPPORTED("""COMPUTED_VALUE"""),45040.4196180555)</f>
        <v>45040.419618055501</v>
      </c>
      <c r="C983" s="7" t="str">
        <f ca="1">IFERROR(__xludf.UNSUPPORTED("""COMPUTED_VALUE"""),"Maceió")</f>
        <v>Maceió</v>
      </c>
      <c r="D983" s="3" t="str">
        <f ca="1">IFERROR(__xludf.UNSUPPORTED("""COMPUTED_VALUE"""),"🚢 REGULAR")</f>
        <v>🚢 REGULAR</v>
      </c>
      <c r="E983" s="3" t="str">
        <f ca="1">IFERROR(__xludf.UNSUPPORTED("""COMPUTED_VALUE"""),"🚛 LIBERADO")</f>
        <v>🚛 LIBERADO</v>
      </c>
      <c r="F983" s="5">
        <f ca="1">IFERROR(__xludf.UNSUPPORTED("""COMPUTED_VALUE"""),0)</f>
        <v>0</v>
      </c>
      <c r="G983" s="3" t="str">
        <f ca="1">IFERROR(__xludf.UNSUPPORTED("""COMPUTED_VALUE"""),"Normalidade")</f>
        <v>Normalidade</v>
      </c>
      <c r="H983" s="4">
        <f ca="1">IFERROR(__xludf.UNSUPPORTED("""COMPUTED_VALUE"""),45040.4196180555)</f>
        <v>45040.419618055501</v>
      </c>
      <c r="I983" s="3">
        <f ca="1">IFERROR(__xludf.UNSUPPORTED("""COMPUTED_VALUE"""),24)</f>
        <v>24</v>
      </c>
      <c r="J983" s="4">
        <f ca="1">IFERROR(__xludf.UNSUPPORTED("""COMPUTED_VALUE"""),45041.4196180555)</f>
        <v>45041.419618055501</v>
      </c>
      <c r="L983" s="3" t="str">
        <f ca="1">IFERROR(__xludf.UNSUPPORTED("""COMPUTED_VALUE"""),"Normalidade")</f>
        <v>Normalidade</v>
      </c>
    </row>
    <row r="984" spans="1:12" ht="12.75">
      <c r="A984" s="3" t="str">
        <f ca="1">IFERROR(__xludf.UNSUPPORTED("""COMPUTED_VALUE"""),"d6e2699e")</f>
        <v>d6e2699e</v>
      </c>
      <c r="B984" s="4">
        <f ca="1">IFERROR(__xludf.UNSUPPORTED("""COMPUTED_VALUE"""),45044.4102430555)</f>
        <v>45044.410243055499</v>
      </c>
      <c r="C984" s="8" t="str">
        <f ca="1">IFERROR(__xludf.UNSUPPORTED("""COMPUTED_VALUE"""),"Maceió")</f>
        <v>Maceió</v>
      </c>
      <c r="D984" s="3" t="str">
        <f ca="1">IFERROR(__xludf.UNSUPPORTED("""COMPUTED_VALUE"""),"🚢 REGULAR")</f>
        <v>🚢 REGULAR</v>
      </c>
      <c r="E984" s="3" t="str">
        <f ca="1">IFERROR(__xludf.UNSUPPORTED("""COMPUTED_VALUE"""),"🚛 LIBERADO")</f>
        <v>🚛 LIBERADO</v>
      </c>
      <c r="F984" s="5">
        <f ca="1">IFERROR(__xludf.UNSUPPORTED("""COMPUTED_VALUE"""),0)</f>
        <v>0</v>
      </c>
      <c r="G984" s="3" t="str">
        <f ca="1">IFERROR(__xludf.UNSUPPORTED("""COMPUTED_VALUE"""),"Normalidade")</f>
        <v>Normalidade</v>
      </c>
      <c r="H984" s="4">
        <f ca="1">IFERROR(__xludf.UNSUPPORTED("""COMPUTED_VALUE"""),45044.4102430555)</f>
        <v>45044.410243055499</v>
      </c>
      <c r="I984" s="3">
        <f ca="1">IFERROR(__xludf.UNSUPPORTED("""COMPUTED_VALUE"""),24)</f>
        <v>24</v>
      </c>
      <c r="J984" s="4">
        <f ca="1">IFERROR(__xludf.UNSUPPORTED("""COMPUTED_VALUE"""),45045.4102430555)</f>
        <v>45045.410243055499</v>
      </c>
      <c r="L984" s="3" t="str">
        <f ca="1">IFERROR(__xludf.UNSUPPORTED("""COMPUTED_VALUE"""),"Normalidade")</f>
        <v>Normalidade</v>
      </c>
    </row>
    <row r="985" spans="1:12" ht="12.75">
      <c r="A985" s="3" t="str">
        <f ca="1">IFERROR(__xludf.UNSUPPORTED("""COMPUTED_VALUE"""),"e94495d9")</f>
        <v>e94495d9</v>
      </c>
      <c r="B985" s="4">
        <f ca="1">IFERROR(__xludf.UNSUPPORTED("""COMPUTED_VALUE"""),45317.4538425925)</f>
        <v>45317.453842592498</v>
      </c>
      <c r="C985" s="7" t="str">
        <f ca="1">IFERROR(__xludf.UNSUPPORTED("""COMPUTED_VALUE"""),"Maceió")</f>
        <v>Maceió</v>
      </c>
      <c r="D985" s="3" t="str">
        <f ca="1">IFERROR(__xludf.UNSUPPORTED("""COMPUTED_VALUE"""),"🚢 REGULAR")</f>
        <v>🚢 REGULAR</v>
      </c>
      <c r="E985" s="3" t="str">
        <f ca="1">IFERROR(__xludf.UNSUPPORTED("""COMPUTED_VALUE"""),"🚛 LIBERADO")</f>
        <v>🚛 LIBERADO</v>
      </c>
      <c r="F985" s="5">
        <f ca="1">IFERROR(__xludf.UNSUPPORTED("""COMPUTED_VALUE"""),0)</f>
        <v>0</v>
      </c>
      <c r="G985" s="3" t="str">
        <f ca="1">IFERROR(__xludf.UNSUPPORTED("""COMPUTED_VALUE"""),"Normalidade")</f>
        <v>Normalidade</v>
      </c>
      <c r="H985" s="4">
        <f ca="1">IFERROR(__xludf.UNSUPPORTED("""COMPUTED_VALUE"""),45317.4538425925)</f>
        <v>45317.453842592498</v>
      </c>
      <c r="I985" s="3">
        <f ca="1">IFERROR(__xludf.UNSUPPORTED("""COMPUTED_VALUE"""),24)</f>
        <v>24</v>
      </c>
      <c r="J985" s="4">
        <f ca="1">IFERROR(__xludf.UNSUPPORTED("""COMPUTED_VALUE"""),45318.4538425925)</f>
        <v>45318.453842592498</v>
      </c>
      <c r="L985" s="3" t="str">
        <f ca="1">IFERROR(__xludf.UNSUPPORTED("""COMPUTED_VALUE"""),"Normalidade")</f>
        <v>Normalidade</v>
      </c>
    </row>
    <row r="986" spans="1:12" ht="12.75">
      <c r="A986" s="3" t="str">
        <f ca="1">IFERROR(__xludf.UNSUPPORTED("""COMPUTED_VALUE"""),"174ca6d0")</f>
        <v>174ca6d0</v>
      </c>
      <c r="B986" s="4">
        <f ca="1">IFERROR(__xludf.UNSUPPORTED("""COMPUTED_VALUE"""),45320.4193981481)</f>
        <v>45320.4193981481</v>
      </c>
      <c r="C986" s="7" t="str">
        <f ca="1">IFERROR(__xludf.UNSUPPORTED("""COMPUTED_VALUE"""),"Maceió")</f>
        <v>Maceió</v>
      </c>
      <c r="D986" s="3" t="str">
        <f ca="1">IFERROR(__xludf.UNSUPPORTED("""COMPUTED_VALUE"""),"🚢 REGULAR")</f>
        <v>🚢 REGULAR</v>
      </c>
      <c r="E986" s="3" t="str">
        <f ca="1">IFERROR(__xludf.UNSUPPORTED("""COMPUTED_VALUE"""),"🚛 LIBERADO")</f>
        <v>🚛 LIBERADO</v>
      </c>
      <c r="F986" s="5">
        <f ca="1">IFERROR(__xludf.UNSUPPORTED("""COMPUTED_VALUE"""),0)</f>
        <v>0</v>
      </c>
      <c r="G986" s="3" t="str">
        <f ca="1">IFERROR(__xludf.UNSUPPORTED("""COMPUTED_VALUE"""),"Normalidade")</f>
        <v>Normalidade</v>
      </c>
      <c r="H986" s="4">
        <f ca="1">IFERROR(__xludf.UNSUPPORTED("""COMPUTED_VALUE"""),45320.4193981481)</f>
        <v>45320.4193981481</v>
      </c>
      <c r="I986" s="3">
        <f ca="1">IFERROR(__xludf.UNSUPPORTED("""COMPUTED_VALUE"""),24)</f>
        <v>24</v>
      </c>
      <c r="J986" s="4">
        <f ca="1">IFERROR(__xludf.UNSUPPORTED("""COMPUTED_VALUE"""),45321.4193981481)</f>
        <v>45321.4193981481</v>
      </c>
      <c r="L986" s="3" t="str">
        <f ca="1">IFERROR(__xludf.UNSUPPORTED("""COMPUTED_VALUE"""),"Normalidade")</f>
        <v>Normalidade</v>
      </c>
    </row>
    <row r="987" spans="1:12" ht="12.75">
      <c r="A987" s="3" t="str">
        <f ca="1">IFERROR(__xludf.UNSUPPORTED("""COMPUTED_VALUE"""),"4bd882b8")</f>
        <v>4bd882b8</v>
      </c>
      <c r="B987" s="4">
        <f ca="1">IFERROR(__xludf.UNSUPPORTED("""COMPUTED_VALUE"""),45321.4059837963)</f>
        <v>45321.4059837963</v>
      </c>
      <c r="C987" s="8" t="str">
        <f ca="1">IFERROR(__xludf.UNSUPPORTED("""COMPUTED_VALUE"""),"Maceió")</f>
        <v>Maceió</v>
      </c>
      <c r="D987" s="3" t="str">
        <f ca="1">IFERROR(__xludf.UNSUPPORTED("""COMPUTED_VALUE"""),"🚢 REGULAR")</f>
        <v>🚢 REGULAR</v>
      </c>
      <c r="E987" s="3" t="str">
        <f ca="1">IFERROR(__xludf.UNSUPPORTED("""COMPUTED_VALUE"""),"🚛 LIBERADO")</f>
        <v>🚛 LIBERADO</v>
      </c>
      <c r="F987" s="5">
        <f ca="1">IFERROR(__xludf.UNSUPPORTED("""COMPUTED_VALUE"""),0)</f>
        <v>0</v>
      </c>
      <c r="G987" s="3" t="str">
        <f ca="1">IFERROR(__xludf.UNSUPPORTED("""COMPUTED_VALUE"""),"Normalidade")</f>
        <v>Normalidade</v>
      </c>
      <c r="H987" s="4">
        <f ca="1">IFERROR(__xludf.UNSUPPORTED("""COMPUTED_VALUE"""),45321.4059837963)</f>
        <v>45321.4059837963</v>
      </c>
      <c r="I987" s="3">
        <f ca="1">IFERROR(__xludf.UNSUPPORTED("""COMPUTED_VALUE"""),24)</f>
        <v>24</v>
      </c>
      <c r="J987" s="4">
        <f ca="1">IFERROR(__xludf.UNSUPPORTED("""COMPUTED_VALUE"""),45322.4059837963)</f>
        <v>45322.4059837963</v>
      </c>
      <c r="L987" s="3" t="str">
        <f ca="1">IFERROR(__xludf.UNSUPPORTED("""COMPUTED_VALUE"""),"Normalidade")</f>
        <v>Normalidade</v>
      </c>
    </row>
    <row r="988" spans="1:12" ht="12.75">
      <c r="A988" s="3" t="str">
        <f ca="1">IFERROR(__xludf.UNSUPPORTED("""COMPUTED_VALUE"""),"cc42899c")</f>
        <v>cc42899c</v>
      </c>
      <c r="B988" s="4">
        <f ca="1">IFERROR(__xludf.UNSUPPORTED("""COMPUTED_VALUE"""),45322.3708564814)</f>
        <v>45322.370856481401</v>
      </c>
      <c r="C988" s="7" t="str">
        <f ca="1">IFERROR(__xludf.UNSUPPORTED("""COMPUTED_VALUE"""),"Maceió")</f>
        <v>Maceió</v>
      </c>
      <c r="D988" s="3" t="str">
        <f ca="1">IFERROR(__xludf.UNSUPPORTED("""COMPUTED_VALUE"""),"🚢 REGULAR")</f>
        <v>🚢 REGULAR</v>
      </c>
      <c r="E988" s="3" t="str">
        <f ca="1">IFERROR(__xludf.UNSUPPORTED("""COMPUTED_VALUE"""),"🚛 LIBERADO")</f>
        <v>🚛 LIBERADO</v>
      </c>
      <c r="F988" s="5">
        <f ca="1">IFERROR(__xludf.UNSUPPORTED("""COMPUTED_VALUE"""),0)</f>
        <v>0</v>
      </c>
      <c r="G988" s="3" t="str">
        <f ca="1">IFERROR(__xludf.UNSUPPORTED("""COMPUTED_VALUE"""),"Normalidade")</f>
        <v>Normalidade</v>
      </c>
      <c r="H988" s="4">
        <f ca="1">IFERROR(__xludf.UNSUPPORTED("""COMPUTED_VALUE"""),45322.3708564814)</f>
        <v>45322.370856481401</v>
      </c>
      <c r="I988" s="3">
        <f ca="1">IFERROR(__xludf.UNSUPPORTED("""COMPUTED_VALUE"""),24)</f>
        <v>24</v>
      </c>
      <c r="J988" s="4">
        <f ca="1">IFERROR(__xludf.UNSUPPORTED("""COMPUTED_VALUE"""),45323.3708564814)</f>
        <v>45323.370856481401</v>
      </c>
      <c r="L988" s="3" t="str">
        <f ca="1">IFERROR(__xludf.UNSUPPORTED("""COMPUTED_VALUE"""),"Normalidade")</f>
        <v>Normalidade</v>
      </c>
    </row>
    <row r="989" spans="1:12" ht="12.75">
      <c r="A989" s="3" t="str">
        <f ca="1">IFERROR(__xludf.UNSUPPORTED("""COMPUTED_VALUE"""),"2ade9ff0")</f>
        <v>2ade9ff0</v>
      </c>
      <c r="B989" s="4">
        <f ca="1">IFERROR(__xludf.UNSUPPORTED("""COMPUTED_VALUE"""),45324.4154050925)</f>
        <v>45324.415405092499</v>
      </c>
      <c r="C989" s="8" t="str">
        <f ca="1">IFERROR(__xludf.UNSUPPORTED("""COMPUTED_VALUE"""),"Maceió")</f>
        <v>Maceió</v>
      </c>
      <c r="D989" s="3" t="str">
        <f ca="1">IFERROR(__xludf.UNSUPPORTED("""COMPUTED_VALUE"""),"🚢 REGULAR")</f>
        <v>🚢 REGULAR</v>
      </c>
      <c r="E989" s="3" t="str">
        <f ca="1">IFERROR(__xludf.UNSUPPORTED("""COMPUTED_VALUE"""),"🚛 LIBERADO")</f>
        <v>🚛 LIBERADO</v>
      </c>
      <c r="F989" s="5">
        <f ca="1">IFERROR(__xludf.UNSUPPORTED("""COMPUTED_VALUE"""),0)</f>
        <v>0</v>
      </c>
      <c r="G989" s="3" t="str">
        <f ca="1">IFERROR(__xludf.UNSUPPORTED("""COMPUTED_VALUE"""),"Normalidade")</f>
        <v>Normalidade</v>
      </c>
      <c r="H989" s="4">
        <f ca="1">IFERROR(__xludf.UNSUPPORTED("""COMPUTED_VALUE"""),45324.4154050925)</f>
        <v>45324.415405092499</v>
      </c>
      <c r="I989" s="3">
        <f ca="1">IFERROR(__xludf.UNSUPPORTED("""COMPUTED_VALUE"""),24)</f>
        <v>24</v>
      </c>
      <c r="J989" s="4">
        <f ca="1">IFERROR(__xludf.UNSUPPORTED("""COMPUTED_VALUE"""),45325.4154050925)</f>
        <v>45325.415405092499</v>
      </c>
      <c r="L989" s="3" t="str">
        <f ca="1">IFERROR(__xludf.UNSUPPORTED("""COMPUTED_VALUE"""),"Normalidade")</f>
        <v>Normalidade</v>
      </c>
    </row>
    <row r="990" spans="1:12" ht="12.75">
      <c r="A990" s="3" t="str">
        <f ca="1">IFERROR(__xludf.UNSUPPORTED("""COMPUTED_VALUE"""),"d2d79f4a")</f>
        <v>d2d79f4a</v>
      </c>
      <c r="B990" s="4">
        <f ca="1">IFERROR(__xludf.UNSUPPORTED("""COMPUTED_VALUE"""),45327.4127662037)</f>
        <v>45327.412766203699</v>
      </c>
      <c r="C990" s="7" t="str">
        <f ca="1">IFERROR(__xludf.UNSUPPORTED("""COMPUTED_VALUE"""),"Maceió")</f>
        <v>Maceió</v>
      </c>
      <c r="D990" s="3" t="str">
        <f ca="1">IFERROR(__xludf.UNSUPPORTED("""COMPUTED_VALUE"""),"🚢 REGULAR")</f>
        <v>🚢 REGULAR</v>
      </c>
      <c r="E990" s="3" t="str">
        <f ca="1">IFERROR(__xludf.UNSUPPORTED("""COMPUTED_VALUE"""),"🚛 LIBERADO")</f>
        <v>🚛 LIBERADO</v>
      </c>
      <c r="F990" s="5">
        <f ca="1">IFERROR(__xludf.UNSUPPORTED("""COMPUTED_VALUE"""),0)</f>
        <v>0</v>
      </c>
      <c r="G990" s="3" t="str">
        <f ca="1">IFERROR(__xludf.UNSUPPORTED("""COMPUTED_VALUE"""),"Normalidade")</f>
        <v>Normalidade</v>
      </c>
      <c r="H990" s="4">
        <f ca="1">IFERROR(__xludf.UNSUPPORTED("""COMPUTED_VALUE"""),45327.4127662037)</f>
        <v>45327.412766203699</v>
      </c>
      <c r="I990" s="3">
        <f ca="1">IFERROR(__xludf.UNSUPPORTED("""COMPUTED_VALUE"""),24)</f>
        <v>24</v>
      </c>
      <c r="J990" s="4">
        <f ca="1">IFERROR(__xludf.UNSUPPORTED("""COMPUTED_VALUE"""),45328.4127662037)</f>
        <v>45328.412766203699</v>
      </c>
      <c r="L990" s="3" t="str">
        <f ca="1">IFERROR(__xludf.UNSUPPORTED("""COMPUTED_VALUE"""),"Normalidade")</f>
        <v>Normalidade</v>
      </c>
    </row>
    <row r="991" spans="1:12" ht="12.75">
      <c r="A991" s="3" t="str">
        <f ca="1">IFERROR(__xludf.UNSUPPORTED("""COMPUTED_VALUE"""),"7e66c1b1")</f>
        <v>7e66c1b1</v>
      </c>
      <c r="B991" s="4">
        <f ca="1">IFERROR(__xludf.UNSUPPORTED("""COMPUTED_VALUE"""),45329.411574074)</f>
        <v>45329.411574074002</v>
      </c>
      <c r="C991" s="7" t="str">
        <f ca="1">IFERROR(__xludf.UNSUPPORTED("""COMPUTED_VALUE"""),"Maceió")</f>
        <v>Maceió</v>
      </c>
      <c r="D991" s="3" t="str">
        <f ca="1">IFERROR(__xludf.UNSUPPORTED("""COMPUTED_VALUE"""),"🚢 REGULAR")</f>
        <v>🚢 REGULAR</v>
      </c>
      <c r="E991" s="3" t="str">
        <f ca="1">IFERROR(__xludf.UNSUPPORTED("""COMPUTED_VALUE"""),"🚛 LIBERADO")</f>
        <v>🚛 LIBERADO</v>
      </c>
      <c r="F991" s="5">
        <f ca="1">IFERROR(__xludf.UNSUPPORTED("""COMPUTED_VALUE"""),0)</f>
        <v>0</v>
      </c>
      <c r="G991" s="3" t="str">
        <f ca="1">IFERROR(__xludf.UNSUPPORTED("""COMPUTED_VALUE"""),"Normalidade")</f>
        <v>Normalidade</v>
      </c>
      <c r="H991" s="4">
        <f ca="1">IFERROR(__xludf.UNSUPPORTED("""COMPUTED_VALUE"""),45329.411574074)</f>
        <v>45329.411574074002</v>
      </c>
      <c r="I991" s="3">
        <f ca="1">IFERROR(__xludf.UNSUPPORTED("""COMPUTED_VALUE"""),24)</f>
        <v>24</v>
      </c>
      <c r="J991" s="4">
        <f ca="1">IFERROR(__xludf.UNSUPPORTED("""COMPUTED_VALUE"""),45330.411574074)</f>
        <v>45330.411574074002</v>
      </c>
      <c r="L991" s="3" t="str">
        <f ca="1">IFERROR(__xludf.UNSUPPORTED("""COMPUTED_VALUE"""),"Normalidade")</f>
        <v>Normalidade</v>
      </c>
    </row>
    <row r="992" spans="1:12" ht="12.75">
      <c r="A992" s="3" t="str">
        <f ca="1">IFERROR(__xludf.UNSUPPORTED("""COMPUTED_VALUE"""),"02e9f40e")</f>
        <v>02e9f40e</v>
      </c>
      <c r="B992" s="4">
        <f ca="1">IFERROR(__xludf.UNSUPPORTED("""COMPUTED_VALUE"""),45337.4878819444)</f>
        <v>45337.487881944398</v>
      </c>
      <c r="C992" s="7" t="str">
        <f ca="1">IFERROR(__xludf.UNSUPPORTED("""COMPUTED_VALUE"""),"Maceió")</f>
        <v>Maceió</v>
      </c>
      <c r="D992" s="3" t="str">
        <f ca="1">IFERROR(__xludf.UNSUPPORTED("""COMPUTED_VALUE"""),"🚢 REGULAR")</f>
        <v>🚢 REGULAR</v>
      </c>
      <c r="E992" s="3" t="str">
        <f ca="1">IFERROR(__xludf.UNSUPPORTED("""COMPUTED_VALUE"""),"🚛 LIBERADO")</f>
        <v>🚛 LIBERADO</v>
      </c>
      <c r="F992" s="5">
        <f ca="1">IFERROR(__xludf.UNSUPPORTED("""COMPUTED_VALUE"""),0)</f>
        <v>0</v>
      </c>
      <c r="G992" s="3" t="str">
        <f ca="1">IFERROR(__xludf.UNSUPPORTED("""COMPUTED_VALUE"""),"Normalidade")</f>
        <v>Normalidade</v>
      </c>
      <c r="H992" s="4">
        <f ca="1">IFERROR(__xludf.UNSUPPORTED("""COMPUTED_VALUE"""),45337.4878819444)</f>
        <v>45337.487881944398</v>
      </c>
      <c r="I992" s="3">
        <f ca="1">IFERROR(__xludf.UNSUPPORTED("""COMPUTED_VALUE"""),24)</f>
        <v>24</v>
      </c>
      <c r="J992" s="4">
        <f ca="1">IFERROR(__xludf.UNSUPPORTED("""COMPUTED_VALUE"""),45338.4878819444)</f>
        <v>45338.487881944398</v>
      </c>
      <c r="L992" s="3" t="str">
        <f ca="1">IFERROR(__xludf.UNSUPPORTED("""COMPUTED_VALUE"""),"Normalidade")</f>
        <v>Normalidade</v>
      </c>
    </row>
    <row r="993" spans="1:12" ht="12.75">
      <c r="A993" s="3" t="str">
        <f ca="1">IFERROR(__xludf.UNSUPPORTED("""COMPUTED_VALUE"""),"9f98178b")</f>
        <v>9f98178b</v>
      </c>
      <c r="B993" s="4">
        <f ca="1">IFERROR(__xludf.UNSUPPORTED("""COMPUTED_VALUE"""),45341.4700347222)</f>
        <v>45341.470034722202</v>
      </c>
      <c r="C993" s="8" t="str">
        <f ca="1">IFERROR(__xludf.UNSUPPORTED("""COMPUTED_VALUE"""),"Maceió")</f>
        <v>Maceió</v>
      </c>
      <c r="D993" s="3" t="str">
        <f ca="1">IFERROR(__xludf.UNSUPPORTED("""COMPUTED_VALUE"""),"🚢 REGULAR")</f>
        <v>🚢 REGULAR</v>
      </c>
      <c r="E993" s="3" t="str">
        <f ca="1">IFERROR(__xludf.UNSUPPORTED("""COMPUTED_VALUE"""),"🚛 LIBERADO")</f>
        <v>🚛 LIBERADO</v>
      </c>
      <c r="F993" s="5">
        <f ca="1">IFERROR(__xludf.UNSUPPORTED("""COMPUTED_VALUE"""),0)</f>
        <v>0</v>
      </c>
      <c r="G993" s="3" t="str">
        <f ca="1">IFERROR(__xludf.UNSUPPORTED("""COMPUTED_VALUE"""),"Normalidade")</f>
        <v>Normalidade</v>
      </c>
      <c r="H993" s="4">
        <f ca="1">IFERROR(__xludf.UNSUPPORTED("""COMPUTED_VALUE"""),45341.4700347222)</f>
        <v>45341.470034722202</v>
      </c>
      <c r="I993" s="3">
        <f ca="1">IFERROR(__xludf.UNSUPPORTED("""COMPUTED_VALUE"""),24)</f>
        <v>24</v>
      </c>
      <c r="J993" s="4">
        <f ca="1">IFERROR(__xludf.UNSUPPORTED("""COMPUTED_VALUE"""),45342.4700347222)</f>
        <v>45342.470034722202</v>
      </c>
      <c r="L993" s="3" t="str">
        <f ca="1">IFERROR(__xludf.UNSUPPORTED("""COMPUTED_VALUE"""),"Normalidade")</f>
        <v>Normalidade</v>
      </c>
    </row>
    <row r="994" spans="1:12" ht="12.75">
      <c r="A994" s="3" t="str">
        <f ca="1">IFERROR(__xludf.UNSUPPORTED("""COMPUTED_VALUE"""),"69365412")</f>
        <v>69365412</v>
      </c>
      <c r="B994" s="4">
        <f ca="1">IFERROR(__xludf.UNSUPPORTED("""COMPUTED_VALUE"""),45342.3572800925)</f>
        <v>45342.357280092503</v>
      </c>
      <c r="C994" s="8" t="str">
        <f ca="1">IFERROR(__xludf.UNSUPPORTED("""COMPUTED_VALUE"""),"Maceió")</f>
        <v>Maceió</v>
      </c>
      <c r="D994" s="3" t="str">
        <f ca="1">IFERROR(__xludf.UNSUPPORTED("""COMPUTED_VALUE"""),"🚢 REGULAR")</f>
        <v>🚢 REGULAR</v>
      </c>
      <c r="E994" s="3" t="str">
        <f ca="1">IFERROR(__xludf.UNSUPPORTED("""COMPUTED_VALUE"""),"🚛 LIBERADO")</f>
        <v>🚛 LIBERADO</v>
      </c>
      <c r="F994" s="5">
        <f ca="1">IFERROR(__xludf.UNSUPPORTED("""COMPUTED_VALUE"""),0)</f>
        <v>0</v>
      </c>
      <c r="G994" s="3" t="str">
        <f ca="1">IFERROR(__xludf.UNSUPPORTED("""COMPUTED_VALUE"""),"Normalidade")</f>
        <v>Normalidade</v>
      </c>
      <c r="H994" s="4">
        <f ca="1">IFERROR(__xludf.UNSUPPORTED("""COMPUTED_VALUE"""),45342.3572800925)</f>
        <v>45342.357280092503</v>
      </c>
      <c r="I994" s="3">
        <f ca="1">IFERROR(__xludf.UNSUPPORTED("""COMPUTED_VALUE"""),24)</f>
        <v>24</v>
      </c>
      <c r="J994" s="4">
        <f ca="1">IFERROR(__xludf.UNSUPPORTED("""COMPUTED_VALUE"""),45343.3572800925)</f>
        <v>45343.357280092503</v>
      </c>
      <c r="L994" s="3" t="str">
        <f ca="1">IFERROR(__xludf.UNSUPPORTED("""COMPUTED_VALUE"""),"Normalidade")</f>
        <v>Normalidade</v>
      </c>
    </row>
    <row r="995" spans="1:12" ht="12.75">
      <c r="A995" s="3" t="str">
        <f ca="1">IFERROR(__xludf.UNSUPPORTED("""COMPUTED_VALUE"""),"14bd8f59")</f>
        <v>14bd8f59</v>
      </c>
      <c r="B995" s="4">
        <f ca="1">IFERROR(__xludf.UNSUPPORTED("""COMPUTED_VALUE"""),45345.4124537037)</f>
        <v>45345.412453703699</v>
      </c>
      <c r="C995" s="8" t="str">
        <f ca="1">IFERROR(__xludf.UNSUPPORTED("""COMPUTED_VALUE"""),"Maceió")</f>
        <v>Maceió</v>
      </c>
      <c r="D995" s="3" t="str">
        <f ca="1">IFERROR(__xludf.UNSUPPORTED("""COMPUTED_VALUE"""),"🚢 REGULAR")</f>
        <v>🚢 REGULAR</v>
      </c>
      <c r="E995" s="3" t="str">
        <f ca="1">IFERROR(__xludf.UNSUPPORTED("""COMPUTED_VALUE"""),"🚛 LIBERADO")</f>
        <v>🚛 LIBERADO</v>
      </c>
      <c r="F995" s="5">
        <f ca="1">IFERROR(__xludf.UNSUPPORTED("""COMPUTED_VALUE"""),0)</f>
        <v>0</v>
      </c>
      <c r="G995" s="3" t="str">
        <f ca="1">IFERROR(__xludf.UNSUPPORTED("""COMPUTED_VALUE"""),"Normalidade")</f>
        <v>Normalidade</v>
      </c>
      <c r="H995" s="4">
        <f ca="1">IFERROR(__xludf.UNSUPPORTED("""COMPUTED_VALUE"""),45345.4124537037)</f>
        <v>45345.412453703699</v>
      </c>
      <c r="I995" s="3">
        <f ca="1">IFERROR(__xludf.UNSUPPORTED("""COMPUTED_VALUE"""),24)</f>
        <v>24</v>
      </c>
      <c r="J995" s="4">
        <f ca="1">IFERROR(__xludf.UNSUPPORTED("""COMPUTED_VALUE"""),45346.4124537037)</f>
        <v>45346.412453703699</v>
      </c>
      <c r="L995" s="3" t="str">
        <f ca="1">IFERROR(__xludf.UNSUPPORTED("""COMPUTED_VALUE"""),"Normalidade")</f>
        <v>Normalidade</v>
      </c>
    </row>
    <row r="996" spans="1:12" ht="12.75">
      <c r="A996" s="3" t="str">
        <f ca="1">IFERROR(__xludf.UNSUPPORTED("""COMPUTED_VALUE"""),"58659972")</f>
        <v>58659972</v>
      </c>
      <c r="B996" s="4">
        <f ca="1">IFERROR(__xludf.UNSUPPORTED("""COMPUTED_VALUE"""),45348.4502430555)</f>
        <v>45348.4502430555</v>
      </c>
      <c r="C996" s="7" t="str">
        <f ca="1">IFERROR(__xludf.UNSUPPORTED("""COMPUTED_VALUE"""),"Maceió")</f>
        <v>Maceió</v>
      </c>
      <c r="D996" s="3" t="str">
        <f ca="1">IFERROR(__xludf.UNSUPPORTED("""COMPUTED_VALUE"""),"🚢 REGULAR")</f>
        <v>🚢 REGULAR</v>
      </c>
      <c r="E996" s="3" t="str">
        <f ca="1">IFERROR(__xludf.UNSUPPORTED("""COMPUTED_VALUE"""),"🚛 LIBERADO")</f>
        <v>🚛 LIBERADO</v>
      </c>
      <c r="F996" s="5">
        <f ca="1">IFERROR(__xludf.UNSUPPORTED("""COMPUTED_VALUE"""),0)</f>
        <v>0</v>
      </c>
      <c r="G996" s="3" t="str">
        <f ca="1">IFERROR(__xludf.UNSUPPORTED("""COMPUTED_VALUE"""),"Normalidade")</f>
        <v>Normalidade</v>
      </c>
      <c r="H996" s="4">
        <f ca="1">IFERROR(__xludf.UNSUPPORTED("""COMPUTED_VALUE"""),45348.4502430555)</f>
        <v>45348.4502430555</v>
      </c>
      <c r="I996" s="3">
        <f ca="1">IFERROR(__xludf.UNSUPPORTED("""COMPUTED_VALUE"""),24)</f>
        <v>24</v>
      </c>
      <c r="J996" s="4">
        <f ca="1">IFERROR(__xludf.UNSUPPORTED("""COMPUTED_VALUE"""),45349.4502430555)</f>
        <v>45349.4502430555</v>
      </c>
      <c r="L996" s="3" t="str">
        <f ca="1">IFERROR(__xludf.UNSUPPORTED("""COMPUTED_VALUE"""),"Normalidade")</f>
        <v>Normalidade</v>
      </c>
    </row>
    <row r="997" spans="1:12" ht="12.75">
      <c r="A997" s="3" t="str">
        <f ca="1">IFERROR(__xludf.UNSUPPORTED("""COMPUTED_VALUE"""),"f24bcd8a")</f>
        <v>f24bcd8a</v>
      </c>
      <c r="B997" s="4">
        <f ca="1">IFERROR(__xludf.UNSUPPORTED("""COMPUTED_VALUE"""),45350.4542824074)</f>
        <v>45350.454282407401</v>
      </c>
      <c r="C997" s="7" t="str">
        <f ca="1">IFERROR(__xludf.UNSUPPORTED("""COMPUTED_VALUE"""),"Maceió")</f>
        <v>Maceió</v>
      </c>
      <c r="D997" s="3" t="str">
        <f ca="1">IFERROR(__xludf.UNSUPPORTED("""COMPUTED_VALUE"""),"🚢 REGULAR")</f>
        <v>🚢 REGULAR</v>
      </c>
      <c r="E997" s="3" t="str">
        <f ca="1">IFERROR(__xludf.UNSUPPORTED("""COMPUTED_VALUE"""),"🚛 LIBERADO")</f>
        <v>🚛 LIBERADO</v>
      </c>
      <c r="F997" s="5">
        <f ca="1">IFERROR(__xludf.UNSUPPORTED("""COMPUTED_VALUE"""),0)</f>
        <v>0</v>
      </c>
      <c r="G997" s="3" t="str">
        <f ca="1">IFERROR(__xludf.UNSUPPORTED("""COMPUTED_VALUE"""),"Normalidade")</f>
        <v>Normalidade</v>
      </c>
      <c r="H997" s="4">
        <f ca="1">IFERROR(__xludf.UNSUPPORTED("""COMPUTED_VALUE"""),45350.4542824074)</f>
        <v>45350.454282407401</v>
      </c>
      <c r="I997" s="3">
        <f ca="1">IFERROR(__xludf.UNSUPPORTED("""COMPUTED_VALUE"""),24)</f>
        <v>24</v>
      </c>
      <c r="J997" s="4">
        <f ca="1">IFERROR(__xludf.UNSUPPORTED("""COMPUTED_VALUE"""),45351.4542824074)</f>
        <v>45351.454282407401</v>
      </c>
      <c r="L997" s="3" t="str">
        <f ca="1">IFERROR(__xludf.UNSUPPORTED("""COMPUTED_VALUE"""),"Normalidade")</f>
        <v>Normalidade</v>
      </c>
    </row>
    <row r="998" spans="1:12" ht="12.75">
      <c r="A998" s="3" t="str">
        <f ca="1">IFERROR(__xludf.UNSUPPORTED("""COMPUTED_VALUE"""),"d6359fde")</f>
        <v>d6359fde</v>
      </c>
      <c r="B998" s="4">
        <f ca="1">IFERROR(__xludf.UNSUPPORTED("""COMPUTED_VALUE"""),45352.4062037037)</f>
        <v>45352.4062037037</v>
      </c>
      <c r="C998" s="7" t="str">
        <f ca="1">IFERROR(__xludf.UNSUPPORTED("""COMPUTED_VALUE"""),"Maceió")</f>
        <v>Maceió</v>
      </c>
      <c r="D998" s="3" t="str">
        <f ca="1">IFERROR(__xludf.UNSUPPORTED("""COMPUTED_VALUE"""),"🚢 REGULAR")</f>
        <v>🚢 REGULAR</v>
      </c>
      <c r="E998" s="3" t="str">
        <f ca="1">IFERROR(__xludf.UNSUPPORTED("""COMPUTED_VALUE"""),"🚛 LIBERADO")</f>
        <v>🚛 LIBERADO</v>
      </c>
      <c r="F998" s="5">
        <f ca="1">IFERROR(__xludf.UNSUPPORTED("""COMPUTED_VALUE"""),0)</f>
        <v>0</v>
      </c>
      <c r="G998" s="3" t="str">
        <f ca="1">IFERROR(__xludf.UNSUPPORTED("""COMPUTED_VALUE"""),"Normalidade")</f>
        <v>Normalidade</v>
      </c>
      <c r="H998" s="4">
        <f ca="1">IFERROR(__xludf.UNSUPPORTED("""COMPUTED_VALUE"""),45352.4062037037)</f>
        <v>45352.4062037037</v>
      </c>
      <c r="I998" s="3">
        <f ca="1">IFERROR(__xludf.UNSUPPORTED("""COMPUTED_VALUE"""),24)</f>
        <v>24</v>
      </c>
      <c r="J998" s="4">
        <f ca="1">IFERROR(__xludf.UNSUPPORTED("""COMPUTED_VALUE"""),45353.4062037037)</f>
        <v>45353.4062037037</v>
      </c>
      <c r="L998" s="3" t="str">
        <f ca="1">IFERROR(__xludf.UNSUPPORTED("""COMPUTED_VALUE"""),"Normalidade")</f>
        <v>Normalidade</v>
      </c>
    </row>
    <row r="999" spans="1:12" ht="12.75">
      <c r="A999" s="3" t="str">
        <f ca="1">IFERROR(__xludf.UNSUPPORTED("""COMPUTED_VALUE"""),"16f53974")</f>
        <v>16f53974</v>
      </c>
      <c r="B999" s="4">
        <f ca="1">IFERROR(__xludf.UNSUPPORTED("""COMPUTED_VALUE"""),45355.4861689814)</f>
        <v>45355.486168981399</v>
      </c>
      <c r="C999" s="8" t="str">
        <f ca="1">IFERROR(__xludf.UNSUPPORTED("""COMPUTED_VALUE"""),"Maceió")</f>
        <v>Maceió</v>
      </c>
      <c r="D999" s="3" t="str">
        <f ca="1">IFERROR(__xludf.UNSUPPORTED("""COMPUTED_VALUE"""),"🚢 REGULAR")</f>
        <v>🚢 REGULAR</v>
      </c>
      <c r="E999" s="3" t="str">
        <f ca="1">IFERROR(__xludf.UNSUPPORTED("""COMPUTED_VALUE"""),"🚛 LIBERADO")</f>
        <v>🚛 LIBERADO</v>
      </c>
      <c r="F999" s="5">
        <f ca="1">IFERROR(__xludf.UNSUPPORTED("""COMPUTED_VALUE"""),0)</f>
        <v>0</v>
      </c>
      <c r="G999" s="3" t="str">
        <f ca="1">IFERROR(__xludf.UNSUPPORTED("""COMPUTED_VALUE"""),"Normalidade")</f>
        <v>Normalidade</v>
      </c>
      <c r="H999" s="4">
        <f ca="1">IFERROR(__xludf.UNSUPPORTED("""COMPUTED_VALUE"""),45355.4861689814)</f>
        <v>45355.486168981399</v>
      </c>
      <c r="I999" s="3">
        <f ca="1">IFERROR(__xludf.UNSUPPORTED("""COMPUTED_VALUE"""),24)</f>
        <v>24</v>
      </c>
      <c r="J999" s="4">
        <f ca="1">IFERROR(__xludf.UNSUPPORTED("""COMPUTED_VALUE"""),45356.4861689814)</f>
        <v>45356.486168981399</v>
      </c>
      <c r="L999" s="3" t="str">
        <f ca="1">IFERROR(__xludf.UNSUPPORTED("""COMPUTED_VALUE"""),"Normalidade")</f>
        <v>Normalidade</v>
      </c>
    </row>
    <row r="1000" spans="1:12" ht="12.75">
      <c r="A1000" s="3" t="str">
        <f ca="1">IFERROR(__xludf.UNSUPPORTED("""COMPUTED_VALUE"""),"9771b01e")</f>
        <v>9771b01e</v>
      </c>
      <c r="B1000" s="4">
        <f ca="1">IFERROR(__xludf.UNSUPPORTED("""COMPUTED_VALUE"""),45356.4000694444)</f>
        <v>45356.400069444397</v>
      </c>
      <c r="C1000" s="7" t="str">
        <f ca="1">IFERROR(__xludf.UNSUPPORTED("""COMPUTED_VALUE"""),"Maceió")</f>
        <v>Maceió</v>
      </c>
      <c r="D1000" s="3" t="str">
        <f ca="1">IFERROR(__xludf.UNSUPPORTED("""COMPUTED_VALUE"""),"🚢 REGULAR")</f>
        <v>🚢 REGULAR</v>
      </c>
      <c r="E1000" s="3" t="str">
        <f ca="1">IFERROR(__xludf.UNSUPPORTED("""COMPUTED_VALUE"""),"🚛 LIBERADO")</f>
        <v>🚛 LIBERADO</v>
      </c>
      <c r="F1000" s="5">
        <f ca="1">IFERROR(__xludf.UNSUPPORTED("""COMPUTED_VALUE"""),0)</f>
        <v>0</v>
      </c>
      <c r="G1000" s="3" t="str">
        <f ca="1">IFERROR(__xludf.UNSUPPORTED("""COMPUTED_VALUE"""),"Normalidade")</f>
        <v>Normalidade</v>
      </c>
      <c r="H1000" s="4">
        <f ca="1">IFERROR(__xludf.UNSUPPORTED("""COMPUTED_VALUE"""),45356.4000694444)</f>
        <v>45356.400069444397</v>
      </c>
      <c r="I1000" s="3">
        <f ca="1">IFERROR(__xludf.UNSUPPORTED("""COMPUTED_VALUE"""),24)</f>
        <v>24</v>
      </c>
      <c r="J1000" s="4">
        <f ca="1">IFERROR(__xludf.UNSUPPORTED("""COMPUTED_VALUE"""),45357.4000694444)</f>
        <v>45357.400069444397</v>
      </c>
      <c r="L1000" s="3" t="str">
        <f ca="1">IFERROR(__xludf.UNSUPPORTED("""COMPUTED_VALUE"""),"Normalidade")</f>
        <v>Normalidade</v>
      </c>
    </row>
    <row r="1001" spans="1:12" ht="12.75">
      <c r="A1001" s="3" t="str">
        <f ca="1">IFERROR(__xludf.UNSUPPORTED("""COMPUTED_VALUE"""),"4f3d5ef4")</f>
        <v>4f3d5ef4</v>
      </c>
      <c r="B1001" s="4">
        <f ca="1">IFERROR(__xludf.UNSUPPORTED("""COMPUTED_VALUE"""),45358.4081712962)</f>
        <v>45358.4081712962</v>
      </c>
      <c r="C1001" s="7" t="str">
        <f ca="1">IFERROR(__xludf.UNSUPPORTED("""COMPUTED_VALUE"""),"Maceió")</f>
        <v>Maceió</v>
      </c>
      <c r="D1001" s="3" t="str">
        <f ca="1">IFERROR(__xludf.UNSUPPORTED("""COMPUTED_VALUE"""),"🚢 REGULAR")</f>
        <v>🚢 REGULAR</v>
      </c>
      <c r="E1001" s="3" t="str">
        <f ca="1">IFERROR(__xludf.UNSUPPORTED("""COMPUTED_VALUE"""),"🚛 LIBERADO")</f>
        <v>🚛 LIBERADO</v>
      </c>
      <c r="F1001" s="5">
        <f ca="1">IFERROR(__xludf.UNSUPPORTED("""COMPUTED_VALUE"""),0)</f>
        <v>0</v>
      </c>
      <c r="G1001" s="3" t="str">
        <f ca="1">IFERROR(__xludf.UNSUPPORTED("""COMPUTED_VALUE"""),"Normalidade")</f>
        <v>Normalidade</v>
      </c>
      <c r="H1001" s="4">
        <f ca="1">IFERROR(__xludf.UNSUPPORTED("""COMPUTED_VALUE"""),45358.4081712962)</f>
        <v>45358.4081712962</v>
      </c>
      <c r="I1001" s="3">
        <f ca="1">IFERROR(__xludf.UNSUPPORTED("""COMPUTED_VALUE"""),24)</f>
        <v>24</v>
      </c>
      <c r="J1001" s="4">
        <f ca="1">IFERROR(__xludf.UNSUPPORTED("""COMPUTED_VALUE"""),45359.4081712962)</f>
        <v>45359.4081712962</v>
      </c>
      <c r="L1001" s="3" t="str">
        <f ca="1">IFERROR(__xludf.UNSUPPORTED("""COMPUTED_VALUE"""),"Normalidade")</f>
        <v>Normalidade</v>
      </c>
    </row>
    <row r="1002" spans="1:12" ht="12.75">
      <c r="A1002" s="3" t="str">
        <f ca="1">IFERROR(__xludf.UNSUPPORTED("""COMPUTED_VALUE"""),"2c5a7f39")</f>
        <v>2c5a7f39</v>
      </c>
      <c r="B1002" s="4">
        <f ca="1">IFERROR(__xludf.UNSUPPORTED("""COMPUTED_VALUE"""),45363.4430555555)</f>
        <v>45363.443055555501</v>
      </c>
      <c r="C1002" s="7" t="str">
        <f ca="1">IFERROR(__xludf.UNSUPPORTED("""COMPUTED_VALUE"""),"Maceió")</f>
        <v>Maceió</v>
      </c>
      <c r="D1002" s="3" t="str">
        <f ca="1">IFERROR(__xludf.UNSUPPORTED("""COMPUTED_VALUE"""),"🚢 REGULAR")</f>
        <v>🚢 REGULAR</v>
      </c>
      <c r="E1002" s="3" t="str">
        <f ca="1">IFERROR(__xludf.UNSUPPORTED("""COMPUTED_VALUE"""),"🚛 LIBERADO")</f>
        <v>🚛 LIBERADO</v>
      </c>
      <c r="F1002" s="5">
        <f ca="1">IFERROR(__xludf.UNSUPPORTED("""COMPUTED_VALUE"""),0)</f>
        <v>0</v>
      </c>
      <c r="G1002" s="3" t="str">
        <f ca="1">IFERROR(__xludf.UNSUPPORTED("""COMPUTED_VALUE"""),"Normalidade")</f>
        <v>Normalidade</v>
      </c>
      <c r="H1002" s="4">
        <f ca="1">IFERROR(__xludf.UNSUPPORTED("""COMPUTED_VALUE"""),45363.4430555555)</f>
        <v>45363.443055555501</v>
      </c>
      <c r="I1002" s="3">
        <f ca="1">IFERROR(__xludf.UNSUPPORTED("""COMPUTED_VALUE"""),24)</f>
        <v>24</v>
      </c>
      <c r="J1002" s="4">
        <f ca="1">IFERROR(__xludf.UNSUPPORTED("""COMPUTED_VALUE"""),45364.4430555555)</f>
        <v>45364.443055555501</v>
      </c>
      <c r="L1002" s="3" t="str">
        <f ca="1">IFERROR(__xludf.UNSUPPORTED("""COMPUTED_VALUE"""),"Normalidade")</f>
        <v>Normalidade</v>
      </c>
    </row>
    <row r="1003" spans="1:12" ht="12.75">
      <c r="A1003" s="3" t="str">
        <f ca="1">IFERROR(__xludf.UNSUPPORTED("""COMPUTED_VALUE"""),"e3fbbcf8")</f>
        <v>e3fbbcf8</v>
      </c>
      <c r="B1003" s="4">
        <f ca="1">IFERROR(__xludf.UNSUPPORTED("""COMPUTED_VALUE"""),45369.4161805555)</f>
        <v>45369.416180555498</v>
      </c>
      <c r="C1003" s="8" t="str">
        <f ca="1">IFERROR(__xludf.UNSUPPORTED("""COMPUTED_VALUE"""),"Maceió")</f>
        <v>Maceió</v>
      </c>
      <c r="D1003" s="3" t="str">
        <f ca="1">IFERROR(__xludf.UNSUPPORTED("""COMPUTED_VALUE"""),"🚢 REGULAR")</f>
        <v>🚢 REGULAR</v>
      </c>
      <c r="E1003" s="3" t="str">
        <f ca="1">IFERROR(__xludf.UNSUPPORTED("""COMPUTED_VALUE"""),"🚛 LIBERADO")</f>
        <v>🚛 LIBERADO</v>
      </c>
      <c r="F1003" s="5">
        <f ca="1">IFERROR(__xludf.UNSUPPORTED("""COMPUTED_VALUE"""),0)</f>
        <v>0</v>
      </c>
      <c r="G1003" s="3" t="str">
        <f ca="1">IFERROR(__xludf.UNSUPPORTED("""COMPUTED_VALUE"""),"Normalidade")</f>
        <v>Normalidade</v>
      </c>
      <c r="H1003" s="4">
        <f ca="1">IFERROR(__xludf.UNSUPPORTED("""COMPUTED_VALUE"""),45369.4161805555)</f>
        <v>45369.416180555498</v>
      </c>
      <c r="I1003" s="3">
        <f ca="1">IFERROR(__xludf.UNSUPPORTED("""COMPUTED_VALUE"""),24)</f>
        <v>24</v>
      </c>
      <c r="J1003" s="4">
        <f ca="1">IFERROR(__xludf.UNSUPPORTED("""COMPUTED_VALUE"""),45370.4161805555)</f>
        <v>45370.416180555498</v>
      </c>
      <c r="L1003" s="3" t="str">
        <f ca="1">IFERROR(__xludf.UNSUPPORTED("""COMPUTED_VALUE"""),"Normalidade")</f>
        <v>Normalidade</v>
      </c>
    </row>
    <row r="1004" spans="1:12" ht="12.75">
      <c r="A1004" s="3" t="str">
        <f ca="1">IFERROR(__xludf.UNSUPPORTED("""COMPUTED_VALUE"""),"80851b5c")</f>
        <v>80851b5c</v>
      </c>
      <c r="B1004" s="4">
        <f ca="1">IFERROR(__xludf.UNSUPPORTED("""COMPUTED_VALUE"""),45370.3641087963)</f>
        <v>45370.364108796297</v>
      </c>
      <c r="C1004" s="8" t="str">
        <f ca="1">IFERROR(__xludf.UNSUPPORTED("""COMPUTED_VALUE"""),"Maceió")</f>
        <v>Maceió</v>
      </c>
      <c r="D1004" s="3" t="str">
        <f ca="1">IFERROR(__xludf.UNSUPPORTED("""COMPUTED_VALUE"""),"🚢 REGULAR")</f>
        <v>🚢 REGULAR</v>
      </c>
      <c r="E1004" s="3" t="str">
        <f ca="1">IFERROR(__xludf.UNSUPPORTED("""COMPUTED_VALUE"""),"🚛 LIBERADO")</f>
        <v>🚛 LIBERADO</v>
      </c>
      <c r="F1004" s="5">
        <f ca="1">IFERROR(__xludf.UNSUPPORTED("""COMPUTED_VALUE"""),0)</f>
        <v>0</v>
      </c>
      <c r="G1004" s="3" t="str">
        <f ca="1">IFERROR(__xludf.UNSUPPORTED("""COMPUTED_VALUE"""),"Normalidade")</f>
        <v>Normalidade</v>
      </c>
      <c r="H1004" s="4">
        <f ca="1">IFERROR(__xludf.UNSUPPORTED("""COMPUTED_VALUE"""),45370.3641087963)</f>
        <v>45370.364108796297</v>
      </c>
      <c r="I1004" s="3">
        <f ca="1">IFERROR(__xludf.UNSUPPORTED("""COMPUTED_VALUE"""),24)</f>
        <v>24</v>
      </c>
      <c r="J1004" s="4">
        <f ca="1">IFERROR(__xludf.UNSUPPORTED("""COMPUTED_VALUE"""),45371.3641087963)</f>
        <v>45371.364108796297</v>
      </c>
      <c r="L1004" s="3" t="str">
        <f ca="1">IFERROR(__xludf.UNSUPPORTED("""COMPUTED_VALUE"""),"Normalidade")</f>
        <v>Normalidade</v>
      </c>
    </row>
    <row r="1005" spans="1:12" ht="12.75">
      <c r="A1005" s="3" t="str">
        <f ca="1">IFERROR(__xludf.UNSUPPORTED("""COMPUTED_VALUE"""),"226f59e7")</f>
        <v>226f59e7</v>
      </c>
      <c r="B1005" s="4">
        <f ca="1">IFERROR(__xludf.UNSUPPORTED("""COMPUTED_VALUE"""),45372.5034027777)</f>
        <v>45372.5034027777</v>
      </c>
      <c r="C1005" s="7" t="str">
        <f ca="1">IFERROR(__xludf.UNSUPPORTED("""COMPUTED_VALUE"""),"Maceió")</f>
        <v>Maceió</v>
      </c>
      <c r="D1005" s="3" t="str">
        <f ca="1">IFERROR(__xludf.UNSUPPORTED("""COMPUTED_VALUE"""),"🚢 REGULAR")</f>
        <v>🚢 REGULAR</v>
      </c>
      <c r="E1005" s="3" t="str">
        <f ca="1">IFERROR(__xludf.UNSUPPORTED("""COMPUTED_VALUE"""),"🚛 LIBERADO")</f>
        <v>🚛 LIBERADO</v>
      </c>
      <c r="F1005" s="5">
        <f ca="1">IFERROR(__xludf.UNSUPPORTED("""COMPUTED_VALUE"""),0)</f>
        <v>0</v>
      </c>
      <c r="G1005" s="3" t="str">
        <f ca="1">IFERROR(__xludf.UNSUPPORTED("""COMPUTED_VALUE"""),"Normalidade")</f>
        <v>Normalidade</v>
      </c>
      <c r="H1005" s="4">
        <f ca="1">IFERROR(__xludf.UNSUPPORTED("""COMPUTED_VALUE"""),45372.5034027777)</f>
        <v>45372.5034027777</v>
      </c>
      <c r="I1005" s="3">
        <f ca="1">IFERROR(__xludf.UNSUPPORTED("""COMPUTED_VALUE"""),24)</f>
        <v>24</v>
      </c>
      <c r="J1005" s="4">
        <f ca="1">IFERROR(__xludf.UNSUPPORTED("""COMPUTED_VALUE"""),45373.5034027777)</f>
        <v>45373.5034027777</v>
      </c>
      <c r="L1005" s="3" t="str">
        <f ca="1">IFERROR(__xludf.UNSUPPORTED("""COMPUTED_VALUE"""),"Normalidade")</f>
        <v>Normalidade</v>
      </c>
    </row>
    <row r="1006" spans="1:12" ht="12.75">
      <c r="A1006" s="3" t="str">
        <f ca="1">IFERROR(__xludf.UNSUPPORTED("""COMPUTED_VALUE"""),"f36b4ac9")</f>
        <v>f36b4ac9</v>
      </c>
      <c r="B1006" s="4">
        <f ca="1">IFERROR(__xludf.UNSUPPORTED("""COMPUTED_VALUE"""),45376.5154513888)</f>
        <v>45376.515451388797</v>
      </c>
      <c r="C1006" s="7" t="str">
        <f ca="1">IFERROR(__xludf.UNSUPPORTED("""COMPUTED_VALUE"""),"Maceió")</f>
        <v>Maceió</v>
      </c>
      <c r="D1006" s="3" t="str">
        <f ca="1">IFERROR(__xludf.UNSUPPORTED("""COMPUTED_VALUE"""),"🚢 REGULAR")</f>
        <v>🚢 REGULAR</v>
      </c>
      <c r="E1006" s="3" t="str">
        <f ca="1">IFERROR(__xludf.UNSUPPORTED("""COMPUTED_VALUE"""),"🚛 LIBERADO")</f>
        <v>🚛 LIBERADO</v>
      </c>
      <c r="F1006" s="5">
        <f ca="1">IFERROR(__xludf.UNSUPPORTED("""COMPUTED_VALUE"""),0)</f>
        <v>0</v>
      </c>
      <c r="G1006" s="3" t="str">
        <f ca="1">IFERROR(__xludf.UNSUPPORTED("""COMPUTED_VALUE"""),"Normalidade")</f>
        <v>Normalidade</v>
      </c>
      <c r="H1006" s="4">
        <f ca="1">IFERROR(__xludf.UNSUPPORTED("""COMPUTED_VALUE"""),45376.5154513888)</f>
        <v>45376.515451388797</v>
      </c>
      <c r="I1006" s="3">
        <f ca="1">IFERROR(__xludf.UNSUPPORTED("""COMPUTED_VALUE"""),24)</f>
        <v>24</v>
      </c>
      <c r="J1006" s="4">
        <f ca="1">IFERROR(__xludf.UNSUPPORTED("""COMPUTED_VALUE"""),45377.5154513888)</f>
        <v>45377.515451388797</v>
      </c>
      <c r="L1006" s="3" t="str">
        <f ca="1">IFERROR(__xludf.UNSUPPORTED("""COMPUTED_VALUE"""),"Normalidade")</f>
        <v>Normalidade</v>
      </c>
    </row>
    <row r="1007" spans="1:12" ht="12.75">
      <c r="A1007" s="3" t="str">
        <f ca="1">IFERROR(__xludf.UNSUPPORTED("""COMPUTED_VALUE"""),"c3891666")</f>
        <v>c3891666</v>
      </c>
      <c r="B1007" s="4">
        <f ca="1">IFERROR(__xludf.UNSUPPORTED("""COMPUTED_VALUE"""),45399.4510763888)</f>
        <v>45399.451076388803</v>
      </c>
      <c r="C1007" s="8" t="str">
        <f ca="1">IFERROR(__xludf.UNSUPPORTED("""COMPUTED_VALUE"""),"Maceió")</f>
        <v>Maceió</v>
      </c>
      <c r="D1007" s="3" t="str">
        <f ca="1">IFERROR(__xludf.UNSUPPORTED("""COMPUTED_VALUE"""),"🚢 REGULAR")</f>
        <v>🚢 REGULAR</v>
      </c>
      <c r="E1007" s="3" t="str">
        <f ca="1">IFERROR(__xludf.UNSUPPORTED("""COMPUTED_VALUE"""),"🚛 LIBERADO")</f>
        <v>🚛 LIBERADO</v>
      </c>
      <c r="F1007" s="5">
        <f ca="1">IFERROR(__xludf.UNSUPPORTED("""COMPUTED_VALUE"""),0)</f>
        <v>0</v>
      </c>
      <c r="G1007" s="3" t="str">
        <f ca="1">IFERROR(__xludf.UNSUPPORTED("""COMPUTED_VALUE"""),"Normalidade")</f>
        <v>Normalidade</v>
      </c>
      <c r="H1007" s="4">
        <f ca="1">IFERROR(__xludf.UNSUPPORTED("""COMPUTED_VALUE"""),45399.4510763888)</f>
        <v>45399.451076388803</v>
      </c>
      <c r="I1007" s="3">
        <f ca="1">IFERROR(__xludf.UNSUPPORTED("""COMPUTED_VALUE"""),24)</f>
        <v>24</v>
      </c>
      <c r="J1007" s="4">
        <f ca="1">IFERROR(__xludf.UNSUPPORTED("""COMPUTED_VALUE"""),45400.4510763888)</f>
        <v>45400.451076388803</v>
      </c>
      <c r="L1007" s="3" t="str">
        <f ca="1">IFERROR(__xludf.UNSUPPORTED("""COMPUTED_VALUE"""),"Normalidade")</f>
        <v>Normalidade</v>
      </c>
    </row>
    <row r="1008" spans="1:12" ht="12.75">
      <c r="A1008" s="3" t="str">
        <f ca="1">IFERROR(__xludf.UNSUPPORTED("""COMPUTED_VALUE"""),"8a4d8a78")</f>
        <v>8a4d8a78</v>
      </c>
      <c r="B1008" s="4">
        <f ca="1">IFERROR(__xludf.UNSUPPORTED("""COMPUTED_VALUE"""),45401.5326041666)</f>
        <v>45401.532604166598</v>
      </c>
      <c r="C1008" s="8" t="str">
        <f ca="1">IFERROR(__xludf.UNSUPPORTED("""COMPUTED_VALUE"""),"Maceió")</f>
        <v>Maceió</v>
      </c>
      <c r="D1008" s="3" t="str">
        <f ca="1">IFERROR(__xludf.UNSUPPORTED("""COMPUTED_VALUE"""),"🚢 REGULAR")</f>
        <v>🚢 REGULAR</v>
      </c>
      <c r="E1008" s="3" t="str">
        <f ca="1">IFERROR(__xludf.UNSUPPORTED("""COMPUTED_VALUE"""),"🚛 LIBERADO")</f>
        <v>🚛 LIBERADO</v>
      </c>
      <c r="F1008" s="5">
        <f ca="1">IFERROR(__xludf.UNSUPPORTED("""COMPUTED_VALUE"""),0)</f>
        <v>0</v>
      </c>
      <c r="G1008" s="3" t="str">
        <f ca="1">IFERROR(__xludf.UNSUPPORTED("""COMPUTED_VALUE"""),"Normalidade")</f>
        <v>Normalidade</v>
      </c>
      <c r="H1008" s="4">
        <f ca="1">IFERROR(__xludf.UNSUPPORTED("""COMPUTED_VALUE"""),45401.5326041666)</f>
        <v>45401.532604166598</v>
      </c>
      <c r="I1008" s="3">
        <f ca="1">IFERROR(__xludf.UNSUPPORTED("""COMPUTED_VALUE"""),24)</f>
        <v>24</v>
      </c>
      <c r="J1008" s="4">
        <f ca="1">IFERROR(__xludf.UNSUPPORTED("""COMPUTED_VALUE"""),45402.5326041666)</f>
        <v>45402.532604166598</v>
      </c>
      <c r="L1008" s="3" t="str">
        <f ca="1">IFERROR(__xludf.UNSUPPORTED("""COMPUTED_VALUE"""),"Normalidade")</f>
        <v>Normalidade</v>
      </c>
    </row>
    <row r="1009" spans="1:12" ht="12.75">
      <c r="A1009" s="3" t="str">
        <f ca="1">IFERROR(__xludf.UNSUPPORTED("""COMPUTED_VALUE"""),"ab209af6")</f>
        <v>ab209af6</v>
      </c>
      <c r="B1009" s="4">
        <f ca="1">IFERROR(__xludf.UNSUPPORTED("""COMPUTED_VALUE"""),45405.4456597222)</f>
        <v>45405.445659722202</v>
      </c>
      <c r="C1009" s="8" t="str">
        <f ca="1">IFERROR(__xludf.UNSUPPORTED("""COMPUTED_VALUE"""),"Maceió")</f>
        <v>Maceió</v>
      </c>
      <c r="D1009" s="3" t="str">
        <f ca="1">IFERROR(__xludf.UNSUPPORTED("""COMPUTED_VALUE"""),"🚢 REGULAR")</f>
        <v>🚢 REGULAR</v>
      </c>
      <c r="E1009" s="3" t="str">
        <f ca="1">IFERROR(__xludf.UNSUPPORTED("""COMPUTED_VALUE"""),"🚛 LIBERADO")</f>
        <v>🚛 LIBERADO</v>
      </c>
      <c r="F1009" s="5">
        <f ca="1">IFERROR(__xludf.UNSUPPORTED("""COMPUTED_VALUE"""),0)</f>
        <v>0</v>
      </c>
      <c r="G1009" s="3" t="str">
        <f ca="1">IFERROR(__xludf.UNSUPPORTED("""COMPUTED_VALUE"""),"Normalidade")</f>
        <v>Normalidade</v>
      </c>
      <c r="H1009" s="4">
        <f ca="1">IFERROR(__xludf.UNSUPPORTED("""COMPUTED_VALUE"""),45405.4456597222)</f>
        <v>45405.445659722202</v>
      </c>
      <c r="I1009" s="3">
        <f ca="1">IFERROR(__xludf.UNSUPPORTED("""COMPUTED_VALUE"""),24)</f>
        <v>24</v>
      </c>
      <c r="J1009" s="4">
        <f ca="1">IFERROR(__xludf.UNSUPPORTED("""COMPUTED_VALUE"""),45406.4456597222)</f>
        <v>45406.445659722202</v>
      </c>
      <c r="L1009" s="3" t="str">
        <f ca="1">IFERROR(__xludf.UNSUPPORTED("""COMPUTED_VALUE"""),"Normalidade")</f>
        <v>Normalidade</v>
      </c>
    </row>
    <row r="1010" spans="1:12" ht="12.75">
      <c r="A1010" s="3" t="str">
        <f ca="1">IFERROR(__xludf.UNSUPPORTED("""COMPUTED_VALUE"""),"a1c5bbac")</f>
        <v>a1c5bbac</v>
      </c>
      <c r="B1010" s="4">
        <f ca="1">IFERROR(__xludf.UNSUPPORTED("""COMPUTED_VALUE"""),45408.4035069444)</f>
        <v>45408.4035069444</v>
      </c>
      <c r="C1010" s="7" t="str">
        <f ca="1">IFERROR(__xludf.UNSUPPORTED("""COMPUTED_VALUE"""),"Maceió")</f>
        <v>Maceió</v>
      </c>
      <c r="D1010" s="3" t="str">
        <f ca="1">IFERROR(__xludf.UNSUPPORTED("""COMPUTED_VALUE"""),"🚢 REGULAR")</f>
        <v>🚢 REGULAR</v>
      </c>
      <c r="E1010" s="3" t="str">
        <f ca="1">IFERROR(__xludf.UNSUPPORTED("""COMPUTED_VALUE"""),"🚛 LIBERADO")</f>
        <v>🚛 LIBERADO</v>
      </c>
      <c r="F1010" s="5">
        <f ca="1">IFERROR(__xludf.UNSUPPORTED("""COMPUTED_VALUE"""),0)</f>
        <v>0</v>
      </c>
      <c r="G1010" s="3" t="str">
        <f ca="1">IFERROR(__xludf.UNSUPPORTED("""COMPUTED_VALUE"""),"Normalidade")</f>
        <v>Normalidade</v>
      </c>
      <c r="H1010" s="4">
        <f ca="1">IFERROR(__xludf.UNSUPPORTED("""COMPUTED_VALUE"""),45408.4035069444)</f>
        <v>45408.4035069444</v>
      </c>
      <c r="I1010" s="3">
        <f ca="1">IFERROR(__xludf.UNSUPPORTED("""COMPUTED_VALUE"""),24)</f>
        <v>24</v>
      </c>
      <c r="J1010" s="4">
        <f ca="1">IFERROR(__xludf.UNSUPPORTED("""COMPUTED_VALUE"""),45409.4035069444)</f>
        <v>45409.4035069444</v>
      </c>
      <c r="L1010" s="3" t="str">
        <f ca="1">IFERROR(__xludf.UNSUPPORTED("""COMPUTED_VALUE"""),"Normalidade")</f>
        <v>Normalidade</v>
      </c>
    </row>
    <row r="1011" spans="1:12" ht="12.75">
      <c r="A1011" s="3" t="str">
        <f ca="1">IFERROR(__xludf.UNSUPPORTED("""COMPUTED_VALUE"""),"371718a2")</f>
        <v>371718a2</v>
      </c>
      <c r="B1011" s="4">
        <f ca="1">IFERROR(__xludf.UNSUPPORTED("""COMPUTED_VALUE"""),45412.4255555555)</f>
        <v>45412.425555555499</v>
      </c>
      <c r="C1011" s="8" t="str">
        <f ca="1">IFERROR(__xludf.UNSUPPORTED("""COMPUTED_VALUE"""),"Maceió")</f>
        <v>Maceió</v>
      </c>
      <c r="D1011" s="3" t="str">
        <f ca="1">IFERROR(__xludf.UNSUPPORTED("""COMPUTED_VALUE"""),"🚢 REGULAR")</f>
        <v>🚢 REGULAR</v>
      </c>
      <c r="E1011" s="3" t="str">
        <f ca="1">IFERROR(__xludf.UNSUPPORTED("""COMPUTED_VALUE"""),"🚛 LIBERADO")</f>
        <v>🚛 LIBERADO</v>
      </c>
      <c r="F1011" s="5">
        <f ca="1">IFERROR(__xludf.UNSUPPORTED("""COMPUTED_VALUE"""),0)</f>
        <v>0</v>
      </c>
      <c r="G1011" s="3" t="str">
        <f ca="1">IFERROR(__xludf.UNSUPPORTED("""COMPUTED_VALUE"""),"Normalidade")</f>
        <v>Normalidade</v>
      </c>
      <c r="H1011" s="4">
        <f ca="1">IFERROR(__xludf.UNSUPPORTED("""COMPUTED_VALUE"""),45412.4255555555)</f>
        <v>45412.425555555499</v>
      </c>
      <c r="I1011" s="3">
        <f ca="1">IFERROR(__xludf.UNSUPPORTED("""COMPUTED_VALUE"""),24)</f>
        <v>24</v>
      </c>
      <c r="J1011" s="4">
        <f ca="1">IFERROR(__xludf.UNSUPPORTED("""COMPUTED_VALUE"""),45413.4255555555)</f>
        <v>45413.425555555499</v>
      </c>
      <c r="L1011" s="3" t="str">
        <f ca="1">IFERROR(__xludf.UNSUPPORTED("""COMPUTED_VALUE"""),"Normalidade")</f>
        <v>Normalidade</v>
      </c>
    </row>
    <row r="1012" spans="1:12" ht="12.75">
      <c r="A1012" s="3" t="str">
        <f ca="1">IFERROR(__xludf.UNSUPPORTED("""COMPUTED_VALUE"""),"c3287500")</f>
        <v>c3287500</v>
      </c>
      <c r="B1012" s="4">
        <f ca="1">IFERROR(__xludf.UNSUPPORTED("""COMPUTED_VALUE"""),45418.4040277777)</f>
        <v>45418.404027777702</v>
      </c>
      <c r="C1012" s="8" t="str">
        <f ca="1">IFERROR(__xludf.UNSUPPORTED("""COMPUTED_VALUE"""),"Maceió")</f>
        <v>Maceió</v>
      </c>
      <c r="D1012" s="3" t="str">
        <f ca="1">IFERROR(__xludf.UNSUPPORTED("""COMPUTED_VALUE"""),"🚢 REGULAR")</f>
        <v>🚢 REGULAR</v>
      </c>
      <c r="E1012" s="3" t="str">
        <f ca="1">IFERROR(__xludf.UNSUPPORTED("""COMPUTED_VALUE"""),"🚛 LIBERADO")</f>
        <v>🚛 LIBERADO</v>
      </c>
      <c r="F1012" s="5">
        <f ca="1">IFERROR(__xludf.UNSUPPORTED("""COMPUTED_VALUE"""),0)</f>
        <v>0</v>
      </c>
      <c r="G1012" s="3" t="str">
        <f ca="1">IFERROR(__xludf.UNSUPPORTED("""COMPUTED_VALUE"""),"Normalidade")</f>
        <v>Normalidade</v>
      </c>
      <c r="H1012" s="4">
        <f ca="1">IFERROR(__xludf.UNSUPPORTED("""COMPUTED_VALUE"""),45418.4040277777)</f>
        <v>45418.404027777702</v>
      </c>
      <c r="I1012" s="3">
        <f ca="1">IFERROR(__xludf.UNSUPPORTED("""COMPUTED_VALUE"""),24)</f>
        <v>24</v>
      </c>
      <c r="J1012" s="4">
        <f ca="1">IFERROR(__xludf.UNSUPPORTED("""COMPUTED_VALUE"""),45419.4040277777)</f>
        <v>45419.404027777702</v>
      </c>
      <c r="L1012" s="3" t="str">
        <f ca="1">IFERROR(__xludf.UNSUPPORTED("""COMPUTED_VALUE"""),"Normalidade")</f>
        <v>Normalidade</v>
      </c>
    </row>
    <row r="1013" spans="1:12" ht="12.75">
      <c r="A1013" s="3" t="str">
        <f ca="1">IFERROR(__xludf.UNSUPPORTED("""COMPUTED_VALUE"""),"2f473c12")</f>
        <v>2f473c12</v>
      </c>
      <c r="B1013" s="4">
        <f ca="1">IFERROR(__xludf.UNSUPPORTED("""COMPUTED_VALUE"""),45428.5291550925)</f>
        <v>45428.529155092503</v>
      </c>
      <c r="C1013" s="8" t="str">
        <f ca="1">IFERROR(__xludf.UNSUPPORTED("""COMPUTED_VALUE"""),"Maceió")</f>
        <v>Maceió</v>
      </c>
      <c r="D1013" s="3" t="str">
        <f ca="1">IFERROR(__xludf.UNSUPPORTED("""COMPUTED_VALUE"""),"🚢 REGULAR")</f>
        <v>🚢 REGULAR</v>
      </c>
      <c r="E1013" s="3" t="str">
        <f ca="1">IFERROR(__xludf.UNSUPPORTED("""COMPUTED_VALUE"""),"🚛 LIBERADO")</f>
        <v>🚛 LIBERADO</v>
      </c>
      <c r="F1013" s="5">
        <f ca="1">IFERROR(__xludf.UNSUPPORTED("""COMPUTED_VALUE"""),0)</f>
        <v>0</v>
      </c>
      <c r="G1013" s="3" t="str">
        <f ca="1">IFERROR(__xludf.UNSUPPORTED("""COMPUTED_VALUE"""),"Normalidade")</f>
        <v>Normalidade</v>
      </c>
      <c r="H1013" s="4">
        <f ca="1">IFERROR(__xludf.UNSUPPORTED("""COMPUTED_VALUE"""),45428.5291550925)</f>
        <v>45428.529155092503</v>
      </c>
      <c r="I1013" s="3">
        <f ca="1">IFERROR(__xludf.UNSUPPORTED("""COMPUTED_VALUE"""),24)</f>
        <v>24</v>
      </c>
      <c r="J1013" s="4">
        <f ca="1">IFERROR(__xludf.UNSUPPORTED("""COMPUTED_VALUE"""),45429.5291550925)</f>
        <v>45429.529155092503</v>
      </c>
      <c r="L1013" s="3" t="str">
        <f ca="1">IFERROR(__xludf.UNSUPPORTED("""COMPUTED_VALUE"""),"Normalidade")</f>
        <v>Normalidade</v>
      </c>
    </row>
    <row r="1014" spans="1:12" ht="12.75">
      <c r="A1014" s="3" t="str">
        <f ca="1">IFERROR(__xludf.UNSUPPORTED("""COMPUTED_VALUE"""),"f2d74918")</f>
        <v>f2d74918</v>
      </c>
      <c r="B1014" s="4">
        <f ca="1">IFERROR(__xludf.UNSUPPORTED("""COMPUTED_VALUE"""),45454.3974537037)</f>
        <v>45454.397453703699</v>
      </c>
      <c r="C1014" s="8" t="str">
        <f ca="1">IFERROR(__xludf.UNSUPPORTED("""COMPUTED_VALUE"""),"Maceió")</f>
        <v>Maceió</v>
      </c>
      <c r="D1014" s="3" t="str">
        <f ca="1">IFERROR(__xludf.UNSUPPORTED("""COMPUTED_VALUE"""),"🚢 REGULAR")</f>
        <v>🚢 REGULAR</v>
      </c>
      <c r="E1014" s="3" t="str">
        <f ca="1">IFERROR(__xludf.UNSUPPORTED("""COMPUTED_VALUE"""),"🚛 LIBERADO")</f>
        <v>🚛 LIBERADO</v>
      </c>
      <c r="F1014" s="5">
        <f ca="1">IFERROR(__xludf.UNSUPPORTED("""COMPUTED_VALUE"""),0)</f>
        <v>0</v>
      </c>
      <c r="G1014" s="3" t="str">
        <f ca="1">IFERROR(__xludf.UNSUPPORTED("""COMPUTED_VALUE"""),"Normalidade")</f>
        <v>Normalidade</v>
      </c>
      <c r="H1014" s="4">
        <f ca="1">IFERROR(__xludf.UNSUPPORTED("""COMPUTED_VALUE"""),45454.3974537037)</f>
        <v>45454.397453703699</v>
      </c>
      <c r="I1014" s="3">
        <f ca="1">IFERROR(__xludf.UNSUPPORTED("""COMPUTED_VALUE"""),24)</f>
        <v>24</v>
      </c>
      <c r="J1014" s="4">
        <f ca="1">IFERROR(__xludf.UNSUPPORTED("""COMPUTED_VALUE"""),45455.3974537037)</f>
        <v>45455.397453703699</v>
      </c>
      <c r="L1014" s="3" t="str">
        <f ca="1">IFERROR(__xludf.UNSUPPORTED("""COMPUTED_VALUE"""),"Normalidade")</f>
        <v>Normalidade</v>
      </c>
    </row>
    <row r="1015" spans="1:12" ht="12.75">
      <c r="A1015" s="3" t="str">
        <f ca="1">IFERROR(__xludf.UNSUPPORTED("""COMPUTED_VALUE"""),"6b77f81b")</f>
        <v>6b77f81b</v>
      </c>
      <c r="B1015" s="4">
        <f ca="1">IFERROR(__xludf.UNSUPPORTED("""COMPUTED_VALUE"""),45470.4403009259)</f>
        <v>45470.440300925897</v>
      </c>
      <c r="C1015" s="7" t="str">
        <f ca="1">IFERROR(__xludf.UNSUPPORTED("""COMPUTED_VALUE"""),"Maceió")</f>
        <v>Maceió</v>
      </c>
      <c r="D1015" s="3" t="str">
        <f ca="1">IFERROR(__xludf.UNSUPPORTED("""COMPUTED_VALUE"""),"🚢 REGULAR")</f>
        <v>🚢 REGULAR</v>
      </c>
      <c r="E1015" s="3" t="str">
        <f ca="1">IFERROR(__xludf.UNSUPPORTED("""COMPUTED_VALUE"""),"🚛 LIBERADO")</f>
        <v>🚛 LIBERADO</v>
      </c>
      <c r="F1015" s="5">
        <f ca="1">IFERROR(__xludf.UNSUPPORTED("""COMPUTED_VALUE"""),0)</f>
        <v>0</v>
      </c>
      <c r="G1015" s="3" t="str">
        <f ca="1">IFERROR(__xludf.UNSUPPORTED("""COMPUTED_VALUE"""),"Normalidade")</f>
        <v>Normalidade</v>
      </c>
      <c r="H1015" s="4">
        <f ca="1">IFERROR(__xludf.UNSUPPORTED("""COMPUTED_VALUE"""),45470.4403009259)</f>
        <v>45470.440300925897</v>
      </c>
      <c r="I1015" s="3">
        <f ca="1">IFERROR(__xludf.UNSUPPORTED("""COMPUTED_VALUE"""),24)</f>
        <v>24</v>
      </c>
      <c r="J1015" s="4">
        <f ca="1">IFERROR(__xludf.UNSUPPORTED("""COMPUTED_VALUE"""),45471.4403009259)</f>
        <v>45471.440300925897</v>
      </c>
      <c r="L1015" s="3" t="str">
        <f ca="1">IFERROR(__xludf.UNSUPPORTED("""COMPUTED_VALUE"""),"Normalidade")</f>
        <v>Normalidade</v>
      </c>
    </row>
    <row r="1016" spans="1:12" ht="12.75">
      <c r="A1016" s="3" t="str">
        <f ca="1">IFERROR(__xludf.UNSUPPORTED("""COMPUTED_VALUE"""),"68381dfb")</f>
        <v>68381dfb</v>
      </c>
      <c r="B1016" s="4">
        <f ca="1">IFERROR(__xludf.UNSUPPORTED("""COMPUTED_VALUE"""),45475.5271412037)</f>
        <v>45475.527141203696</v>
      </c>
      <c r="C1016" s="7" t="str">
        <f ca="1">IFERROR(__xludf.UNSUPPORTED("""COMPUTED_VALUE"""),"Maceió")</f>
        <v>Maceió</v>
      </c>
      <c r="D1016" s="3" t="str">
        <f ca="1">IFERROR(__xludf.UNSUPPORTED("""COMPUTED_VALUE"""),"🚢 REGULAR")</f>
        <v>🚢 REGULAR</v>
      </c>
      <c r="E1016" s="3" t="str">
        <f ca="1">IFERROR(__xludf.UNSUPPORTED("""COMPUTED_VALUE"""),"🚛 LIBERADO")</f>
        <v>🚛 LIBERADO</v>
      </c>
      <c r="F1016" s="5">
        <f ca="1">IFERROR(__xludf.UNSUPPORTED("""COMPUTED_VALUE"""),0)</f>
        <v>0</v>
      </c>
      <c r="G1016" s="3" t="str">
        <f ca="1">IFERROR(__xludf.UNSUPPORTED("""COMPUTED_VALUE"""),"Normalidade")</f>
        <v>Normalidade</v>
      </c>
      <c r="H1016" s="4">
        <f ca="1">IFERROR(__xludf.UNSUPPORTED("""COMPUTED_VALUE"""),45475.5271412037)</f>
        <v>45475.527141203696</v>
      </c>
      <c r="I1016" s="3">
        <f ca="1">IFERROR(__xludf.UNSUPPORTED("""COMPUTED_VALUE"""),24)</f>
        <v>24</v>
      </c>
      <c r="J1016" s="4">
        <f ca="1">IFERROR(__xludf.UNSUPPORTED("""COMPUTED_VALUE"""),45476.5271412037)</f>
        <v>45476.527141203696</v>
      </c>
      <c r="L1016" s="3" t="str">
        <f ca="1">IFERROR(__xludf.UNSUPPORTED("""COMPUTED_VALUE"""),"Normalidade")</f>
        <v>Normalidade</v>
      </c>
    </row>
    <row r="1017" spans="1:12" ht="12.75">
      <c r="A1017" s="3" t="str">
        <f ca="1">IFERROR(__xludf.UNSUPPORTED("""COMPUTED_VALUE"""),"5cb065bc")</f>
        <v>5cb065bc</v>
      </c>
      <c r="B1017" s="4">
        <f ca="1">IFERROR(__xludf.UNSUPPORTED("""COMPUTED_VALUE"""),45496.5353356481)</f>
        <v>45496.535335648099</v>
      </c>
      <c r="C1017" s="7" t="str">
        <f ca="1">IFERROR(__xludf.UNSUPPORTED("""COMPUTED_VALUE"""),"Maceió")</f>
        <v>Maceió</v>
      </c>
      <c r="D1017" s="3" t="str">
        <f ca="1">IFERROR(__xludf.UNSUPPORTED("""COMPUTED_VALUE"""),"🚢 REGULAR")</f>
        <v>🚢 REGULAR</v>
      </c>
      <c r="E1017" s="3" t="str">
        <f ca="1">IFERROR(__xludf.UNSUPPORTED("""COMPUTED_VALUE"""),"🚛 LIBERADO")</f>
        <v>🚛 LIBERADO</v>
      </c>
      <c r="F1017" s="5">
        <f ca="1">IFERROR(__xludf.UNSUPPORTED("""COMPUTED_VALUE"""),0)</f>
        <v>0</v>
      </c>
      <c r="G1017" s="3" t="str">
        <f ca="1">IFERROR(__xludf.UNSUPPORTED("""COMPUTED_VALUE"""),"Normalidade")</f>
        <v>Normalidade</v>
      </c>
      <c r="H1017" s="4">
        <f ca="1">IFERROR(__xludf.UNSUPPORTED("""COMPUTED_VALUE"""),45496.5353356481)</f>
        <v>45496.535335648099</v>
      </c>
      <c r="I1017" s="3">
        <f ca="1">IFERROR(__xludf.UNSUPPORTED("""COMPUTED_VALUE"""),24)</f>
        <v>24</v>
      </c>
      <c r="J1017" s="4">
        <f ca="1">IFERROR(__xludf.UNSUPPORTED("""COMPUTED_VALUE"""),45497.5353356481)</f>
        <v>45497.535335648099</v>
      </c>
      <c r="L1017" s="3" t="str">
        <f ca="1">IFERROR(__xludf.UNSUPPORTED("""COMPUTED_VALUE"""),"Normalidade")</f>
        <v>Normalidade</v>
      </c>
    </row>
    <row r="1018" spans="1:12" ht="12.75">
      <c r="A1018" s="3" t="str">
        <f ca="1">IFERROR(__xludf.UNSUPPORTED("""COMPUTED_VALUE"""),"fe828d64")</f>
        <v>fe828d64</v>
      </c>
      <c r="B1018" s="4">
        <f ca="1">IFERROR(__xludf.UNSUPPORTED("""COMPUTED_VALUE"""),45539.4734143518)</f>
        <v>45539.4734143518</v>
      </c>
      <c r="C1018" s="7" t="str">
        <f ca="1">IFERROR(__xludf.UNSUPPORTED("""COMPUTED_VALUE"""),"Maceió")</f>
        <v>Maceió</v>
      </c>
      <c r="D1018" s="3" t="str">
        <f ca="1">IFERROR(__xludf.UNSUPPORTED("""COMPUTED_VALUE"""),"🚢 REGULAR")</f>
        <v>🚢 REGULAR</v>
      </c>
      <c r="E1018" s="3" t="str">
        <f ca="1">IFERROR(__xludf.UNSUPPORTED("""COMPUTED_VALUE"""),"🚛 LIBERADO")</f>
        <v>🚛 LIBERADO</v>
      </c>
      <c r="F1018" s="5">
        <f ca="1">IFERROR(__xludf.UNSUPPORTED("""COMPUTED_VALUE"""),0)</f>
        <v>0</v>
      </c>
      <c r="G1018" s="3" t="str">
        <f ca="1">IFERROR(__xludf.UNSUPPORTED("""COMPUTED_VALUE"""),"Normalidade")</f>
        <v>Normalidade</v>
      </c>
      <c r="H1018" s="4">
        <f ca="1">IFERROR(__xludf.UNSUPPORTED("""COMPUTED_VALUE"""),45539.4734143518)</f>
        <v>45539.4734143518</v>
      </c>
      <c r="I1018" s="3">
        <f ca="1">IFERROR(__xludf.UNSUPPORTED("""COMPUTED_VALUE"""),24)</f>
        <v>24</v>
      </c>
      <c r="J1018" s="4">
        <f ca="1">IFERROR(__xludf.UNSUPPORTED("""COMPUTED_VALUE"""),45540.4734143518)</f>
        <v>45540.4734143518</v>
      </c>
      <c r="L1018" s="3" t="str">
        <f ca="1">IFERROR(__xludf.UNSUPPORTED("""COMPUTED_VALUE"""),"Normalidade")</f>
        <v>Normalidade</v>
      </c>
    </row>
    <row r="1019" spans="1:12" ht="12.75">
      <c r="A1019" s="3" t="str">
        <f ca="1">IFERROR(__xludf.UNSUPPORTED("""COMPUTED_VALUE"""),"b85ddb48")</f>
        <v>b85ddb48</v>
      </c>
      <c r="B1019" s="4">
        <f ca="1">IFERROR(__xludf.UNSUPPORTED("""COMPUTED_VALUE"""),45545.3723611111)</f>
        <v>45545.372361111098</v>
      </c>
      <c r="C1019" s="7" t="str">
        <f ca="1">IFERROR(__xludf.UNSUPPORTED("""COMPUTED_VALUE"""),"Maceió")</f>
        <v>Maceió</v>
      </c>
      <c r="D1019" s="3" t="str">
        <f ca="1">IFERROR(__xludf.UNSUPPORTED("""COMPUTED_VALUE"""),"🚢 REGULAR")</f>
        <v>🚢 REGULAR</v>
      </c>
      <c r="E1019" s="3" t="str">
        <f ca="1">IFERROR(__xludf.UNSUPPORTED("""COMPUTED_VALUE"""),"🚛 LIBERADO")</f>
        <v>🚛 LIBERADO</v>
      </c>
      <c r="F1019" s="5">
        <f ca="1">IFERROR(__xludf.UNSUPPORTED("""COMPUTED_VALUE"""),0)</f>
        <v>0</v>
      </c>
      <c r="G1019" s="3" t="str">
        <f ca="1">IFERROR(__xludf.UNSUPPORTED("""COMPUTED_VALUE"""),"Normalidade")</f>
        <v>Normalidade</v>
      </c>
      <c r="H1019" s="4">
        <f ca="1">IFERROR(__xludf.UNSUPPORTED("""COMPUTED_VALUE"""),45545.3723611111)</f>
        <v>45545.372361111098</v>
      </c>
      <c r="I1019" s="3">
        <f ca="1">IFERROR(__xludf.UNSUPPORTED("""COMPUTED_VALUE"""),24)</f>
        <v>24</v>
      </c>
      <c r="J1019" s="4">
        <f ca="1">IFERROR(__xludf.UNSUPPORTED("""COMPUTED_VALUE"""),45546.3723611111)</f>
        <v>45546.372361111098</v>
      </c>
      <c r="L1019" s="3" t="str">
        <f ca="1">IFERROR(__xludf.UNSUPPORTED("""COMPUTED_VALUE"""),"Normalidade")</f>
        <v>Normalidade</v>
      </c>
    </row>
    <row r="1020" spans="1:12" ht="12.75">
      <c r="A1020" s="3" t="str">
        <f ca="1">IFERROR(__xludf.UNSUPPORTED("""COMPUTED_VALUE"""),"7487a2ff")</f>
        <v>7487a2ff</v>
      </c>
      <c r="B1020" s="4">
        <f ca="1">IFERROR(__xludf.UNSUPPORTED("""COMPUTED_VALUE"""),45548.3685532407)</f>
        <v>45548.368553240703</v>
      </c>
      <c r="C1020" s="7" t="str">
        <f ca="1">IFERROR(__xludf.UNSUPPORTED("""COMPUTED_VALUE"""),"Maceió")</f>
        <v>Maceió</v>
      </c>
      <c r="D1020" s="3" t="str">
        <f ca="1">IFERROR(__xludf.UNSUPPORTED("""COMPUTED_VALUE"""),"🚢 REGULAR")</f>
        <v>🚢 REGULAR</v>
      </c>
      <c r="E1020" s="3" t="str">
        <f ca="1">IFERROR(__xludf.UNSUPPORTED("""COMPUTED_VALUE"""),"🚛 LIBERADO")</f>
        <v>🚛 LIBERADO</v>
      </c>
      <c r="F1020" s="5">
        <f ca="1">IFERROR(__xludf.UNSUPPORTED("""COMPUTED_VALUE"""),0)</f>
        <v>0</v>
      </c>
      <c r="G1020" s="3" t="str">
        <f ca="1">IFERROR(__xludf.UNSUPPORTED("""COMPUTED_VALUE"""),"Normalidade")</f>
        <v>Normalidade</v>
      </c>
      <c r="H1020" s="4">
        <f ca="1">IFERROR(__xludf.UNSUPPORTED("""COMPUTED_VALUE"""),45548.3685532407)</f>
        <v>45548.368553240703</v>
      </c>
      <c r="I1020" s="3">
        <f ca="1">IFERROR(__xludf.UNSUPPORTED("""COMPUTED_VALUE"""),24)</f>
        <v>24</v>
      </c>
      <c r="J1020" s="4">
        <f ca="1">IFERROR(__xludf.UNSUPPORTED("""COMPUTED_VALUE"""),45549.3685532407)</f>
        <v>45549.368553240703</v>
      </c>
      <c r="L1020" s="3" t="str">
        <f ca="1">IFERROR(__xludf.UNSUPPORTED("""COMPUTED_VALUE"""),"Normalidade")</f>
        <v>Normalidade</v>
      </c>
    </row>
    <row r="1021" spans="1:12" ht="12.75">
      <c r="A1021" s="3" t="str">
        <f ca="1">IFERROR(__xludf.UNSUPPORTED("""COMPUTED_VALUE"""),"95621971")</f>
        <v>95621971</v>
      </c>
      <c r="B1021" s="4">
        <f ca="1">IFERROR(__xludf.UNSUPPORTED("""COMPUTED_VALUE"""),45551.4089351851)</f>
        <v>45551.4089351851</v>
      </c>
      <c r="C1021" s="7" t="str">
        <f ca="1">IFERROR(__xludf.UNSUPPORTED("""COMPUTED_VALUE"""),"Maceió")</f>
        <v>Maceió</v>
      </c>
      <c r="D1021" s="3" t="str">
        <f ca="1">IFERROR(__xludf.UNSUPPORTED("""COMPUTED_VALUE"""),"🚢 REGULAR")</f>
        <v>🚢 REGULAR</v>
      </c>
      <c r="E1021" s="3" t="str">
        <f ca="1">IFERROR(__xludf.UNSUPPORTED("""COMPUTED_VALUE"""),"🚛 LIBERADO")</f>
        <v>🚛 LIBERADO</v>
      </c>
      <c r="F1021" s="5">
        <f ca="1">IFERROR(__xludf.UNSUPPORTED("""COMPUTED_VALUE"""),0)</f>
        <v>0</v>
      </c>
      <c r="G1021" s="3" t="str">
        <f ca="1">IFERROR(__xludf.UNSUPPORTED("""COMPUTED_VALUE"""),"Normalidade")</f>
        <v>Normalidade</v>
      </c>
      <c r="H1021" s="4">
        <f ca="1">IFERROR(__xludf.UNSUPPORTED("""COMPUTED_VALUE"""),45551.4089351851)</f>
        <v>45551.4089351851</v>
      </c>
      <c r="I1021" s="3">
        <f ca="1">IFERROR(__xludf.UNSUPPORTED("""COMPUTED_VALUE"""),24)</f>
        <v>24</v>
      </c>
      <c r="J1021" s="4">
        <f ca="1">IFERROR(__xludf.UNSUPPORTED("""COMPUTED_VALUE"""),45552.4089351851)</f>
        <v>45552.4089351851</v>
      </c>
      <c r="L1021" s="3" t="str">
        <f ca="1">IFERROR(__xludf.UNSUPPORTED("""COMPUTED_VALUE"""),"Normalidade")</f>
        <v>Normalidade</v>
      </c>
    </row>
    <row r="1022" spans="1:12" ht="12.75">
      <c r="A1022" s="3" t="str">
        <f ca="1">IFERROR(__xludf.UNSUPPORTED("""COMPUTED_VALUE"""),"cc179dfb")</f>
        <v>cc179dfb</v>
      </c>
      <c r="B1022" s="4">
        <f ca="1">IFERROR(__xludf.UNSUPPORTED("""COMPUTED_VALUE"""),45552.4340277777)</f>
        <v>45552.434027777701</v>
      </c>
      <c r="C1022" s="7" t="str">
        <f ca="1">IFERROR(__xludf.UNSUPPORTED("""COMPUTED_VALUE"""),"Maceió")</f>
        <v>Maceió</v>
      </c>
      <c r="D1022" s="3" t="str">
        <f ca="1">IFERROR(__xludf.UNSUPPORTED("""COMPUTED_VALUE"""),"🚢 REGULAR")</f>
        <v>🚢 REGULAR</v>
      </c>
      <c r="E1022" s="3" t="str">
        <f ca="1">IFERROR(__xludf.UNSUPPORTED("""COMPUTED_VALUE"""),"🚛 LIBERADO")</f>
        <v>🚛 LIBERADO</v>
      </c>
      <c r="F1022" s="5">
        <f ca="1">IFERROR(__xludf.UNSUPPORTED("""COMPUTED_VALUE"""),0)</f>
        <v>0</v>
      </c>
      <c r="G1022" s="3" t="str">
        <f ca="1">IFERROR(__xludf.UNSUPPORTED("""COMPUTED_VALUE"""),"Normalidade")</f>
        <v>Normalidade</v>
      </c>
      <c r="H1022" s="4">
        <f ca="1">IFERROR(__xludf.UNSUPPORTED("""COMPUTED_VALUE"""),45552.4340277777)</f>
        <v>45552.434027777701</v>
      </c>
      <c r="I1022" s="3">
        <f ca="1">IFERROR(__xludf.UNSUPPORTED("""COMPUTED_VALUE"""),24)</f>
        <v>24</v>
      </c>
      <c r="J1022" s="4">
        <f ca="1">IFERROR(__xludf.UNSUPPORTED("""COMPUTED_VALUE"""),45553.4340277777)</f>
        <v>45553.434027777701</v>
      </c>
      <c r="L1022" s="3" t="str">
        <f ca="1">IFERROR(__xludf.UNSUPPORTED("""COMPUTED_VALUE"""),"Normalidade")</f>
        <v>Normalidade</v>
      </c>
    </row>
    <row r="1023" spans="1:12" ht="12.75">
      <c r="A1023" s="3" t="str">
        <f ca="1">IFERROR(__xludf.UNSUPPORTED("""COMPUTED_VALUE"""),"37b9df1e")</f>
        <v>37b9df1e</v>
      </c>
      <c r="B1023" s="4">
        <f ca="1">IFERROR(__xludf.UNSUPPORTED("""COMPUTED_VALUE"""),45553.4254282407)</f>
        <v>45553.425428240698</v>
      </c>
      <c r="C1023" s="7" t="str">
        <f ca="1">IFERROR(__xludf.UNSUPPORTED("""COMPUTED_VALUE"""),"Maceió")</f>
        <v>Maceió</v>
      </c>
      <c r="D1023" s="3" t="str">
        <f ca="1">IFERROR(__xludf.UNSUPPORTED("""COMPUTED_VALUE"""),"🚢 REGULAR")</f>
        <v>🚢 REGULAR</v>
      </c>
      <c r="E1023" s="3" t="str">
        <f ca="1">IFERROR(__xludf.UNSUPPORTED("""COMPUTED_VALUE"""),"🚛 LIBERADO")</f>
        <v>🚛 LIBERADO</v>
      </c>
      <c r="F1023" s="5">
        <f ca="1">IFERROR(__xludf.UNSUPPORTED("""COMPUTED_VALUE"""),0)</f>
        <v>0</v>
      </c>
      <c r="G1023" s="3" t="str">
        <f ca="1">IFERROR(__xludf.UNSUPPORTED("""COMPUTED_VALUE"""),"Normalidade")</f>
        <v>Normalidade</v>
      </c>
      <c r="H1023" s="4">
        <f ca="1">IFERROR(__xludf.UNSUPPORTED("""COMPUTED_VALUE"""),45553.4254282407)</f>
        <v>45553.425428240698</v>
      </c>
      <c r="I1023" s="3">
        <f ca="1">IFERROR(__xludf.UNSUPPORTED("""COMPUTED_VALUE"""),24)</f>
        <v>24</v>
      </c>
      <c r="J1023" s="4">
        <f ca="1">IFERROR(__xludf.UNSUPPORTED("""COMPUTED_VALUE"""),45554.4254282407)</f>
        <v>45554.425428240698</v>
      </c>
      <c r="L1023" s="3" t="str">
        <f ca="1">IFERROR(__xludf.UNSUPPORTED("""COMPUTED_VALUE"""),"Normalidade")</f>
        <v>Normalidade</v>
      </c>
    </row>
    <row r="1024" spans="1:12" ht="12.75">
      <c r="A1024" s="3" t="str">
        <f ca="1">IFERROR(__xludf.UNSUPPORTED("""COMPUTED_VALUE"""),"5eac4900")</f>
        <v>5eac4900</v>
      </c>
      <c r="B1024" s="4">
        <f ca="1">IFERROR(__xludf.UNSUPPORTED("""COMPUTED_VALUE"""),45558.3984375)</f>
        <v>45558.3984375</v>
      </c>
      <c r="C1024" s="7" t="str">
        <f ca="1">IFERROR(__xludf.UNSUPPORTED("""COMPUTED_VALUE"""),"Maceió")</f>
        <v>Maceió</v>
      </c>
      <c r="D1024" s="3" t="str">
        <f ca="1">IFERROR(__xludf.UNSUPPORTED("""COMPUTED_VALUE"""),"🚢 REGULAR")</f>
        <v>🚢 REGULAR</v>
      </c>
      <c r="E1024" s="3" t="str">
        <f ca="1">IFERROR(__xludf.UNSUPPORTED("""COMPUTED_VALUE"""),"🚛 LIBERADO")</f>
        <v>🚛 LIBERADO</v>
      </c>
      <c r="F1024" s="5">
        <f ca="1">IFERROR(__xludf.UNSUPPORTED("""COMPUTED_VALUE"""),0)</f>
        <v>0</v>
      </c>
      <c r="G1024" s="3" t="str">
        <f ca="1">IFERROR(__xludf.UNSUPPORTED("""COMPUTED_VALUE"""),"Normalidade")</f>
        <v>Normalidade</v>
      </c>
      <c r="H1024" s="4">
        <f ca="1">IFERROR(__xludf.UNSUPPORTED("""COMPUTED_VALUE"""),45558.3984375)</f>
        <v>45558.3984375</v>
      </c>
      <c r="I1024" s="3">
        <f ca="1">IFERROR(__xludf.UNSUPPORTED("""COMPUTED_VALUE"""),24)</f>
        <v>24</v>
      </c>
      <c r="J1024" s="4">
        <f ca="1">IFERROR(__xludf.UNSUPPORTED("""COMPUTED_VALUE"""),45559.3984375)</f>
        <v>45559.3984375</v>
      </c>
      <c r="L1024" s="3" t="str">
        <f ca="1">IFERROR(__xludf.UNSUPPORTED("""COMPUTED_VALUE"""),"Normalidade")</f>
        <v>Normalidade</v>
      </c>
    </row>
    <row r="1025" spans="1:12" ht="12.75">
      <c r="A1025" s="3" t="str">
        <f ca="1">IFERROR(__xludf.UNSUPPORTED("""COMPUTED_VALUE"""),"f8d7fcf0")</f>
        <v>f8d7fcf0</v>
      </c>
      <c r="B1025" s="4">
        <f ca="1">IFERROR(__xludf.UNSUPPORTED("""COMPUTED_VALUE"""),45559.4034606481)</f>
        <v>45559.4034606481</v>
      </c>
      <c r="C1025" s="7" t="str">
        <f ca="1">IFERROR(__xludf.UNSUPPORTED("""COMPUTED_VALUE"""),"Maceió")</f>
        <v>Maceió</v>
      </c>
      <c r="D1025" s="3" t="str">
        <f ca="1">IFERROR(__xludf.UNSUPPORTED("""COMPUTED_VALUE"""),"🚢 REGULAR")</f>
        <v>🚢 REGULAR</v>
      </c>
      <c r="E1025" s="3" t="str">
        <f ca="1">IFERROR(__xludf.UNSUPPORTED("""COMPUTED_VALUE"""),"🚛 LIBERADO")</f>
        <v>🚛 LIBERADO</v>
      </c>
      <c r="F1025" s="5">
        <f ca="1">IFERROR(__xludf.UNSUPPORTED("""COMPUTED_VALUE"""),0)</f>
        <v>0</v>
      </c>
      <c r="G1025" s="3" t="str">
        <f ca="1">IFERROR(__xludf.UNSUPPORTED("""COMPUTED_VALUE"""),"Normalidade")</f>
        <v>Normalidade</v>
      </c>
      <c r="H1025" s="4">
        <f ca="1">IFERROR(__xludf.UNSUPPORTED("""COMPUTED_VALUE"""),45559.4034606481)</f>
        <v>45559.4034606481</v>
      </c>
      <c r="I1025" s="3">
        <f ca="1">IFERROR(__xludf.UNSUPPORTED("""COMPUTED_VALUE"""),24)</f>
        <v>24</v>
      </c>
      <c r="J1025" s="4">
        <f ca="1">IFERROR(__xludf.UNSUPPORTED("""COMPUTED_VALUE"""),45560.4034606481)</f>
        <v>45560.4034606481</v>
      </c>
      <c r="L1025" s="3" t="str">
        <f ca="1">IFERROR(__xludf.UNSUPPORTED("""COMPUTED_VALUE"""),"Normalidade")</f>
        <v>Normalidade</v>
      </c>
    </row>
    <row r="1026" spans="1:12" ht="12.75">
      <c r="A1026" s="3" t="str">
        <f ca="1">IFERROR(__xludf.UNSUPPORTED("""COMPUTED_VALUE"""),"fd44bf3c")</f>
        <v>fd44bf3c</v>
      </c>
      <c r="B1026" s="4">
        <f ca="1">IFERROR(__xludf.UNSUPPORTED("""COMPUTED_VALUE"""),45602.5170138888)</f>
        <v>45602.517013888799</v>
      </c>
      <c r="C1026" s="7" t="str">
        <f ca="1">IFERROR(__xludf.UNSUPPORTED("""COMPUTED_VALUE"""),"Maceió")</f>
        <v>Maceió</v>
      </c>
      <c r="D1026" s="3" t="str">
        <f ca="1">IFERROR(__xludf.UNSUPPORTED("""COMPUTED_VALUE"""),"🚢 REGULAR")</f>
        <v>🚢 REGULAR</v>
      </c>
      <c r="E1026" s="3" t="str">
        <f ca="1">IFERROR(__xludf.UNSUPPORTED("""COMPUTED_VALUE"""),"🚛 LIBERADO")</f>
        <v>🚛 LIBERADO</v>
      </c>
      <c r="F1026" s="5">
        <f ca="1">IFERROR(__xludf.UNSUPPORTED("""COMPUTED_VALUE"""),0)</f>
        <v>0</v>
      </c>
      <c r="G1026" s="3" t="str">
        <f ca="1">IFERROR(__xludf.UNSUPPORTED("""COMPUTED_VALUE"""),"Normalidade")</f>
        <v>Normalidade</v>
      </c>
      <c r="H1026" s="4">
        <f ca="1">IFERROR(__xludf.UNSUPPORTED("""COMPUTED_VALUE"""),45602.5170138888)</f>
        <v>45602.517013888799</v>
      </c>
      <c r="I1026" s="3">
        <f ca="1">IFERROR(__xludf.UNSUPPORTED("""COMPUTED_VALUE"""),24)</f>
        <v>24</v>
      </c>
      <c r="J1026" s="4">
        <f ca="1">IFERROR(__xludf.UNSUPPORTED("""COMPUTED_VALUE"""),45603.5170138888)</f>
        <v>45603.517013888799</v>
      </c>
      <c r="L1026" s="3" t="str">
        <f ca="1">IFERROR(__xludf.UNSUPPORTED("""COMPUTED_VALUE"""),"Normalidade")</f>
        <v>Normalidade</v>
      </c>
    </row>
    <row r="1027" spans="1:12" ht="12.75">
      <c r="A1027" s="3" t="str">
        <f ca="1">IFERROR(__xludf.UNSUPPORTED("""COMPUTED_VALUE"""),"1e00d95e")</f>
        <v>1e00d95e</v>
      </c>
      <c r="B1027" s="4">
        <f ca="1">IFERROR(__xludf.UNSUPPORTED("""COMPUTED_VALUE"""),45642.4815162037)</f>
        <v>45642.481516203698</v>
      </c>
      <c r="C1027" s="8" t="str">
        <f ca="1">IFERROR(__xludf.UNSUPPORTED("""COMPUTED_VALUE"""),"Maceió")</f>
        <v>Maceió</v>
      </c>
      <c r="D1027" s="3" t="str">
        <f ca="1">IFERROR(__xludf.UNSUPPORTED("""COMPUTED_VALUE"""),"🚢 REGULAR")</f>
        <v>🚢 REGULAR</v>
      </c>
      <c r="E1027" s="3" t="str">
        <f ca="1">IFERROR(__xludf.UNSUPPORTED("""COMPUTED_VALUE"""),"🚛 LIBERADO")</f>
        <v>🚛 LIBERADO</v>
      </c>
      <c r="F1027" s="5">
        <f ca="1">IFERROR(__xludf.UNSUPPORTED("""COMPUTED_VALUE"""),0)</f>
        <v>0</v>
      </c>
      <c r="G1027" s="3" t="str">
        <f ca="1">IFERROR(__xludf.UNSUPPORTED("""COMPUTED_VALUE"""),"Normalidade")</f>
        <v>Normalidade</v>
      </c>
      <c r="H1027" s="4">
        <f ca="1">IFERROR(__xludf.UNSUPPORTED("""COMPUTED_VALUE"""),45642.4815162037)</f>
        <v>45642.481516203698</v>
      </c>
      <c r="I1027" s="3">
        <f ca="1">IFERROR(__xludf.UNSUPPORTED("""COMPUTED_VALUE"""),24)</f>
        <v>24</v>
      </c>
      <c r="J1027" s="4">
        <f ca="1">IFERROR(__xludf.UNSUPPORTED("""COMPUTED_VALUE"""),45643.4815162037)</f>
        <v>45643.481516203698</v>
      </c>
      <c r="L1027" s="3" t="str">
        <f ca="1">IFERROR(__xludf.UNSUPPORTED("""COMPUTED_VALUE"""),"Normalidade")</f>
        <v>Normalidade</v>
      </c>
    </row>
    <row r="1028" spans="1:12" ht="12.75">
      <c r="A1028" s="3" t="str">
        <f ca="1">IFERROR(__xludf.UNSUPPORTED("""COMPUTED_VALUE"""),"2d6aa85d")</f>
        <v>2d6aa85d</v>
      </c>
      <c r="B1028" s="4">
        <f ca="1">IFERROR(__xludf.UNSUPPORTED("""COMPUTED_VALUE"""),45643.4605208333)</f>
        <v>45643.460520833301</v>
      </c>
      <c r="C1028" s="7" t="str">
        <f ca="1">IFERROR(__xludf.UNSUPPORTED("""COMPUTED_VALUE"""),"Maceió")</f>
        <v>Maceió</v>
      </c>
      <c r="D1028" s="3" t="str">
        <f ca="1">IFERROR(__xludf.UNSUPPORTED("""COMPUTED_VALUE"""),"🚢 REGULAR")</f>
        <v>🚢 REGULAR</v>
      </c>
      <c r="E1028" s="3" t="str">
        <f ca="1">IFERROR(__xludf.UNSUPPORTED("""COMPUTED_VALUE"""),"🚛 LIBERADO")</f>
        <v>🚛 LIBERADO</v>
      </c>
      <c r="F1028" s="5">
        <f ca="1">IFERROR(__xludf.UNSUPPORTED("""COMPUTED_VALUE"""),0)</f>
        <v>0</v>
      </c>
      <c r="G1028" s="3" t="str">
        <f ca="1">IFERROR(__xludf.UNSUPPORTED("""COMPUTED_VALUE"""),"Normalidade")</f>
        <v>Normalidade</v>
      </c>
      <c r="H1028" s="4">
        <f ca="1">IFERROR(__xludf.UNSUPPORTED("""COMPUTED_VALUE"""),45643.4605208333)</f>
        <v>45643.460520833301</v>
      </c>
      <c r="I1028" s="3">
        <f ca="1">IFERROR(__xludf.UNSUPPORTED("""COMPUTED_VALUE"""),24)</f>
        <v>24</v>
      </c>
      <c r="J1028" s="4">
        <f ca="1">IFERROR(__xludf.UNSUPPORTED("""COMPUTED_VALUE"""),45644.4605208333)</f>
        <v>45644.460520833301</v>
      </c>
      <c r="L1028" s="3" t="str">
        <f ca="1">IFERROR(__xludf.UNSUPPORTED("""COMPUTED_VALUE"""),"Normalidade")</f>
        <v>Normalidade</v>
      </c>
    </row>
    <row r="1029" spans="1:12" ht="12.75">
      <c r="A1029" s="3" t="str">
        <f ca="1">IFERROR(__xludf.UNSUPPORTED("""COMPUTED_VALUE"""),"8afdfbd9")</f>
        <v>8afdfbd9</v>
      </c>
      <c r="B1029" s="4">
        <f ca="1">IFERROR(__xludf.UNSUPPORTED("""COMPUTED_VALUE"""),45653.376574074)</f>
        <v>45653.376574073998</v>
      </c>
      <c r="C1029" s="8" t="str">
        <f ca="1">IFERROR(__xludf.UNSUPPORTED("""COMPUTED_VALUE"""),"Maceió")</f>
        <v>Maceió</v>
      </c>
      <c r="D1029" s="3" t="str">
        <f ca="1">IFERROR(__xludf.UNSUPPORTED("""COMPUTED_VALUE"""),"🚢 REGULAR")</f>
        <v>🚢 REGULAR</v>
      </c>
      <c r="E1029" s="3" t="str">
        <f ca="1">IFERROR(__xludf.UNSUPPORTED("""COMPUTED_VALUE"""),"🚛 LIBERADO")</f>
        <v>🚛 LIBERADO</v>
      </c>
      <c r="F1029" s="5">
        <f ca="1">IFERROR(__xludf.UNSUPPORTED("""COMPUTED_VALUE"""),0)</f>
        <v>0</v>
      </c>
      <c r="G1029" s="3" t="str">
        <f ca="1">IFERROR(__xludf.UNSUPPORTED("""COMPUTED_VALUE"""),"Normalidade")</f>
        <v>Normalidade</v>
      </c>
      <c r="H1029" s="4">
        <f ca="1">IFERROR(__xludf.UNSUPPORTED("""COMPUTED_VALUE"""),45653.376574074)</f>
        <v>45653.376574073998</v>
      </c>
      <c r="I1029" s="3">
        <f ca="1">IFERROR(__xludf.UNSUPPORTED("""COMPUTED_VALUE"""),24)</f>
        <v>24</v>
      </c>
      <c r="J1029" s="4">
        <f ca="1">IFERROR(__xludf.UNSUPPORTED("""COMPUTED_VALUE"""),45654.376574074)</f>
        <v>45654.376574073998</v>
      </c>
      <c r="L1029" s="3" t="str">
        <f ca="1">IFERROR(__xludf.UNSUPPORTED("""COMPUTED_VALUE"""),"Normalidade")</f>
        <v>Normalidade</v>
      </c>
    </row>
    <row r="1030" spans="1:12" ht="12.75">
      <c r="A1030" s="3" t="str">
        <f ca="1">IFERROR(__xludf.UNSUPPORTED("""COMPUTED_VALUE"""),"7ed9f484")</f>
        <v>7ed9f484</v>
      </c>
      <c r="B1030" s="4">
        <f ca="1">IFERROR(__xludf.UNSUPPORTED("""COMPUTED_VALUE"""),45659.4705092592)</f>
        <v>45659.470509259198</v>
      </c>
      <c r="C1030" s="7" t="str">
        <f ca="1">IFERROR(__xludf.UNSUPPORTED("""COMPUTED_VALUE"""),"Maceió")</f>
        <v>Maceió</v>
      </c>
      <c r="D1030" s="3" t="str">
        <f ca="1">IFERROR(__xludf.UNSUPPORTED("""COMPUTED_VALUE"""),"🚢 REGULAR")</f>
        <v>🚢 REGULAR</v>
      </c>
      <c r="E1030" s="3" t="str">
        <f ca="1">IFERROR(__xludf.UNSUPPORTED("""COMPUTED_VALUE"""),"🚛 LIBERADO")</f>
        <v>🚛 LIBERADO</v>
      </c>
      <c r="F1030" s="5">
        <f ca="1">IFERROR(__xludf.UNSUPPORTED("""COMPUTED_VALUE"""),0)</f>
        <v>0</v>
      </c>
      <c r="G1030" s="3" t="str">
        <f ca="1">IFERROR(__xludf.UNSUPPORTED("""COMPUTED_VALUE"""),"Normalidade")</f>
        <v>Normalidade</v>
      </c>
      <c r="H1030" s="4">
        <f ca="1">IFERROR(__xludf.UNSUPPORTED("""COMPUTED_VALUE"""),45659.4705092592)</f>
        <v>45659.470509259198</v>
      </c>
      <c r="I1030" s="3">
        <f ca="1">IFERROR(__xludf.UNSUPPORTED("""COMPUTED_VALUE"""),24)</f>
        <v>24</v>
      </c>
      <c r="J1030" s="4">
        <f ca="1">IFERROR(__xludf.UNSUPPORTED("""COMPUTED_VALUE"""),45660.4705092592)</f>
        <v>45660.470509259198</v>
      </c>
      <c r="L1030" s="3" t="str">
        <f ca="1">IFERROR(__xludf.UNSUPPORTED("""COMPUTED_VALUE"""),"Normalidade")</f>
        <v>Normalidade</v>
      </c>
    </row>
    <row r="1031" spans="1:12" ht="12.75">
      <c r="A1031" s="3" t="str">
        <f ca="1">IFERROR(__xludf.UNSUPPORTED("""COMPUTED_VALUE"""),"a6da9538")</f>
        <v>a6da9538</v>
      </c>
      <c r="B1031" s="4">
        <f ca="1">IFERROR(__xludf.UNSUPPORTED("""COMPUTED_VALUE"""),45663.4478935185)</f>
        <v>45663.447893518503</v>
      </c>
      <c r="C1031" s="7" t="str">
        <f ca="1">IFERROR(__xludf.UNSUPPORTED("""COMPUTED_VALUE"""),"Maceió")</f>
        <v>Maceió</v>
      </c>
      <c r="D1031" s="3" t="str">
        <f ca="1">IFERROR(__xludf.UNSUPPORTED("""COMPUTED_VALUE"""),"🚢 REGULAR")</f>
        <v>🚢 REGULAR</v>
      </c>
      <c r="E1031" s="3" t="str">
        <f ca="1">IFERROR(__xludf.UNSUPPORTED("""COMPUTED_VALUE"""),"🚛 LIBERADO")</f>
        <v>🚛 LIBERADO</v>
      </c>
      <c r="F1031" s="5">
        <f ca="1">IFERROR(__xludf.UNSUPPORTED("""COMPUTED_VALUE"""),0)</f>
        <v>0</v>
      </c>
      <c r="G1031" s="3" t="str">
        <f ca="1">IFERROR(__xludf.UNSUPPORTED("""COMPUTED_VALUE"""),"Normalidade")</f>
        <v>Normalidade</v>
      </c>
      <c r="H1031" s="4">
        <f ca="1">IFERROR(__xludf.UNSUPPORTED("""COMPUTED_VALUE"""),45663.4478935185)</f>
        <v>45663.447893518503</v>
      </c>
      <c r="I1031" s="3">
        <f ca="1">IFERROR(__xludf.UNSUPPORTED("""COMPUTED_VALUE"""),24)</f>
        <v>24</v>
      </c>
      <c r="J1031" s="4">
        <f ca="1">IFERROR(__xludf.UNSUPPORTED("""COMPUTED_VALUE"""),45664.4478935185)</f>
        <v>45664.447893518503</v>
      </c>
      <c r="L1031" s="3" t="str">
        <f ca="1">IFERROR(__xludf.UNSUPPORTED("""COMPUTED_VALUE"""),"Normalidade")</f>
        <v>Normalidade</v>
      </c>
    </row>
    <row r="1032" spans="1:12" ht="12.75">
      <c r="A1032" s="3" t="str">
        <f ca="1">IFERROR(__xludf.UNSUPPORTED("""COMPUTED_VALUE"""),"3bf7bb96")</f>
        <v>3bf7bb96</v>
      </c>
      <c r="B1032" s="4">
        <f ca="1">IFERROR(__xludf.UNSUPPORTED("""COMPUTED_VALUE"""),45665.4664236111)</f>
        <v>45665.466423611098</v>
      </c>
      <c r="C1032" s="7" t="str">
        <f ca="1">IFERROR(__xludf.UNSUPPORTED("""COMPUTED_VALUE"""),"Maceió")</f>
        <v>Maceió</v>
      </c>
      <c r="D1032" s="3" t="str">
        <f ca="1">IFERROR(__xludf.UNSUPPORTED("""COMPUTED_VALUE"""),"🚢 REGULAR")</f>
        <v>🚢 REGULAR</v>
      </c>
      <c r="E1032" s="3" t="str">
        <f ca="1">IFERROR(__xludf.UNSUPPORTED("""COMPUTED_VALUE"""),"🚛 LIBERADO")</f>
        <v>🚛 LIBERADO</v>
      </c>
      <c r="F1032" s="5">
        <f ca="1">IFERROR(__xludf.UNSUPPORTED("""COMPUTED_VALUE"""),0)</f>
        <v>0</v>
      </c>
      <c r="G1032" s="3" t="str">
        <f ca="1">IFERROR(__xludf.UNSUPPORTED("""COMPUTED_VALUE"""),"Normalidade")</f>
        <v>Normalidade</v>
      </c>
      <c r="H1032" s="4">
        <f ca="1">IFERROR(__xludf.UNSUPPORTED("""COMPUTED_VALUE"""),45665.4664236111)</f>
        <v>45665.466423611098</v>
      </c>
      <c r="I1032" s="3">
        <f ca="1">IFERROR(__xludf.UNSUPPORTED("""COMPUTED_VALUE"""),24)</f>
        <v>24</v>
      </c>
      <c r="J1032" s="4">
        <f ca="1">IFERROR(__xludf.UNSUPPORTED("""COMPUTED_VALUE"""),45666.4664236111)</f>
        <v>45666.466423611098</v>
      </c>
      <c r="L1032" s="3" t="str">
        <f ca="1">IFERROR(__xludf.UNSUPPORTED("""COMPUTED_VALUE"""),"Normalidade")</f>
        <v>Normalidade</v>
      </c>
    </row>
    <row r="1033" spans="1:12" ht="12.75">
      <c r="A1033" s="3" t="str">
        <f ca="1">IFERROR(__xludf.UNSUPPORTED("""COMPUTED_VALUE"""),"931ce20a")</f>
        <v>931ce20a</v>
      </c>
      <c r="B1033" s="4">
        <f ca="1">IFERROR(__xludf.UNSUPPORTED("""COMPUTED_VALUE"""),44869.3928356481)</f>
        <v>44869.392835648097</v>
      </c>
      <c r="C1033" s="8" t="str">
        <f ca="1">IFERROR(__xludf.UNSUPPORTED("""COMPUTED_VALUE"""),"Manaus")</f>
        <v>Manaus</v>
      </c>
      <c r="D1033" s="3" t="str">
        <f ca="1">IFERROR(__xludf.UNSUPPORTED("""COMPUTED_VALUE"""),"🚢 REGULAR")</f>
        <v>🚢 REGULAR</v>
      </c>
      <c r="E1033" s="3" t="str">
        <f ca="1">IFERROR(__xludf.UNSUPPORTED("""COMPUTED_VALUE"""),"🚛 LIBERADO")</f>
        <v>🚛 LIBERADO</v>
      </c>
      <c r="F1033" s="5">
        <f ca="1">IFERROR(__xludf.UNSUPPORTED("""COMPUTED_VALUE"""),0)</f>
        <v>0</v>
      </c>
      <c r="G1033" s="3" t="str">
        <f ca="1">IFERROR(__xludf.UNSUPPORTED("""COMPUTED_VALUE"""),"Operação normal")</f>
        <v>Operação normal</v>
      </c>
      <c r="H1033" s="4">
        <f ca="1">IFERROR(__xludf.UNSUPPORTED("""COMPUTED_VALUE"""),44869.3928356481)</f>
        <v>44869.392835648097</v>
      </c>
      <c r="I1033" s="3">
        <f ca="1">IFERROR(__xludf.UNSUPPORTED("""COMPUTED_VALUE"""),1)</f>
        <v>1</v>
      </c>
      <c r="J1033" s="4">
        <f ca="1">IFERROR(__xludf.UNSUPPORTED("""COMPUTED_VALUE"""),44869.4345023148)</f>
        <v>44869.434502314798</v>
      </c>
    </row>
    <row r="1034" spans="1:12" ht="12.75">
      <c r="A1034" s="3" t="str">
        <f ca="1">IFERROR(__xludf.UNSUPPORTED("""COMPUTED_VALUE"""),"29c93eea")</f>
        <v>29c93eea</v>
      </c>
      <c r="B1034" s="4">
        <f ca="1">IFERROR(__xludf.UNSUPPORTED("""COMPUTED_VALUE"""),44886.3396296296)</f>
        <v>44886.339629629598</v>
      </c>
      <c r="C1034" s="7" t="str">
        <f ca="1">IFERROR(__xludf.UNSUPPORTED("""COMPUTED_VALUE"""),"Manaus")</f>
        <v>Manaus</v>
      </c>
      <c r="D1034" s="3" t="str">
        <f ca="1">IFERROR(__xludf.UNSUPPORTED("""COMPUTED_VALUE"""),"🚢 REGULAR")</f>
        <v>🚢 REGULAR</v>
      </c>
      <c r="E1034" s="3" t="str">
        <f ca="1">IFERROR(__xludf.UNSUPPORTED("""COMPUTED_VALUE"""),"🚛 LIBERADO")</f>
        <v>🚛 LIBERADO</v>
      </c>
      <c r="F1034" s="5">
        <f ca="1">IFERROR(__xludf.UNSUPPORTED("""COMPUTED_VALUE"""),0)</f>
        <v>0</v>
      </c>
      <c r="G1034" s="3" t="str">
        <f ca="1">IFERROR(__xludf.UNSUPPORTED("""COMPUTED_VALUE"""),"Situação de operação normal")</f>
        <v>Situação de operação normal</v>
      </c>
      <c r="H1034" s="4">
        <f ca="1">IFERROR(__xludf.UNSUPPORTED("""COMPUTED_VALUE"""),44886.3396296296)</f>
        <v>44886.339629629598</v>
      </c>
      <c r="I1034" s="3">
        <f ca="1">IFERROR(__xludf.UNSUPPORTED("""COMPUTED_VALUE"""),24)</f>
        <v>24</v>
      </c>
      <c r="J1034" s="4">
        <f ca="1">IFERROR(__xludf.UNSUPPORTED("""COMPUTED_VALUE"""),44887.3396296296)</f>
        <v>44887.339629629598</v>
      </c>
    </row>
    <row r="1035" spans="1:12" ht="12.75">
      <c r="A1035" s="3" t="str">
        <f ca="1">IFERROR(__xludf.UNSUPPORTED("""COMPUTED_VALUE"""),"e0965073")</f>
        <v>e0965073</v>
      </c>
      <c r="B1035" s="4">
        <f ca="1">IFERROR(__xludf.UNSUPPORTED("""COMPUTED_VALUE"""),44888.391574074)</f>
        <v>44888.391574073998</v>
      </c>
      <c r="C1035" s="8" t="str">
        <f ca="1">IFERROR(__xludf.UNSUPPORTED("""COMPUTED_VALUE"""),"Manaus")</f>
        <v>Manaus</v>
      </c>
      <c r="D1035" s="3" t="str">
        <f ca="1">IFERROR(__xludf.UNSUPPORTED("""COMPUTED_VALUE"""),"🚢 REGULAR")</f>
        <v>🚢 REGULAR</v>
      </c>
      <c r="E1035" s="3" t="str">
        <f ca="1">IFERROR(__xludf.UNSUPPORTED("""COMPUTED_VALUE"""),"🚛 LIBERADO")</f>
        <v>🚛 LIBERADO</v>
      </c>
      <c r="F1035" s="5">
        <f ca="1">IFERROR(__xludf.UNSUPPORTED("""COMPUTED_VALUE"""),0)</f>
        <v>0</v>
      </c>
      <c r="G1035" s="3" t="str">
        <f ca="1">IFERROR(__xludf.UNSUPPORTED("""COMPUTED_VALUE"""),"Normal")</f>
        <v>Normal</v>
      </c>
      <c r="H1035" s="4">
        <f ca="1">IFERROR(__xludf.UNSUPPORTED("""COMPUTED_VALUE"""),44888.391574074)</f>
        <v>44888.391574073998</v>
      </c>
      <c r="I1035" s="3">
        <f ca="1">IFERROR(__xludf.UNSUPPORTED("""COMPUTED_VALUE"""),24)</f>
        <v>24</v>
      </c>
      <c r="J1035" s="4">
        <f ca="1">IFERROR(__xludf.UNSUPPORTED("""COMPUTED_VALUE"""),44889.391574074)</f>
        <v>44889.391574073998</v>
      </c>
    </row>
    <row r="1036" spans="1:12" ht="12.75">
      <c r="A1036" s="3" t="str">
        <f ca="1">IFERROR(__xludf.UNSUPPORTED("""COMPUTED_VALUE"""),"7318849e")</f>
        <v>7318849e</v>
      </c>
      <c r="B1036" s="4">
        <f ca="1">IFERROR(__xludf.UNSUPPORTED("""COMPUTED_VALUE"""),44889.382511574)</f>
        <v>44889.382511573996</v>
      </c>
      <c r="C1036" s="8" t="str">
        <f ca="1">IFERROR(__xludf.UNSUPPORTED("""COMPUTED_VALUE"""),"Manaus")</f>
        <v>Manaus</v>
      </c>
      <c r="D1036" s="3" t="str">
        <f ca="1">IFERROR(__xludf.UNSUPPORTED("""COMPUTED_VALUE"""),"🚢 REGULAR")</f>
        <v>🚢 REGULAR</v>
      </c>
      <c r="E1036" s="3" t="str">
        <f ca="1">IFERROR(__xludf.UNSUPPORTED("""COMPUTED_VALUE"""),"🚛 LIBERADO")</f>
        <v>🚛 LIBERADO</v>
      </c>
      <c r="F1036" s="5">
        <f ca="1">IFERROR(__xludf.UNSUPPORTED("""COMPUTED_VALUE"""),0.25)</f>
        <v>0.25</v>
      </c>
      <c r="G1036" s="3" t="str">
        <f ca="1">IFERROR(__xludf.UNSUPPORTED("""COMPUTED_VALUE"""),"Operação regular")</f>
        <v>Operação regular</v>
      </c>
      <c r="H1036" s="4">
        <f ca="1">IFERROR(__xludf.UNSUPPORTED("""COMPUTED_VALUE"""),44889.382511574)</f>
        <v>44889.382511573996</v>
      </c>
      <c r="I1036" s="3">
        <f ca="1">IFERROR(__xludf.UNSUPPORTED("""COMPUTED_VALUE"""),24)</f>
        <v>24</v>
      </c>
      <c r="J1036" s="4">
        <f ca="1">IFERROR(__xludf.UNSUPPORTED("""COMPUTED_VALUE"""),44890.382511574)</f>
        <v>44890.382511573996</v>
      </c>
    </row>
    <row r="1037" spans="1:12" ht="12.75">
      <c r="A1037" s="3" t="str">
        <f ca="1">IFERROR(__xludf.UNSUPPORTED("""COMPUTED_VALUE"""),"9d480199")</f>
        <v>9d480199</v>
      </c>
      <c r="B1037" s="4">
        <f ca="1">IFERROR(__xludf.UNSUPPORTED("""COMPUTED_VALUE"""),44890.6289351851)</f>
        <v>44890.628935185101</v>
      </c>
      <c r="C1037" s="8" t="str">
        <f ca="1">IFERROR(__xludf.UNSUPPORTED("""COMPUTED_VALUE"""),"Manaus")</f>
        <v>Manaus</v>
      </c>
      <c r="D1037" s="3" t="str">
        <f ca="1">IFERROR(__xludf.UNSUPPORTED("""COMPUTED_VALUE"""),"🚢 REGULAR")</f>
        <v>🚢 REGULAR</v>
      </c>
      <c r="E1037" s="3" t="str">
        <f ca="1">IFERROR(__xludf.UNSUPPORTED("""COMPUTED_VALUE"""),"🚛 LIBERADO")</f>
        <v>🚛 LIBERADO</v>
      </c>
      <c r="F1037" s="5">
        <f ca="1">IFERROR(__xludf.UNSUPPORTED("""COMPUTED_VALUE"""),0)</f>
        <v>0</v>
      </c>
      <c r="G1037" s="3" t="str">
        <f ca="1">IFERROR(__xludf.UNSUPPORTED("""COMPUTED_VALUE"""),"Normal")</f>
        <v>Normal</v>
      </c>
      <c r="H1037" s="4">
        <f ca="1">IFERROR(__xludf.UNSUPPORTED("""COMPUTED_VALUE"""),44890.6289351851)</f>
        <v>44890.628935185101</v>
      </c>
      <c r="I1037" s="3">
        <f ca="1">IFERROR(__xludf.UNSUPPORTED("""COMPUTED_VALUE"""),24)</f>
        <v>24</v>
      </c>
      <c r="J1037" s="4">
        <f ca="1">IFERROR(__xludf.UNSUPPORTED("""COMPUTED_VALUE"""),44891.6289351851)</f>
        <v>44891.628935185101</v>
      </c>
    </row>
    <row r="1038" spans="1:12" ht="12.75">
      <c r="A1038" s="3" t="str">
        <f ca="1">IFERROR(__xludf.UNSUPPORTED("""COMPUTED_VALUE"""),"a333ae32")</f>
        <v>a333ae32</v>
      </c>
      <c r="B1038" s="4">
        <f ca="1">IFERROR(__xludf.UNSUPPORTED("""COMPUTED_VALUE"""),44893.3666435185)</f>
        <v>44893.3666435185</v>
      </c>
      <c r="C1038" s="8" t="str">
        <f ca="1">IFERROR(__xludf.UNSUPPORTED("""COMPUTED_VALUE"""),"Manaus")</f>
        <v>Manaus</v>
      </c>
      <c r="D1038" s="3" t="str">
        <f ca="1">IFERROR(__xludf.UNSUPPORTED("""COMPUTED_VALUE"""),"🚢 REGULAR")</f>
        <v>🚢 REGULAR</v>
      </c>
      <c r="E1038" s="3" t="str">
        <f ca="1">IFERROR(__xludf.UNSUPPORTED("""COMPUTED_VALUE"""),"🚛 LIBERADO")</f>
        <v>🚛 LIBERADO</v>
      </c>
      <c r="F1038" s="5">
        <f ca="1">IFERROR(__xludf.UNSUPPORTED("""COMPUTED_VALUE"""),0)</f>
        <v>0</v>
      </c>
      <c r="G1038" s="3" t="str">
        <f ca="1">IFERROR(__xludf.UNSUPPORTED("""COMPUTED_VALUE"""),"Operação normal")</f>
        <v>Operação normal</v>
      </c>
      <c r="H1038" s="4">
        <f ca="1">IFERROR(__xludf.UNSUPPORTED("""COMPUTED_VALUE"""),44893.3666435185)</f>
        <v>44893.3666435185</v>
      </c>
      <c r="I1038" s="3">
        <f ca="1">IFERROR(__xludf.UNSUPPORTED("""COMPUTED_VALUE"""),23)</f>
        <v>23</v>
      </c>
      <c r="J1038" s="4">
        <f ca="1">IFERROR(__xludf.UNSUPPORTED("""COMPUTED_VALUE"""),44894.3249768518)</f>
        <v>44894.3249768518</v>
      </c>
    </row>
    <row r="1039" spans="1:12" ht="12.75">
      <c r="A1039" s="3" t="str">
        <f ca="1">IFERROR(__xludf.UNSUPPORTED("""COMPUTED_VALUE"""),"15f9c1d2")</f>
        <v>15f9c1d2</v>
      </c>
      <c r="B1039" s="4">
        <f ca="1">IFERROR(__xludf.UNSUPPORTED("""COMPUTED_VALUE"""),44894.3186458333)</f>
        <v>44894.3186458333</v>
      </c>
      <c r="C1039" s="8" t="str">
        <f ca="1">IFERROR(__xludf.UNSUPPORTED("""COMPUTED_VALUE"""),"Manaus")</f>
        <v>Manaus</v>
      </c>
      <c r="D1039" s="3" t="str">
        <f ca="1">IFERROR(__xludf.UNSUPPORTED("""COMPUTED_VALUE"""),"🚢 REGULAR")</f>
        <v>🚢 REGULAR</v>
      </c>
      <c r="E1039" s="3" t="str">
        <f ca="1">IFERROR(__xludf.UNSUPPORTED("""COMPUTED_VALUE"""),"🚛 LIBERADO")</f>
        <v>🚛 LIBERADO</v>
      </c>
      <c r="F1039" s="5">
        <f ca="1">IFERROR(__xludf.UNSUPPORTED("""COMPUTED_VALUE"""),0)</f>
        <v>0</v>
      </c>
      <c r="G1039" s="3" t="str">
        <f ca="1">IFERROR(__xludf.UNSUPPORTED("""COMPUTED_VALUE"""),"Operação  normal")</f>
        <v>Operação  normal</v>
      </c>
      <c r="H1039" s="4">
        <f ca="1">IFERROR(__xludf.UNSUPPORTED("""COMPUTED_VALUE"""),44894.3186458333)</f>
        <v>44894.3186458333</v>
      </c>
      <c r="I1039" s="3">
        <f ca="1">IFERROR(__xludf.UNSUPPORTED("""COMPUTED_VALUE"""),24)</f>
        <v>24</v>
      </c>
      <c r="J1039" s="4">
        <f ca="1">IFERROR(__xludf.UNSUPPORTED("""COMPUTED_VALUE"""),44895.3186458333)</f>
        <v>44895.3186458333</v>
      </c>
    </row>
    <row r="1040" spans="1:12" ht="12.75">
      <c r="A1040" s="3" t="str">
        <f ca="1">IFERROR(__xludf.UNSUPPORTED("""COMPUTED_VALUE"""),"9236a7e8")</f>
        <v>9236a7e8</v>
      </c>
      <c r="B1040" s="4">
        <f ca="1">IFERROR(__xludf.UNSUPPORTED("""COMPUTED_VALUE"""),44896.3698842592)</f>
        <v>44896.369884259198</v>
      </c>
      <c r="C1040" s="8" t="str">
        <f ca="1">IFERROR(__xludf.UNSUPPORTED("""COMPUTED_VALUE"""),"Manaus")</f>
        <v>Manaus</v>
      </c>
      <c r="D1040" s="3" t="str">
        <f ca="1">IFERROR(__xludf.UNSUPPORTED("""COMPUTED_VALUE"""),"🚢 REGULAR")</f>
        <v>🚢 REGULAR</v>
      </c>
      <c r="E1040" s="3" t="str">
        <f ca="1">IFERROR(__xludf.UNSUPPORTED("""COMPUTED_VALUE"""),"🚛 LIBERADO")</f>
        <v>🚛 LIBERADO</v>
      </c>
      <c r="F1040" s="5">
        <f ca="1">IFERROR(__xludf.UNSUPPORTED("""COMPUTED_VALUE"""),0)</f>
        <v>0</v>
      </c>
      <c r="G1040" s="3" t="str">
        <f ca="1">IFERROR(__xludf.UNSUPPORTED("""COMPUTED_VALUE"""),"Operação normal")</f>
        <v>Operação normal</v>
      </c>
      <c r="H1040" s="4">
        <f ca="1">IFERROR(__xludf.UNSUPPORTED("""COMPUTED_VALUE"""),44896.3698842592)</f>
        <v>44896.369884259198</v>
      </c>
      <c r="I1040" s="3">
        <f ca="1">IFERROR(__xludf.UNSUPPORTED("""COMPUTED_VALUE"""),24)</f>
        <v>24</v>
      </c>
      <c r="J1040" s="4">
        <f ca="1">IFERROR(__xludf.UNSUPPORTED("""COMPUTED_VALUE"""),44897.3698842592)</f>
        <v>44897.369884259198</v>
      </c>
    </row>
    <row r="1041" spans="1:12" ht="12.75">
      <c r="A1041" s="3" t="str">
        <f ca="1">IFERROR(__xludf.UNSUPPORTED("""COMPUTED_VALUE"""),"dd2a120d")</f>
        <v>dd2a120d</v>
      </c>
      <c r="B1041" s="4">
        <f ca="1">IFERROR(__xludf.UNSUPPORTED("""COMPUTED_VALUE"""),44900.4601041666)</f>
        <v>44900.460104166603</v>
      </c>
      <c r="C1041" s="7" t="str">
        <f ca="1">IFERROR(__xludf.UNSUPPORTED("""COMPUTED_VALUE"""),"Manaus")</f>
        <v>Manaus</v>
      </c>
      <c r="D1041" s="3" t="str">
        <f ca="1">IFERROR(__xludf.UNSUPPORTED("""COMPUTED_VALUE"""),"🚢 REGULAR")</f>
        <v>🚢 REGULAR</v>
      </c>
      <c r="E1041" s="3" t="str">
        <f ca="1">IFERROR(__xludf.UNSUPPORTED("""COMPUTED_VALUE"""),"🚛 LIBERADO")</f>
        <v>🚛 LIBERADO</v>
      </c>
      <c r="F1041" s="5">
        <f ca="1">IFERROR(__xludf.UNSUPPORTED("""COMPUTED_VALUE"""),0)</f>
        <v>0</v>
      </c>
      <c r="G1041" s="3" t="str">
        <f ca="1">IFERROR(__xludf.UNSUPPORTED("""COMPUTED_VALUE"""),"Normal")</f>
        <v>Normal</v>
      </c>
      <c r="H1041" s="4">
        <f ca="1">IFERROR(__xludf.UNSUPPORTED("""COMPUTED_VALUE"""),44900.4601041666)</f>
        <v>44900.460104166603</v>
      </c>
      <c r="I1041" s="3">
        <f ca="1">IFERROR(__xludf.UNSUPPORTED("""COMPUTED_VALUE"""),24)</f>
        <v>24</v>
      </c>
      <c r="J1041" s="4">
        <f ca="1">IFERROR(__xludf.UNSUPPORTED("""COMPUTED_VALUE"""),44901.4601041666)</f>
        <v>44901.460104166603</v>
      </c>
    </row>
    <row r="1042" spans="1:12" ht="12.75">
      <c r="A1042" s="3" t="str">
        <f ca="1">IFERROR(__xludf.UNSUPPORTED("""COMPUTED_VALUE"""),"f5eedb5c")</f>
        <v>f5eedb5c</v>
      </c>
      <c r="B1042" s="4">
        <f ca="1">IFERROR(__xludf.UNSUPPORTED("""COMPUTED_VALUE"""),44907.3747685185)</f>
        <v>44907.374768518501</v>
      </c>
      <c r="C1042" s="8" t="str">
        <f ca="1">IFERROR(__xludf.UNSUPPORTED("""COMPUTED_VALUE"""),"Manaus")</f>
        <v>Manaus</v>
      </c>
      <c r="D1042" s="3" t="str">
        <f ca="1">IFERROR(__xludf.UNSUPPORTED("""COMPUTED_VALUE"""),"🚢 REGULAR")</f>
        <v>🚢 REGULAR</v>
      </c>
      <c r="E1042" s="3" t="str">
        <f ca="1">IFERROR(__xludf.UNSUPPORTED("""COMPUTED_VALUE"""),"🚛 LIBERADO")</f>
        <v>🚛 LIBERADO</v>
      </c>
      <c r="F1042" s="5">
        <f ca="1">IFERROR(__xludf.UNSUPPORTED("""COMPUTED_VALUE"""),0)</f>
        <v>0</v>
      </c>
      <c r="G1042" s="3" t="str">
        <f ca="1">IFERROR(__xludf.UNSUPPORTED("""COMPUTED_VALUE"""),"Operação normal")</f>
        <v>Operação normal</v>
      </c>
      <c r="H1042" s="4">
        <f ca="1">IFERROR(__xludf.UNSUPPORTED("""COMPUTED_VALUE"""),44907.3747685185)</f>
        <v>44907.374768518501</v>
      </c>
      <c r="I1042" s="3">
        <f ca="1">IFERROR(__xludf.UNSUPPORTED("""COMPUTED_VALUE"""),24)</f>
        <v>24</v>
      </c>
      <c r="J1042" s="4">
        <f ca="1">IFERROR(__xludf.UNSUPPORTED("""COMPUTED_VALUE"""),44908.3747685185)</f>
        <v>44908.374768518501</v>
      </c>
    </row>
    <row r="1043" spans="1:12" ht="12.75">
      <c r="A1043" s="3" t="str">
        <f ca="1">IFERROR(__xludf.UNSUPPORTED("""COMPUTED_VALUE"""),"9d064597")</f>
        <v>9d064597</v>
      </c>
      <c r="B1043" s="4">
        <f ca="1">IFERROR(__xludf.UNSUPPORTED("""COMPUTED_VALUE"""),44935.2834143518)</f>
        <v>44935.283414351798</v>
      </c>
      <c r="C1043" s="8" t="str">
        <f ca="1">IFERROR(__xludf.UNSUPPORTED("""COMPUTED_VALUE"""),"Manaus")</f>
        <v>Manaus</v>
      </c>
      <c r="D1043" s="3" t="str">
        <f ca="1">IFERROR(__xludf.UNSUPPORTED("""COMPUTED_VALUE"""),"🚢 REGULAR")</f>
        <v>🚢 REGULAR</v>
      </c>
      <c r="E1043" s="3" t="str">
        <f ca="1">IFERROR(__xludf.UNSUPPORTED("""COMPUTED_VALUE"""),"🚛 LIBERADO")</f>
        <v>🚛 LIBERADO</v>
      </c>
      <c r="F1043" s="5">
        <f ca="1">IFERROR(__xludf.UNSUPPORTED("""COMPUTED_VALUE"""),0)</f>
        <v>0</v>
      </c>
      <c r="G1043" s="3" t="str">
        <f ca="1">IFERROR(__xludf.UNSUPPORTED("""COMPUTED_VALUE"""),"Normalidade")</f>
        <v>Normalidade</v>
      </c>
      <c r="H1043" s="4">
        <f ca="1">IFERROR(__xludf.UNSUPPORTED("""COMPUTED_VALUE"""),44935.2834143518)</f>
        <v>44935.283414351798</v>
      </c>
      <c r="I1043" s="3">
        <f ca="1">IFERROR(__xludf.UNSUPPORTED("""COMPUTED_VALUE"""),24)</f>
        <v>24</v>
      </c>
      <c r="J1043" s="4">
        <f ca="1">IFERROR(__xludf.UNSUPPORTED("""COMPUTED_VALUE"""),44936.2834143518)</f>
        <v>44936.283414351798</v>
      </c>
      <c r="L1043" s="3" t="str">
        <f ca="1">IFERROR(__xludf.UNSUPPORTED("""COMPUTED_VALUE"""),"Normalidade")</f>
        <v>Normalidade</v>
      </c>
    </row>
    <row r="1044" spans="1:12" ht="12.75">
      <c r="A1044" s="3" t="str">
        <f ca="1">IFERROR(__xludf.UNSUPPORTED("""COMPUTED_VALUE"""),"700a47d0")</f>
        <v>700a47d0</v>
      </c>
      <c r="B1044" s="4">
        <f ca="1">IFERROR(__xludf.UNSUPPORTED("""COMPUTED_VALUE"""),45120.8244907407)</f>
        <v>45120.824490740699</v>
      </c>
      <c r="C1044" s="7" t="str">
        <f ca="1">IFERROR(__xludf.UNSUPPORTED("""COMPUTED_VALUE"""),"Manaus")</f>
        <v>Manaus</v>
      </c>
      <c r="D1044" s="3" t="str">
        <f ca="1">IFERROR(__xludf.UNSUPPORTED("""COMPUTED_VALUE"""),"🚢 REGULAR")</f>
        <v>🚢 REGULAR</v>
      </c>
      <c r="E1044" s="3" t="str">
        <f ca="1">IFERROR(__xludf.UNSUPPORTED("""COMPUTED_VALUE"""),"🚛 LIBERADO")</f>
        <v>🚛 LIBERADO</v>
      </c>
      <c r="F1044" s="5">
        <f ca="1">IFERROR(__xludf.UNSUPPORTED("""COMPUTED_VALUE"""),0)</f>
        <v>0</v>
      </c>
      <c r="G1044" s="3" t="str">
        <f ca="1">IFERROR(__xludf.UNSUPPORTED("""COMPUTED_VALUE"""),"Normalidade")</f>
        <v>Normalidade</v>
      </c>
      <c r="H1044" s="4">
        <f ca="1">IFERROR(__xludf.UNSUPPORTED("""COMPUTED_VALUE"""),45120.8244907407)</f>
        <v>45120.824490740699</v>
      </c>
      <c r="I1044" s="3">
        <f ca="1">IFERROR(__xludf.UNSUPPORTED("""COMPUTED_VALUE"""),24)</f>
        <v>24</v>
      </c>
      <c r="J1044" s="4">
        <f ca="1">IFERROR(__xludf.UNSUPPORTED("""COMPUTED_VALUE"""),45121.8244907407)</f>
        <v>45121.824490740699</v>
      </c>
      <c r="L1044" s="3" t="str">
        <f ca="1">IFERROR(__xludf.UNSUPPORTED("""COMPUTED_VALUE"""),"Normalidade")</f>
        <v>Normalidade</v>
      </c>
    </row>
    <row r="1045" spans="1:12" ht="12.75">
      <c r="A1045" s="3" t="str">
        <f ca="1">IFERROR(__xludf.UNSUPPORTED("""COMPUTED_VALUE"""),"2c9bbff0")</f>
        <v>2c9bbff0</v>
      </c>
      <c r="B1045" s="4">
        <f ca="1">IFERROR(__xludf.UNSUPPORTED("""COMPUTED_VALUE"""),45121.3542476851)</f>
        <v>45121.3542476851</v>
      </c>
      <c r="C1045" s="7" t="str">
        <f ca="1">IFERROR(__xludf.UNSUPPORTED("""COMPUTED_VALUE"""),"Manaus")</f>
        <v>Manaus</v>
      </c>
      <c r="D1045" s="3" t="str">
        <f ca="1">IFERROR(__xludf.UNSUPPORTED("""COMPUTED_VALUE"""),"🚢 REGULAR")</f>
        <v>🚢 REGULAR</v>
      </c>
      <c r="E1045" s="3" t="str">
        <f ca="1">IFERROR(__xludf.UNSUPPORTED("""COMPUTED_VALUE"""),"🚛 LIBERADO")</f>
        <v>🚛 LIBERADO</v>
      </c>
      <c r="F1045" s="5">
        <f ca="1">IFERROR(__xludf.UNSUPPORTED("""COMPUTED_VALUE"""),0)</f>
        <v>0</v>
      </c>
      <c r="G1045" s="3" t="str">
        <f ca="1">IFERROR(__xludf.UNSUPPORTED("""COMPUTED_VALUE"""),"Normalidade")</f>
        <v>Normalidade</v>
      </c>
      <c r="H1045" s="4">
        <f ca="1">IFERROR(__xludf.UNSUPPORTED("""COMPUTED_VALUE"""),45121.3542476851)</f>
        <v>45121.3542476851</v>
      </c>
      <c r="I1045" s="3">
        <f ca="1">IFERROR(__xludf.UNSUPPORTED("""COMPUTED_VALUE"""),24)</f>
        <v>24</v>
      </c>
      <c r="J1045" s="4">
        <f ca="1">IFERROR(__xludf.UNSUPPORTED("""COMPUTED_VALUE"""),45122.3542476851)</f>
        <v>45122.3542476851</v>
      </c>
      <c r="L1045" s="3" t="str">
        <f ca="1">IFERROR(__xludf.UNSUPPORTED("""COMPUTED_VALUE"""),"Normalidade")</f>
        <v>Normalidade</v>
      </c>
    </row>
    <row r="1046" spans="1:12" ht="12.75">
      <c r="A1046" s="3" t="str">
        <f ca="1">IFERROR(__xludf.UNSUPPORTED("""COMPUTED_VALUE"""),"4e4ddfc3")</f>
        <v>4e4ddfc3</v>
      </c>
      <c r="B1046" s="4">
        <f ca="1">IFERROR(__xludf.UNSUPPORTED("""COMPUTED_VALUE"""),45123.340787037)</f>
        <v>45123.340787036999</v>
      </c>
      <c r="C1046" s="8" t="str">
        <f ca="1">IFERROR(__xludf.UNSUPPORTED("""COMPUTED_VALUE"""),"Manaus")</f>
        <v>Manaus</v>
      </c>
      <c r="D1046" s="3" t="str">
        <f ca="1">IFERROR(__xludf.UNSUPPORTED("""COMPUTED_VALUE"""),"🚢 REGULAR")</f>
        <v>🚢 REGULAR</v>
      </c>
      <c r="E1046" s="3" t="str">
        <f ca="1">IFERROR(__xludf.UNSUPPORTED("""COMPUTED_VALUE"""),"🚛 LIBERADO")</f>
        <v>🚛 LIBERADO</v>
      </c>
      <c r="F1046" s="5">
        <f ca="1">IFERROR(__xludf.UNSUPPORTED("""COMPUTED_VALUE"""),0)</f>
        <v>0</v>
      </c>
      <c r="G1046" s="3" t="str">
        <f ca="1">IFERROR(__xludf.UNSUPPORTED("""COMPUTED_VALUE"""),"Normalidade")</f>
        <v>Normalidade</v>
      </c>
      <c r="H1046" s="4">
        <f ca="1">IFERROR(__xludf.UNSUPPORTED("""COMPUTED_VALUE"""),45123.340787037)</f>
        <v>45123.340787036999</v>
      </c>
      <c r="I1046" s="3">
        <f ca="1">IFERROR(__xludf.UNSUPPORTED("""COMPUTED_VALUE"""),24)</f>
        <v>24</v>
      </c>
      <c r="J1046" s="4">
        <f ca="1">IFERROR(__xludf.UNSUPPORTED("""COMPUTED_VALUE"""),45124.340787037)</f>
        <v>45124.340787036999</v>
      </c>
      <c r="L1046" s="3" t="str">
        <f ca="1">IFERROR(__xludf.UNSUPPORTED("""COMPUTED_VALUE"""),"Normalidade")</f>
        <v>Normalidade</v>
      </c>
    </row>
    <row r="1047" spans="1:12" ht="12.75">
      <c r="A1047" s="3" t="str">
        <f ca="1">IFERROR(__xludf.UNSUPPORTED("""COMPUTED_VALUE"""),"1a4d88cb")</f>
        <v>1a4d88cb</v>
      </c>
      <c r="B1047" s="4">
        <f ca="1">IFERROR(__xludf.UNSUPPORTED("""COMPUTED_VALUE"""),45124.3727083333)</f>
        <v>45124.3727083333</v>
      </c>
      <c r="C1047" s="8" t="str">
        <f ca="1">IFERROR(__xludf.UNSUPPORTED("""COMPUTED_VALUE"""),"Manaus")</f>
        <v>Manaus</v>
      </c>
      <c r="D1047" s="3" t="str">
        <f ca="1">IFERROR(__xludf.UNSUPPORTED("""COMPUTED_VALUE"""),"🚢 REGULAR")</f>
        <v>🚢 REGULAR</v>
      </c>
      <c r="E1047" s="3" t="str">
        <f ca="1">IFERROR(__xludf.UNSUPPORTED("""COMPUTED_VALUE"""),"🚛 LIBERADO")</f>
        <v>🚛 LIBERADO</v>
      </c>
      <c r="F1047" s="5">
        <f ca="1">IFERROR(__xludf.UNSUPPORTED("""COMPUTED_VALUE"""),0)</f>
        <v>0</v>
      </c>
      <c r="G1047" s="3" t="str">
        <f ca="1">IFERROR(__xludf.UNSUPPORTED("""COMPUTED_VALUE"""),"Normalidade")</f>
        <v>Normalidade</v>
      </c>
      <c r="H1047" s="4">
        <f ca="1">IFERROR(__xludf.UNSUPPORTED("""COMPUTED_VALUE"""),45124.3727083333)</f>
        <v>45124.3727083333</v>
      </c>
      <c r="I1047" s="3">
        <f ca="1">IFERROR(__xludf.UNSUPPORTED("""COMPUTED_VALUE"""),24)</f>
        <v>24</v>
      </c>
      <c r="J1047" s="4">
        <f ca="1">IFERROR(__xludf.UNSUPPORTED("""COMPUTED_VALUE"""),45125.3727083333)</f>
        <v>45125.3727083333</v>
      </c>
      <c r="L1047" s="3" t="str">
        <f ca="1">IFERROR(__xludf.UNSUPPORTED("""COMPUTED_VALUE"""),"Normalidade")</f>
        <v>Normalidade</v>
      </c>
    </row>
    <row r="1048" spans="1:12" ht="12.75">
      <c r="A1048" s="3" t="str">
        <f ca="1">IFERROR(__xludf.UNSUPPORTED("""COMPUTED_VALUE"""),"11c49d4a")</f>
        <v>11c49d4a</v>
      </c>
      <c r="B1048" s="4">
        <f ca="1">IFERROR(__xludf.UNSUPPORTED("""COMPUTED_VALUE"""),45125.8385879629)</f>
        <v>45125.838587962899</v>
      </c>
      <c r="C1048" s="8" t="str">
        <f ca="1">IFERROR(__xludf.UNSUPPORTED("""COMPUTED_VALUE"""),"Manaus")</f>
        <v>Manaus</v>
      </c>
      <c r="D1048" s="3" t="str">
        <f ca="1">IFERROR(__xludf.UNSUPPORTED("""COMPUTED_VALUE"""),"🚢 REGULAR")</f>
        <v>🚢 REGULAR</v>
      </c>
      <c r="E1048" s="3" t="str">
        <f ca="1">IFERROR(__xludf.UNSUPPORTED("""COMPUTED_VALUE"""),"🚛 LIBERADO")</f>
        <v>🚛 LIBERADO</v>
      </c>
      <c r="F1048" s="5">
        <f ca="1">IFERROR(__xludf.UNSUPPORTED("""COMPUTED_VALUE"""),0)</f>
        <v>0</v>
      </c>
      <c r="G1048" s="3" t="str">
        <f ca="1">IFERROR(__xludf.UNSUPPORTED("""COMPUTED_VALUE"""),"Normalidade")</f>
        <v>Normalidade</v>
      </c>
      <c r="H1048" s="4">
        <f ca="1">IFERROR(__xludf.UNSUPPORTED("""COMPUTED_VALUE"""),45125.8385879629)</f>
        <v>45125.838587962899</v>
      </c>
      <c r="I1048" s="3">
        <f ca="1">IFERROR(__xludf.UNSUPPORTED("""COMPUTED_VALUE"""),24)</f>
        <v>24</v>
      </c>
      <c r="J1048" s="4">
        <f ca="1">IFERROR(__xludf.UNSUPPORTED("""COMPUTED_VALUE"""),45126.8385879629)</f>
        <v>45126.838587962899</v>
      </c>
      <c r="L1048" s="3" t="str">
        <f ca="1">IFERROR(__xludf.UNSUPPORTED("""COMPUTED_VALUE"""),"Normalidade")</f>
        <v>Normalidade</v>
      </c>
    </row>
    <row r="1049" spans="1:12" ht="12.75">
      <c r="A1049" s="3" t="str">
        <f ca="1">IFERROR(__xludf.UNSUPPORTED("""COMPUTED_VALUE"""),"a6548c85")</f>
        <v>a6548c85</v>
      </c>
      <c r="B1049" s="4">
        <f ca="1">IFERROR(__xludf.UNSUPPORTED("""COMPUTED_VALUE"""),45129.9136689814)</f>
        <v>45129.913668981397</v>
      </c>
      <c r="C1049" s="7" t="str">
        <f ca="1">IFERROR(__xludf.UNSUPPORTED("""COMPUTED_VALUE"""),"Manaus")</f>
        <v>Manaus</v>
      </c>
      <c r="D1049" s="3" t="str">
        <f ca="1">IFERROR(__xludf.UNSUPPORTED("""COMPUTED_VALUE"""),"🚢 REGULAR")</f>
        <v>🚢 REGULAR</v>
      </c>
      <c r="E1049" s="3" t="str">
        <f ca="1">IFERROR(__xludf.UNSUPPORTED("""COMPUTED_VALUE"""),"🚛 LIBERADO")</f>
        <v>🚛 LIBERADO</v>
      </c>
      <c r="F1049" s="5">
        <f ca="1">IFERROR(__xludf.UNSUPPORTED("""COMPUTED_VALUE"""),0)</f>
        <v>0</v>
      </c>
      <c r="G1049" s="3" t="str">
        <f ca="1">IFERROR(__xludf.UNSUPPORTED("""COMPUTED_VALUE"""),"Normalidade")</f>
        <v>Normalidade</v>
      </c>
      <c r="H1049" s="4">
        <f ca="1">IFERROR(__xludf.UNSUPPORTED("""COMPUTED_VALUE"""),45129.9136689814)</f>
        <v>45129.913668981397</v>
      </c>
      <c r="I1049" s="3">
        <f ca="1">IFERROR(__xludf.UNSUPPORTED("""COMPUTED_VALUE"""),24)</f>
        <v>24</v>
      </c>
      <c r="J1049" s="4">
        <f ca="1">IFERROR(__xludf.UNSUPPORTED("""COMPUTED_VALUE"""),45130.9136689814)</f>
        <v>45130.913668981397</v>
      </c>
      <c r="L1049" s="3" t="str">
        <f ca="1">IFERROR(__xludf.UNSUPPORTED("""COMPUTED_VALUE"""),"Normalidade")</f>
        <v>Normalidade</v>
      </c>
    </row>
    <row r="1050" spans="1:12" ht="12.75">
      <c r="A1050" s="3" t="str">
        <f ca="1">IFERROR(__xludf.UNSUPPORTED("""COMPUTED_VALUE"""),"b49c232c")</f>
        <v>b49c232c</v>
      </c>
      <c r="B1050" s="4">
        <f ca="1">IFERROR(__xludf.UNSUPPORTED("""COMPUTED_VALUE"""),45136.6015625)</f>
        <v>45136.6015625</v>
      </c>
      <c r="C1050" s="8" t="str">
        <f ca="1">IFERROR(__xludf.UNSUPPORTED("""COMPUTED_VALUE"""),"Manaus")</f>
        <v>Manaus</v>
      </c>
      <c r="D1050" s="3" t="str">
        <f ca="1">IFERROR(__xludf.UNSUPPORTED("""COMPUTED_VALUE"""),"🚢 REGULAR")</f>
        <v>🚢 REGULAR</v>
      </c>
      <c r="E1050" s="3" t="str">
        <f ca="1">IFERROR(__xludf.UNSUPPORTED("""COMPUTED_VALUE"""),"🚛 LIBERADO")</f>
        <v>🚛 LIBERADO</v>
      </c>
      <c r="F1050" s="5">
        <f ca="1">IFERROR(__xludf.UNSUPPORTED("""COMPUTED_VALUE"""),0)</f>
        <v>0</v>
      </c>
      <c r="G1050" s="3" t="str">
        <f ca="1">IFERROR(__xludf.UNSUPPORTED("""COMPUTED_VALUE"""),"Normalidade")</f>
        <v>Normalidade</v>
      </c>
      <c r="H1050" s="4">
        <f ca="1">IFERROR(__xludf.UNSUPPORTED("""COMPUTED_VALUE"""),45136.6015625)</f>
        <v>45136.6015625</v>
      </c>
      <c r="I1050" s="3">
        <f ca="1">IFERROR(__xludf.UNSUPPORTED("""COMPUTED_VALUE"""),24)</f>
        <v>24</v>
      </c>
      <c r="J1050" s="4">
        <f ca="1">IFERROR(__xludf.UNSUPPORTED("""COMPUTED_VALUE"""),45137.6015625)</f>
        <v>45137.6015625</v>
      </c>
      <c r="L1050" s="3" t="str">
        <f ca="1">IFERROR(__xludf.UNSUPPORTED("""COMPUTED_VALUE"""),"Normalidade")</f>
        <v>Normalidade</v>
      </c>
    </row>
    <row r="1051" spans="1:12" ht="12.75">
      <c r="A1051" s="3" t="str">
        <f ca="1">IFERROR(__xludf.UNSUPPORTED("""COMPUTED_VALUE"""),"156282cd")</f>
        <v>156282cd</v>
      </c>
      <c r="B1051" s="4">
        <f ca="1">IFERROR(__xludf.UNSUPPORTED("""COMPUTED_VALUE"""),45141.3219097222)</f>
        <v>45141.321909722203</v>
      </c>
      <c r="C1051" s="8" t="str">
        <f ca="1">IFERROR(__xludf.UNSUPPORTED("""COMPUTED_VALUE"""),"Manaus")</f>
        <v>Manaus</v>
      </c>
      <c r="D1051" s="3" t="str">
        <f ca="1">IFERROR(__xludf.UNSUPPORTED("""COMPUTED_VALUE"""),"🚢 REGULAR")</f>
        <v>🚢 REGULAR</v>
      </c>
      <c r="E1051" s="3" t="str">
        <f ca="1">IFERROR(__xludf.UNSUPPORTED("""COMPUTED_VALUE"""),"🚛 LIBERADO")</f>
        <v>🚛 LIBERADO</v>
      </c>
      <c r="F1051" s="5">
        <f ca="1">IFERROR(__xludf.UNSUPPORTED("""COMPUTED_VALUE"""),0)</f>
        <v>0</v>
      </c>
      <c r="G1051" s="3" t="str">
        <f ca="1">IFERROR(__xludf.UNSUPPORTED("""COMPUTED_VALUE"""),"Normalidade")</f>
        <v>Normalidade</v>
      </c>
      <c r="H1051" s="4">
        <f ca="1">IFERROR(__xludf.UNSUPPORTED("""COMPUTED_VALUE"""),45141.3219097222)</f>
        <v>45141.321909722203</v>
      </c>
      <c r="I1051" s="3">
        <f ca="1">IFERROR(__xludf.UNSUPPORTED("""COMPUTED_VALUE"""),24)</f>
        <v>24</v>
      </c>
      <c r="J1051" s="4">
        <f ca="1">IFERROR(__xludf.UNSUPPORTED("""COMPUTED_VALUE"""),45142.3219097222)</f>
        <v>45142.321909722203</v>
      </c>
      <c r="L1051" s="3" t="str">
        <f ca="1">IFERROR(__xludf.UNSUPPORTED("""COMPUTED_VALUE"""),"Normalidade")</f>
        <v>Normalidade</v>
      </c>
    </row>
    <row r="1052" spans="1:12" ht="12.75">
      <c r="A1052" s="3" t="str">
        <f ca="1">IFERROR(__xludf.UNSUPPORTED("""COMPUTED_VALUE"""),"b427dda5")</f>
        <v>b427dda5</v>
      </c>
      <c r="B1052" s="4">
        <f ca="1">IFERROR(__xludf.UNSUPPORTED("""COMPUTED_VALUE"""),45170.8772800925)</f>
        <v>45170.8772800925</v>
      </c>
      <c r="C1052" s="8" t="str">
        <f ca="1">IFERROR(__xludf.UNSUPPORTED("""COMPUTED_VALUE"""),"Manaus")</f>
        <v>Manaus</v>
      </c>
      <c r="D1052" s="3" t="str">
        <f ca="1">IFERROR(__xludf.UNSUPPORTED("""COMPUTED_VALUE"""),"🚢 REGULAR")</f>
        <v>🚢 REGULAR</v>
      </c>
      <c r="E1052" s="3" t="str">
        <f ca="1">IFERROR(__xludf.UNSUPPORTED("""COMPUTED_VALUE"""),"🚛 LIBERADO")</f>
        <v>🚛 LIBERADO</v>
      </c>
      <c r="F1052" s="5">
        <f ca="1">IFERROR(__xludf.UNSUPPORTED("""COMPUTED_VALUE"""),0)</f>
        <v>0</v>
      </c>
      <c r="G1052" s="3" t="str">
        <f ca="1">IFERROR(__xludf.UNSUPPORTED("""COMPUTED_VALUE"""),"Normalidade")</f>
        <v>Normalidade</v>
      </c>
      <c r="H1052" s="4">
        <f ca="1">IFERROR(__xludf.UNSUPPORTED("""COMPUTED_VALUE"""),45170.8772800925)</f>
        <v>45170.8772800925</v>
      </c>
      <c r="I1052" s="3">
        <f ca="1">IFERROR(__xludf.UNSUPPORTED("""COMPUTED_VALUE"""),24)</f>
        <v>24</v>
      </c>
      <c r="J1052" s="4">
        <f ca="1">IFERROR(__xludf.UNSUPPORTED("""COMPUTED_VALUE"""),45171.8772800925)</f>
        <v>45171.8772800925</v>
      </c>
      <c r="L1052" s="3" t="str">
        <f ca="1">IFERROR(__xludf.UNSUPPORTED("""COMPUTED_VALUE"""),"Normalidade")</f>
        <v>Normalidade</v>
      </c>
    </row>
    <row r="1053" spans="1:12" ht="12.75">
      <c r="A1053" s="3" t="str">
        <f ca="1">IFERROR(__xludf.UNSUPPORTED("""COMPUTED_VALUE"""),"d9dbe9df")</f>
        <v>d9dbe9df</v>
      </c>
      <c r="B1053" s="4">
        <f ca="1">IFERROR(__xludf.UNSUPPORTED("""COMPUTED_VALUE"""),45171.3466898148)</f>
        <v>45171.346689814804</v>
      </c>
      <c r="C1053" s="7" t="str">
        <f ca="1">IFERROR(__xludf.UNSUPPORTED("""COMPUTED_VALUE"""),"Manaus")</f>
        <v>Manaus</v>
      </c>
      <c r="D1053" s="3" t="str">
        <f ca="1">IFERROR(__xludf.UNSUPPORTED("""COMPUTED_VALUE"""),"🚢 REGULAR")</f>
        <v>🚢 REGULAR</v>
      </c>
      <c r="E1053" s="3" t="str">
        <f ca="1">IFERROR(__xludf.UNSUPPORTED("""COMPUTED_VALUE"""),"🚛 LIBERADO")</f>
        <v>🚛 LIBERADO</v>
      </c>
      <c r="F1053" s="5">
        <f ca="1">IFERROR(__xludf.UNSUPPORTED("""COMPUTED_VALUE"""),0)</f>
        <v>0</v>
      </c>
      <c r="G1053" s="3" t="str">
        <f ca="1">IFERROR(__xludf.UNSUPPORTED("""COMPUTED_VALUE"""),"Normalidade")</f>
        <v>Normalidade</v>
      </c>
      <c r="H1053" s="4">
        <f ca="1">IFERROR(__xludf.UNSUPPORTED("""COMPUTED_VALUE"""),45171.3466898148)</f>
        <v>45171.346689814804</v>
      </c>
      <c r="I1053" s="3">
        <f ca="1">IFERROR(__xludf.UNSUPPORTED("""COMPUTED_VALUE"""),24)</f>
        <v>24</v>
      </c>
      <c r="J1053" s="4">
        <f ca="1">IFERROR(__xludf.UNSUPPORTED("""COMPUTED_VALUE"""),45172.3466898148)</f>
        <v>45172.346689814804</v>
      </c>
      <c r="L1053" s="3" t="str">
        <f ca="1">IFERROR(__xludf.UNSUPPORTED("""COMPUTED_VALUE"""),"Normalidade")</f>
        <v>Normalidade</v>
      </c>
    </row>
    <row r="1054" spans="1:12" ht="12.75">
      <c r="A1054" s="3" t="str">
        <f ca="1">IFERROR(__xludf.UNSUPPORTED("""COMPUTED_VALUE"""),"65090f7c")</f>
        <v>65090f7c</v>
      </c>
      <c r="B1054" s="4">
        <f ca="1">IFERROR(__xludf.UNSUPPORTED("""COMPUTED_VALUE"""),45177.6437152777)</f>
        <v>45177.6437152777</v>
      </c>
      <c r="C1054" s="8" t="str">
        <f ca="1">IFERROR(__xludf.UNSUPPORTED("""COMPUTED_VALUE"""),"Manaus")</f>
        <v>Manaus</v>
      </c>
      <c r="D1054" s="3" t="str">
        <f ca="1">IFERROR(__xludf.UNSUPPORTED("""COMPUTED_VALUE"""),"🚢 REGULAR")</f>
        <v>🚢 REGULAR</v>
      </c>
      <c r="E1054" s="3" t="str">
        <f ca="1">IFERROR(__xludf.UNSUPPORTED("""COMPUTED_VALUE"""),"🚛 LIBERADO")</f>
        <v>🚛 LIBERADO</v>
      </c>
      <c r="F1054" s="5">
        <f ca="1">IFERROR(__xludf.UNSUPPORTED("""COMPUTED_VALUE"""),0)</f>
        <v>0</v>
      </c>
      <c r="G1054" s="3" t="str">
        <f ca="1">IFERROR(__xludf.UNSUPPORTED("""COMPUTED_VALUE"""),"Normalidade")</f>
        <v>Normalidade</v>
      </c>
      <c r="H1054" s="4">
        <f ca="1">IFERROR(__xludf.UNSUPPORTED("""COMPUTED_VALUE"""),45177.6437152777)</f>
        <v>45177.6437152777</v>
      </c>
      <c r="I1054" s="3">
        <f ca="1">IFERROR(__xludf.UNSUPPORTED("""COMPUTED_VALUE"""),24)</f>
        <v>24</v>
      </c>
      <c r="J1054" s="4">
        <f ca="1">IFERROR(__xludf.UNSUPPORTED("""COMPUTED_VALUE"""),45178.6437152777)</f>
        <v>45178.6437152777</v>
      </c>
      <c r="L1054" s="3" t="str">
        <f ca="1">IFERROR(__xludf.UNSUPPORTED("""COMPUTED_VALUE"""),"Normalidade")</f>
        <v>Normalidade</v>
      </c>
    </row>
    <row r="1055" spans="1:12" ht="12.75">
      <c r="A1055" s="3" t="str">
        <f ca="1">IFERROR(__xludf.UNSUPPORTED("""COMPUTED_VALUE"""),"b6b2a988")</f>
        <v>b6b2a988</v>
      </c>
      <c r="B1055" s="4">
        <f ca="1">IFERROR(__xludf.UNSUPPORTED("""COMPUTED_VALUE"""),45183.8886574074)</f>
        <v>45183.888657407399</v>
      </c>
      <c r="C1055" s="8" t="str">
        <f ca="1">IFERROR(__xludf.UNSUPPORTED("""COMPUTED_VALUE"""),"Manaus")</f>
        <v>Manaus</v>
      </c>
      <c r="D1055" s="3" t="str">
        <f ca="1">IFERROR(__xludf.UNSUPPORTED("""COMPUTED_VALUE"""),"🚢 REGULAR")</f>
        <v>🚢 REGULAR</v>
      </c>
      <c r="E1055" s="3" t="str">
        <f ca="1">IFERROR(__xludf.UNSUPPORTED("""COMPUTED_VALUE"""),"🚛 LIBERADO")</f>
        <v>🚛 LIBERADO</v>
      </c>
      <c r="F1055" s="5">
        <f ca="1">IFERROR(__xludf.UNSUPPORTED("""COMPUTED_VALUE"""),0)</f>
        <v>0</v>
      </c>
      <c r="G1055" s="3" t="str">
        <f ca="1">IFERROR(__xludf.UNSUPPORTED("""COMPUTED_VALUE"""),"Normalidade")</f>
        <v>Normalidade</v>
      </c>
      <c r="H1055" s="4">
        <f ca="1">IFERROR(__xludf.UNSUPPORTED("""COMPUTED_VALUE"""),45183.8886574074)</f>
        <v>45183.888657407399</v>
      </c>
      <c r="I1055" s="3">
        <f ca="1">IFERROR(__xludf.UNSUPPORTED("""COMPUTED_VALUE"""),24)</f>
        <v>24</v>
      </c>
      <c r="J1055" s="4">
        <f ca="1">IFERROR(__xludf.UNSUPPORTED("""COMPUTED_VALUE"""),45184.8886574074)</f>
        <v>45184.888657407399</v>
      </c>
      <c r="L1055" s="3" t="str">
        <f ca="1">IFERROR(__xludf.UNSUPPORTED("""COMPUTED_VALUE"""),"Normalidade")</f>
        <v>Normalidade</v>
      </c>
    </row>
    <row r="1056" spans="1:12" ht="12.75">
      <c r="A1056" s="3" t="str">
        <f ca="1">IFERROR(__xludf.UNSUPPORTED("""COMPUTED_VALUE"""),"RToVmjlX")</f>
        <v>RToVmjlX</v>
      </c>
      <c r="B1056" s="4">
        <f ca="1">IFERROR(__xludf.UNSUPPORTED("""COMPUTED_VALUE"""),44589.5)</f>
        <v>44589.5</v>
      </c>
      <c r="C1056" s="8" t="str">
        <f ca="1">IFERROR(__xludf.UNSUPPORTED("""COMPUTED_VALUE"""),"Natal")</f>
        <v>Natal</v>
      </c>
      <c r="D1056" s="3" t="str">
        <f ca="1">IFERROR(__xludf.UNSUPPORTED("""COMPUTED_VALUE"""),"🚢 REGULAR")</f>
        <v>🚢 REGULAR</v>
      </c>
      <c r="E1056" s="3" t="str">
        <f ca="1">IFERROR(__xludf.UNSUPPORTED("""COMPUTED_VALUE"""),"🚛 LIBERADO")</f>
        <v>🚛 LIBERADO</v>
      </c>
      <c r="F1056" s="5">
        <f ca="1">IFERROR(__xludf.UNSUPPORTED("""COMPUTED_VALUE"""),0)</f>
        <v>0</v>
      </c>
      <c r="G1056" s="3" t="str">
        <f ca="1">IFERROR(__xludf.UNSUPPORTED("""COMPUTED_VALUE"""),"Havendo manifestações pacíficas em frente ao porto.")</f>
        <v>Havendo manifestações pacíficas em frente ao porto.</v>
      </c>
      <c r="H1056" s="4">
        <f ca="1">IFERROR(__xludf.UNSUPPORTED("""COMPUTED_VALUE"""),44589.46875)</f>
        <v>44589.46875</v>
      </c>
      <c r="I1056" s="3">
        <f ca="1">IFERROR(__xludf.UNSUPPORTED("""COMPUTED_VALUE"""),3)</f>
        <v>3</v>
      </c>
      <c r="J1056" s="4">
        <f ca="1">IFERROR(__xludf.UNSUPPORTED("""COMPUTED_VALUE"""),44589.59375)</f>
        <v>44589.59375</v>
      </c>
    </row>
    <row r="1057" spans="1:10" ht="12.75">
      <c r="A1057" s="3" t="str">
        <f ca="1">IFERROR(__xludf.UNSUPPORTED("""COMPUTED_VALUE"""),"a656cdd7")</f>
        <v>a656cdd7</v>
      </c>
      <c r="B1057" s="4">
        <f ca="1">IFERROR(__xludf.UNSUPPORTED("""COMPUTED_VALUE"""),44866.4107754629)</f>
        <v>44866.4107754629</v>
      </c>
      <c r="C1057" s="8" t="str">
        <f ca="1">IFERROR(__xludf.UNSUPPORTED("""COMPUTED_VALUE"""),"Natal")</f>
        <v>Natal</v>
      </c>
      <c r="D1057" s="3" t="str">
        <f ca="1">IFERROR(__xludf.UNSUPPORTED("""COMPUTED_VALUE"""),"🚢 REGULAR")</f>
        <v>🚢 REGULAR</v>
      </c>
      <c r="E1057" s="3" t="str">
        <f ca="1">IFERROR(__xludf.UNSUPPORTED("""COMPUTED_VALUE"""),"🚛 LIBERADO")</f>
        <v>🚛 LIBERADO</v>
      </c>
      <c r="F1057" s="5">
        <f ca="1">IFERROR(__xludf.UNSUPPORTED("""COMPUTED_VALUE"""),0)</f>
        <v>0</v>
      </c>
      <c r="G1057" s="3" t="str">
        <f ca="1">IFERROR(__xludf.UNSUPPORTED("""COMPUTED_VALUE"""),"operação normal")</f>
        <v>operação normal</v>
      </c>
      <c r="H1057" s="4">
        <f ca="1">IFERROR(__xludf.UNSUPPORTED("""COMPUTED_VALUE"""),44871.8125)</f>
        <v>44871.8125</v>
      </c>
      <c r="I1057" s="3">
        <f ca="1">IFERROR(__xludf.UNSUPPORTED("""COMPUTED_VALUE"""),24)</f>
        <v>24</v>
      </c>
      <c r="J1057" s="4">
        <f ca="1">IFERROR(__xludf.UNSUPPORTED("""COMPUTED_VALUE"""),44872.8125)</f>
        <v>44872.8125</v>
      </c>
    </row>
    <row r="1058" spans="1:10" ht="12.75">
      <c r="A1058" s="3" t="str">
        <f ca="1">IFERROR(__xludf.UNSUPPORTED("""COMPUTED_VALUE"""),"1418103a")</f>
        <v>1418103a</v>
      </c>
      <c r="B1058" s="4">
        <f ca="1">IFERROR(__xludf.UNSUPPORTED("""COMPUTED_VALUE"""),44884.4574189814)</f>
        <v>44884.457418981401</v>
      </c>
      <c r="C1058" s="7" t="str">
        <f ca="1">IFERROR(__xludf.UNSUPPORTED("""COMPUTED_VALUE"""),"Natal")</f>
        <v>Natal</v>
      </c>
      <c r="D1058" s="3" t="str">
        <f ca="1">IFERROR(__xludf.UNSUPPORTED("""COMPUTED_VALUE"""),"🚢 REGULAR")</f>
        <v>🚢 REGULAR</v>
      </c>
      <c r="E1058" s="3" t="str">
        <f ca="1">IFERROR(__xludf.UNSUPPORTED("""COMPUTED_VALUE"""),"🚛 LIBERADO")</f>
        <v>🚛 LIBERADO</v>
      </c>
      <c r="F1058" s="5">
        <f ca="1">IFERROR(__xludf.UNSUPPORTED("""COMPUTED_VALUE"""),0)</f>
        <v>0</v>
      </c>
      <c r="G1058" s="3" t="str">
        <f ca="1">IFERROR(__xludf.UNSUPPORTED("""COMPUTED_VALUE"""),"normal")</f>
        <v>normal</v>
      </c>
      <c r="H1058" s="4">
        <f ca="1">IFERROR(__xludf.UNSUPPORTED("""COMPUTED_VALUE"""),44884.4574189814)</f>
        <v>44884.457418981401</v>
      </c>
      <c r="I1058" s="3">
        <f ca="1">IFERROR(__xludf.UNSUPPORTED("""COMPUTED_VALUE"""),24)</f>
        <v>24</v>
      </c>
      <c r="J1058" s="4">
        <f ca="1">IFERROR(__xludf.UNSUPPORTED("""COMPUTED_VALUE"""),44885.4574189814)</f>
        <v>44885.457418981401</v>
      </c>
    </row>
    <row r="1059" spans="1:10" ht="12.75">
      <c r="A1059" s="3" t="str">
        <f ca="1">IFERROR(__xludf.UNSUPPORTED("""COMPUTED_VALUE"""),"2a3afe49")</f>
        <v>2a3afe49</v>
      </c>
      <c r="B1059" s="4">
        <f ca="1">IFERROR(__xludf.UNSUPPORTED("""COMPUTED_VALUE"""),44886.3926157407)</f>
        <v>44886.392615740697</v>
      </c>
      <c r="C1059" s="8" t="str">
        <f ca="1">IFERROR(__xludf.UNSUPPORTED("""COMPUTED_VALUE"""),"Natal")</f>
        <v>Natal</v>
      </c>
      <c r="D1059" s="3" t="str">
        <f ca="1">IFERROR(__xludf.UNSUPPORTED("""COMPUTED_VALUE"""),"🚢 REGULAR")</f>
        <v>🚢 REGULAR</v>
      </c>
      <c r="E1059" s="3" t="str">
        <f ca="1">IFERROR(__xludf.UNSUPPORTED("""COMPUTED_VALUE"""),"🚛 LIBERADO")</f>
        <v>🚛 LIBERADO</v>
      </c>
      <c r="F1059" s="5">
        <f ca="1">IFERROR(__xludf.UNSUPPORTED("""COMPUTED_VALUE"""),0)</f>
        <v>0</v>
      </c>
      <c r="G1059" s="3" t="str">
        <f ca="1">IFERROR(__xludf.UNSUPPORTED("""COMPUTED_VALUE"""),"normalidade")</f>
        <v>normalidade</v>
      </c>
      <c r="H1059" s="4">
        <f ca="1">IFERROR(__xludf.UNSUPPORTED("""COMPUTED_VALUE"""),44887.3926157407)</f>
        <v>44887.392615740697</v>
      </c>
      <c r="I1059" s="3">
        <f ca="1">IFERROR(__xludf.UNSUPPORTED("""COMPUTED_VALUE"""),24)</f>
        <v>24</v>
      </c>
      <c r="J1059" s="4">
        <f ca="1">IFERROR(__xludf.UNSUPPORTED("""COMPUTED_VALUE"""),44888.3926157407)</f>
        <v>44888.392615740697</v>
      </c>
    </row>
    <row r="1060" spans="1:10" ht="12.75">
      <c r="A1060" s="3" t="str">
        <f ca="1">IFERROR(__xludf.UNSUPPORTED("""COMPUTED_VALUE"""),"2507ec78")</f>
        <v>2507ec78</v>
      </c>
      <c r="B1060" s="4">
        <f ca="1">IFERROR(__xludf.UNSUPPORTED("""COMPUTED_VALUE"""),44888.3820949074)</f>
        <v>44888.3820949074</v>
      </c>
      <c r="C1060" s="8" t="str">
        <f ca="1">IFERROR(__xludf.UNSUPPORTED("""COMPUTED_VALUE"""),"Natal")</f>
        <v>Natal</v>
      </c>
      <c r="D1060" s="3" t="str">
        <f ca="1">IFERROR(__xludf.UNSUPPORTED("""COMPUTED_VALUE"""),"🚢 REGULAR")</f>
        <v>🚢 REGULAR</v>
      </c>
      <c r="E1060" s="3" t="str">
        <f ca="1">IFERROR(__xludf.UNSUPPORTED("""COMPUTED_VALUE"""),"🚛 LIBERADO")</f>
        <v>🚛 LIBERADO</v>
      </c>
      <c r="F1060" s="5">
        <f ca="1">IFERROR(__xludf.UNSUPPORTED("""COMPUTED_VALUE"""),0)</f>
        <v>0</v>
      </c>
      <c r="G1060" s="3" t="str">
        <f ca="1">IFERROR(__xludf.UNSUPPORTED("""COMPUTED_VALUE"""),"Normalidade")</f>
        <v>Normalidade</v>
      </c>
      <c r="H1060" s="4">
        <f ca="1">IFERROR(__xludf.UNSUPPORTED("""COMPUTED_VALUE"""),44888.3820949074)</f>
        <v>44888.3820949074</v>
      </c>
      <c r="I1060" s="3">
        <f ca="1">IFERROR(__xludf.UNSUPPORTED("""COMPUTED_VALUE"""),24)</f>
        <v>24</v>
      </c>
      <c r="J1060" s="4">
        <f ca="1">IFERROR(__xludf.UNSUPPORTED("""COMPUTED_VALUE"""),44889.3820949074)</f>
        <v>44889.3820949074</v>
      </c>
    </row>
    <row r="1061" spans="1:10" ht="12.75">
      <c r="A1061" s="3" t="str">
        <f ca="1">IFERROR(__xludf.UNSUPPORTED("""COMPUTED_VALUE"""),"5b3b7072")</f>
        <v>5b3b7072</v>
      </c>
      <c r="B1061" s="4">
        <f ca="1">IFERROR(__xludf.UNSUPPORTED("""COMPUTED_VALUE"""),44889.4561226851)</f>
        <v>44889.4561226851</v>
      </c>
      <c r="C1061" s="7" t="str">
        <f ca="1">IFERROR(__xludf.UNSUPPORTED("""COMPUTED_VALUE"""),"Natal")</f>
        <v>Natal</v>
      </c>
      <c r="D1061" s="3" t="str">
        <f ca="1">IFERROR(__xludf.UNSUPPORTED("""COMPUTED_VALUE"""),"🚢 REGULAR")</f>
        <v>🚢 REGULAR</v>
      </c>
      <c r="E1061" s="3" t="str">
        <f ca="1">IFERROR(__xludf.UNSUPPORTED("""COMPUTED_VALUE"""),"🚛 LIBERADO")</f>
        <v>🚛 LIBERADO</v>
      </c>
      <c r="F1061" s="5">
        <f ca="1">IFERROR(__xludf.UNSUPPORTED("""COMPUTED_VALUE"""),0)</f>
        <v>0</v>
      </c>
      <c r="G1061" s="3" t="str">
        <f ca="1">IFERROR(__xludf.UNSUPPORTED("""COMPUTED_VALUE"""),"Normalidade")</f>
        <v>Normalidade</v>
      </c>
      <c r="H1061" s="4">
        <f ca="1">IFERROR(__xludf.UNSUPPORTED("""COMPUTED_VALUE"""),44891.4270833333)</f>
        <v>44891.427083333299</v>
      </c>
      <c r="I1061" s="3">
        <f ca="1">IFERROR(__xludf.UNSUPPORTED("""COMPUTED_VALUE"""),24)</f>
        <v>24</v>
      </c>
      <c r="J1061" s="4">
        <f ca="1">IFERROR(__xludf.UNSUPPORTED("""COMPUTED_VALUE"""),44892.4270833333)</f>
        <v>44892.427083333299</v>
      </c>
    </row>
    <row r="1062" spans="1:10" ht="12.75">
      <c r="A1062" s="3" t="str">
        <f ca="1">IFERROR(__xludf.UNSUPPORTED("""COMPUTED_VALUE"""),"748f6e2c")</f>
        <v>748f6e2c</v>
      </c>
      <c r="B1062" s="4">
        <f ca="1">IFERROR(__xludf.UNSUPPORTED("""COMPUTED_VALUE"""),44892.6635069444)</f>
        <v>44892.663506944402</v>
      </c>
      <c r="C1062" s="7" t="str">
        <f ca="1">IFERROR(__xludf.UNSUPPORTED("""COMPUTED_VALUE"""),"Natal")</f>
        <v>Natal</v>
      </c>
      <c r="D1062" s="3" t="str">
        <f ca="1">IFERROR(__xludf.UNSUPPORTED("""COMPUTED_VALUE"""),"🚢 REGULAR")</f>
        <v>🚢 REGULAR</v>
      </c>
      <c r="E1062" s="3" t="str">
        <f ca="1">IFERROR(__xludf.UNSUPPORTED("""COMPUTED_VALUE"""),"🚛 LIBERADO")</f>
        <v>🚛 LIBERADO</v>
      </c>
      <c r="F1062" s="5">
        <f ca="1">IFERROR(__xludf.UNSUPPORTED("""COMPUTED_VALUE"""),0)</f>
        <v>0</v>
      </c>
      <c r="G1062" s="3" t="str">
        <f ca="1">IFERROR(__xludf.UNSUPPORTED("""COMPUTED_VALUE"""),"Normalidade")</f>
        <v>Normalidade</v>
      </c>
      <c r="H1062" s="4">
        <f ca="1">IFERROR(__xludf.UNSUPPORTED("""COMPUTED_VALUE"""),44892.6635069444)</f>
        <v>44892.663506944402</v>
      </c>
      <c r="I1062" s="3">
        <f ca="1">IFERROR(__xludf.UNSUPPORTED("""COMPUTED_VALUE"""),24)</f>
        <v>24</v>
      </c>
      <c r="J1062" s="4">
        <f ca="1">IFERROR(__xludf.UNSUPPORTED("""COMPUTED_VALUE"""),44893.6635069444)</f>
        <v>44893.663506944402</v>
      </c>
    </row>
    <row r="1063" spans="1:10" ht="12.75">
      <c r="A1063" s="3" t="str">
        <f ca="1">IFERROR(__xludf.UNSUPPORTED("""COMPUTED_VALUE"""),"4bd7e382")</f>
        <v>4bd7e382</v>
      </c>
      <c r="B1063" s="4">
        <f ca="1">IFERROR(__xludf.UNSUPPORTED("""COMPUTED_VALUE"""),44893.4490972222)</f>
        <v>44893.449097222197</v>
      </c>
      <c r="C1063" s="8" t="str">
        <f ca="1">IFERROR(__xludf.UNSUPPORTED("""COMPUTED_VALUE"""),"Natal")</f>
        <v>Natal</v>
      </c>
      <c r="D1063" s="3" t="str">
        <f ca="1">IFERROR(__xludf.UNSUPPORTED("""COMPUTED_VALUE"""),"🚢 REGULAR")</f>
        <v>🚢 REGULAR</v>
      </c>
      <c r="E1063" s="3" t="str">
        <f ca="1">IFERROR(__xludf.UNSUPPORTED("""COMPUTED_VALUE"""),"🚛 LIBERADO")</f>
        <v>🚛 LIBERADO</v>
      </c>
      <c r="F1063" s="5">
        <f ca="1">IFERROR(__xludf.UNSUPPORTED("""COMPUTED_VALUE"""),0)</f>
        <v>0</v>
      </c>
      <c r="G1063" s="3" t="str">
        <f ca="1">IFERROR(__xludf.UNSUPPORTED("""COMPUTED_VALUE"""),"Normalidade")</f>
        <v>Normalidade</v>
      </c>
      <c r="H1063" s="4">
        <f ca="1">IFERROR(__xludf.UNSUPPORTED("""COMPUTED_VALUE"""),44895.3736111111)</f>
        <v>44895.373611111099</v>
      </c>
      <c r="I1063" s="3">
        <f ca="1">IFERROR(__xludf.UNSUPPORTED("""COMPUTED_VALUE"""),24)</f>
        <v>24</v>
      </c>
      <c r="J1063" s="4">
        <f ca="1">IFERROR(__xludf.UNSUPPORTED("""COMPUTED_VALUE"""),44896.3736111111)</f>
        <v>44896.373611111099</v>
      </c>
    </row>
    <row r="1064" spans="1:10" ht="12.75">
      <c r="A1064" s="3" t="str">
        <f ca="1">IFERROR(__xludf.UNSUPPORTED("""COMPUTED_VALUE"""),"16dfc4e3")</f>
        <v>16dfc4e3</v>
      </c>
      <c r="B1064" s="4">
        <f ca="1">IFERROR(__xludf.UNSUPPORTED("""COMPUTED_VALUE"""),44896.3230671296)</f>
        <v>44896.323067129597</v>
      </c>
      <c r="C1064" s="8" t="str">
        <f ca="1">IFERROR(__xludf.UNSUPPORTED("""COMPUTED_VALUE"""),"Natal")</f>
        <v>Natal</v>
      </c>
      <c r="D1064" s="3" t="str">
        <f ca="1">IFERROR(__xludf.UNSUPPORTED("""COMPUTED_VALUE"""),"🚢 REGULAR")</f>
        <v>🚢 REGULAR</v>
      </c>
      <c r="E1064" s="3" t="str">
        <f ca="1">IFERROR(__xludf.UNSUPPORTED("""COMPUTED_VALUE"""),"🚛 LIBERADO")</f>
        <v>🚛 LIBERADO</v>
      </c>
      <c r="F1064" s="5">
        <f ca="1">IFERROR(__xludf.UNSUPPORTED("""COMPUTED_VALUE"""),0)</f>
        <v>0</v>
      </c>
      <c r="G1064" s="3" t="str">
        <f ca="1">IFERROR(__xludf.UNSUPPORTED("""COMPUTED_VALUE"""),"Normalidade")</f>
        <v>Normalidade</v>
      </c>
      <c r="H1064" s="4">
        <f ca="1">IFERROR(__xludf.UNSUPPORTED("""COMPUTED_VALUE"""),44896.3230671296)</f>
        <v>44896.323067129597</v>
      </c>
      <c r="I1064" s="3">
        <f ca="1">IFERROR(__xludf.UNSUPPORTED("""COMPUTED_VALUE"""),24)</f>
        <v>24</v>
      </c>
      <c r="J1064" s="4">
        <f ca="1">IFERROR(__xludf.UNSUPPORTED("""COMPUTED_VALUE"""),44897.3230671296)</f>
        <v>44897.323067129597</v>
      </c>
    </row>
    <row r="1065" spans="1:10" ht="12.75">
      <c r="A1065" s="3" t="str">
        <f ca="1">IFERROR(__xludf.UNSUPPORTED("""COMPUTED_VALUE"""),"c3900db3")</f>
        <v>c3900db3</v>
      </c>
      <c r="B1065" s="4">
        <f ca="1">IFERROR(__xludf.UNSUPPORTED("""COMPUTED_VALUE"""),44897.3513425925)</f>
        <v>44897.351342592498</v>
      </c>
      <c r="C1065" s="8" t="str">
        <f ca="1">IFERROR(__xludf.UNSUPPORTED("""COMPUTED_VALUE"""),"Natal")</f>
        <v>Natal</v>
      </c>
      <c r="D1065" s="3" t="str">
        <f ca="1">IFERROR(__xludf.UNSUPPORTED("""COMPUTED_VALUE"""),"🚢 REGULAR")</f>
        <v>🚢 REGULAR</v>
      </c>
      <c r="E1065" s="3" t="str">
        <f ca="1">IFERROR(__xludf.UNSUPPORTED("""COMPUTED_VALUE"""),"🚛 LIBERADO")</f>
        <v>🚛 LIBERADO</v>
      </c>
      <c r="F1065" s="5">
        <f ca="1">IFERROR(__xludf.UNSUPPORTED("""COMPUTED_VALUE"""),0)</f>
        <v>0</v>
      </c>
      <c r="G1065" s="3" t="str">
        <f ca="1">IFERROR(__xludf.UNSUPPORTED("""COMPUTED_VALUE"""),"Normalidade")</f>
        <v>Normalidade</v>
      </c>
      <c r="H1065" s="4">
        <f ca="1">IFERROR(__xludf.UNSUPPORTED("""COMPUTED_VALUE"""),44897.3513425925)</f>
        <v>44897.351342592498</v>
      </c>
      <c r="I1065" s="3">
        <f ca="1">IFERROR(__xludf.UNSUPPORTED("""COMPUTED_VALUE"""),24)</f>
        <v>24</v>
      </c>
      <c r="J1065" s="4">
        <f ca="1">IFERROR(__xludf.UNSUPPORTED("""COMPUTED_VALUE"""),44898.3513425925)</f>
        <v>44898.351342592498</v>
      </c>
    </row>
    <row r="1066" spans="1:10" ht="12.75">
      <c r="A1066" s="3" t="str">
        <f ca="1">IFERROR(__xludf.UNSUPPORTED("""COMPUTED_VALUE"""),"da6d2df0")</f>
        <v>da6d2df0</v>
      </c>
      <c r="B1066" s="4">
        <f ca="1">IFERROR(__xludf.UNSUPPORTED("""COMPUTED_VALUE"""),44900.4252083333)</f>
        <v>44900.425208333298</v>
      </c>
      <c r="C1066" s="7" t="str">
        <f ca="1">IFERROR(__xludf.UNSUPPORTED("""COMPUTED_VALUE"""),"Natal")</f>
        <v>Natal</v>
      </c>
      <c r="D1066" s="3" t="str">
        <f ca="1">IFERROR(__xludf.UNSUPPORTED("""COMPUTED_VALUE"""),"🚢 REGULAR")</f>
        <v>🚢 REGULAR</v>
      </c>
      <c r="E1066" s="3" t="str">
        <f ca="1">IFERROR(__xludf.UNSUPPORTED("""COMPUTED_VALUE"""),"🚛 LIBERADO")</f>
        <v>🚛 LIBERADO</v>
      </c>
      <c r="F1066" s="5">
        <f ca="1">IFERROR(__xludf.UNSUPPORTED("""COMPUTED_VALUE"""),0)</f>
        <v>0</v>
      </c>
      <c r="G1066" s="3" t="str">
        <f ca="1">IFERROR(__xludf.UNSUPPORTED("""COMPUTED_VALUE"""),"Normalidade")</f>
        <v>Normalidade</v>
      </c>
      <c r="H1066" s="4">
        <f ca="1">IFERROR(__xludf.UNSUPPORTED("""COMPUTED_VALUE"""),44900.4252083333)</f>
        <v>44900.425208333298</v>
      </c>
      <c r="I1066" s="3">
        <f ca="1">IFERROR(__xludf.UNSUPPORTED("""COMPUTED_VALUE"""),24)</f>
        <v>24</v>
      </c>
      <c r="J1066" s="4">
        <f ca="1">IFERROR(__xludf.UNSUPPORTED("""COMPUTED_VALUE"""),44901.4252083333)</f>
        <v>44901.425208333298</v>
      </c>
    </row>
    <row r="1067" spans="1:10" ht="12.75">
      <c r="A1067" s="3" t="str">
        <f ca="1">IFERROR(__xludf.UNSUPPORTED("""COMPUTED_VALUE"""),"faf96b1b")</f>
        <v>faf96b1b</v>
      </c>
      <c r="B1067" s="4">
        <f ca="1">IFERROR(__xludf.UNSUPPORTED("""COMPUTED_VALUE"""),44901.3706134259)</f>
        <v>44901.370613425897</v>
      </c>
      <c r="C1067" s="8" t="str">
        <f ca="1">IFERROR(__xludf.UNSUPPORTED("""COMPUTED_VALUE"""),"Natal")</f>
        <v>Natal</v>
      </c>
      <c r="D1067" s="3" t="str">
        <f ca="1">IFERROR(__xludf.UNSUPPORTED("""COMPUTED_VALUE"""),"🚢 REGULAR")</f>
        <v>🚢 REGULAR</v>
      </c>
      <c r="E1067" s="3" t="str">
        <f ca="1">IFERROR(__xludf.UNSUPPORTED("""COMPUTED_VALUE"""),"🚛 LIBERADO")</f>
        <v>🚛 LIBERADO</v>
      </c>
      <c r="F1067" s="5">
        <f ca="1">IFERROR(__xludf.UNSUPPORTED("""COMPUTED_VALUE"""),0)</f>
        <v>0</v>
      </c>
      <c r="G1067" s="3" t="str">
        <f ca="1">IFERROR(__xludf.UNSUPPORTED("""COMPUTED_VALUE"""),"Normalidade")</f>
        <v>Normalidade</v>
      </c>
      <c r="H1067" s="4">
        <f ca="1">IFERROR(__xludf.UNSUPPORTED("""COMPUTED_VALUE"""),44901.3706134259)</f>
        <v>44901.370613425897</v>
      </c>
      <c r="I1067" s="3">
        <f ca="1">IFERROR(__xludf.UNSUPPORTED("""COMPUTED_VALUE"""),24)</f>
        <v>24</v>
      </c>
      <c r="J1067" s="4">
        <f ca="1">IFERROR(__xludf.UNSUPPORTED("""COMPUTED_VALUE"""),44902.3706134259)</f>
        <v>44902.370613425897</v>
      </c>
    </row>
    <row r="1068" spans="1:10" ht="12.75">
      <c r="A1068" s="3" t="str">
        <f ca="1">IFERROR(__xludf.UNSUPPORTED("""COMPUTED_VALUE"""),"815269cf")</f>
        <v>815269cf</v>
      </c>
      <c r="B1068" s="4">
        <f ca="1">IFERROR(__xludf.UNSUPPORTED("""COMPUTED_VALUE"""),44902.3892939814)</f>
        <v>44902.389293981403</v>
      </c>
      <c r="C1068" s="7" t="str">
        <f ca="1">IFERROR(__xludf.UNSUPPORTED("""COMPUTED_VALUE"""),"Natal")</f>
        <v>Natal</v>
      </c>
      <c r="D1068" s="3" t="str">
        <f ca="1">IFERROR(__xludf.UNSUPPORTED("""COMPUTED_VALUE"""),"🚢 REGULAR")</f>
        <v>🚢 REGULAR</v>
      </c>
      <c r="E1068" s="3" t="str">
        <f ca="1">IFERROR(__xludf.UNSUPPORTED("""COMPUTED_VALUE"""),"🚛 LIBERADO")</f>
        <v>🚛 LIBERADO</v>
      </c>
      <c r="F1068" s="5">
        <f ca="1">IFERROR(__xludf.UNSUPPORTED("""COMPUTED_VALUE"""),0)</f>
        <v>0</v>
      </c>
      <c r="G1068" s="3" t="str">
        <f ca="1">IFERROR(__xludf.UNSUPPORTED("""COMPUTED_VALUE"""),"Normalidade")</f>
        <v>Normalidade</v>
      </c>
      <c r="H1068" s="4">
        <f ca="1">IFERROR(__xludf.UNSUPPORTED("""COMPUTED_VALUE"""),44902.3892939814)</f>
        <v>44902.389293981403</v>
      </c>
      <c r="I1068" s="3">
        <f ca="1">IFERROR(__xludf.UNSUPPORTED("""COMPUTED_VALUE"""),24)</f>
        <v>24</v>
      </c>
      <c r="J1068" s="4">
        <f ca="1">IFERROR(__xludf.UNSUPPORTED("""COMPUTED_VALUE"""),44903.3892939814)</f>
        <v>44903.389293981403</v>
      </c>
    </row>
    <row r="1069" spans="1:10" ht="12.75">
      <c r="A1069" s="3" t="str">
        <f ca="1">IFERROR(__xludf.UNSUPPORTED("""COMPUTED_VALUE"""),"99dc5e2b")</f>
        <v>99dc5e2b</v>
      </c>
      <c r="B1069" s="4">
        <f ca="1">IFERROR(__xludf.UNSUPPORTED("""COMPUTED_VALUE"""),44903.3629861111)</f>
        <v>44903.362986111097</v>
      </c>
      <c r="C1069" s="8" t="str">
        <f ca="1">IFERROR(__xludf.UNSUPPORTED("""COMPUTED_VALUE"""),"Natal")</f>
        <v>Natal</v>
      </c>
      <c r="D1069" s="3" t="str">
        <f ca="1">IFERROR(__xludf.UNSUPPORTED("""COMPUTED_VALUE"""),"🚢 REGULAR")</f>
        <v>🚢 REGULAR</v>
      </c>
      <c r="E1069" s="3" t="str">
        <f ca="1">IFERROR(__xludf.UNSUPPORTED("""COMPUTED_VALUE"""),"🚛 LIBERADO")</f>
        <v>🚛 LIBERADO</v>
      </c>
      <c r="F1069" s="5">
        <f ca="1">IFERROR(__xludf.UNSUPPORTED("""COMPUTED_VALUE"""),0)</f>
        <v>0</v>
      </c>
      <c r="G1069" s="3" t="str">
        <f ca="1">IFERROR(__xludf.UNSUPPORTED("""COMPUTED_VALUE"""),"Normalidade")</f>
        <v>Normalidade</v>
      </c>
      <c r="H1069" s="4">
        <f ca="1">IFERROR(__xludf.UNSUPPORTED("""COMPUTED_VALUE"""),44903.3629861111)</f>
        <v>44903.362986111097</v>
      </c>
      <c r="I1069" s="3">
        <f ca="1">IFERROR(__xludf.UNSUPPORTED("""COMPUTED_VALUE"""),24)</f>
        <v>24</v>
      </c>
      <c r="J1069" s="4">
        <f ca="1">IFERROR(__xludf.UNSUPPORTED("""COMPUTED_VALUE"""),44904.3629861111)</f>
        <v>44904.362986111097</v>
      </c>
    </row>
    <row r="1070" spans="1:10" ht="12.75">
      <c r="A1070" s="3" t="str">
        <f ca="1">IFERROR(__xludf.UNSUPPORTED("""COMPUTED_VALUE"""),"1b4ec979")</f>
        <v>1b4ec979</v>
      </c>
      <c r="B1070" s="4">
        <f ca="1">IFERROR(__xludf.UNSUPPORTED("""COMPUTED_VALUE"""),44904.3754166666)</f>
        <v>44904.375416666597</v>
      </c>
      <c r="C1070" s="8" t="str">
        <f ca="1">IFERROR(__xludf.UNSUPPORTED("""COMPUTED_VALUE"""),"Natal")</f>
        <v>Natal</v>
      </c>
      <c r="D1070" s="3" t="str">
        <f ca="1">IFERROR(__xludf.UNSUPPORTED("""COMPUTED_VALUE"""),"🚢 REGULAR")</f>
        <v>🚢 REGULAR</v>
      </c>
      <c r="E1070" s="3" t="str">
        <f ca="1">IFERROR(__xludf.UNSUPPORTED("""COMPUTED_VALUE"""),"🚛 LIBERADO")</f>
        <v>🚛 LIBERADO</v>
      </c>
      <c r="F1070" s="5">
        <f ca="1">IFERROR(__xludf.UNSUPPORTED("""COMPUTED_VALUE"""),0)</f>
        <v>0</v>
      </c>
      <c r="G1070" s="3" t="str">
        <f ca="1">IFERROR(__xludf.UNSUPPORTED("""COMPUTED_VALUE"""),"Normalidade")</f>
        <v>Normalidade</v>
      </c>
      <c r="H1070" s="4">
        <f ca="1">IFERROR(__xludf.UNSUPPORTED("""COMPUTED_VALUE"""),44904.3754166666)</f>
        <v>44904.375416666597</v>
      </c>
      <c r="I1070" s="3">
        <f ca="1">IFERROR(__xludf.UNSUPPORTED("""COMPUTED_VALUE"""),24)</f>
        <v>24</v>
      </c>
      <c r="J1070" s="4">
        <f ca="1">IFERROR(__xludf.UNSUPPORTED("""COMPUTED_VALUE"""),44905.3754166666)</f>
        <v>44905.375416666597</v>
      </c>
    </row>
    <row r="1071" spans="1:10" ht="12.75">
      <c r="A1071" s="3" t="str">
        <f ca="1">IFERROR(__xludf.UNSUPPORTED("""COMPUTED_VALUE"""),"07bf5e77")</f>
        <v>07bf5e77</v>
      </c>
      <c r="B1071" s="4">
        <f ca="1">IFERROR(__xludf.UNSUPPORTED("""COMPUTED_VALUE"""),44905.4137152777)</f>
        <v>44905.413715277697</v>
      </c>
      <c r="C1071" s="7" t="str">
        <f ca="1">IFERROR(__xludf.UNSUPPORTED("""COMPUTED_VALUE"""),"Natal")</f>
        <v>Natal</v>
      </c>
      <c r="D1071" s="3" t="str">
        <f ca="1">IFERROR(__xludf.UNSUPPORTED("""COMPUTED_VALUE"""),"🚢 REGULAR")</f>
        <v>🚢 REGULAR</v>
      </c>
      <c r="E1071" s="3" t="str">
        <f ca="1">IFERROR(__xludf.UNSUPPORTED("""COMPUTED_VALUE"""),"🚛 LIBERADO")</f>
        <v>🚛 LIBERADO</v>
      </c>
      <c r="F1071" s="5">
        <f ca="1">IFERROR(__xludf.UNSUPPORTED("""COMPUTED_VALUE"""),0)</f>
        <v>0</v>
      </c>
      <c r="G1071" s="3" t="str">
        <f ca="1">IFERROR(__xludf.UNSUPPORTED("""COMPUTED_VALUE"""),"Normalidade")</f>
        <v>Normalidade</v>
      </c>
      <c r="H1071" s="4">
        <f ca="1">IFERROR(__xludf.UNSUPPORTED("""COMPUTED_VALUE"""),44905.4137152777)</f>
        <v>44905.413715277697</v>
      </c>
      <c r="I1071" s="3">
        <f ca="1">IFERROR(__xludf.UNSUPPORTED("""COMPUTED_VALUE"""),24)</f>
        <v>24</v>
      </c>
      <c r="J1071" s="4">
        <f ca="1">IFERROR(__xludf.UNSUPPORTED("""COMPUTED_VALUE"""),44906.4137152777)</f>
        <v>44906.413715277697</v>
      </c>
    </row>
    <row r="1072" spans="1:10" ht="12.75">
      <c r="A1072" s="3" t="str">
        <f ca="1">IFERROR(__xludf.UNSUPPORTED("""COMPUTED_VALUE"""),"d72aec0f")</f>
        <v>d72aec0f</v>
      </c>
      <c r="B1072" s="4">
        <f ca="1">IFERROR(__xludf.UNSUPPORTED("""COMPUTED_VALUE"""),44907.3986458333)</f>
        <v>44907.398645833302</v>
      </c>
      <c r="C1072" s="7" t="str">
        <f ca="1">IFERROR(__xludf.UNSUPPORTED("""COMPUTED_VALUE"""),"Natal")</f>
        <v>Natal</v>
      </c>
      <c r="D1072" s="3" t="str">
        <f ca="1">IFERROR(__xludf.UNSUPPORTED("""COMPUTED_VALUE"""),"🚢 REGULAR")</f>
        <v>🚢 REGULAR</v>
      </c>
      <c r="E1072" s="3" t="str">
        <f ca="1">IFERROR(__xludf.UNSUPPORTED("""COMPUTED_VALUE"""),"🚛 LIBERADO")</f>
        <v>🚛 LIBERADO</v>
      </c>
      <c r="F1072" s="5">
        <f ca="1">IFERROR(__xludf.UNSUPPORTED("""COMPUTED_VALUE"""),0)</f>
        <v>0</v>
      </c>
      <c r="G1072" s="3" t="str">
        <f ca="1">IFERROR(__xludf.UNSUPPORTED("""COMPUTED_VALUE"""),"Normalidade")</f>
        <v>Normalidade</v>
      </c>
      <c r="H1072" s="4">
        <f ca="1">IFERROR(__xludf.UNSUPPORTED("""COMPUTED_VALUE"""),44907.3986458333)</f>
        <v>44907.398645833302</v>
      </c>
      <c r="I1072" s="3">
        <f ca="1">IFERROR(__xludf.UNSUPPORTED("""COMPUTED_VALUE"""),24)</f>
        <v>24</v>
      </c>
      <c r="J1072" s="4">
        <f ca="1">IFERROR(__xludf.UNSUPPORTED("""COMPUTED_VALUE"""),44908.3986458333)</f>
        <v>44908.398645833302</v>
      </c>
    </row>
    <row r="1073" spans="1:12" ht="12.75">
      <c r="A1073" s="3" t="str">
        <f ca="1">IFERROR(__xludf.UNSUPPORTED("""COMPUTED_VALUE"""),"ff6f8d03")</f>
        <v>ff6f8d03</v>
      </c>
      <c r="B1073" s="4">
        <f ca="1">IFERROR(__xludf.UNSUPPORTED("""COMPUTED_VALUE"""),44908.4039467592)</f>
        <v>44908.403946759201</v>
      </c>
      <c r="C1073" s="7" t="str">
        <f ca="1">IFERROR(__xludf.UNSUPPORTED("""COMPUTED_VALUE"""),"Natal")</f>
        <v>Natal</v>
      </c>
      <c r="D1073" s="3" t="str">
        <f ca="1">IFERROR(__xludf.UNSUPPORTED("""COMPUTED_VALUE"""),"🚢 REGULAR")</f>
        <v>🚢 REGULAR</v>
      </c>
      <c r="E1073" s="3" t="str">
        <f ca="1">IFERROR(__xludf.UNSUPPORTED("""COMPUTED_VALUE"""),"🚛 LIBERADO")</f>
        <v>🚛 LIBERADO</v>
      </c>
      <c r="F1073" s="5">
        <f ca="1">IFERROR(__xludf.UNSUPPORTED("""COMPUTED_VALUE"""),0)</f>
        <v>0</v>
      </c>
      <c r="G1073" s="3" t="str">
        <f ca="1">IFERROR(__xludf.UNSUPPORTED("""COMPUTED_VALUE"""),"Normalidade")</f>
        <v>Normalidade</v>
      </c>
      <c r="H1073" s="4">
        <f ca="1">IFERROR(__xludf.UNSUPPORTED("""COMPUTED_VALUE"""),44908.4039467592)</f>
        <v>44908.403946759201</v>
      </c>
      <c r="I1073" s="3">
        <f ca="1">IFERROR(__xludf.UNSUPPORTED("""COMPUTED_VALUE"""),24)</f>
        <v>24</v>
      </c>
      <c r="J1073" s="4">
        <f ca="1">IFERROR(__xludf.UNSUPPORTED("""COMPUTED_VALUE"""),44909.4039467592)</f>
        <v>44909.403946759201</v>
      </c>
    </row>
    <row r="1074" spans="1:12" ht="12.75">
      <c r="A1074" s="3" t="str">
        <f ca="1">IFERROR(__xludf.UNSUPPORTED("""COMPUTED_VALUE"""),"d8df322f")</f>
        <v>d8df322f</v>
      </c>
      <c r="B1074" s="4">
        <f ca="1">IFERROR(__xludf.UNSUPPORTED("""COMPUTED_VALUE"""),44910.4296527777)</f>
        <v>44910.429652777697</v>
      </c>
      <c r="C1074" s="8" t="str">
        <f ca="1">IFERROR(__xludf.UNSUPPORTED("""COMPUTED_VALUE"""),"Natal")</f>
        <v>Natal</v>
      </c>
      <c r="D1074" s="3" t="str">
        <f ca="1">IFERROR(__xludf.UNSUPPORTED("""COMPUTED_VALUE"""),"🚢 REGULAR")</f>
        <v>🚢 REGULAR</v>
      </c>
      <c r="E1074" s="3" t="str">
        <f ca="1">IFERROR(__xludf.UNSUPPORTED("""COMPUTED_VALUE"""),"🚛 LIBERADO")</f>
        <v>🚛 LIBERADO</v>
      </c>
      <c r="F1074" s="5">
        <f ca="1">IFERROR(__xludf.UNSUPPORTED("""COMPUTED_VALUE"""),0)</f>
        <v>0</v>
      </c>
      <c r="G1074" s="3" t="str">
        <f ca="1">IFERROR(__xludf.UNSUPPORTED("""COMPUTED_VALUE"""),"Normalidade")</f>
        <v>Normalidade</v>
      </c>
      <c r="H1074" s="4">
        <f ca="1">IFERROR(__xludf.UNSUPPORTED("""COMPUTED_VALUE"""),44910.4296527777)</f>
        <v>44910.429652777697</v>
      </c>
      <c r="I1074" s="3">
        <f ca="1">IFERROR(__xludf.UNSUPPORTED("""COMPUTED_VALUE"""),24)</f>
        <v>24</v>
      </c>
      <c r="J1074" s="4">
        <f ca="1">IFERROR(__xludf.UNSUPPORTED("""COMPUTED_VALUE"""),44911.4296527777)</f>
        <v>44911.429652777697</v>
      </c>
    </row>
    <row r="1075" spans="1:12" ht="12.75">
      <c r="A1075" s="3" t="str">
        <f ca="1">IFERROR(__xludf.UNSUPPORTED("""COMPUTED_VALUE"""),"340628be")</f>
        <v>340628be</v>
      </c>
      <c r="B1075" s="4">
        <f ca="1">IFERROR(__xludf.UNSUPPORTED("""COMPUTED_VALUE"""),44911.4891435184)</f>
        <v>44911.489143518404</v>
      </c>
      <c r="C1075" s="8" t="str">
        <f ca="1">IFERROR(__xludf.UNSUPPORTED("""COMPUTED_VALUE"""),"Natal")</f>
        <v>Natal</v>
      </c>
      <c r="D1075" s="3" t="str">
        <f ca="1">IFERROR(__xludf.UNSUPPORTED("""COMPUTED_VALUE"""),"🚢 REGULAR")</f>
        <v>🚢 REGULAR</v>
      </c>
      <c r="E1075" s="3" t="str">
        <f ca="1">IFERROR(__xludf.UNSUPPORTED("""COMPUTED_VALUE"""),"🚛 LIBERADO")</f>
        <v>🚛 LIBERADO</v>
      </c>
      <c r="F1075" s="5">
        <f ca="1">IFERROR(__xludf.UNSUPPORTED("""COMPUTED_VALUE"""),0)</f>
        <v>0</v>
      </c>
      <c r="G1075" s="3" t="str">
        <f ca="1">IFERROR(__xludf.UNSUPPORTED("""COMPUTED_VALUE"""),"Normalidade")</f>
        <v>Normalidade</v>
      </c>
      <c r="H1075" s="4">
        <f ca="1">IFERROR(__xludf.UNSUPPORTED("""COMPUTED_VALUE"""),44911.4891435184)</f>
        <v>44911.489143518404</v>
      </c>
      <c r="I1075" s="3">
        <f ca="1">IFERROR(__xludf.UNSUPPORTED("""COMPUTED_VALUE"""),24)</f>
        <v>24</v>
      </c>
      <c r="J1075" s="4">
        <f ca="1">IFERROR(__xludf.UNSUPPORTED("""COMPUTED_VALUE"""),44912.4891435184)</f>
        <v>44912.489143518404</v>
      </c>
    </row>
    <row r="1076" spans="1:12" ht="12.75">
      <c r="A1076" s="3" t="str">
        <f ca="1">IFERROR(__xludf.UNSUPPORTED("""COMPUTED_VALUE"""),"c240323f")</f>
        <v>c240323f</v>
      </c>
      <c r="B1076" s="4">
        <f ca="1">IFERROR(__xludf.UNSUPPORTED("""COMPUTED_VALUE"""),44912.5129861111)</f>
        <v>44912.512986111098</v>
      </c>
      <c r="C1076" s="7" t="str">
        <f ca="1">IFERROR(__xludf.UNSUPPORTED("""COMPUTED_VALUE"""),"Natal")</f>
        <v>Natal</v>
      </c>
      <c r="D1076" s="3" t="str">
        <f ca="1">IFERROR(__xludf.UNSUPPORTED("""COMPUTED_VALUE"""),"🚢 REGULAR")</f>
        <v>🚢 REGULAR</v>
      </c>
      <c r="E1076" s="3" t="str">
        <f ca="1">IFERROR(__xludf.UNSUPPORTED("""COMPUTED_VALUE"""),"🚛 LIBERADO")</f>
        <v>🚛 LIBERADO</v>
      </c>
      <c r="F1076" s="5">
        <f ca="1">IFERROR(__xludf.UNSUPPORTED("""COMPUTED_VALUE"""),0)</f>
        <v>0</v>
      </c>
      <c r="G1076" s="3" t="str">
        <f ca="1">IFERROR(__xludf.UNSUPPORTED("""COMPUTED_VALUE"""),"Normalidade")</f>
        <v>Normalidade</v>
      </c>
      <c r="H1076" s="4">
        <f ca="1">IFERROR(__xludf.UNSUPPORTED("""COMPUTED_VALUE"""),44912.5129861111)</f>
        <v>44912.512986111098</v>
      </c>
      <c r="I1076" s="3">
        <f ca="1">IFERROR(__xludf.UNSUPPORTED("""COMPUTED_VALUE"""),24)</f>
        <v>24</v>
      </c>
      <c r="J1076" s="4">
        <f ca="1">IFERROR(__xludf.UNSUPPORTED("""COMPUTED_VALUE"""),44913.5129861111)</f>
        <v>44913.512986111098</v>
      </c>
    </row>
    <row r="1077" spans="1:12" ht="12.75">
      <c r="A1077" s="3" t="str">
        <f ca="1">IFERROR(__xludf.UNSUPPORTED("""COMPUTED_VALUE"""),"cb28b1fc")</f>
        <v>cb28b1fc</v>
      </c>
      <c r="B1077" s="4">
        <f ca="1">IFERROR(__xludf.UNSUPPORTED("""COMPUTED_VALUE"""),44914.3757754629)</f>
        <v>44914.375775462897</v>
      </c>
      <c r="C1077" s="8" t="str">
        <f ca="1">IFERROR(__xludf.UNSUPPORTED("""COMPUTED_VALUE"""),"Natal")</f>
        <v>Natal</v>
      </c>
      <c r="D1077" s="3" t="str">
        <f ca="1">IFERROR(__xludf.UNSUPPORTED("""COMPUTED_VALUE"""),"🚢 REGULAR")</f>
        <v>🚢 REGULAR</v>
      </c>
      <c r="E1077" s="3" t="str">
        <f ca="1">IFERROR(__xludf.UNSUPPORTED("""COMPUTED_VALUE"""),"🚛 LIBERADO")</f>
        <v>🚛 LIBERADO</v>
      </c>
      <c r="F1077" s="5">
        <f ca="1">IFERROR(__xludf.UNSUPPORTED("""COMPUTED_VALUE"""),0)</f>
        <v>0</v>
      </c>
      <c r="G1077" s="3" t="str">
        <f ca="1">IFERROR(__xludf.UNSUPPORTED("""COMPUTED_VALUE"""),"Normalidade")</f>
        <v>Normalidade</v>
      </c>
      <c r="H1077" s="4">
        <f ca="1">IFERROR(__xludf.UNSUPPORTED("""COMPUTED_VALUE"""),44914.3757754629)</f>
        <v>44914.375775462897</v>
      </c>
      <c r="I1077" s="3">
        <f ca="1">IFERROR(__xludf.UNSUPPORTED("""COMPUTED_VALUE"""),24)</f>
        <v>24</v>
      </c>
      <c r="J1077" s="4">
        <f ca="1">IFERROR(__xludf.UNSUPPORTED("""COMPUTED_VALUE"""),44915.3757754629)</f>
        <v>44915.375775462897</v>
      </c>
    </row>
    <row r="1078" spans="1:12" ht="12.75">
      <c r="A1078" s="3" t="str">
        <f ca="1">IFERROR(__xludf.UNSUPPORTED("""COMPUTED_VALUE"""),"ae26148b")</f>
        <v>ae26148b</v>
      </c>
      <c r="B1078" s="4">
        <f ca="1">IFERROR(__xludf.UNSUPPORTED("""COMPUTED_VALUE"""),44915.4356134259)</f>
        <v>44915.4356134259</v>
      </c>
      <c r="C1078" s="8" t="str">
        <f ca="1">IFERROR(__xludf.UNSUPPORTED("""COMPUTED_VALUE"""),"Natal")</f>
        <v>Natal</v>
      </c>
      <c r="D1078" s="3" t="str">
        <f ca="1">IFERROR(__xludf.UNSUPPORTED("""COMPUTED_VALUE"""),"🚢 REGULAR")</f>
        <v>🚢 REGULAR</v>
      </c>
      <c r="E1078" s="3" t="str">
        <f ca="1">IFERROR(__xludf.UNSUPPORTED("""COMPUTED_VALUE"""),"🚛 LIBERADO")</f>
        <v>🚛 LIBERADO</v>
      </c>
      <c r="F1078" s="5">
        <f ca="1">IFERROR(__xludf.UNSUPPORTED("""COMPUTED_VALUE"""),0)</f>
        <v>0</v>
      </c>
      <c r="G1078" s="3" t="str">
        <f ca="1">IFERROR(__xludf.UNSUPPORTED("""COMPUTED_VALUE"""),"Normalidade")</f>
        <v>Normalidade</v>
      </c>
      <c r="H1078" s="4">
        <f ca="1">IFERROR(__xludf.UNSUPPORTED("""COMPUTED_VALUE"""),44915.4356134259)</f>
        <v>44915.4356134259</v>
      </c>
      <c r="I1078" s="3">
        <f ca="1">IFERROR(__xludf.UNSUPPORTED("""COMPUTED_VALUE"""),24)</f>
        <v>24</v>
      </c>
      <c r="J1078" s="4">
        <f ca="1">IFERROR(__xludf.UNSUPPORTED("""COMPUTED_VALUE"""),44916.4356134259)</f>
        <v>44916.4356134259</v>
      </c>
    </row>
    <row r="1079" spans="1:12" ht="12.75">
      <c r="A1079" s="3" t="str">
        <f ca="1">IFERROR(__xludf.UNSUPPORTED("""COMPUTED_VALUE"""),"37961795")</f>
        <v>37961795</v>
      </c>
      <c r="B1079" s="4">
        <f ca="1">IFERROR(__xludf.UNSUPPORTED("""COMPUTED_VALUE"""),44917.3937268518)</f>
        <v>44917.393726851798</v>
      </c>
      <c r="C1079" s="7" t="str">
        <f ca="1">IFERROR(__xludf.UNSUPPORTED("""COMPUTED_VALUE"""),"Natal")</f>
        <v>Natal</v>
      </c>
      <c r="D1079" s="3" t="str">
        <f ca="1">IFERROR(__xludf.UNSUPPORTED("""COMPUTED_VALUE"""),"🚢 REGULAR")</f>
        <v>🚢 REGULAR</v>
      </c>
      <c r="E1079" s="3" t="str">
        <f ca="1">IFERROR(__xludf.UNSUPPORTED("""COMPUTED_VALUE"""),"🚛 LIBERADO")</f>
        <v>🚛 LIBERADO</v>
      </c>
      <c r="F1079" s="5">
        <f ca="1">IFERROR(__xludf.UNSUPPORTED("""COMPUTED_VALUE"""),0)</f>
        <v>0</v>
      </c>
      <c r="G1079" s="3" t="str">
        <f ca="1">IFERROR(__xludf.UNSUPPORTED("""COMPUTED_VALUE"""),"Normalidade")</f>
        <v>Normalidade</v>
      </c>
      <c r="H1079" s="4">
        <f ca="1">IFERROR(__xludf.UNSUPPORTED("""COMPUTED_VALUE"""),44917.3937268518)</f>
        <v>44917.393726851798</v>
      </c>
      <c r="I1079" s="3">
        <f ca="1">IFERROR(__xludf.UNSUPPORTED("""COMPUTED_VALUE"""),24)</f>
        <v>24</v>
      </c>
      <c r="J1079" s="4">
        <f ca="1">IFERROR(__xludf.UNSUPPORTED("""COMPUTED_VALUE"""),44918.3937268518)</f>
        <v>44918.393726851798</v>
      </c>
    </row>
    <row r="1080" spans="1:12" ht="12.75">
      <c r="A1080" s="3" t="str">
        <f ca="1">IFERROR(__xludf.UNSUPPORTED("""COMPUTED_VALUE"""),"5fd7ce66")</f>
        <v>5fd7ce66</v>
      </c>
      <c r="B1080" s="4">
        <f ca="1">IFERROR(__xludf.UNSUPPORTED("""COMPUTED_VALUE"""),44918.426875)</f>
        <v>44918.426874999997</v>
      </c>
      <c r="C1080" s="7" t="str">
        <f ca="1">IFERROR(__xludf.UNSUPPORTED("""COMPUTED_VALUE"""),"Natal")</f>
        <v>Natal</v>
      </c>
      <c r="D1080" s="3" t="str">
        <f ca="1">IFERROR(__xludf.UNSUPPORTED("""COMPUTED_VALUE"""),"🚢 REGULAR")</f>
        <v>🚢 REGULAR</v>
      </c>
      <c r="E1080" s="3" t="str">
        <f ca="1">IFERROR(__xludf.UNSUPPORTED("""COMPUTED_VALUE"""),"🚛 LIBERADO")</f>
        <v>🚛 LIBERADO</v>
      </c>
      <c r="F1080" s="5">
        <f ca="1">IFERROR(__xludf.UNSUPPORTED("""COMPUTED_VALUE"""),0)</f>
        <v>0</v>
      </c>
      <c r="G1080" s="3" t="str">
        <f ca="1">IFERROR(__xludf.UNSUPPORTED("""COMPUTED_VALUE"""),"Normalidade")</f>
        <v>Normalidade</v>
      </c>
      <c r="H1080" s="4">
        <f ca="1">IFERROR(__xludf.UNSUPPORTED("""COMPUTED_VALUE"""),44918.426875)</f>
        <v>44918.426874999997</v>
      </c>
      <c r="I1080" s="3">
        <f ca="1">IFERROR(__xludf.UNSUPPORTED("""COMPUTED_VALUE"""),24)</f>
        <v>24</v>
      </c>
      <c r="J1080" s="4">
        <f ca="1">IFERROR(__xludf.UNSUPPORTED("""COMPUTED_VALUE"""),44919.426875)</f>
        <v>44919.426874999997</v>
      </c>
    </row>
    <row r="1081" spans="1:12" ht="12.75">
      <c r="A1081" s="3" t="str">
        <f ca="1">IFERROR(__xludf.UNSUPPORTED("""COMPUTED_VALUE"""),"549d3898")</f>
        <v>549d3898</v>
      </c>
      <c r="B1081" s="4">
        <f ca="1">IFERROR(__xludf.UNSUPPORTED("""COMPUTED_VALUE"""),44923.4146412037)</f>
        <v>44923.414641203701</v>
      </c>
      <c r="C1081" s="7" t="str">
        <f ca="1">IFERROR(__xludf.UNSUPPORTED("""COMPUTED_VALUE"""),"Natal")</f>
        <v>Natal</v>
      </c>
      <c r="D1081" s="3" t="str">
        <f ca="1">IFERROR(__xludf.UNSUPPORTED("""COMPUTED_VALUE"""),"🚢 REGULAR")</f>
        <v>🚢 REGULAR</v>
      </c>
      <c r="E1081" s="3" t="str">
        <f ca="1">IFERROR(__xludf.UNSUPPORTED("""COMPUTED_VALUE"""),"🚛 LIBERADO")</f>
        <v>🚛 LIBERADO</v>
      </c>
      <c r="F1081" s="5">
        <f ca="1">IFERROR(__xludf.UNSUPPORTED("""COMPUTED_VALUE"""),0)</f>
        <v>0</v>
      </c>
      <c r="G1081" s="3" t="str">
        <f ca="1">IFERROR(__xludf.UNSUPPORTED("""COMPUTED_VALUE"""),"Normalidade")</f>
        <v>Normalidade</v>
      </c>
      <c r="H1081" s="4">
        <f ca="1">IFERROR(__xludf.UNSUPPORTED("""COMPUTED_VALUE"""),44923.4146412037)</f>
        <v>44923.414641203701</v>
      </c>
      <c r="I1081" s="3">
        <f ca="1">IFERROR(__xludf.UNSUPPORTED("""COMPUTED_VALUE"""),24)</f>
        <v>24</v>
      </c>
      <c r="J1081" s="4">
        <f ca="1">IFERROR(__xludf.UNSUPPORTED("""COMPUTED_VALUE"""),44924.4146412037)</f>
        <v>44924.414641203701</v>
      </c>
    </row>
    <row r="1082" spans="1:12" ht="12.75">
      <c r="A1082" s="3" t="str">
        <f ca="1">IFERROR(__xludf.UNSUPPORTED("""COMPUTED_VALUE"""),"515425d6")</f>
        <v>515425d6</v>
      </c>
      <c r="B1082" s="4">
        <f ca="1">IFERROR(__xludf.UNSUPPORTED("""COMPUTED_VALUE"""),44935.3305439813)</f>
        <v>44935.330543981298</v>
      </c>
      <c r="C1082" s="8" t="str">
        <f ca="1">IFERROR(__xludf.UNSUPPORTED("""COMPUTED_VALUE"""),"Natal")</f>
        <v>Natal</v>
      </c>
      <c r="D1082" s="3" t="str">
        <f ca="1">IFERROR(__xludf.UNSUPPORTED("""COMPUTED_VALUE"""),"🚢 REGULAR")</f>
        <v>🚢 REGULAR</v>
      </c>
      <c r="E1082" s="3" t="str">
        <f ca="1">IFERROR(__xludf.UNSUPPORTED("""COMPUTED_VALUE"""),"🚛 LIBERADO")</f>
        <v>🚛 LIBERADO</v>
      </c>
      <c r="F1082" s="5">
        <f ca="1">IFERROR(__xludf.UNSUPPORTED("""COMPUTED_VALUE"""),0)</f>
        <v>0</v>
      </c>
      <c r="G1082" s="3" t="str">
        <f ca="1">IFERROR(__xludf.UNSUPPORTED("""COMPUTED_VALUE"""),"Normalidade")</f>
        <v>Normalidade</v>
      </c>
      <c r="H1082" s="4">
        <f ca="1">IFERROR(__xludf.UNSUPPORTED("""COMPUTED_VALUE"""),44935.3305439813)</f>
        <v>44935.330543981298</v>
      </c>
      <c r="I1082" s="3">
        <f ca="1">IFERROR(__xludf.UNSUPPORTED("""COMPUTED_VALUE"""),24)</f>
        <v>24</v>
      </c>
      <c r="J1082" s="4">
        <f ca="1">IFERROR(__xludf.UNSUPPORTED("""COMPUTED_VALUE"""),44936.3305439813)</f>
        <v>44936.330543981298</v>
      </c>
      <c r="L1082" s="3" t="str">
        <f ca="1">IFERROR(__xludf.UNSUPPORTED("""COMPUTED_VALUE"""),"Normalidade")</f>
        <v>Normalidade</v>
      </c>
    </row>
    <row r="1083" spans="1:12" ht="12.75">
      <c r="A1083" s="3" t="str">
        <f ca="1">IFERROR(__xludf.UNSUPPORTED("""COMPUTED_VALUE"""),"d4d463aa")</f>
        <v>d4d463aa</v>
      </c>
      <c r="B1083" s="4">
        <f ca="1">IFERROR(__xludf.UNSUPPORTED("""COMPUTED_VALUE"""),44936.422824074)</f>
        <v>44936.422824073998</v>
      </c>
      <c r="C1083" s="8" t="str">
        <f ca="1">IFERROR(__xludf.UNSUPPORTED("""COMPUTED_VALUE"""),"Natal")</f>
        <v>Natal</v>
      </c>
      <c r="D1083" s="3" t="str">
        <f ca="1">IFERROR(__xludf.UNSUPPORTED("""COMPUTED_VALUE"""),"🚢 REGULAR")</f>
        <v>🚢 REGULAR</v>
      </c>
      <c r="E1083" s="3" t="str">
        <f ca="1">IFERROR(__xludf.UNSUPPORTED("""COMPUTED_VALUE"""),"🚛 LIBERADO")</f>
        <v>🚛 LIBERADO</v>
      </c>
      <c r="F1083" s="5">
        <f ca="1">IFERROR(__xludf.UNSUPPORTED("""COMPUTED_VALUE"""),0)</f>
        <v>0</v>
      </c>
      <c r="G1083" s="3" t="str">
        <f ca="1">IFERROR(__xludf.UNSUPPORTED("""COMPUTED_VALUE"""),"Normalidade")</f>
        <v>Normalidade</v>
      </c>
      <c r="H1083" s="4">
        <f ca="1">IFERROR(__xludf.UNSUPPORTED("""COMPUTED_VALUE"""),44936.422824074)</f>
        <v>44936.422824073998</v>
      </c>
      <c r="I1083" s="3">
        <f ca="1">IFERROR(__xludf.UNSUPPORTED("""COMPUTED_VALUE"""),24)</f>
        <v>24</v>
      </c>
      <c r="J1083" s="4">
        <f ca="1">IFERROR(__xludf.UNSUPPORTED("""COMPUTED_VALUE"""),44937.422824074)</f>
        <v>44937.422824073998</v>
      </c>
      <c r="L1083" s="3" t="str">
        <f ca="1">IFERROR(__xludf.UNSUPPORTED("""COMPUTED_VALUE"""),"Normalidade")</f>
        <v>Normalidade</v>
      </c>
    </row>
    <row r="1084" spans="1:12" ht="12.75">
      <c r="A1084" s="3" t="str">
        <f ca="1">IFERROR(__xludf.UNSUPPORTED("""COMPUTED_VALUE"""),"8554cce3")</f>
        <v>8554cce3</v>
      </c>
      <c r="B1084" s="4">
        <f ca="1">IFERROR(__xludf.UNSUPPORTED("""COMPUTED_VALUE"""),44937.4142592592)</f>
        <v>44937.414259259203</v>
      </c>
      <c r="C1084" s="7" t="str">
        <f ca="1">IFERROR(__xludf.UNSUPPORTED("""COMPUTED_VALUE"""),"Natal")</f>
        <v>Natal</v>
      </c>
      <c r="D1084" s="3" t="str">
        <f ca="1">IFERROR(__xludf.UNSUPPORTED("""COMPUTED_VALUE"""),"🚢 REGULAR")</f>
        <v>🚢 REGULAR</v>
      </c>
      <c r="E1084" s="3" t="str">
        <f ca="1">IFERROR(__xludf.UNSUPPORTED("""COMPUTED_VALUE"""),"🚛 LIBERADO")</f>
        <v>🚛 LIBERADO</v>
      </c>
      <c r="F1084" s="5">
        <f ca="1">IFERROR(__xludf.UNSUPPORTED("""COMPUTED_VALUE"""),0)</f>
        <v>0</v>
      </c>
      <c r="G1084" s="3" t="str">
        <f ca="1">IFERROR(__xludf.UNSUPPORTED("""COMPUTED_VALUE"""),"Normalidade")</f>
        <v>Normalidade</v>
      </c>
      <c r="H1084" s="4">
        <f ca="1">IFERROR(__xludf.UNSUPPORTED("""COMPUTED_VALUE"""),44937.4142592592)</f>
        <v>44937.414259259203</v>
      </c>
      <c r="I1084" s="3">
        <f ca="1">IFERROR(__xludf.UNSUPPORTED("""COMPUTED_VALUE"""),24)</f>
        <v>24</v>
      </c>
      <c r="J1084" s="4">
        <f ca="1">IFERROR(__xludf.UNSUPPORTED("""COMPUTED_VALUE"""),44938.4142592592)</f>
        <v>44938.414259259203</v>
      </c>
      <c r="L1084" s="3" t="str">
        <f ca="1">IFERROR(__xludf.UNSUPPORTED("""COMPUTED_VALUE"""),"Normalidade")</f>
        <v>Normalidade</v>
      </c>
    </row>
    <row r="1085" spans="1:12" ht="12.75">
      <c r="A1085" s="3" t="str">
        <f ca="1">IFERROR(__xludf.UNSUPPORTED("""COMPUTED_VALUE"""),"286f4d18")</f>
        <v>286f4d18</v>
      </c>
      <c r="B1085" s="4">
        <f ca="1">IFERROR(__xludf.UNSUPPORTED("""COMPUTED_VALUE"""),44938.4779629629)</f>
        <v>44938.477962962897</v>
      </c>
      <c r="C1085" s="8" t="str">
        <f ca="1">IFERROR(__xludf.UNSUPPORTED("""COMPUTED_VALUE"""),"Natal")</f>
        <v>Natal</v>
      </c>
      <c r="D1085" s="3" t="str">
        <f ca="1">IFERROR(__xludf.UNSUPPORTED("""COMPUTED_VALUE"""),"🚢 REGULAR")</f>
        <v>🚢 REGULAR</v>
      </c>
      <c r="E1085" s="3" t="str">
        <f ca="1">IFERROR(__xludf.UNSUPPORTED("""COMPUTED_VALUE"""),"🚛 LIBERADO")</f>
        <v>🚛 LIBERADO</v>
      </c>
      <c r="F1085" s="5">
        <f ca="1">IFERROR(__xludf.UNSUPPORTED("""COMPUTED_VALUE"""),0)</f>
        <v>0</v>
      </c>
      <c r="G1085" s="3" t="str">
        <f ca="1">IFERROR(__xludf.UNSUPPORTED("""COMPUTED_VALUE"""),"Normalidade")</f>
        <v>Normalidade</v>
      </c>
      <c r="H1085" s="4">
        <f ca="1">IFERROR(__xludf.UNSUPPORTED("""COMPUTED_VALUE"""),44938.4779629629)</f>
        <v>44938.477962962897</v>
      </c>
      <c r="I1085" s="3">
        <f ca="1">IFERROR(__xludf.UNSUPPORTED("""COMPUTED_VALUE"""),24)</f>
        <v>24</v>
      </c>
      <c r="J1085" s="4">
        <f ca="1">IFERROR(__xludf.UNSUPPORTED("""COMPUTED_VALUE"""),44939.4779629629)</f>
        <v>44939.477962962897</v>
      </c>
      <c r="L1085" s="3" t="str">
        <f ca="1">IFERROR(__xludf.UNSUPPORTED("""COMPUTED_VALUE"""),"Normalidade")</f>
        <v>Normalidade</v>
      </c>
    </row>
    <row r="1086" spans="1:12" ht="12.75">
      <c r="A1086" s="3" t="str">
        <f ca="1">IFERROR(__xludf.UNSUPPORTED("""COMPUTED_VALUE"""),"8f6c1f05")</f>
        <v>8f6c1f05</v>
      </c>
      <c r="B1086" s="4">
        <f ca="1">IFERROR(__xludf.UNSUPPORTED("""COMPUTED_VALUE"""),44939.4250925925)</f>
        <v>44939.425092592501</v>
      </c>
      <c r="C1086" s="7" t="str">
        <f ca="1">IFERROR(__xludf.UNSUPPORTED("""COMPUTED_VALUE"""),"Natal")</f>
        <v>Natal</v>
      </c>
      <c r="D1086" s="3" t="str">
        <f ca="1">IFERROR(__xludf.UNSUPPORTED("""COMPUTED_VALUE"""),"🚢 REGULAR")</f>
        <v>🚢 REGULAR</v>
      </c>
      <c r="E1086" s="3" t="str">
        <f ca="1">IFERROR(__xludf.UNSUPPORTED("""COMPUTED_VALUE"""),"🚛 LIBERADO")</f>
        <v>🚛 LIBERADO</v>
      </c>
      <c r="F1086" s="5">
        <f ca="1">IFERROR(__xludf.UNSUPPORTED("""COMPUTED_VALUE"""),0)</f>
        <v>0</v>
      </c>
      <c r="G1086" s="3" t="str">
        <f ca="1">IFERROR(__xludf.UNSUPPORTED("""COMPUTED_VALUE"""),"Normalidade")</f>
        <v>Normalidade</v>
      </c>
      <c r="H1086" s="4">
        <f ca="1">IFERROR(__xludf.UNSUPPORTED("""COMPUTED_VALUE"""),44939.4250925925)</f>
        <v>44939.425092592501</v>
      </c>
      <c r="I1086" s="3">
        <f ca="1">IFERROR(__xludf.UNSUPPORTED("""COMPUTED_VALUE"""),24)</f>
        <v>24</v>
      </c>
      <c r="J1086" s="4">
        <f ca="1">IFERROR(__xludf.UNSUPPORTED("""COMPUTED_VALUE"""),44940.4250925925)</f>
        <v>44940.425092592501</v>
      </c>
      <c r="L1086" s="3" t="str">
        <f ca="1">IFERROR(__xludf.UNSUPPORTED("""COMPUTED_VALUE"""),"Normalidade")</f>
        <v>Normalidade</v>
      </c>
    </row>
    <row r="1087" spans="1:12" ht="12.75">
      <c r="A1087" s="3" t="str">
        <f ca="1">IFERROR(__xludf.UNSUPPORTED("""COMPUTED_VALUE"""),"1652b59a")</f>
        <v>1652b59a</v>
      </c>
      <c r="B1087" s="4">
        <f ca="1">IFERROR(__xludf.UNSUPPORTED("""COMPUTED_VALUE"""),44943.3880787037)</f>
        <v>44943.388078703698</v>
      </c>
      <c r="C1087" s="7" t="str">
        <f ca="1">IFERROR(__xludf.UNSUPPORTED("""COMPUTED_VALUE"""),"Natal")</f>
        <v>Natal</v>
      </c>
      <c r="D1087" s="3" t="str">
        <f ca="1">IFERROR(__xludf.UNSUPPORTED("""COMPUTED_VALUE"""),"🚢 REGULAR")</f>
        <v>🚢 REGULAR</v>
      </c>
      <c r="E1087" s="3" t="str">
        <f ca="1">IFERROR(__xludf.UNSUPPORTED("""COMPUTED_VALUE"""),"🚛 LIBERADO")</f>
        <v>🚛 LIBERADO</v>
      </c>
      <c r="F1087" s="5">
        <f ca="1">IFERROR(__xludf.UNSUPPORTED("""COMPUTED_VALUE"""),0)</f>
        <v>0</v>
      </c>
      <c r="G1087" s="3" t="str">
        <f ca="1">IFERROR(__xludf.UNSUPPORTED("""COMPUTED_VALUE"""),"Normalidade")</f>
        <v>Normalidade</v>
      </c>
      <c r="H1087" s="4">
        <f ca="1">IFERROR(__xludf.UNSUPPORTED("""COMPUTED_VALUE"""),44943.3880787037)</f>
        <v>44943.388078703698</v>
      </c>
      <c r="I1087" s="3">
        <f ca="1">IFERROR(__xludf.UNSUPPORTED("""COMPUTED_VALUE"""),24)</f>
        <v>24</v>
      </c>
      <c r="J1087" s="4">
        <f ca="1">IFERROR(__xludf.UNSUPPORTED("""COMPUTED_VALUE"""),44944.3880787037)</f>
        <v>44944.388078703698</v>
      </c>
      <c r="L1087" s="3" t="str">
        <f ca="1">IFERROR(__xludf.UNSUPPORTED("""COMPUTED_VALUE"""),"Normalidade")</f>
        <v>Normalidade</v>
      </c>
    </row>
    <row r="1088" spans="1:12" ht="12.75">
      <c r="A1088" s="3" t="str">
        <f ca="1">IFERROR(__xludf.UNSUPPORTED("""COMPUTED_VALUE"""),"759a87f2")</f>
        <v>759a87f2</v>
      </c>
      <c r="B1088" s="4">
        <f ca="1">IFERROR(__xludf.UNSUPPORTED("""COMPUTED_VALUE"""),44944.3480671296)</f>
        <v>44944.348067129598</v>
      </c>
      <c r="C1088" s="8" t="str">
        <f ca="1">IFERROR(__xludf.UNSUPPORTED("""COMPUTED_VALUE"""),"Natal")</f>
        <v>Natal</v>
      </c>
      <c r="D1088" s="3" t="str">
        <f ca="1">IFERROR(__xludf.UNSUPPORTED("""COMPUTED_VALUE"""),"🚢 REGULAR")</f>
        <v>🚢 REGULAR</v>
      </c>
      <c r="E1088" s="3" t="str">
        <f ca="1">IFERROR(__xludf.UNSUPPORTED("""COMPUTED_VALUE"""),"🚛 LIBERADO")</f>
        <v>🚛 LIBERADO</v>
      </c>
      <c r="F1088" s="5">
        <f ca="1">IFERROR(__xludf.UNSUPPORTED("""COMPUTED_VALUE"""),0)</f>
        <v>0</v>
      </c>
      <c r="G1088" s="3" t="str">
        <f ca="1">IFERROR(__xludf.UNSUPPORTED("""COMPUTED_VALUE"""),"Normalidade")</f>
        <v>Normalidade</v>
      </c>
      <c r="H1088" s="4">
        <f ca="1">IFERROR(__xludf.UNSUPPORTED("""COMPUTED_VALUE"""),44944.3480671296)</f>
        <v>44944.348067129598</v>
      </c>
      <c r="I1088" s="3">
        <f ca="1">IFERROR(__xludf.UNSUPPORTED("""COMPUTED_VALUE"""),24)</f>
        <v>24</v>
      </c>
      <c r="J1088" s="4">
        <f ca="1">IFERROR(__xludf.UNSUPPORTED("""COMPUTED_VALUE"""),44945.3480671296)</f>
        <v>44945.348067129598</v>
      </c>
      <c r="L1088" s="3" t="str">
        <f ca="1">IFERROR(__xludf.UNSUPPORTED("""COMPUTED_VALUE"""),"Normalidade")</f>
        <v>Normalidade</v>
      </c>
    </row>
    <row r="1089" spans="1:12" ht="12.75">
      <c r="A1089" s="3" t="str">
        <f ca="1">IFERROR(__xludf.UNSUPPORTED("""COMPUTED_VALUE"""),"9fde4989")</f>
        <v>9fde4989</v>
      </c>
      <c r="B1089" s="4">
        <f ca="1">IFERROR(__xludf.UNSUPPORTED("""COMPUTED_VALUE"""),44945.3493518518)</f>
        <v>44945.349351851801</v>
      </c>
      <c r="C1089" s="8" t="str">
        <f ca="1">IFERROR(__xludf.UNSUPPORTED("""COMPUTED_VALUE"""),"Natal")</f>
        <v>Natal</v>
      </c>
      <c r="D1089" s="3" t="str">
        <f ca="1">IFERROR(__xludf.UNSUPPORTED("""COMPUTED_VALUE"""),"🚢 REGULAR")</f>
        <v>🚢 REGULAR</v>
      </c>
      <c r="E1089" s="3" t="str">
        <f ca="1">IFERROR(__xludf.UNSUPPORTED("""COMPUTED_VALUE"""),"🚛 LIBERADO")</f>
        <v>🚛 LIBERADO</v>
      </c>
      <c r="F1089" s="5">
        <f ca="1">IFERROR(__xludf.UNSUPPORTED("""COMPUTED_VALUE"""),0)</f>
        <v>0</v>
      </c>
      <c r="G1089" s="3" t="str">
        <f ca="1">IFERROR(__xludf.UNSUPPORTED("""COMPUTED_VALUE"""),"Normalidade")</f>
        <v>Normalidade</v>
      </c>
      <c r="H1089" s="4">
        <f ca="1">IFERROR(__xludf.UNSUPPORTED("""COMPUTED_VALUE"""),44945.3493518518)</f>
        <v>44945.349351851801</v>
      </c>
      <c r="I1089" s="3">
        <f ca="1">IFERROR(__xludf.UNSUPPORTED("""COMPUTED_VALUE"""),24)</f>
        <v>24</v>
      </c>
      <c r="J1089" s="4">
        <f ca="1">IFERROR(__xludf.UNSUPPORTED("""COMPUTED_VALUE"""),44946.3493518518)</f>
        <v>44946.349351851801</v>
      </c>
      <c r="L1089" s="3" t="str">
        <f ca="1">IFERROR(__xludf.UNSUPPORTED("""COMPUTED_VALUE"""),"Normalidade")</f>
        <v>Normalidade</v>
      </c>
    </row>
    <row r="1090" spans="1:12" ht="12.75">
      <c r="A1090" s="3" t="str">
        <f ca="1">IFERROR(__xludf.UNSUPPORTED("""COMPUTED_VALUE"""),"0bc5651f")</f>
        <v>0bc5651f</v>
      </c>
      <c r="B1090" s="4">
        <f ca="1">IFERROR(__xludf.UNSUPPORTED("""COMPUTED_VALUE"""),44946.3400462962)</f>
        <v>44946.340046296202</v>
      </c>
      <c r="C1090" s="8" t="str">
        <f ca="1">IFERROR(__xludf.UNSUPPORTED("""COMPUTED_VALUE"""),"Natal")</f>
        <v>Natal</v>
      </c>
      <c r="D1090" s="3" t="str">
        <f ca="1">IFERROR(__xludf.UNSUPPORTED("""COMPUTED_VALUE"""),"🚢 REGULAR")</f>
        <v>🚢 REGULAR</v>
      </c>
      <c r="E1090" s="3" t="str">
        <f ca="1">IFERROR(__xludf.UNSUPPORTED("""COMPUTED_VALUE"""),"🚛 LIBERADO")</f>
        <v>🚛 LIBERADO</v>
      </c>
      <c r="F1090" s="5">
        <f ca="1">IFERROR(__xludf.UNSUPPORTED("""COMPUTED_VALUE"""),0)</f>
        <v>0</v>
      </c>
      <c r="G1090" s="3" t="str">
        <f ca="1">IFERROR(__xludf.UNSUPPORTED("""COMPUTED_VALUE"""),"Normalidade")</f>
        <v>Normalidade</v>
      </c>
      <c r="H1090" s="4">
        <f ca="1">IFERROR(__xludf.UNSUPPORTED("""COMPUTED_VALUE"""),44946.3400462962)</f>
        <v>44946.340046296202</v>
      </c>
      <c r="I1090" s="3">
        <f ca="1">IFERROR(__xludf.UNSUPPORTED("""COMPUTED_VALUE"""),24)</f>
        <v>24</v>
      </c>
      <c r="J1090" s="4">
        <f ca="1">IFERROR(__xludf.UNSUPPORTED("""COMPUTED_VALUE"""),44947.3400462962)</f>
        <v>44947.340046296202</v>
      </c>
      <c r="L1090" s="3" t="str">
        <f ca="1">IFERROR(__xludf.UNSUPPORTED("""COMPUTED_VALUE"""),"Normalidade")</f>
        <v>Normalidade</v>
      </c>
    </row>
    <row r="1091" spans="1:12" ht="12.75">
      <c r="A1091" s="3" t="str">
        <f ca="1">IFERROR(__xludf.UNSUPPORTED("""COMPUTED_VALUE"""),"bd7353e0")</f>
        <v>bd7353e0</v>
      </c>
      <c r="B1091" s="4">
        <f ca="1">IFERROR(__xludf.UNSUPPORTED("""COMPUTED_VALUE"""),44949.5024537037)</f>
        <v>44949.502453703702</v>
      </c>
      <c r="C1091" s="7" t="str">
        <f ca="1">IFERROR(__xludf.UNSUPPORTED("""COMPUTED_VALUE"""),"Natal")</f>
        <v>Natal</v>
      </c>
      <c r="D1091" s="3" t="str">
        <f ca="1">IFERROR(__xludf.UNSUPPORTED("""COMPUTED_VALUE"""),"🚢 REGULAR")</f>
        <v>🚢 REGULAR</v>
      </c>
      <c r="E1091" s="3" t="str">
        <f ca="1">IFERROR(__xludf.UNSUPPORTED("""COMPUTED_VALUE"""),"🚛 LIBERADO")</f>
        <v>🚛 LIBERADO</v>
      </c>
      <c r="F1091" s="5">
        <f ca="1">IFERROR(__xludf.UNSUPPORTED("""COMPUTED_VALUE"""),0)</f>
        <v>0</v>
      </c>
      <c r="G1091" s="3" t="str">
        <f ca="1">IFERROR(__xludf.UNSUPPORTED("""COMPUTED_VALUE"""),"Normalidade")</f>
        <v>Normalidade</v>
      </c>
      <c r="H1091" s="4">
        <f ca="1">IFERROR(__xludf.UNSUPPORTED("""COMPUTED_VALUE"""),44949.5024537037)</f>
        <v>44949.502453703702</v>
      </c>
      <c r="I1091" s="3">
        <f ca="1">IFERROR(__xludf.UNSUPPORTED("""COMPUTED_VALUE"""),24)</f>
        <v>24</v>
      </c>
      <c r="J1091" s="4">
        <f ca="1">IFERROR(__xludf.UNSUPPORTED("""COMPUTED_VALUE"""),44950.5024537037)</f>
        <v>44950.502453703702</v>
      </c>
      <c r="L1091" s="3" t="str">
        <f ca="1">IFERROR(__xludf.UNSUPPORTED("""COMPUTED_VALUE"""),"Normalidade")</f>
        <v>Normalidade</v>
      </c>
    </row>
    <row r="1092" spans="1:12" ht="12.75">
      <c r="A1092" s="3" t="str">
        <f ca="1">IFERROR(__xludf.UNSUPPORTED("""COMPUTED_VALUE"""),"83652a67")</f>
        <v>83652a67</v>
      </c>
      <c r="B1092" s="4">
        <f ca="1">IFERROR(__xludf.UNSUPPORTED("""COMPUTED_VALUE"""),44950.3502199074)</f>
        <v>44950.350219907399</v>
      </c>
      <c r="C1092" s="7" t="str">
        <f ca="1">IFERROR(__xludf.UNSUPPORTED("""COMPUTED_VALUE"""),"Natal")</f>
        <v>Natal</v>
      </c>
      <c r="D1092" s="3" t="str">
        <f ca="1">IFERROR(__xludf.UNSUPPORTED("""COMPUTED_VALUE"""),"🚢 REGULAR")</f>
        <v>🚢 REGULAR</v>
      </c>
      <c r="E1092" s="3" t="str">
        <f ca="1">IFERROR(__xludf.UNSUPPORTED("""COMPUTED_VALUE"""),"🚛 LIBERADO")</f>
        <v>🚛 LIBERADO</v>
      </c>
      <c r="F1092" s="5">
        <f ca="1">IFERROR(__xludf.UNSUPPORTED("""COMPUTED_VALUE"""),0)</f>
        <v>0</v>
      </c>
      <c r="G1092" s="3" t="str">
        <f ca="1">IFERROR(__xludf.UNSUPPORTED("""COMPUTED_VALUE"""),"Normalidade")</f>
        <v>Normalidade</v>
      </c>
      <c r="H1092" s="4">
        <f ca="1">IFERROR(__xludf.UNSUPPORTED("""COMPUTED_VALUE"""),44950.3502199074)</f>
        <v>44950.350219907399</v>
      </c>
      <c r="I1092" s="3">
        <f ca="1">IFERROR(__xludf.UNSUPPORTED("""COMPUTED_VALUE"""),24)</f>
        <v>24</v>
      </c>
      <c r="J1092" s="4">
        <f ca="1">IFERROR(__xludf.UNSUPPORTED("""COMPUTED_VALUE"""),44951.3502199074)</f>
        <v>44951.350219907399</v>
      </c>
      <c r="L1092" s="3" t="str">
        <f ca="1">IFERROR(__xludf.UNSUPPORTED("""COMPUTED_VALUE"""),"Normalidade")</f>
        <v>Normalidade</v>
      </c>
    </row>
    <row r="1093" spans="1:12" ht="12.75">
      <c r="A1093" s="3" t="str">
        <f ca="1">IFERROR(__xludf.UNSUPPORTED("""COMPUTED_VALUE"""),"71331656")</f>
        <v>71331656</v>
      </c>
      <c r="B1093" s="4">
        <f ca="1">IFERROR(__xludf.UNSUPPORTED("""COMPUTED_VALUE"""),44951.3945717592)</f>
        <v>44951.3945717592</v>
      </c>
      <c r="C1093" s="8" t="str">
        <f ca="1">IFERROR(__xludf.UNSUPPORTED("""COMPUTED_VALUE"""),"Natal")</f>
        <v>Natal</v>
      </c>
      <c r="D1093" s="3" t="str">
        <f ca="1">IFERROR(__xludf.UNSUPPORTED("""COMPUTED_VALUE"""),"🚢 REGULAR")</f>
        <v>🚢 REGULAR</v>
      </c>
      <c r="E1093" s="3" t="str">
        <f ca="1">IFERROR(__xludf.UNSUPPORTED("""COMPUTED_VALUE"""),"🚛 LIBERADO")</f>
        <v>🚛 LIBERADO</v>
      </c>
      <c r="F1093" s="5">
        <f ca="1">IFERROR(__xludf.UNSUPPORTED("""COMPUTED_VALUE"""),0)</f>
        <v>0</v>
      </c>
      <c r="G1093" s="3" t="str">
        <f ca="1">IFERROR(__xludf.UNSUPPORTED("""COMPUTED_VALUE"""),"Normalidade")</f>
        <v>Normalidade</v>
      </c>
      <c r="H1093" s="4">
        <f ca="1">IFERROR(__xludf.UNSUPPORTED("""COMPUTED_VALUE"""),44951.3945717592)</f>
        <v>44951.3945717592</v>
      </c>
      <c r="I1093" s="3">
        <f ca="1">IFERROR(__xludf.UNSUPPORTED("""COMPUTED_VALUE"""),24)</f>
        <v>24</v>
      </c>
      <c r="J1093" s="4">
        <f ca="1">IFERROR(__xludf.UNSUPPORTED("""COMPUTED_VALUE"""),44952.3945717592)</f>
        <v>44952.3945717592</v>
      </c>
      <c r="L1093" s="3" t="str">
        <f ca="1">IFERROR(__xludf.UNSUPPORTED("""COMPUTED_VALUE"""),"Normalidade")</f>
        <v>Normalidade</v>
      </c>
    </row>
    <row r="1094" spans="1:12" ht="12.75">
      <c r="A1094" s="3" t="str">
        <f ca="1">IFERROR(__xludf.UNSUPPORTED("""COMPUTED_VALUE"""),"9699de45")</f>
        <v>9699de45</v>
      </c>
      <c r="B1094" s="4">
        <f ca="1">IFERROR(__xludf.UNSUPPORTED("""COMPUTED_VALUE"""),44952.4691550925)</f>
        <v>44952.469155092498</v>
      </c>
      <c r="C1094" s="8" t="str">
        <f ca="1">IFERROR(__xludf.UNSUPPORTED("""COMPUTED_VALUE"""),"Natal")</f>
        <v>Natal</v>
      </c>
      <c r="D1094" s="3" t="str">
        <f ca="1">IFERROR(__xludf.UNSUPPORTED("""COMPUTED_VALUE"""),"🚢 REGULAR")</f>
        <v>🚢 REGULAR</v>
      </c>
      <c r="E1094" s="3" t="str">
        <f ca="1">IFERROR(__xludf.UNSUPPORTED("""COMPUTED_VALUE"""),"🚛 LIBERADO")</f>
        <v>🚛 LIBERADO</v>
      </c>
      <c r="F1094" s="5">
        <f ca="1">IFERROR(__xludf.UNSUPPORTED("""COMPUTED_VALUE"""),0)</f>
        <v>0</v>
      </c>
      <c r="G1094" s="3" t="str">
        <f ca="1">IFERROR(__xludf.UNSUPPORTED("""COMPUTED_VALUE"""),"Normalidade")</f>
        <v>Normalidade</v>
      </c>
      <c r="H1094" s="4">
        <f ca="1">IFERROR(__xludf.UNSUPPORTED("""COMPUTED_VALUE"""),44952.4691550925)</f>
        <v>44952.469155092498</v>
      </c>
      <c r="I1094" s="3">
        <f ca="1">IFERROR(__xludf.UNSUPPORTED("""COMPUTED_VALUE"""),24)</f>
        <v>24</v>
      </c>
      <c r="J1094" s="4">
        <f ca="1">IFERROR(__xludf.UNSUPPORTED("""COMPUTED_VALUE"""),44953.4691550925)</f>
        <v>44953.469155092498</v>
      </c>
      <c r="L1094" s="3" t="str">
        <f ca="1">IFERROR(__xludf.UNSUPPORTED("""COMPUTED_VALUE"""),"Normalidade")</f>
        <v>Normalidade</v>
      </c>
    </row>
    <row r="1095" spans="1:12" ht="12.75">
      <c r="A1095" s="3" t="str">
        <f ca="1">IFERROR(__xludf.UNSUPPORTED("""COMPUTED_VALUE"""),"a48b46ea")</f>
        <v>a48b46ea</v>
      </c>
      <c r="B1095" s="4">
        <f ca="1">IFERROR(__xludf.UNSUPPORTED("""COMPUTED_VALUE"""),44953.3585300925)</f>
        <v>44953.358530092497</v>
      </c>
      <c r="C1095" s="7" t="str">
        <f ca="1">IFERROR(__xludf.UNSUPPORTED("""COMPUTED_VALUE"""),"Natal")</f>
        <v>Natal</v>
      </c>
      <c r="D1095" s="3" t="str">
        <f ca="1">IFERROR(__xludf.UNSUPPORTED("""COMPUTED_VALUE"""),"🚢 REGULAR")</f>
        <v>🚢 REGULAR</v>
      </c>
      <c r="E1095" s="3" t="str">
        <f ca="1">IFERROR(__xludf.UNSUPPORTED("""COMPUTED_VALUE"""),"🚛 LIBERADO")</f>
        <v>🚛 LIBERADO</v>
      </c>
      <c r="F1095" s="5">
        <f ca="1">IFERROR(__xludf.UNSUPPORTED("""COMPUTED_VALUE"""),0)</f>
        <v>0</v>
      </c>
      <c r="G1095" s="3" t="str">
        <f ca="1">IFERROR(__xludf.UNSUPPORTED("""COMPUTED_VALUE"""),"Normalidade")</f>
        <v>Normalidade</v>
      </c>
      <c r="H1095" s="4">
        <f ca="1">IFERROR(__xludf.UNSUPPORTED("""COMPUTED_VALUE"""),44953.3585300925)</f>
        <v>44953.358530092497</v>
      </c>
      <c r="I1095" s="3">
        <f ca="1">IFERROR(__xludf.UNSUPPORTED("""COMPUTED_VALUE"""),24)</f>
        <v>24</v>
      </c>
      <c r="J1095" s="4">
        <f ca="1">IFERROR(__xludf.UNSUPPORTED("""COMPUTED_VALUE"""),44954.3585300925)</f>
        <v>44954.358530092497</v>
      </c>
      <c r="L1095" s="3" t="str">
        <f ca="1">IFERROR(__xludf.UNSUPPORTED("""COMPUTED_VALUE"""),"Normalidade")</f>
        <v>Normalidade</v>
      </c>
    </row>
    <row r="1096" spans="1:12" ht="12.75">
      <c r="A1096" s="3" t="str">
        <f ca="1">IFERROR(__xludf.UNSUPPORTED("""COMPUTED_VALUE"""),"b1bbcaf1")</f>
        <v>b1bbcaf1</v>
      </c>
      <c r="B1096" s="4">
        <f ca="1">IFERROR(__xludf.UNSUPPORTED("""COMPUTED_VALUE"""),44956.3412037037)</f>
        <v>44956.341203703698</v>
      </c>
      <c r="C1096" s="7" t="str">
        <f ca="1">IFERROR(__xludf.UNSUPPORTED("""COMPUTED_VALUE"""),"Natal")</f>
        <v>Natal</v>
      </c>
      <c r="D1096" s="3" t="str">
        <f ca="1">IFERROR(__xludf.UNSUPPORTED("""COMPUTED_VALUE"""),"🚢 REGULAR")</f>
        <v>🚢 REGULAR</v>
      </c>
      <c r="E1096" s="3" t="str">
        <f ca="1">IFERROR(__xludf.UNSUPPORTED("""COMPUTED_VALUE"""),"🚛 LIBERADO")</f>
        <v>🚛 LIBERADO</v>
      </c>
      <c r="F1096" s="5">
        <f ca="1">IFERROR(__xludf.UNSUPPORTED("""COMPUTED_VALUE"""),0)</f>
        <v>0</v>
      </c>
      <c r="G1096" s="3" t="str">
        <f ca="1">IFERROR(__xludf.UNSUPPORTED("""COMPUTED_VALUE"""),"Normalidade")</f>
        <v>Normalidade</v>
      </c>
      <c r="H1096" s="4">
        <f ca="1">IFERROR(__xludf.UNSUPPORTED("""COMPUTED_VALUE"""),44956.3412037037)</f>
        <v>44956.341203703698</v>
      </c>
      <c r="I1096" s="3">
        <f ca="1">IFERROR(__xludf.UNSUPPORTED("""COMPUTED_VALUE"""),24)</f>
        <v>24</v>
      </c>
      <c r="J1096" s="4">
        <f ca="1">IFERROR(__xludf.UNSUPPORTED("""COMPUTED_VALUE"""),44957.3412037037)</f>
        <v>44957.341203703698</v>
      </c>
      <c r="L1096" s="3" t="str">
        <f ca="1">IFERROR(__xludf.UNSUPPORTED("""COMPUTED_VALUE"""),"Normalidade")</f>
        <v>Normalidade</v>
      </c>
    </row>
    <row r="1097" spans="1:12" ht="12.75">
      <c r="A1097" s="3" t="str">
        <f ca="1">IFERROR(__xludf.UNSUPPORTED("""COMPUTED_VALUE"""),"64ec8c22")</f>
        <v>64ec8c22</v>
      </c>
      <c r="B1097" s="4">
        <f ca="1">IFERROR(__xludf.UNSUPPORTED("""COMPUTED_VALUE"""),44959.3422685185)</f>
        <v>44959.3422685185</v>
      </c>
      <c r="C1097" s="8" t="str">
        <f ca="1">IFERROR(__xludf.UNSUPPORTED("""COMPUTED_VALUE"""),"Natal")</f>
        <v>Natal</v>
      </c>
      <c r="D1097" s="3" t="str">
        <f ca="1">IFERROR(__xludf.UNSUPPORTED("""COMPUTED_VALUE"""),"🚢 REGULAR")</f>
        <v>🚢 REGULAR</v>
      </c>
      <c r="E1097" s="3" t="str">
        <f ca="1">IFERROR(__xludf.UNSUPPORTED("""COMPUTED_VALUE"""),"🚛 LIBERADO")</f>
        <v>🚛 LIBERADO</v>
      </c>
      <c r="F1097" s="5">
        <f ca="1">IFERROR(__xludf.UNSUPPORTED("""COMPUTED_VALUE"""),0)</f>
        <v>0</v>
      </c>
      <c r="G1097" s="3" t="str">
        <f ca="1">IFERROR(__xludf.UNSUPPORTED("""COMPUTED_VALUE"""),"Normalidade")</f>
        <v>Normalidade</v>
      </c>
      <c r="H1097" s="4">
        <f ca="1">IFERROR(__xludf.UNSUPPORTED("""COMPUTED_VALUE"""),44959.3422685185)</f>
        <v>44959.3422685185</v>
      </c>
      <c r="I1097" s="3">
        <f ca="1">IFERROR(__xludf.UNSUPPORTED("""COMPUTED_VALUE"""),24)</f>
        <v>24</v>
      </c>
      <c r="J1097" s="4">
        <f ca="1">IFERROR(__xludf.UNSUPPORTED("""COMPUTED_VALUE"""),44960.3422685185)</f>
        <v>44960.3422685185</v>
      </c>
      <c r="L1097" s="3" t="str">
        <f ca="1">IFERROR(__xludf.UNSUPPORTED("""COMPUTED_VALUE"""),"Normalidade")</f>
        <v>Normalidade</v>
      </c>
    </row>
    <row r="1098" spans="1:12" ht="12.75">
      <c r="A1098" s="3" t="str">
        <f ca="1">IFERROR(__xludf.UNSUPPORTED("""COMPUTED_VALUE"""),"9a431ac2")</f>
        <v>9a431ac2</v>
      </c>
      <c r="B1098" s="4">
        <f ca="1">IFERROR(__xludf.UNSUPPORTED("""COMPUTED_VALUE"""),44963.3499305555)</f>
        <v>44963.349930555501</v>
      </c>
      <c r="C1098" s="8" t="str">
        <f ca="1">IFERROR(__xludf.UNSUPPORTED("""COMPUTED_VALUE"""),"Natal")</f>
        <v>Natal</v>
      </c>
      <c r="D1098" s="3" t="str">
        <f ca="1">IFERROR(__xludf.UNSUPPORTED("""COMPUTED_VALUE"""),"🚢 REGULAR")</f>
        <v>🚢 REGULAR</v>
      </c>
      <c r="E1098" s="3" t="str">
        <f ca="1">IFERROR(__xludf.UNSUPPORTED("""COMPUTED_VALUE"""),"🚛 LIBERADO")</f>
        <v>🚛 LIBERADO</v>
      </c>
      <c r="F1098" s="5">
        <f ca="1">IFERROR(__xludf.UNSUPPORTED("""COMPUTED_VALUE"""),0)</f>
        <v>0</v>
      </c>
      <c r="G1098" s="3" t="str">
        <f ca="1">IFERROR(__xludf.UNSUPPORTED("""COMPUTED_VALUE"""),"Normalidade")</f>
        <v>Normalidade</v>
      </c>
      <c r="H1098" s="4">
        <f ca="1">IFERROR(__xludf.UNSUPPORTED("""COMPUTED_VALUE"""),44963.3499305555)</f>
        <v>44963.349930555501</v>
      </c>
      <c r="I1098" s="3">
        <f ca="1">IFERROR(__xludf.UNSUPPORTED("""COMPUTED_VALUE"""),24)</f>
        <v>24</v>
      </c>
      <c r="J1098" s="4">
        <f ca="1">IFERROR(__xludf.UNSUPPORTED("""COMPUTED_VALUE"""),44964.3499305555)</f>
        <v>44964.349930555501</v>
      </c>
      <c r="L1098" s="3" t="str">
        <f ca="1">IFERROR(__xludf.UNSUPPORTED("""COMPUTED_VALUE"""),"Normalidade")</f>
        <v>Normalidade</v>
      </c>
    </row>
    <row r="1099" spans="1:12" ht="12.75">
      <c r="A1099" s="3" t="str">
        <f ca="1">IFERROR(__xludf.UNSUPPORTED("""COMPUTED_VALUE"""),"3f389ee1")</f>
        <v>3f389ee1</v>
      </c>
      <c r="B1099" s="4">
        <f ca="1">IFERROR(__xludf.UNSUPPORTED("""COMPUTED_VALUE"""),44965.3857291666)</f>
        <v>44965.385729166599</v>
      </c>
      <c r="C1099" s="7" t="str">
        <f ca="1">IFERROR(__xludf.UNSUPPORTED("""COMPUTED_VALUE"""),"Natal")</f>
        <v>Natal</v>
      </c>
      <c r="D1099" s="3" t="str">
        <f ca="1">IFERROR(__xludf.UNSUPPORTED("""COMPUTED_VALUE"""),"🚢 REGULAR")</f>
        <v>🚢 REGULAR</v>
      </c>
      <c r="E1099" s="3" t="str">
        <f ca="1">IFERROR(__xludf.UNSUPPORTED("""COMPUTED_VALUE"""),"🚛 LIBERADO")</f>
        <v>🚛 LIBERADO</v>
      </c>
      <c r="F1099" s="5">
        <f ca="1">IFERROR(__xludf.UNSUPPORTED("""COMPUTED_VALUE"""),0)</f>
        <v>0</v>
      </c>
      <c r="G1099" s="3" t="str">
        <f ca="1">IFERROR(__xludf.UNSUPPORTED("""COMPUTED_VALUE"""),"Normalidade")</f>
        <v>Normalidade</v>
      </c>
      <c r="H1099" s="4">
        <f ca="1">IFERROR(__xludf.UNSUPPORTED("""COMPUTED_VALUE"""),44965.3857291666)</f>
        <v>44965.385729166599</v>
      </c>
      <c r="I1099" s="3">
        <f ca="1">IFERROR(__xludf.UNSUPPORTED("""COMPUTED_VALUE"""),24)</f>
        <v>24</v>
      </c>
      <c r="J1099" s="4">
        <f ca="1">IFERROR(__xludf.UNSUPPORTED("""COMPUTED_VALUE"""),44966.3857291666)</f>
        <v>44966.385729166599</v>
      </c>
      <c r="L1099" s="3" t="str">
        <f ca="1">IFERROR(__xludf.UNSUPPORTED("""COMPUTED_VALUE"""),"Normalidade")</f>
        <v>Normalidade</v>
      </c>
    </row>
    <row r="1100" spans="1:12" ht="12.75">
      <c r="A1100" s="3" t="str">
        <f ca="1">IFERROR(__xludf.UNSUPPORTED("""COMPUTED_VALUE"""),"afa345ea")</f>
        <v>afa345ea</v>
      </c>
      <c r="B1100" s="4">
        <f ca="1">IFERROR(__xludf.UNSUPPORTED("""COMPUTED_VALUE"""),45120.6746527777)</f>
        <v>45120.6746527777</v>
      </c>
      <c r="C1100" s="8" t="str">
        <f ca="1">IFERROR(__xludf.UNSUPPORTED("""COMPUTED_VALUE"""),"Natal")</f>
        <v>Natal</v>
      </c>
      <c r="D1100" s="3" t="str">
        <f ca="1">IFERROR(__xludf.UNSUPPORTED("""COMPUTED_VALUE"""),"🚢 REGULAR")</f>
        <v>🚢 REGULAR</v>
      </c>
      <c r="E1100" s="3" t="str">
        <f ca="1">IFERROR(__xludf.UNSUPPORTED("""COMPUTED_VALUE"""),"🚛 LIBERADO")</f>
        <v>🚛 LIBERADO</v>
      </c>
      <c r="F1100" s="5">
        <f ca="1">IFERROR(__xludf.UNSUPPORTED("""COMPUTED_VALUE"""),0)</f>
        <v>0</v>
      </c>
      <c r="G1100" s="3" t="str">
        <f ca="1">IFERROR(__xludf.UNSUPPORTED("""COMPUTED_VALUE"""),"Normalidade")</f>
        <v>Normalidade</v>
      </c>
      <c r="H1100" s="4">
        <f ca="1">IFERROR(__xludf.UNSUPPORTED("""COMPUTED_VALUE"""),45120.6746527777)</f>
        <v>45120.6746527777</v>
      </c>
      <c r="I1100" s="3">
        <f ca="1">IFERROR(__xludf.UNSUPPORTED("""COMPUTED_VALUE"""),24)</f>
        <v>24</v>
      </c>
      <c r="J1100" s="4">
        <f ca="1">IFERROR(__xludf.UNSUPPORTED("""COMPUTED_VALUE"""),45121.6746527777)</f>
        <v>45121.6746527777</v>
      </c>
    </row>
    <row r="1101" spans="1:12" ht="12.75">
      <c r="A1101" s="3" t="str">
        <f ca="1">IFERROR(__xludf.UNSUPPORTED("""COMPUTED_VALUE"""),"b7eed261")</f>
        <v>b7eed261</v>
      </c>
      <c r="B1101" s="4">
        <f ca="1">IFERROR(__xludf.UNSUPPORTED("""COMPUTED_VALUE"""),45120.6750462962)</f>
        <v>45120.675046296201</v>
      </c>
      <c r="C1101" s="7" t="str">
        <f ca="1">IFERROR(__xludf.UNSUPPORTED("""COMPUTED_VALUE"""),"Natal")</f>
        <v>Natal</v>
      </c>
      <c r="D1101" s="3" t="str">
        <f ca="1">IFERROR(__xludf.UNSUPPORTED("""COMPUTED_VALUE"""),"🚢 REGULAR")</f>
        <v>🚢 REGULAR</v>
      </c>
      <c r="E1101" s="3" t="str">
        <f ca="1">IFERROR(__xludf.UNSUPPORTED("""COMPUTED_VALUE"""),"🚛 LIBERADO")</f>
        <v>🚛 LIBERADO</v>
      </c>
      <c r="F1101" s="5">
        <f ca="1">IFERROR(__xludf.UNSUPPORTED("""COMPUTED_VALUE"""),0)</f>
        <v>0</v>
      </c>
      <c r="G1101" s="3" t="str">
        <f ca="1">IFERROR(__xludf.UNSUPPORTED("""COMPUTED_VALUE"""),"Normalidade")</f>
        <v>Normalidade</v>
      </c>
      <c r="H1101" s="4">
        <f ca="1">IFERROR(__xludf.UNSUPPORTED("""COMPUTED_VALUE"""),45120.6750462962)</f>
        <v>45120.675046296201</v>
      </c>
      <c r="I1101" s="3">
        <f ca="1">IFERROR(__xludf.UNSUPPORTED("""COMPUTED_VALUE"""),24)</f>
        <v>24</v>
      </c>
      <c r="J1101" s="4">
        <f ca="1">IFERROR(__xludf.UNSUPPORTED("""COMPUTED_VALUE"""),45121.6750462962)</f>
        <v>45121.675046296201</v>
      </c>
      <c r="L1101" s="3" t="str">
        <f ca="1">IFERROR(__xludf.UNSUPPORTED("""COMPUTED_VALUE"""),"Normalidade")</f>
        <v>Normalidade</v>
      </c>
    </row>
    <row r="1102" spans="1:12" ht="12.75">
      <c r="A1102" s="3" t="str">
        <f ca="1">IFERROR(__xludf.UNSUPPORTED("""COMPUTED_VALUE"""),"1120d0d4")</f>
        <v>1120d0d4</v>
      </c>
      <c r="B1102" s="4">
        <f ca="1">IFERROR(__xludf.UNSUPPORTED("""COMPUTED_VALUE"""),44866.4335300925)</f>
        <v>44866.433530092501</v>
      </c>
      <c r="C1102" s="7" t="str">
        <f ca="1">IFERROR(__xludf.UNSUPPORTED("""COMPUTED_VALUE"""),"Niterói")</f>
        <v>Niterói</v>
      </c>
      <c r="D1102" s="3" t="str">
        <f ca="1">IFERROR(__xludf.UNSUPPORTED("""COMPUTED_VALUE"""),"🚢 REGULAR")</f>
        <v>🚢 REGULAR</v>
      </c>
      <c r="E1102" s="3" t="str">
        <f ca="1">IFERROR(__xludf.UNSUPPORTED("""COMPUTED_VALUE"""),"🚛 LIBERADO")</f>
        <v>🚛 LIBERADO</v>
      </c>
      <c r="F1102" s="5">
        <f ca="1">IFERROR(__xludf.UNSUPPORTED("""COMPUTED_VALUE"""),0)</f>
        <v>0</v>
      </c>
      <c r="G1102" s="3" t="str">
        <f ca="1">IFERROR(__xludf.UNSUPPORTED("""COMPUTED_VALUE"""),"Situação normal")</f>
        <v>Situação normal</v>
      </c>
      <c r="H1102" s="4">
        <f ca="1">IFERROR(__xludf.UNSUPPORTED("""COMPUTED_VALUE"""),44866.4335300925)</f>
        <v>44866.433530092501</v>
      </c>
      <c r="I1102" s="3">
        <f ca="1">IFERROR(__xludf.UNSUPPORTED("""COMPUTED_VALUE"""),8)</f>
        <v>8</v>
      </c>
      <c r="J1102" s="4">
        <f ca="1">IFERROR(__xludf.UNSUPPORTED("""COMPUTED_VALUE"""),44866.7668634259)</f>
        <v>44866.766863425903</v>
      </c>
    </row>
    <row r="1103" spans="1:12" ht="12.75">
      <c r="A1103" s="3" t="str">
        <f ca="1">IFERROR(__xludf.UNSUPPORTED("""COMPUTED_VALUE"""),"466fdad2")</f>
        <v>466fdad2</v>
      </c>
      <c r="B1103" s="4">
        <f ca="1">IFERROR(__xludf.UNSUPPORTED("""COMPUTED_VALUE"""),44868.4221759259)</f>
        <v>44868.422175925902</v>
      </c>
      <c r="C1103" s="8" t="str">
        <f ca="1">IFERROR(__xludf.UNSUPPORTED("""COMPUTED_VALUE"""),"Niterói")</f>
        <v>Niterói</v>
      </c>
      <c r="D1103" s="3" t="str">
        <f ca="1">IFERROR(__xludf.UNSUPPORTED("""COMPUTED_VALUE"""),"🚢 REGULAR")</f>
        <v>🚢 REGULAR</v>
      </c>
      <c r="E1103" s="3" t="str">
        <f ca="1">IFERROR(__xludf.UNSUPPORTED("""COMPUTED_VALUE"""),"🚛 LIBERADO")</f>
        <v>🚛 LIBERADO</v>
      </c>
      <c r="F1103" s="5">
        <f ca="1">IFERROR(__xludf.UNSUPPORTED("""COMPUTED_VALUE"""),0)</f>
        <v>0</v>
      </c>
      <c r="G1103" s="3" t="str">
        <f ca="1">IFERROR(__xludf.UNSUPPORTED("""COMPUTED_VALUE"""),"Normal")</f>
        <v>Normal</v>
      </c>
      <c r="H1103" s="4">
        <f ca="1">IFERROR(__xludf.UNSUPPORTED("""COMPUTED_VALUE"""),44868.4221759259)</f>
        <v>44868.422175925902</v>
      </c>
      <c r="I1103" s="3">
        <f ca="1">IFERROR(__xludf.UNSUPPORTED("""COMPUTED_VALUE"""),8)</f>
        <v>8</v>
      </c>
      <c r="J1103" s="4">
        <f ca="1">IFERROR(__xludf.UNSUPPORTED("""COMPUTED_VALUE"""),44868.7555092592)</f>
        <v>44868.755509259201</v>
      </c>
    </row>
    <row r="1104" spans="1:12" ht="12.75">
      <c r="A1104" s="3" t="str">
        <f ca="1">IFERROR(__xludf.UNSUPPORTED("""COMPUTED_VALUE"""),"606fac37")</f>
        <v>606fac37</v>
      </c>
      <c r="B1104" s="4">
        <f ca="1">IFERROR(__xludf.UNSUPPORTED("""COMPUTED_VALUE"""),44869.4485879629)</f>
        <v>44869.448587962899</v>
      </c>
      <c r="C1104" s="8" t="str">
        <f ca="1">IFERROR(__xludf.UNSUPPORTED("""COMPUTED_VALUE"""),"Niterói")</f>
        <v>Niterói</v>
      </c>
      <c r="D1104" s="3" t="str">
        <f ca="1">IFERROR(__xludf.UNSUPPORTED("""COMPUTED_VALUE"""),"🚢 REGULAR")</f>
        <v>🚢 REGULAR</v>
      </c>
      <c r="E1104" s="3" t="str">
        <f ca="1">IFERROR(__xludf.UNSUPPORTED("""COMPUTED_VALUE"""),"🚛 LIBERADO")</f>
        <v>🚛 LIBERADO</v>
      </c>
      <c r="F1104" s="5">
        <f ca="1">IFERROR(__xludf.UNSUPPORTED("""COMPUTED_VALUE"""),0)</f>
        <v>0</v>
      </c>
      <c r="G1104" s="3" t="str">
        <f ca="1">IFERROR(__xludf.UNSUPPORTED("""COMPUTED_VALUE"""),"Situação normal.")</f>
        <v>Situação normal.</v>
      </c>
      <c r="H1104" s="4">
        <f ca="1">IFERROR(__xludf.UNSUPPORTED("""COMPUTED_VALUE"""),44869.4485879629)</f>
        <v>44869.448587962899</v>
      </c>
      <c r="I1104" s="3">
        <f ca="1">IFERROR(__xludf.UNSUPPORTED("""COMPUTED_VALUE"""),24)</f>
        <v>24</v>
      </c>
      <c r="J1104" s="4">
        <f ca="1">IFERROR(__xludf.UNSUPPORTED("""COMPUTED_VALUE"""),44870.4485879629)</f>
        <v>44870.448587962899</v>
      </c>
    </row>
    <row r="1105" spans="1:12" ht="12.75">
      <c r="A1105" s="3" t="str">
        <f ca="1">IFERROR(__xludf.UNSUPPORTED("""COMPUTED_VALUE"""),"959f0b75")</f>
        <v>959f0b75</v>
      </c>
      <c r="B1105" s="4">
        <f ca="1">IFERROR(__xludf.UNSUPPORTED("""COMPUTED_VALUE"""),44883.6243634259)</f>
        <v>44883.624363425901</v>
      </c>
      <c r="C1105" s="8" t="str">
        <f ca="1">IFERROR(__xludf.UNSUPPORTED("""COMPUTED_VALUE"""),"Niterói")</f>
        <v>Niterói</v>
      </c>
      <c r="D1105" s="3" t="str">
        <f ca="1">IFERROR(__xludf.UNSUPPORTED("""COMPUTED_VALUE"""),"🚢 REGULAR")</f>
        <v>🚢 REGULAR</v>
      </c>
      <c r="E1105" s="3" t="str">
        <f ca="1">IFERROR(__xludf.UNSUPPORTED("""COMPUTED_VALUE"""),"🚛 LIBERADO")</f>
        <v>🚛 LIBERADO</v>
      </c>
      <c r="F1105" s="5">
        <f ca="1">IFERROR(__xludf.UNSUPPORTED("""COMPUTED_VALUE"""),1)</f>
        <v>1</v>
      </c>
      <c r="G1105" s="3" t="str">
        <f ca="1">IFERROR(__xludf.UNSUPPORTED("""COMPUTED_VALUE"""),"Situação normal")</f>
        <v>Situação normal</v>
      </c>
      <c r="H1105" s="4">
        <f ca="1">IFERROR(__xludf.UNSUPPORTED("""COMPUTED_VALUE"""),44883.6243634259)</f>
        <v>44883.624363425901</v>
      </c>
      <c r="I1105" s="3">
        <f ca="1">IFERROR(__xludf.UNSUPPORTED("""COMPUTED_VALUE"""),24)</f>
        <v>24</v>
      </c>
      <c r="J1105" s="4">
        <f ca="1">IFERROR(__xludf.UNSUPPORTED("""COMPUTED_VALUE"""),44884.6243634259)</f>
        <v>44884.624363425901</v>
      </c>
    </row>
    <row r="1106" spans="1:12" ht="12.75">
      <c r="A1106" s="3" t="str">
        <f ca="1">IFERROR(__xludf.UNSUPPORTED("""COMPUTED_VALUE"""),"db8bc3ad")</f>
        <v>db8bc3ad</v>
      </c>
      <c r="B1106" s="4">
        <f ca="1">IFERROR(__xludf.UNSUPPORTED("""COMPUTED_VALUE"""),44885.4076504629)</f>
        <v>44885.407650462897</v>
      </c>
      <c r="C1106" s="7" t="str">
        <f ca="1">IFERROR(__xludf.UNSUPPORTED("""COMPUTED_VALUE"""),"Niterói")</f>
        <v>Niterói</v>
      </c>
      <c r="D1106" s="3" t="str">
        <f ca="1">IFERROR(__xludf.UNSUPPORTED("""COMPUTED_VALUE"""),"🚢 REGULAR")</f>
        <v>🚢 REGULAR</v>
      </c>
      <c r="E1106" s="3" t="str">
        <f ca="1">IFERROR(__xludf.UNSUPPORTED("""COMPUTED_VALUE"""),"🚛 LIBERADO")</f>
        <v>🚛 LIBERADO</v>
      </c>
      <c r="F1106" s="5">
        <f ca="1">IFERROR(__xludf.UNSUPPORTED("""COMPUTED_VALUE"""),0)</f>
        <v>0</v>
      </c>
      <c r="G1106" s="3" t="str">
        <f ca="1">IFERROR(__xludf.UNSUPPORTED("""COMPUTED_VALUE"""),"Situação Normal")</f>
        <v>Situação Normal</v>
      </c>
      <c r="H1106" s="4">
        <f ca="1">IFERROR(__xludf.UNSUPPORTED("""COMPUTED_VALUE"""),44887.9833449074)</f>
        <v>44887.983344907399</v>
      </c>
      <c r="I1106" s="3">
        <f ca="1">IFERROR(__xludf.UNSUPPORTED("""COMPUTED_VALUE"""),24)</f>
        <v>24</v>
      </c>
      <c r="J1106" s="4">
        <f ca="1">IFERROR(__xludf.UNSUPPORTED("""COMPUTED_VALUE"""),44888.9833449074)</f>
        <v>44888.983344907399</v>
      </c>
    </row>
    <row r="1107" spans="1:12" ht="12.75">
      <c r="A1107" s="3" t="str">
        <f ca="1">IFERROR(__xludf.UNSUPPORTED("""COMPUTED_VALUE"""),"be003ba1")</f>
        <v>be003ba1</v>
      </c>
      <c r="B1107" s="4">
        <f ca="1">IFERROR(__xludf.UNSUPPORTED("""COMPUTED_VALUE"""),44890.2500231481)</f>
        <v>44890.250023148103</v>
      </c>
      <c r="C1107" s="8" t="str">
        <f ca="1">IFERROR(__xludf.UNSUPPORTED("""COMPUTED_VALUE"""),"Niterói")</f>
        <v>Niterói</v>
      </c>
      <c r="D1107" s="3" t="str">
        <f ca="1">IFERROR(__xludf.UNSUPPORTED("""COMPUTED_VALUE"""),"🚢 REGULAR")</f>
        <v>🚢 REGULAR</v>
      </c>
      <c r="E1107" s="3" t="str">
        <f ca="1">IFERROR(__xludf.UNSUPPORTED("""COMPUTED_VALUE"""),"🚛 LIBERADO")</f>
        <v>🚛 LIBERADO</v>
      </c>
      <c r="F1107" s="5">
        <f ca="1">IFERROR(__xludf.UNSUPPORTED("""COMPUTED_VALUE"""),0)</f>
        <v>0</v>
      </c>
      <c r="G1107" s="3" t="str">
        <f ca="1">IFERROR(__xludf.UNSUPPORTED("""COMPUTED_VALUE"""),"Situação Normal")</f>
        <v>Situação Normal</v>
      </c>
      <c r="H1107" s="4">
        <f ca="1">IFERROR(__xludf.UNSUPPORTED("""COMPUTED_VALUE"""),44890.2500231481)</f>
        <v>44890.250023148103</v>
      </c>
      <c r="I1107" s="3">
        <f ca="1">IFERROR(__xludf.UNSUPPORTED("""COMPUTED_VALUE"""),24)</f>
        <v>24</v>
      </c>
      <c r="J1107" s="4">
        <f ca="1">IFERROR(__xludf.UNSUPPORTED("""COMPUTED_VALUE"""),44891.2500231481)</f>
        <v>44891.250023148103</v>
      </c>
    </row>
    <row r="1108" spans="1:12" ht="12.75">
      <c r="A1108" s="3" t="str">
        <f ca="1">IFERROR(__xludf.UNSUPPORTED("""COMPUTED_VALUE"""),"ea0b7ac7")</f>
        <v>ea0b7ac7</v>
      </c>
      <c r="B1108" s="4">
        <f ca="1">IFERROR(__xludf.UNSUPPORTED("""COMPUTED_VALUE"""),44893.4036226851)</f>
        <v>44893.403622685102</v>
      </c>
      <c r="C1108" s="8" t="str">
        <f ca="1">IFERROR(__xludf.UNSUPPORTED("""COMPUTED_VALUE"""),"Niterói")</f>
        <v>Niterói</v>
      </c>
      <c r="D1108" s="3" t="str">
        <f ca="1">IFERROR(__xludf.UNSUPPORTED("""COMPUTED_VALUE"""),"🚢 REGULAR")</f>
        <v>🚢 REGULAR</v>
      </c>
      <c r="E1108" s="3" t="str">
        <f ca="1">IFERROR(__xludf.UNSUPPORTED("""COMPUTED_VALUE"""),"🚛 LIBERADO")</f>
        <v>🚛 LIBERADO</v>
      </c>
      <c r="F1108" s="5">
        <f ca="1">IFERROR(__xludf.UNSUPPORTED("""COMPUTED_VALUE"""),0)</f>
        <v>0</v>
      </c>
      <c r="G1108" s="3" t="str">
        <f ca="1">IFERROR(__xludf.UNSUPPORTED("""COMPUTED_VALUE"""),"Situação normal")</f>
        <v>Situação normal</v>
      </c>
      <c r="H1108" s="4">
        <f ca="1">IFERROR(__xludf.UNSUPPORTED("""COMPUTED_VALUE"""),44893.4036226851)</f>
        <v>44893.403622685102</v>
      </c>
      <c r="I1108" s="3">
        <f ca="1">IFERROR(__xludf.UNSUPPORTED("""COMPUTED_VALUE"""),24)</f>
        <v>24</v>
      </c>
      <c r="J1108" s="4">
        <f ca="1">IFERROR(__xludf.UNSUPPORTED("""COMPUTED_VALUE"""),44894.4036226851)</f>
        <v>44894.403622685102</v>
      </c>
    </row>
    <row r="1109" spans="1:12" ht="12.75">
      <c r="A1109" s="3" t="str">
        <f ca="1">IFERROR(__xludf.UNSUPPORTED("""COMPUTED_VALUE"""),"9e25406a")</f>
        <v>9e25406a</v>
      </c>
      <c r="B1109" s="4">
        <f ca="1">IFERROR(__xludf.UNSUPPORTED("""COMPUTED_VALUE"""),44894.4256944444)</f>
        <v>44894.425694444399</v>
      </c>
      <c r="C1109" s="8" t="str">
        <f ca="1">IFERROR(__xludf.UNSUPPORTED("""COMPUTED_VALUE"""),"Niterói")</f>
        <v>Niterói</v>
      </c>
      <c r="D1109" s="3" t="str">
        <f ca="1">IFERROR(__xludf.UNSUPPORTED("""COMPUTED_VALUE"""),"🚢 REGULAR")</f>
        <v>🚢 REGULAR</v>
      </c>
      <c r="E1109" s="3" t="str">
        <f ca="1">IFERROR(__xludf.UNSUPPORTED("""COMPUTED_VALUE"""),"🚛 LIBERADO")</f>
        <v>🚛 LIBERADO</v>
      </c>
      <c r="F1109" s="5">
        <f ca="1">IFERROR(__xludf.UNSUPPORTED("""COMPUTED_VALUE"""),0)</f>
        <v>0</v>
      </c>
      <c r="G1109" s="3" t="str">
        <f ca="1">IFERROR(__xludf.UNSUPPORTED("""COMPUTED_VALUE"""),"Situação normal")</f>
        <v>Situação normal</v>
      </c>
      <c r="H1109" s="4">
        <f ca="1">IFERROR(__xludf.UNSUPPORTED("""COMPUTED_VALUE"""),44894.4256944444)</f>
        <v>44894.425694444399</v>
      </c>
      <c r="I1109" s="3">
        <f ca="1">IFERROR(__xludf.UNSUPPORTED("""COMPUTED_VALUE"""),24)</f>
        <v>24</v>
      </c>
      <c r="J1109" s="4">
        <f ca="1">IFERROR(__xludf.UNSUPPORTED("""COMPUTED_VALUE"""),44895.4256944444)</f>
        <v>44895.425694444399</v>
      </c>
    </row>
    <row r="1110" spans="1:12" ht="12.75">
      <c r="A1110" s="3" t="str">
        <f ca="1">IFERROR(__xludf.UNSUPPORTED("""COMPUTED_VALUE"""),"f3c63a09")</f>
        <v>f3c63a09</v>
      </c>
      <c r="B1110" s="4">
        <f ca="1">IFERROR(__xludf.UNSUPPORTED("""COMPUTED_VALUE"""),44895.3881828703)</f>
        <v>44895.388182870302</v>
      </c>
      <c r="C1110" s="8" t="str">
        <f ca="1">IFERROR(__xludf.UNSUPPORTED("""COMPUTED_VALUE"""),"Niterói")</f>
        <v>Niterói</v>
      </c>
      <c r="D1110" s="3" t="str">
        <f ca="1">IFERROR(__xludf.UNSUPPORTED("""COMPUTED_VALUE"""),"🚢 REGULAR")</f>
        <v>🚢 REGULAR</v>
      </c>
      <c r="E1110" s="3" t="str">
        <f ca="1">IFERROR(__xludf.UNSUPPORTED("""COMPUTED_VALUE"""),"🚛 LIBERADO")</f>
        <v>🚛 LIBERADO</v>
      </c>
      <c r="F1110" s="5">
        <f ca="1">IFERROR(__xludf.UNSUPPORTED("""COMPUTED_VALUE"""),0)</f>
        <v>0</v>
      </c>
      <c r="G1110" s="3" t="str">
        <f ca="1">IFERROR(__xludf.UNSUPPORTED("""COMPUTED_VALUE"""),"Situação normal")</f>
        <v>Situação normal</v>
      </c>
      <c r="H1110" s="4">
        <f ca="1">IFERROR(__xludf.UNSUPPORTED("""COMPUTED_VALUE"""),44896.3465162037)</f>
        <v>44896.346516203703</v>
      </c>
      <c r="I1110" s="3">
        <f ca="1">IFERROR(__xludf.UNSUPPORTED("""COMPUTED_VALUE"""),24)</f>
        <v>24</v>
      </c>
      <c r="J1110" s="4">
        <f ca="1">IFERROR(__xludf.UNSUPPORTED("""COMPUTED_VALUE"""),44897.3465162037)</f>
        <v>44897.346516203703</v>
      </c>
    </row>
    <row r="1111" spans="1:12" ht="12.75">
      <c r="A1111" s="3" t="str">
        <f ca="1">IFERROR(__xludf.UNSUPPORTED("""COMPUTED_VALUE"""),"d222ed2a")</f>
        <v>d222ed2a</v>
      </c>
      <c r="B1111" s="4">
        <f ca="1">IFERROR(__xludf.UNSUPPORTED("""COMPUTED_VALUE"""),44897.3180439814)</f>
        <v>44897.318043981402</v>
      </c>
      <c r="C1111" s="7" t="str">
        <f ca="1">IFERROR(__xludf.UNSUPPORTED("""COMPUTED_VALUE"""),"Niterói")</f>
        <v>Niterói</v>
      </c>
      <c r="D1111" s="3" t="str">
        <f ca="1">IFERROR(__xludf.UNSUPPORTED("""COMPUTED_VALUE"""),"🚢 REGULAR")</f>
        <v>🚢 REGULAR</v>
      </c>
      <c r="E1111" s="3" t="str">
        <f ca="1">IFERROR(__xludf.UNSUPPORTED("""COMPUTED_VALUE"""),"🚛 LIBERADO")</f>
        <v>🚛 LIBERADO</v>
      </c>
      <c r="F1111" s="5">
        <f ca="1">IFERROR(__xludf.UNSUPPORTED("""COMPUTED_VALUE"""),0)</f>
        <v>0</v>
      </c>
      <c r="G1111" s="3" t="str">
        <f ca="1">IFERROR(__xludf.UNSUPPORTED("""COMPUTED_VALUE"""),"Situação normal")</f>
        <v>Situação normal</v>
      </c>
      <c r="H1111" s="4">
        <f ca="1">IFERROR(__xludf.UNSUPPORTED("""COMPUTED_VALUE"""),44897.3180439814)</f>
        <v>44897.318043981402</v>
      </c>
      <c r="I1111" s="3">
        <f ca="1">IFERROR(__xludf.UNSUPPORTED("""COMPUTED_VALUE"""),24)</f>
        <v>24</v>
      </c>
      <c r="J1111" s="4">
        <f ca="1">IFERROR(__xludf.UNSUPPORTED("""COMPUTED_VALUE"""),44898.3180439814)</f>
        <v>44898.318043981402</v>
      </c>
    </row>
    <row r="1112" spans="1:12" ht="12.75">
      <c r="A1112" s="3" t="str">
        <f ca="1">IFERROR(__xludf.UNSUPPORTED("""COMPUTED_VALUE"""),"5374f69f")</f>
        <v>5374f69f</v>
      </c>
      <c r="B1112" s="4">
        <f ca="1">IFERROR(__xludf.UNSUPPORTED("""COMPUTED_VALUE"""),44900.4087847222)</f>
        <v>44900.408784722204</v>
      </c>
      <c r="C1112" s="8" t="str">
        <f ca="1">IFERROR(__xludf.UNSUPPORTED("""COMPUTED_VALUE"""),"Niterói")</f>
        <v>Niterói</v>
      </c>
      <c r="D1112" s="3" t="str">
        <f ca="1">IFERROR(__xludf.UNSUPPORTED("""COMPUTED_VALUE"""),"🚢 REGULAR")</f>
        <v>🚢 REGULAR</v>
      </c>
      <c r="E1112" s="3" t="str">
        <f ca="1">IFERROR(__xludf.UNSUPPORTED("""COMPUTED_VALUE"""),"🚛 LIBERADO")</f>
        <v>🚛 LIBERADO</v>
      </c>
      <c r="F1112" s="5">
        <f ca="1">IFERROR(__xludf.UNSUPPORTED("""COMPUTED_VALUE"""),0)</f>
        <v>0</v>
      </c>
      <c r="G1112" s="3" t="str">
        <f ca="1">IFERROR(__xludf.UNSUPPORTED("""COMPUTED_VALUE"""),"Situação normal")</f>
        <v>Situação normal</v>
      </c>
      <c r="H1112" s="4">
        <f ca="1">IFERROR(__xludf.UNSUPPORTED("""COMPUTED_VALUE"""),44900.4087847222)</f>
        <v>44900.408784722204</v>
      </c>
      <c r="I1112" s="3">
        <f ca="1">IFERROR(__xludf.UNSUPPORTED("""COMPUTED_VALUE"""),24)</f>
        <v>24</v>
      </c>
      <c r="J1112" s="4">
        <f ca="1">IFERROR(__xludf.UNSUPPORTED("""COMPUTED_VALUE"""),44901.4087847222)</f>
        <v>44901.408784722204</v>
      </c>
    </row>
    <row r="1113" spans="1:12" ht="12.75">
      <c r="A1113" s="3" t="str">
        <f ca="1">IFERROR(__xludf.UNSUPPORTED("""COMPUTED_VALUE"""),"91a845e0")</f>
        <v>91a845e0</v>
      </c>
      <c r="B1113" s="4">
        <f ca="1">IFERROR(__xludf.UNSUPPORTED("""COMPUTED_VALUE"""),44901.4181018518)</f>
        <v>44901.418101851799</v>
      </c>
      <c r="C1113" s="8" t="str">
        <f ca="1">IFERROR(__xludf.UNSUPPORTED("""COMPUTED_VALUE"""),"Niterói")</f>
        <v>Niterói</v>
      </c>
      <c r="D1113" s="3" t="str">
        <f ca="1">IFERROR(__xludf.UNSUPPORTED("""COMPUTED_VALUE"""),"🚢 REGULAR")</f>
        <v>🚢 REGULAR</v>
      </c>
      <c r="E1113" s="3" t="str">
        <f ca="1">IFERROR(__xludf.UNSUPPORTED("""COMPUTED_VALUE"""),"🚛 LIBERADO")</f>
        <v>🚛 LIBERADO</v>
      </c>
      <c r="F1113" s="5">
        <f ca="1">IFERROR(__xludf.UNSUPPORTED("""COMPUTED_VALUE"""),0)</f>
        <v>0</v>
      </c>
      <c r="G1113" s="3" t="str">
        <f ca="1">IFERROR(__xludf.UNSUPPORTED("""COMPUTED_VALUE"""),"Situação Normal")</f>
        <v>Situação Normal</v>
      </c>
      <c r="H1113" s="4">
        <f ca="1">IFERROR(__xludf.UNSUPPORTED("""COMPUTED_VALUE"""),44903.2917129629)</f>
        <v>44903.291712962899</v>
      </c>
      <c r="I1113" s="3">
        <f ca="1">IFERROR(__xludf.UNSUPPORTED("""COMPUTED_VALUE"""),24)</f>
        <v>24</v>
      </c>
      <c r="J1113" s="4">
        <f ca="1">IFERROR(__xludf.UNSUPPORTED("""COMPUTED_VALUE"""),44904.2917129629)</f>
        <v>44904.291712962899</v>
      </c>
    </row>
    <row r="1114" spans="1:12" ht="12.75">
      <c r="A1114" s="3" t="str">
        <f ca="1">IFERROR(__xludf.UNSUPPORTED("""COMPUTED_VALUE"""),"a49c4c44")</f>
        <v>a49c4c44</v>
      </c>
      <c r="B1114" s="4">
        <f ca="1">IFERROR(__xludf.UNSUPPORTED("""COMPUTED_VALUE"""),44907.5076851851)</f>
        <v>44907.507685185097</v>
      </c>
      <c r="C1114" s="8" t="str">
        <f ca="1">IFERROR(__xludf.UNSUPPORTED("""COMPUTED_VALUE"""),"Niterói")</f>
        <v>Niterói</v>
      </c>
      <c r="D1114" s="3" t="str">
        <f ca="1">IFERROR(__xludf.UNSUPPORTED("""COMPUTED_VALUE"""),"🚢 REGULAR")</f>
        <v>🚢 REGULAR</v>
      </c>
      <c r="E1114" s="3" t="str">
        <f ca="1">IFERROR(__xludf.UNSUPPORTED("""COMPUTED_VALUE"""),"🚛 LIBERADO")</f>
        <v>🚛 LIBERADO</v>
      </c>
      <c r="F1114" s="5">
        <f ca="1">IFERROR(__xludf.UNSUPPORTED("""COMPUTED_VALUE"""),0)</f>
        <v>0</v>
      </c>
      <c r="G1114" s="3" t="str">
        <f ca="1">IFERROR(__xludf.UNSUPPORTED("""COMPUTED_VALUE"""),"Situação normal")</f>
        <v>Situação normal</v>
      </c>
      <c r="H1114" s="4">
        <f ca="1">IFERROR(__xludf.UNSUPPORTED("""COMPUTED_VALUE"""),44907.4166666666)</f>
        <v>44907.416666666599</v>
      </c>
      <c r="I1114" s="3">
        <f ca="1">IFERROR(__xludf.UNSUPPORTED("""COMPUTED_VALUE"""),24)</f>
        <v>24</v>
      </c>
      <c r="J1114" s="4">
        <f ca="1">IFERROR(__xludf.UNSUPPORTED("""COMPUTED_VALUE"""),44908.4166666666)</f>
        <v>44908.416666666599</v>
      </c>
    </row>
    <row r="1115" spans="1:12" ht="12.75">
      <c r="A1115" s="3" t="str">
        <f ca="1">IFERROR(__xludf.UNSUPPORTED("""COMPUTED_VALUE"""),"40bdca73")</f>
        <v>40bdca73</v>
      </c>
      <c r="B1115" s="4">
        <f ca="1">IFERROR(__xludf.UNSUPPORTED("""COMPUTED_VALUE"""),44928.386724537)</f>
        <v>44928.386724536998</v>
      </c>
      <c r="C1115" s="7" t="str">
        <f ca="1">IFERROR(__xludf.UNSUPPORTED("""COMPUTED_VALUE"""),"Niterói")</f>
        <v>Niterói</v>
      </c>
      <c r="D1115" s="3" t="str">
        <f ca="1">IFERROR(__xludf.UNSUPPORTED("""COMPUTED_VALUE"""),"🚢 REGULAR")</f>
        <v>🚢 REGULAR</v>
      </c>
      <c r="E1115" s="3" t="str">
        <f ca="1">IFERROR(__xludf.UNSUPPORTED("""COMPUTED_VALUE"""),"🚛 LIBERADO")</f>
        <v>🚛 LIBERADO</v>
      </c>
      <c r="F1115" s="5">
        <f ca="1">IFERROR(__xludf.UNSUPPORTED("""COMPUTED_VALUE"""),0)</f>
        <v>0</v>
      </c>
      <c r="G1115" s="3" t="str">
        <f ca="1">IFERROR(__xludf.UNSUPPORTED("""COMPUTED_VALUE"""),"Situação Normal")</f>
        <v>Situação Normal</v>
      </c>
      <c r="H1115" s="4">
        <f ca="1">IFERROR(__xludf.UNSUPPORTED("""COMPUTED_VALUE"""),44928.386724537)</f>
        <v>44928.386724536998</v>
      </c>
      <c r="I1115" s="3">
        <f ca="1">IFERROR(__xludf.UNSUPPORTED("""COMPUTED_VALUE"""),24)</f>
        <v>24</v>
      </c>
      <c r="J1115" s="4">
        <f ca="1">IFERROR(__xludf.UNSUPPORTED("""COMPUTED_VALUE"""),44929.386724537)</f>
        <v>44929.386724536998</v>
      </c>
    </row>
    <row r="1116" spans="1:12" ht="12.75">
      <c r="A1116" s="3" t="str">
        <f ca="1">IFERROR(__xludf.UNSUPPORTED("""COMPUTED_VALUE"""),"41de22d6")</f>
        <v>41de22d6</v>
      </c>
      <c r="B1116" s="4">
        <f ca="1">IFERROR(__xludf.UNSUPPORTED("""COMPUTED_VALUE"""),44935.5006018518)</f>
        <v>44935.500601851803</v>
      </c>
      <c r="C1116" s="7" t="str">
        <f ca="1">IFERROR(__xludf.UNSUPPORTED("""COMPUTED_VALUE"""),"Niterói")</f>
        <v>Niterói</v>
      </c>
      <c r="D1116" s="3" t="str">
        <f ca="1">IFERROR(__xludf.UNSUPPORTED("""COMPUTED_VALUE"""),"🚢 REGULAR")</f>
        <v>🚢 REGULAR</v>
      </c>
      <c r="E1116" s="3" t="str">
        <f ca="1">IFERROR(__xludf.UNSUPPORTED("""COMPUTED_VALUE"""),"🚛 LIBERADO")</f>
        <v>🚛 LIBERADO</v>
      </c>
      <c r="F1116" s="5">
        <f ca="1">IFERROR(__xludf.UNSUPPORTED("""COMPUTED_VALUE"""),0)</f>
        <v>0</v>
      </c>
      <c r="G1116" s="3" t="str">
        <f ca="1">IFERROR(__xludf.UNSUPPORTED("""COMPUTED_VALUE"""),"Normalidade")</f>
        <v>Normalidade</v>
      </c>
      <c r="H1116" s="4">
        <f ca="1">IFERROR(__xludf.UNSUPPORTED("""COMPUTED_VALUE"""),44935.5006018518)</f>
        <v>44935.500601851803</v>
      </c>
      <c r="I1116" s="3">
        <f ca="1">IFERROR(__xludf.UNSUPPORTED("""COMPUTED_VALUE"""),24)</f>
        <v>24</v>
      </c>
      <c r="J1116" s="4">
        <f ca="1">IFERROR(__xludf.UNSUPPORTED("""COMPUTED_VALUE"""),44936.5006018518)</f>
        <v>44936.500601851803</v>
      </c>
      <c r="L1116" s="3" t="str">
        <f ca="1">IFERROR(__xludf.UNSUPPORTED("""COMPUTED_VALUE"""),"Normalidade")</f>
        <v>Normalidade</v>
      </c>
    </row>
    <row r="1117" spans="1:12" ht="12.75">
      <c r="A1117" s="3" t="str">
        <f ca="1">IFERROR(__xludf.UNSUPPORTED("""COMPUTED_VALUE"""),"a519349f")</f>
        <v>a519349f</v>
      </c>
      <c r="B1117" s="4">
        <f ca="1">IFERROR(__xludf.UNSUPPORTED("""COMPUTED_VALUE"""),45120.6366319444)</f>
        <v>45120.636631944399</v>
      </c>
      <c r="C1117" s="8" t="str">
        <f ca="1">IFERROR(__xludf.UNSUPPORTED("""COMPUTED_VALUE"""),"Niterói")</f>
        <v>Niterói</v>
      </c>
      <c r="D1117" s="3" t="str">
        <f ca="1">IFERROR(__xludf.UNSUPPORTED("""COMPUTED_VALUE"""),"🚢 REGULAR")</f>
        <v>🚢 REGULAR</v>
      </c>
      <c r="E1117" s="3" t="str">
        <f ca="1">IFERROR(__xludf.UNSUPPORTED("""COMPUTED_VALUE"""),"🚛 LIBERADO")</f>
        <v>🚛 LIBERADO</v>
      </c>
      <c r="F1117" s="5">
        <f ca="1">IFERROR(__xludf.UNSUPPORTED("""COMPUTED_VALUE"""),0)</f>
        <v>0</v>
      </c>
      <c r="G1117" s="3" t="str">
        <f ca="1">IFERROR(__xludf.UNSUPPORTED("""COMPUTED_VALUE"""),"Normalidade")</f>
        <v>Normalidade</v>
      </c>
      <c r="H1117" s="4">
        <f ca="1">IFERROR(__xludf.UNSUPPORTED("""COMPUTED_VALUE"""),45120.6366319444)</f>
        <v>45120.636631944399</v>
      </c>
      <c r="I1117" s="3">
        <f ca="1">IFERROR(__xludf.UNSUPPORTED("""COMPUTED_VALUE"""),24)</f>
        <v>24</v>
      </c>
      <c r="J1117" s="4">
        <f ca="1">IFERROR(__xludf.UNSUPPORTED("""COMPUTED_VALUE"""),45121.6366319444)</f>
        <v>45121.636631944399</v>
      </c>
      <c r="L1117" s="3" t="str">
        <f ca="1">IFERROR(__xludf.UNSUPPORTED("""COMPUTED_VALUE"""),"Normalidade")</f>
        <v>Normalidade</v>
      </c>
    </row>
    <row r="1118" spans="1:12" ht="12.75">
      <c r="A1118" s="3" t="str">
        <f ca="1">IFERROR(__xludf.UNSUPPORTED("""COMPUTED_VALUE"""),"6fe3de7f")</f>
        <v>6fe3de7f</v>
      </c>
      <c r="B1118" s="4">
        <f ca="1">IFERROR(__xludf.UNSUPPORTED("""COMPUTED_VALUE"""),45121.6454976851)</f>
        <v>45121.645497685102</v>
      </c>
      <c r="C1118" s="8" t="str">
        <f ca="1">IFERROR(__xludf.UNSUPPORTED("""COMPUTED_VALUE"""),"Niterói")</f>
        <v>Niterói</v>
      </c>
      <c r="D1118" s="3" t="str">
        <f ca="1">IFERROR(__xludf.UNSUPPORTED("""COMPUTED_VALUE"""),"⚠️ COM ATRASOS")</f>
        <v>⚠️ COM ATRASOS</v>
      </c>
      <c r="E1118" s="3" t="str">
        <f ca="1">IFERROR(__xludf.UNSUPPORTED("""COMPUTED_VALUE"""),"⚠️ PARCIALMENTE BLOQUEADO")</f>
        <v>⚠️ PARCIALMENTE BLOQUEADO</v>
      </c>
      <c r="F1118" s="5">
        <f ca="1">IFERROR(__xludf.UNSUPPORTED("""COMPUTED_VALUE"""),0.5)</f>
        <v>0.5</v>
      </c>
      <c r="G1118" s="3" t="str">
        <f ca="1">IFERROR(__xludf.UNSUPPORTED("""COMPUTED_VALUE"""),"Canal de acesso com restrições")</f>
        <v>Canal de acesso com restrições</v>
      </c>
      <c r="H1118" s="4">
        <f ca="1">IFERROR(__xludf.UNSUPPORTED("""COMPUTED_VALUE"""),45121.6454976851)</f>
        <v>45121.645497685102</v>
      </c>
      <c r="I1118" s="3">
        <f ca="1">IFERROR(__xludf.UNSUPPORTED("""COMPUTED_VALUE"""),23)</f>
        <v>23</v>
      </c>
      <c r="J1118" s="4">
        <f ca="1">IFERROR(__xludf.UNSUPPORTED("""COMPUTED_VALUE"""),45122.6038310185)</f>
        <v>45122.603831018503</v>
      </c>
      <c r="K1118" s="3" t="str">
        <f ca="1">IFERROR(__xludf.UNSUPPORTED("""COMPUTED_VALUE"""),"Marinha do Brasil")</f>
        <v>Marinha do Brasil</v>
      </c>
      <c r="L1118" s="3" t="str">
        <f ca="1">IFERROR(__xludf.UNSUPPORTED("""COMPUTED_VALUE"""),"Crítico")</f>
        <v>Crítico</v>
      </c>
    </row>
    <row r="1119" spans="1:12" ht="12.75">
      <c r="A1119" s="3" t="str">
        <f ca="1">IFERROR(__xludf.UNSUPPORTED("""COMPUTED_VALUE"""),"5c0594ef")</f>
        <v>5c0594ef</v>
      </c>
      <c r="B1119" s="4">
        <f ca="1">IFERROR(__xludf.UNSUPPORTED("""COMPUTED_VALUE"""),45124.4198958333)</f>
        <v>45124.4198958333</v>
      </c>
      <c r="C1119" s="7" t="str">
        <f ca="1">IFERROR(__xludf.UNSUPPORTED("""COMPUTED_VALUE"""),"Niterói")</f>
        <v>Niterói</v>
      </c>
      <c r="D1119" s="3" t="str">
        <f ca="1">IFERROR(__xludf.UNSUPPORTED("""COMPUTED_VALUE"""),"🚢 REGULAR")</f>
        <v>🚢 REGULAR</v>
      </c>
      <c r="E1119" s="3" t="str">
        <f ca="1">IFERROR(__xludf.UNSUPPORTED("""COMPUTED_VALUE"""),"🚛 LIBERADO")</f>
        <v>🚛 LIBERADO</v>
      </c>
      <c r="F1119" s="5">
        <f ca="1">IFERROR(__xludf.UNSUPPORTED("""COMPUTED_VALUE"""),0)</f>
        <v>0</v>
      </c>
      <c r="G1119" s="3" t="str">
        <f ca="1">IFERROR(__xludf.UNSUPPORTED("""COMPUTED_VALUE"""),"Normalidade")</f>
        <v>Normalidade</v>
      </c>
      <c r="H1119" s="4">
        <f ca="1">IFERROR(__xludf.UNSUPPORTED("""COMPUTED_VALUE"""),45124.4198958333)</f>
        <v>45124.4198958333</v>
      </c>
      <c r="I1119" s="3">
        <f ca="1">IFERROR(__xludf.UNSUPPORTED("""COMPUTED_VALUE"""),24)</f>
        <v>24</v>
      </c>
      <c r="J1119" s="4">
        <f ca="1">IFERROR(__xludf.UNSUPPORTED("""COMPUTED_VALUE"""),45125.4198958333)</f>
        <v>45125.4198958333</v>
      </c>
    </row>
    <row r="1120" spans="1:12" ht="12.75">
      <c r="A1120" s="3" t="str">
        <f ca="1">IFERROR(__xludf.UNSUPPORTED("""COMPUTED_VALUE"""),"e32297b0")</f>
        <v>e32297b0</v>
      </c>
      <c r="B1120" s="4">
        <f ca="1">IFERROR(__xludf.UNSUPPORTED("""COMPUTED_VALUE"""),45126.9968518518)</f>
        <v>45126.9968518518</v>
      </c>
      <c r="C1120" s="8" t="str">
        <f ca="1">IFERROR(__xludf.UNSUPPORTED("""COMPUTED_VALUE"""),"Niterói")</f>
        <v>Niterói</v>
      </c>
      <c r="D1120" s="3" t="str">
        <f ca="1">IFERROR(__xludf.UNSUPPORTED("""COMPUTED_VALUE"""),"🚢 REGULAR")</f>
        <v>🚢 REGULAR</v>
      </c>
      <c r="E1120" s="3" t="str">
        <f ca="1">IFERROR(__xludf.UNSUPPORTED("""COMPUTED_VALUE"""),"⚠️ PARCIALMENTE BLOQUEADO")</f>
        <v>⚠️ PARCIALMENTE BLOQUEADO</v>
      </c>
      <c r="F1120" s="5">
        <f ca="1">IFERROR(__xludf.UNSUPPORTED("""COMPUTED_VALUE"""),0.5)</f>
        <v>0.5</v>
      </c>
      <c r="G1120" s="3" t="str">
        <f ca="1">IFERROR(__xludf.UNSUPPORTED("""COMPUTED_VALUE"""),"Condições climáticas adversas")</f>
        <v>Condições climáticas adversas</v>
      </c>
      <c r="H1120" s="4">
        <f ca="1">IFERROR(__xludf.UNSUPPORTED("""COMPUTED_VALUE"""),45127.2916666666)</f>
        <v>45127.291666666599</v>
      </c>
      <c r="I1120" s="3">
        <f ca="1">IFERROR(__xludf.UNSUPPORTED("""COMPUTED_VALUE"""),20)</f>
        <v>20</v>
      </c>
      <c r="J1120" s="4">
        <f ca="1">IFERROR(__xludf.UNSUPPORTED("""COMPUTED_VALUE"""),45128.125)</f>
        <v>45128.125</v>
      </c>
      <c r="K1120" s="3" t="str">
        <f ca="1">IFERROR(__xludf.UNSUPPORTED("""COMPUTED_VALUE"""),"Capitania dos Portos")</f>
        <v>Capitania dos Portos</v>
      </c>
      <c r="L1120" s="3" t="str">
        <f ca="1">IFERROR(__xludf.UNSUPPORTED("""COMPUTED_VALUE"""),"Crítico")</f>
        <v>Crítico</v>
      </c>
    </row>
    <row r="1121" spans="1:12" ht="12.75">
      <c r="A1121" s="3" t="str">
        <f ca="1">IFERROR(__xludf.UNSUPPORTED("""COMPUTED_VALUE"""),"3dcfe07a")</f>
        <v>3dcfe07a</v>
      </c>
      <c r="B1121" s="4">
        <f ca="1">IFERROR(__xludf.UNSUPPORTED("""COMPUTED_VALUE"""),45147.3492824074)</f>
        <v>45147.349282407398</v>
      </c>
      <c r="C1121" s="7" t="str">
        <f ca="1">IFERROR(__xludf.UNSUPPORTED("""COMPUTED_VALUE"""),"Niterói")</f>
        <v>Niterói</v>
      </c>
      <c r="D1121" s="3" t="str">
        <f ca="1">IFERROR(__xludf.UNSUPPORTED("""COMPUTED_VALUE"""),"🚢 REGULAR")</f>
        <v>🚢 REGULAR</v>
      </c>
      <c r="E1121" s="3" t="str">
        <f ca="1">IFERROR(__xludf.UNSUPPORTED("""COMPUTED_VALUE"""),"⚠️ PARCIALMENTE BLOQUEADO")</f>
        <v>⚠️ PARCIALMENTE BLOQUEADO</v>
      </c>
      <c r="F1121" s="5">
        <f ca="1">IFERROR(__xludf.UNSUPPORTED("""COMPUTED_VALUE"""),0.25)</f>
        <v>0.25</v>
      </c>
      <c r="G1121" s="3" t="str">
        <f ca="1">IFERROR(__xludf.UNSUPPORTED("""COMPUTED_VALUE"""),"BARRA RESTRITA DESDE 09/08/2023 07:39 
Canal Varrido Fechado. Barra grande restrita a 11,50 metros. Embarque e desembarque em águas abrigadas para navios e supplies.")</f>
        <v>BARRA RESTRITA DESDE 09/08/2023 07:39 
Canal Varrido Fechado. Barra grande restrita a 11,50 metros. Embarque e desembarque em águas abrigadas para navios e supplies.</v>
      </c>
      <c r="H1121" s="4">
        <f ca="1">IFERROR(__xludf.UNSUPPORTED("""COMPUTED_VALUE"""),45147.3492824074)</f>
        <v>45147.349282407398</v>
      </c>
      <c r="I1121" s="3">
        <f ca="1">IFERROR(__xludf.UNSUPPORTED("""COMPUTED_VALUE"""),24)</f>
        <v>24</v>
      </c>
      <c r="J1121" s="4">
        <f ca="1">IFERROR(__xludf.UNSUPPORTED("""COMPUTED_VALUE"""),45148.3492824074)</f>
        <v>45148.349282407398</v>
      </c>
      <c r="K1121" s="3" t="str">
        <f ca="1">IFERROR(__xludf.UNSUPPORTED("""COMPUTED_VALUE"""),"Portos Rio")</f>
        <v>Portos Rio</v>
      </c>
      <c r="L1121" s="3" t="str">
        <f ca="1">IFERROR(__xludf.UNSUPPORTED("""COMPUTED_VALUE"""),"Crítico")</f>
        <v>Crítico</v>
      </c>
    </row>
    <row r="1122" spans="1:12" ht="12.75">
      <c r="A1122" s="3" t="str">
        <f ca="1">IFERROR(__xludf.UNSUPPORTED("""COMPUTED_VALUE"""),"1f5c6851")</f>
        <v>1f5c6851</v>
      </c>
      <c r="B1122" s="4">
        <f ca="1">IFERROR(__xludf.UNSUPPORTED("""COMPUTED_VALUE"""),45148.5431134259)</f>
        <v>45148.543113425898</v>
      </c>
      <c r="C1122" s="7" t="str">
        <f ca="1">IFERROR(__xludf.UNSUPPORTED("""COMPUTED_VALUE"""),"Niterói")</f>
        <v>Niterói</v>
      </c>
      <c r="D1122" s="3" t="str">
        <f ca="1">IFERROR(__xludf.UNSUPPORTED("""COMPUTED_VALUE"""),"🚢 REGULAR")</f>
        <v>🚢 REGULAR</v>
      </c>
      <c r="E1122" s="3" t="str">
        <f ca="1">IFERROR(__xludf.UNSUPPORTED("""COMPUTED_VALUE"""),"🚛 LIBERADO")</f>
        <v>🚛 LIBERADO</v>
      </c>
      <c r="F1122" s="5">
        <f ca="1">IFERROR(__xludf.UNSUPPORTED("""COMPUTED_VALUE"""),0)</f>
        <v>0</v>
      </c>
      <c r="G1122" s="3" t="str">
        <f ca="1">IFERROR(__xludf.UNSUPPORTED("""COMPUTED_VALUE"""),"Normalidade")</f>
        <v>Normalidade</v>
      </c>
      <c r="H1122" s="4">
        <f ca="1">IFERROR(__xludf.UNSUPPORTED("""COMPUTED_VALUE"""),45148.5431134259)</f>
        <v>45148.543113425898</v>
      </c>
      <c r="I1122" s="3">
        <f ca="1">IFERROR(__xludf.UNSUPPORTED("""COMPUTED_VALUE"""),24)</f>
        <v>24</v>
      </c>
      <c r="J1122" s="4">
        <f ca="1">IFERROR(__xludf.UNSUPPORTED("""COMPUTED_VALUE"""),45149.5431134259)</f>
        <v>45149.543113425898</v>
      </c>
    </row>
    <row r="1123" spans="1:12" ht="12.75">
      <c r="A1123" s="3" t="str">
        <f ca="1">IFERROR(__xludf.UNSUPPORTED("""COMPUTED_VALUE"""),"c7691afc")</f>
        <v>c7691afc</v>
      </c>
      <c r="B1123" s="4">
        <f ca="1">IFERROR(__xludf.UNSUPPORTED("""COMPUTED_VALUE"""),45153.4374189814)</f>
        <v>45153.437418981397</v>
      </c>
      <c r="C1123" s="7" t="str">
        <f ca="1">IFERROR(__xludf.UNSUPPORTED("""COMPUTED_VALUE"""),"Niterói")</f>
        <v>Niterói</v>
      </c>
      <c r="D1123" s="3" t="str">
        <f ca="1">IFERROR(__xludf.UNSUPPORTED("""COMPUTED_VALUE"""),"🚢 REGULAR")</f>
        <v>🚢 REGULAR</v>
      </c>
      <c r="E1123" s="3" t="str">
        <f ca="1">IFERROR(__xludf.UNSUPPORTED("""COMPUTED_VALUE"""),"⚠️ PARCIALMENTE BLOQUEADO")</f>
        <v>⚠️ PARCIALMENTE BLOQUEADO</v>
      </c>
      <c r="F1123" s="5">
        <f ca="1">IFERROR(__xludf.UNSUPPORTED("""COMPUTED_VALUE"""),0.5)</f>
        <v>0.5</v>
      </c>
      <c r="G1123" s="3" t="str">
        <f ca="1">IFERROR(__xludf.UNSUPPORTED("""COMPUTED_VALUE"""),"BARRA RESTRITA DESDE 14/08/2023 18:05 
Canal Varrido Fechado. Barra grande restrita a 11,50 metros. Embarque e desembarque em águas abrigadas para navios e supplies.")</f>
        <v>BARRA RESTRITA DESDE 14/08/2023 18:05 
Canal Varrido Fechado. Barra grande restrita a 11,50 metros. Embarque e desembarque em águas abrigadas para navios e supplies.</v>
      </c>
      <c r="H1123" s="4">
        <f ca="1">IFERROR(__xludf.UNSUPPORTED("""COMPUTED_VALUE"""),45152.7534722222)</f>
        <v>45152.753472222197</v>
      </c>
      <c r="I1123" s="3">
        <f ca="1">IFERROR(__xludf.UNSUPPORTED("""COMPUTED_VALUE"""),23)</f>
        <v>23</v>
      </c>
      <c r="J1123" s="4">
        <f ca="1">IFERROR(__xludf.UNSUPPORTED("""COMPUTED_VALUE"""),45153.7118055555)</f>
        <v>45153.711805555497</v>
      </c>
      <c r="K1123" s="3" t="str">
        <f ca="1">IFERROR(__xludf.UNSUPPORTED("""COMPUTED_VALUE"""),"Portos Rio")</f>
        <v>Portos Rio</v>
      </c>
      <c r="L1123" s="3" t="str">
        <f ca="1">IFERROR(__xludf.UNSUPPORTED("""COMPUTED_VALUE"""),"Crítico")</f>
        <v>Crítico</v>
      </c>
    </row>
    <row r="1124" spans="1:12" ht="12.75">
      <c r="A1124" s="3" t="str">
        <f ca="1">IFERROR(__xludf.UNSUPPORTED("""COMPUTED_VALUE"""),"8b464b2b")</f>
        <v>8b464b2b</v>
      </c>
      <c r="B1124" s="4">
        <f ca="1">IFERROR(__xludf.UNSUPPORTED("""COMPUTED_VALUE"""),45156.3452662037)</f>
        <v>45156.345266203702</v>
      </c>
      <c r="C1124" s="7" t="str">
        <f ca="1">IFERROR(__xludf.UNSUPPORTED("""COMPUTED_VALUE"""),"Niterói")</f>
        <v>Niterói</v>
      </c>
      <c r="D1124" s="3" t="str">
        <f ca="1">IFERROR(__xludf.UNSUPPORTED("""COMPUTED_VALUE"""),"🚢 REGULAR")</f>
        <v>🚢 REGULAR</v>
      </c>
      <c r="E1124" s="3" t="str">
        <f ca="1">IFERROR(__xludf.UNSUPPORTED("""COMPUTED_VALUE"""),"🚛 LIBERADO")</f>
        <v>🚛 LIBERADO</v>
      </c>
      <c r="F1124" s="5">
        <f ca="1">IFERROR(__xludf.UNSUPPORTED("""COMPUTED_VALUE"""),0)</f>
        <v>0</v>
      </c>
      <c r="G1124" s="3" t="str">
        <f ca="1">IFERROR(__xludf.UNSUPPORTED("""COMPUTED_VALUE"""),"Normalidade")</f>
        <v>Normalidade</v>
      </c>
      <c r="H1124" s="4">
        <f ca="1">IFERROR(__xludf.UNSUPPORTED("""COMPUTED_VALUE"""),45156.3452662037)</f>
        <v>45156.345266203702</v>
      </c>
      <c r="I1124" s="3">
        <f ca="1">IFERROR(__xludf.UNSUPPORTED("""COMPUTED_VALUE"""),24)</f>
        <v>24</v>
      </c>
      <c r="J1124" s="4">
        <f ca="1">IFERROR(__xludf.UNSUPPORTED("""COMPUTED_VALUE"""),45157.3452662037)</f>
        <v>45157.345266203702</v>
      </c>
      <c r="L1124" s="3" t="str">
        <f ca="1">IFERROR(__xludf.UNSUPPORTED("""COMPUTED_VALUE"""),"Normalidade")</f>
        <v>Normalidade</v>
      </c>
    </row>
    <row r="1125" spans="1:12" ht="12.75">
      <c r="A1125" s="3" t="str">
        <f ca="1">IFERROR(__xludf.UNSUPPORTED("""COMPUTED_VALUE"""),"ZIHeEoTg")</f>
        <v>ZIHeEoTg</v>
      </c>
      <c r="B1125" s="4">
        <f ca="1">IFERROR(__xludf.UNSUPPORTED("""COMPUTED_VALUE"""),44589.5)</f>
        <v>44589.5</v>
      </c>
      <c r="C1125" s="7" t="str">
        <f ca="1">IFERROR(__xludf.UNSUPPORTED("""COMPUTED_VALUE"""),"Paranaguá")</f>
        <v>Paranaguá</v>
      </c>
      <c r="D1125" s="3" t="str">
        <f ca="1">IFERROR(__xludf.UNSUPPORTED("""COMPUTED_VALUE"""),"🚢 REGULAR")</f>
        <v>🚢 REGULAR</v>
      </c>
      <c r="E1125" s="3" t="str">
        <f ca="1">IFERROR(__xludf.UNSUPPORTED("""COMPUTED_VALUE"""),"🚛 LIBERADO")</f>
        <v>🚛 LIBERADO</v>
      </c>
      <c r="F1125" s="5">
        <f ca="1">IFERROR(__xludf.UNSUPPORTED("""COMPUTED_VALUE"""),0)</f>
        <v>0</v>
      </c>
      <c r="G1125" s="3" t="str">
        <f ca="1">IFERROR(__xludf.UNSUPPORTED("""COMPUTED_VALUE"""),"Normal. Nem faixas foram fixadas ou estão sendo estendidas nos portões de acesso, por enquanto.")</f>
        <v>Normal. Nem faixas foram fixadas ou estão sendo estendidas nos portões de acesso, por enquanto.</v>
      </c>
      <c r="H1125" s="4">
        <f ca="1">IFERROR(__xludf.UNSUPPORTED("""COMPUTED_VALUE"""),44589.3381944444)</f>
        <v>44589.338194444397</v>
      </c>
      <c r="I1125" s="3">
        <f ca="1">IFERROR(__xludf.UNSUPPORTED("""COMPUTED_VALUE"""),3)</f>
        <v>3</v>
      </c>
      <c r="J1125" s="4">
        <f ca="1">IFERROR(__xludf.UNSUPPORTED("""COMPUTED_VALUE"""),44589.4631944444)</f>
        <v>44589.463194444397</v>
      </c>
    </row>
    <row r="1126" spans="1:12" ht="12.75">
      <c r="A1126" s="3" t="str">
        <f ca="1">IFERROR(__xludf.UNSUPPORTED("""COMPUTED_VALUE"""),"4de4a861")</f>
        <v>4de4a861</v>
      </c>
      <c r="B1126" s="4">
        <f ca="1">IFERROR(__xludf.UNSUPPORTED("""COMPUTED_VALUE"""),44865.8589699074)</f>
        <v>44865.8589699074</v>
      </c>
      <c r="C1126" s="8" t="str">
        <f ca="1">IFERROR(__xludf.UNSUPPORTED("""COMPUTED_VALUE"""),"Paranaguá")</f>
        <v>Paranaguá</v>
      </c>
      <c r="D1126" s="3" t="str">
        <f ca="1">IFERROR(__xludf.UNSUPPORTED("""COMPUTED_VALUE"""),"⚠️ COM ATRASOS")</f>
        <v>⚠️ COM ATRASOS</v>
      </c>
      <c r="E1126" s="3" t="str">
        <f ca="1">IFERROR(__xludf.UNSUPPORTED("""COMPUTED_VALUE"""),"⛔️ BLOQUEADO")</f>
        <v>⛔️ BLOQUEADO</v>
      </c>
      <c r="F1126" s="5">
        <f ca="1">IFERROR(__xludf.UNSUPPORTED("""COMPUTED_VALUE"""),0.5)</f>
        <v>0.5</v>
      </c>
      <c r="G1126" s="3" t="str">
        <f ca="1">IFERROR(__xludf.UNSUPPORTED("""COMPUTED_VALUE"""),"A principal via de acesso ao Porto de Paranaguá, a BR 277, segue bloqueada em ambos os sentidos, a partir do quilômetro 5.
De acordo com a Diretoria de Operações, apesar do bloqueio rodoviário, os portos seguem operando com cargas já presentes no porto e "&amp;"o reflexo do movimento, que ainda ocorre em diversas estradas brasileiras, está na recepção aos caminhões.")</f>
        <v>A principal via de acesso ao Porto de Paranaguá, a BR 277, segue bloqueada em ambos os sentidos, a partir do quilômetro 5.
De acordo com a Diretoria de Operações, apesar do bloqueio rodoviário, os portos seguem operando com cargas já presentes no porto e o reflexo do movimento, que ainda ocorre em diversas estradas brasileiras, está na recepção aos caminhões.</v>
      </c>
      <c r="H1126" s="4">
        <f ca="1">IFERROR(__xludf.UNSUPPORTED("""COMPUTED_VALUE"""),44867.5416666666)</f>
        <v>44867.541666666599</v>
      </c>
      <c r="I1126" s="3">
        <f ca="1">IFERROR(__xludf.UNSUPPORTED("""COMPUTED_VALUE"""),24)</f>
        <v>24</v>
      </c>
      <c r="J1126" s="4">
        <f ca="1">IFERROR(__xludf.UNSUPPORTED("""COMPUTED_VALUE"""),44868.5416666666)</f>
        <v>44868.541666666599</v>
      </c>
    </row>
    <row r="1127" spans="1:12" ht="12.75">
      <c r="A1127" s="3" t="str">
        <f ca="1">IFERROR(__xludf.UNSUPPORTED("""COMPUTED_VALUE"""),"e839408e")</f>
        <v>e839408e</v>
      </c>
      <c r="B1127" s="4">
        <f ca="1">IFERROR(__xludf.UNSUPPORTED("""COMPUTED_VALUE"""),44868.3389583333)</f>
        <v>44868.338958333297</v>
      </c>
      <c r="C1127" s="7" t="str">
        <f ca="1">IFERROR(__xludf.UNSUPPORTED("""COMPUTED_VALUE"""),"Paranaguá")</f>
        <v>Paranaguá</v>
      </c>
      <c r="D1127" s="3" t="str">
        <f ca="1">IFERROR(__xludf.UNSUPPORTED("""COMPUTED_VALUE"""),"🚢 REGULAR")</f>
        <v>🚢 REGULAR</v>
      </c>
      <c r="E1127" s="3" t="str">
        <f ca="1">IFERROR(__xludf.UNSUPPORTED("""COMPUTED_VALUE"""),"🚛 LIBERADO")</f>
        <v>🚛 LIBERADO</v>
      </c>
      <c r="F1127" s="5">
        <f ca="1">IFERROR(__xludf.UNSUPPORTED("""COMPUTED_VALUE"""),0)</f>
        <v>0</v>
      </c>
      <c r="G1127" s="3" t="str">
        <f ca="1">IFERROR(__xludf.UNSUPPORTED("""COMPUTED_VALUE"""),"BR-277 liberada.")</f>
        <v>BR-277 liberada.</v>
      </c>
      <c r="H1127" s="4">
        <f ca="1">IFERROR(__xludf.UNSUPPORTED("""COMPUTED_VALUE"""),44871.6709027777)</f>
        <v>44871.670902777703</v>
      </c>
      <c r="I1127" s="3">
        <f ca="1">IFERROR(__xludf.UNSUPPORTED("""COMPUTED_VALUE"""),24)</f>
        <v>24</v>
      </c>
      <c r="J1127" s="4">
        <f ca="1">IFERROR(__xludf.UNSUPPORTED("""COMPUTED_VALUE"""),44872.6709027777)</f>
        <v>44872.670902777703</v>
      </c>
    </row>
    <row r="1128" spans="1:12" ht="12.75">
      <c r="A1128" s="3" t="str">
        <f ca="1">IFERROR(__xludf.UNSUPPORTED("""COMPUTED_VALUE"""),"0677acce")</f>
        <v>0677acce</v>
      </c>
      <c r="B1128" s="4">
        <f ca="1">IFERROR(__xludf.UNSUPPORTED("""COMPUTED_VALUE"""),44873.3746527777)</f>
        <v>44873.374652777697</v>
      </c>
      <c r="C1128" s="8" t="str">
        <f ca="1">IFERROR(__xludf.UNSUPPORTED("""COMPUTED_VALUE"""),"Paranaguá")</f>
        <v>Paranaguá</v>
      </c>
      <c r="D1128" s="3" t="str">
        <f ca="1">IFERROR(__xludf.UNSUPPORTED("""COMPUTED_VALUE"""),"🚢 REGULAR")</f>
        <v>🚢 REGULAR</v>
      </c>
      <c r="E1128" s="3" t="str">
        <f ca="1">IFERROR(__xludf.UNSUPPORTED("""COMPUTED_VALUE"""),"🚛 LIBERADO")</f>
        <v>🚛 LIBERADO</v>
      </c>
      <c r="F1128" s="5">
        <f ca="1">IFERROR(__xludf.UNSUPPORTED("""COMPUTED_VALUE"""),0)</f>
        <v>0</v>
      </c>
      <c r="G1128" s="3" t="str">
        <f ca="1">IFERROR(__xludf.UNSUPPORTED("""COMPUTED_VALUE"""),"Sem ocorrêcias decorrentes de paralizações. Trecho de atenção na BR-277 por conta de queda de barreiras, mas sem interrupção de fluxo.")</f>
        <v>Sem ocorrêcias decorrentes de paralizações. Trecho de atenção na BR-277 por conta de queda de barreiras, mas sem interrupção de fluxo.</v>
      </c>
      <c r="H1128" s="4">
        <f ca="1">IFERROR(__xludf.UNSUPPORTED("""COMPUTED_VALUE"""),44873.3746527777)</f>
        <v>44873.374652777697</v>
      </c>
      <c r="I1128" s="3">
        <f ca="1">IFERROR(__xludf.UNSUPPORTED("""COMPUTED_VALUE"""),24)</f>
        <v>24</v>
      </c>
      <c r="J1128" s="4">
        <f ca="1">IFERROR(__xludf.UNSUPPORTED("""COMPUTED_VALUE"""),44874.3746527777)</f>
        <v>44874.374652777697</v>
      </c>
    </row>
    <row r="1129" spans="1:12" ht="12.75">
      <c r="A1129" s="3" t="str">
        <f ca="1">IFERROR(__xludf.UNSUPPORTED("""COMPUTED_VALUE"""),"a36a2832")</f>
        <v>a36a2832</v>
      </c>
      <c r="B1129" s="4">
        <f ca="1">IFERROR(__xludf.UNSUPPORTED("""COMPUTED_VALUE"""),44883.5897222222)</f>
        <v>44883.589722222197</v>
      </c>
      <c r="C1129" s="8" t="str">
        <f ca="1">IFERROR(__xludf.UNSUPPORTED("""COMPUTED_VALUE"""),"Paranaguá")</f>
        <v>Paranaguá</v>
      </c>
      <c r="D1129" s="3" t="str">
        <f ca="1">IFERROR(__xludf.UNSUPPORTED("""COMPUTED_VALUE"""),"🚢 REGULAR")</f>
        <v>🚢 REGULAR</v>
      </c>
      <c r="E1129" s="3" t="str">
        <f ca="1">IFERROR(__xludf.UNSUPPORTED("""COMPUTED_VALUE"""),"🚛 LIBERADO")</f>
        <v>🚛 LIBERADO</v>
      </c>
      <c r="F1129" s="5">
        <f ca="1">IFERROR(__xludf.UNSUPPORTED("""COMPUTED_VALUE"""),0)</f>
        <v>0</v>
      </c>
      <c r="G1129" s="3" t="str">
        <f ca="1">IFERROR(__xludf.UNSUPPORTED("""COMPUTED_VALUE"""),"Sem paralizações por conta de manifestações. Trânsito em trecho da BR-277 está em meia pista nos dois sentidos por conta de deslizamento ocorrido em 14/10.")</f>
        <v>Sem paralizações por conta de manifestações. Trânsito em trecho da BR-277 está em meia pista nos dois sentidos por conta de deslizamento ocorrido em 14/10.</v>
      </c>
      <c r="H1129" s="4">
        <f ca="1">IFERROR(__xludf.UNSUPPORTED("""COMPUTED_VALUE"""),44883.5897222222)</f>
        <v>44883.589722222197</v>
      </c>
      <c r="I1129" s="3">
        <f ca="1">IFERROR(__xludf.UNSUPPORTED("""COMPUTED_VALUE"""),24)</f>
        <v>24</v>
      </c>
      <c r="J1129" s="4">
        <f ca="1">IFERROR(__xludf.UNSUPPORTED("""COMPUTED_VALUE"""),44884.5897222222)</f>
        <v>44884.589722222197</v>
      </c>
    </row>
    <row r="1130" spans="1:12" ht="12.75">
      <c r="A1130" s="3" t="str">
        <f ca="1">IFERROR(__xludf.UNSUPPORTED("""COMPUTED_VALUE"""),"00b2edd2")</f>
        <v>00b2edd2</v>
      </c>
      <c r="B1130" s="4">
        <f ca="1">IFERROR(__xludf.UNSUPPORTED("""COMPUTED_VALUE"""),44885.6440509259)</f>
        <v>44885.644050925897</v>
      </c>
      <c r="C1130" s="7" t="str">
        <f ca="1">IFERROR(__xludf.UNSUPPORTED("""COMPUTED_VALUE"""),"Paranaguá")</f>
        <v>Paranaguá</v>
      </c>
      <c r="D1130" s="3" t="str">
        <f ca="1">IFERROR(__xludf.UNSUPPORTED("""COMPUTED_VALUE"""),"🚢 REGULAR")</f>
        <v>🚢 REGULAR</v>
      </c>
      <c r="E1130" s="3" t="str">
        <f ca="1">IFERROR(__xludf.UNSUPPORTED("""COMPUTED_VALUE"""),"🚛 LIBERADO")</f>
        <v>🚛 LIBERADO</v>
      </c>
      <c r="F1130" s="5">
        <f ca="1">IFERROR(__xludf.UNSUPPORTED("""COMPUTED_VALUE"""),0)</f>
        <v>0</v>
      </c>
      <c r="G1130" s="3" t="str">
        <f ca="1">IFERROR(__xludf.UNSUPPORTED("""COMPUTED_VALUE"""),"Sem paralizações por conta de manifestações. Trânsito em trecho da BR-277 está em meia pista nos dois sentidos por conta de deslizamento ocorrido em 14/10.")</f>
        <v>Sem paralizações por conta de manifestações. Trânsito em trecho da BR-277 está em meia pista nos dois sentidos por conta de deslizamento ocorrido em 14/10.</v>
      </c>
      <c r="H1130" s="4">
        <f ca="1">IFERROR(__xludf.UNSUPPORTED("""COMPUTED_VALUE"""),44885.6440509259)</f>
        <v>44885.644050925897</v>
      </c>
      <c r="I1130" s="3">
        <f ca="1">IFERROR(__xludf.UNSUPPORTED("""COMPUTED_VALUE"""),24)</f>
        <v>24</v>
      </c>
      <c r="J1130" s="4">
        <f ca="1">IFERROR(__xludf.UNSUPPORTED("""COMPUTED_VALUE"""),44886.6440509259)</f>
        <v>44886.644050925897</v>
      </c>
    </row>
    <row r="1131" spans="1:12" ht="12.75">
      <c r="A1131" s="3" t="str">
        <f ca="1">IFERROR(__xludf.UNSUPPORTED("""COMPUTED_VALUE"""),"a203faef")</f>
        <v>a203faef</v>
      </c>
      <c r="B1131" s="4">
        <f ca="1">IFERROR(__xludf.UNSUPPORTED("""COMPUTED_VALUE"""),44885.968136574)</f>
        <v>44885.968136574003</v>
      </c>
      <c r="C1131" s="8" t="str">
        <f ca="1">IFERROR(__xludf.UNSUPPORTED("""COMPUTED_VALUE"""),"Paranaguá")</f>
        <v>Paranaguá</v>
      </c>
      <c r="D1131" s="3" t="str">
        <f ca="1">IFERROR(__xludf.UNSUPPORTED("""COMPUTED_VALUE"""),"🚢 REGULAR")</f>
        <v>🚢 REGULAR</v>
      </c>
      <c r="E1131" s="3" t="str">
        <f ca="1">IFERROR(__xludf.UNSUPPORTED("""COMPUTED_VALUE"""),"🚛 LIBERADO")</f>
        <v>🚛 LIBERADO</v>
      </c>
      <c r="F1131" s="5">
        <f ca="1">IFERROR(__xludf.UNSUPPORTED("""COMPUTED_VALUE"""),0)</f>
        <v>0</v>
      </c>
      <c r="G1131" s="3" t="str">
        <f ca="1">IFERROR(__xludf.UNSUPPORTED("""COMPUTED_VALUE"""),"Sem restrições por conta de paralizações nas vias de acesso ao porto. Trânsito em trecho da BR-277 está em meia pista nos dois sentidos por conta de deslizamento ocorrido em 14/10.")</f>
        <v>Sem restrições por conta de paralizações nas vias de acesso ao porto. Trânsito em trecho da BR-277 está em meia pista nos dois sentidos por conta de deslizamento ocorrido em 14/10.</v>
      </c>
      <c r="H1131" s="4">
        <f ca="1">IFERROR(__xludf.UNSUPPORTED("""COMPUTED_VALUE"""),44887.3438310185)</f>
        <v>44887.343831018501</v>
      </c>
      <c r="I1131" s="3">
        <f ca="1">IFERROR(__xludf.UNSUPPORTED("""COMPUTED_VALUE"""),24)</f>
        <v>24</v>
      </c>
      <c r="J1131" s="4">
        <f ca="1">IFERROR(__xludf.UNSUPPORTED("""COMPUTED_VALUE"""),44888.3438310185)</f>
        <v>44888.343831018501</v>
      </c>
    </row>
    <row r="1132" spans="1:12" ht="12.75">
      <c r="A1132" s="3" t="str">
        <f ca="1">IFERROR(__xludf.UNSUPPORTED("""COMPUTED_VALUE"""),"e7ee4752")</f>
        <v>e7ee4752</v>
      </c>
      <c r="B1132" s="4">
        <f ca="1">IFERROR(__xludf.UNSUPPORTED("""COMPUTED_VALUE"""),44888.3595486111)</f>
        <v>44888.359548611101</v>
      </c>
      <c r="C1132" s="7" t="str">
        <f ca="1">IFERROR(__xludf.UNSUPPORTED("""COMPUTED_VALUE"""),"Paranaguá")</f>
        <v>Paranaguá</v>
      </c>
      <c r="D1132" s="3" t="str">
        <f ca="1">IFERROR(__xludf.UNSUPPORTED("""COMPUTED_VALUE"""),"🚢 REGULAR")</f>
        <v>🚢 REGULAR</v>
      </c>
      <c r="E1132" s="3" t="str">
        <f ca="1">IFERROR(__xludf.UNSUPPORTED("""COMPUTED_VALUE"""),"🚛 LIBERADO")</f>
        <v>🚛 LIBERADO</v>
      </c>
      <c r="F1132" s="5">
        <f ca="1">IFERROR(__xludf.UNSUPPORTED("""COMPUTED_VALUE"""),0)</f>
        <v>0</v>
      </c>
      <c r="G1132" s="3" t="str">
        <f ca="1">IFERROR(__xludf.UNSUPPORTED("""COMPUTED_VALUE"""),"Sem restrições no acesso ao porto por conta de manifestações.")</f>
        <v>Sem restrições no acesso ao porto por conta de manifestações.</v>
      </c>
      <c r="H1132" s="4">
        <f ca="1">IFERROR(__xludf.UNSUPPORTED("""COMPUTED_VALUE"""),44889.3595486111)</f>
        <v>44889.359548611101</v>
      </c>
      <c r="I1132" s="3">
        <f ca="1">IFERROR(__xludf.UNSUPPORTED("""COMPUTED_VALUE"""),24)</f>
        <v>24</v>
      </c>
      <c r="J1132" s="4">
        <f ca="1">IFERROR(__xludf.UNSUPPORTED("""COMPUTED_VALUE"""),44890.3595486111)</f>
        <v>44890.359548611101</v>
      </c>
    </row>
    <row r="1133" spans="1:12" ht="12.75">
      <c r="A1133" s="3" t="str">
        <f ca="1">IFERROR(__xludf.UNSUPPORTED("""COMPUTED_VALUE"""),"2fb0bff9")</f>
        <v>2fb0bff9</v>
      </c>
      <c r="B1133" s="4">
        <f ca="1">IFERROR(__xludf.UNSUPPORTED("""COMPUTED_VALUE"""),44890.4490162037)</f>
        <v>44890.449016203696</v>
      </c>
      <c r="C1133" s="8" t="str">
        <f ca="1">IFERROR(__xludf.UNSUPPORTED("""COMPUTED_VALUE"""),"Paranaguá")</f>
        <v>Paranaguá</v>
      </c>
      <c r="D1133" s="3" t="str">
        <f ca="1">IFERROR(__xludf.UNSUPPORTED("""COMPUTED_VALUE"""),"🚢 REGULAR")</f>
        <v>🚢 REGULAR</v>
      </c>
      <c r="E1133" s="3" t="str">
        <f ca="1">IFERROR(__xludf.UNSUPPORTED("""COMPUTED_VALUE"""),"🚛 LIBERADO")</f>
        <v>🚛 LIBERADO</v>
      </c>
      <c r="F1133" s="5">
        <f ca="1">IFERROR(__xludf.UNSUPPORTED("""COMPUTED_VALUE"""),0)</f>
        <v>0</v>
      </c>
      <c r="G1133" s="3" t="str">
        <f ca="1">IFERROR(__xludf.UNSUPPORTED("""COMPUTED_VALUE"""),"Sem restrições nas vias de acesso por conta de manifestações.")</f>
        <v>Sem restrições nas vias de acesso por conta de manifestações.</v>
      </c>
      <c r="H1133" s="4">
        <f ca="1">IFERROR(__xludf.UNSUPPORTED("""COMPUTED_VALUE"""),44890.4490162037)</f>
        <v>44890.449016203696</v>
      </c>
      <c r="I1133" s="3">
        <f ca="1">IFERROR(__xludf.UNSUPPORTED("""COMPUTED_VALUE"""),24)</f>
        <v>24</v>
      </c>
      <c r="J1133" s="4">
        <f ca="1">IFERROR(__xludf.UNSUPPORTED("""COMPUTED_VALUE"""),44891.4490162037)</f>
        <v>44891.449016203696</v>
      </c>
    </row>
    <row r="1134" spans="1:12" ht="12.75">
      <c r="A1134" s="3" t="str">
        <f ca="1">IFERROR(__xludf.UNSUPPORTED("""COMPUTED_VALUE"""),"fcdc79ac")</f>
        <v>fcdc79ac</v>
      </c>
      <c r="B1134" s="4">
        <f ca="1">IFERROR(__xludf.UNSUPPORTED("""COMPUTED_VALUE"""),44893.3772569444)</f>
        <v>44893.377256944397</v>
      </c>
      <c r="C1134" s="7" t="str">
        <f ca="1">IFERROR(__xludf.UNSUPPORTED("""COMPUTED_VALUE"""),"Paranaguá")</f>
        <v>Paranaguá</v>
      </c>
      <c r="D1134" s="3" t="str">
        <f ca="1">IFERROR(__xludf.UNSUPPORTED("""COMPUTED_VALUE"""),"🚢 REGULAR")</f>
        <v>🚢 REGULAR</v>
      </c>
      <c r="E1134" s="3" t="str">
        <f ca="1">IFERROR(__xludf.UNSUPPORTED("""COMPUTED_VALUE"""),"⛔️ BLOQUEADO")</f>
        <v>⛔️ BLOQUEADO</v>
      </c>
      <c r="F1134" s="5">
        <f ca="1">IFERROR(__xludf.UNSUPPORTED("""COMPUTED_VALUE"""),0.5)</f>
        <v>0.5</v>
      </c>
      <c r="G1134" s="3" t="str">
        <f ca="1">IFERROR(__xludf.UNSUPPORTED("""COMPUTED_VALUE"""),"BR-277 bloqueada no sentido Paranaguá por conta de deslizamento de barreiras no KM 42.")</f>
        <v>BR-277 bloqueada no sentido Paranaguá por conta de deslizamento de barreiras no KM 42.</v>
      </c>
      <c r="H1134" s="4">
        <f ca="1">IFERROR(__xludf.UNSUPPORTED("""COMPUTED_VALUE"""),44894.3105902777)</f>
        <v>44894.310590277702</v>
      </c>
      <c r="I1134" s="3">
        <f ca="1">IFERROR(__xludf.UNSUPPORTED("""COMPUTED_VALUE"""),24)</f>
        <v>24</v>
      </c>
      <c r="J1134" s="4">
        <f ca="1">IFERROR(__xludf.UNSUPPORTED("""COMPUTED_VALUE"""),44895.3105902777)</f>
        <v>44895.310590277702</v>
      </c>
    </row>
    <row r="1135" spans="1:12" ht="12.75">
      <c r="A1135" s="3" t="str">
        <f ca="1">IFERROR(__xludf.UNSUPPORTED("""COMPUTED_VALUE"""),"d907eaf0")</f>
        <v>d907eaf0</v>
      </c>
      <c r="B1135" s="4">
        <f ca="1">IFERROR(__xludf.UNSUPPORTED("""COMPUTED_VALUE"""),44895.361724537)</f>
        <v>44895.361724536997</v>
      </c>
      <c r="C1135" s="7" t="str">
        <f ca="1">IFERROR(__xludf.UNSUPPORTED("""COMPUTED_VALUE"""),"Paranaguá")</f>
        <v>Paranaguá</v>
      </c>
      <c r="D1135" s="3" t="str">
        <f ca="1">IFERROR(__xludf.UNSUPPORTED("""COMPUTED_VALUE"""),"🚢 REGULAR")</f>
        <v>🚢 REGULAR</v>
      </c>
      <c r="E1135" s="3" t="str">
        <f ca="1">IFERROR(__xludf.UNSUPPORTED("""COMPUTED_VALUE"""),"⚠️ PARCIALMENTE BLOQUEADO")</f>
        <v>⚠️ PARCIALMENTE BLOQUEADO</v>
      </c>
      <c r="F1135" s="5">
        <f ca="1">IFERROR(__xludf.UNSUPPORTED("""COMPUTED_VALUE"""),0.5)</f>
        <v>0.5</v>
      </c>
      <c r="G1135" s="3" t="str">
        <f ca="1">IFERROR(__xludf.UNSUPPORTED("""COMPUTED_VALUE"""),"BR-277 em pista simples entre os km 42 e 39 no sentido litoral, ainda em decorrência de queda de barreiras.")</f>
        <v>BR-277 em pista simples entre os km 42 e 39 no sentido litoral, ainda em decorrência de queda de barreiras.</v>
      </c>
      <c r="H1135" s="4">
        <f ca="1">IFERROR(__xludf.UNSUPPORTED("""COMPUTED_VALUE"""),44896.3478356481)</f>
        <v>44896.347835648099</v>
      </c>
      <c r="I1135" s="3">
        <f ca="1">IFERROR(__xludf.UNSUPPORTED("""COMPUTED_VALUE"""),24)</f>
        <v>24</v>
      </c>
      <c r="J1135" s="4">
        <f ca="1">IFERROR(__xludf.UNSUPPORTED("""COMPUTED_VALUE"""),44897.3478356481)</f>
        <v>44897.347835648099</v>
      </c>
    </row>
    <row r="1136" spans="1:12" ht="12.75">
      <c r="A1136" s="3" t="str">
        <f ca="1">IFERROR(__xludf.UNSUPPORTED("""COMPUTED_VALUE"""),"87eabd20")</f>
        <v>87eabd20</v>
      </c>
      <c r="B1136" s="4">
        <f ca="1">IFERROR(__xludf.UNSUPPORTED("""COMPUTED_VALUE"""),44900.605162037)</f>
        <v>44900.605162036998</v>
      </c>
      <c r="C1136" s="8" t="str">
        <f ca="1">IFERROR(__xludf.UNSUPPORTED("""COMPUTED_VALUE"""),"Paranaguá")</f>
        <v>Paranaguá</v>
      </c>
      <c r="D1136" s="3" t="str">
        <f ca="1">IFERROR(__xludf.UNSUPPORTED("""COMPUTED_VALUE"""),"🚢 REGULAR")</f>
        <v>🚢 REGULAR</v>
      </c>
      <c r="E1136" s="3" t="str">
        <f ca="1">IFERROR(__xludf.UNSUPPORTED("""COMPUTED_VALUE"""),"🚛 LIBERADO")</f>
        <v>🚛 LIBERADO</v>
      </c>
      <c r="F1136" s="5">
        <f ca="1">IFERROR(__xludf.UNSUPPORTED("""COMPUTED_VALUE"""),0)</f>
        <v>0</v>
      </c>
      <c r="G1136" s="3" t="str">
        <f ca="1">IFERROR(__xludf.UNSUPPORTED("""COMPUTED_VALUE"""),"Sem restrições de acesso por conta de manifestações. Trecho em pista simples na BR-277 por conta de deslizamento de barreiras.")</f>
        <v>Sem restrições de acesso por conta de manifestações. Trecho em pista simples na BR-277 por conta de deslizamento de barreiras.</v>
      </c>
      <c r="H1136" s="4">
        <f ca="1">IFERROR(__xludf.UNSUPPORTED("""COMPUTED_VALUE"""),44901.9169675925)</f>
        <v>44901.9169675925</v>
      </c>
      <c r="I1136" s="3">
        <f ca="1">IFERROR(__xludf.UNSUPPORTED("""COMPUTED_VALUE"""),24)</f>
        <v>24</v>
      </c>
      <c r="J1136" s="4">
        <f ca="1">IFERROR(__xludf.UNSUPPORTED("""COMPUTED_VALUE"""),44902.9169675925)</f>
        <v>44902.9169675925</v>
      </c>
    </row>
    <row r="1137" spans="1:12" ht="12.75">
      <c r="A1137" s="3" t="str">
        <f ca="1">IFERROR(__xludf.UNSUPPORTED("""COMPUTED_VALUE"""),"42215edc")</f>
        <v>42215edc</v>
      </c>
      <c r="B1137" s="4">
        <f ca="1">IFERROR(__xludf.UNSUPPORTED("""COMPUTED_VALUE"""),44901.4167129629)</f>
        <v>44901.416712962899</v>
      </c>
      <c r="C1137" s="8" t="str">
        <f ca="1">IFERROR(__xludf.UNSUPPORTED("""COMPUTED_VALUE"""),"Paranaguá")</f>
        <v>Paranaguá</v>
      </c>
      <c r="D1137" s="3" t="str">
        <f ca="1">IFERROR(__xludf.UNSUPPORTED("""COMPUTED_VALUE"""),"🚢 REGULAR")</f>
        <v>🚢 REGULAR</v>
      </c>
      <c r="E1137" s="3" t="str">
        <f ca="1">IFERROR(__xludf.UNSUPPORTED("""COMPUTED_VALUE"""),"⚠️ PARCIALMENTE BLOQUEADO")</f>
        <v>⚠️ PARCIALMENTE BLOQUEADO</v>
      </c>
      <c r="F1137" s="5">
        <f ca="1">IFERROR(__xludf.UNSUPPORTED("""COMPUTED_VALUE"""),0)</f>
        <v>0</v>
      </c>
      <c r="G1137" s="3" t="str">
        <f ca="1">IFERROR(__xludf.UNSUPPORTED("""COMPUTED_VALUE"""),"Sem restrições de acesso por conta de manifestações. Trecho em pista simples na BR-277 por conta de deslizamento de barreiras, gerando atrasos significativos no deslocamento a Paranaguá.")</f>
        <v>Sem restrições de acesso por conta de manifestações. Trecho em pista simples na BR-277 por conta de deslizamento de barreiras, gerando atrasos significativos no deslocamento a Paranaguá.</v>
      </c>
      <c r="H1137" s="4">
        <f ca="1">IFERROR(__xludf.UNSUPPORTED("""COMPUTED_VALUE"""),44902.3750462962)</f>
        <v>44902.375046296198</v>
      </c>
      <c r="I1137" s="3">
        <f ca="1">IFERROR(__xludf.UNSUPPORTED("""COMPUTED_VALUE"""),24)</f>
        <v>24</v>
      </c>
      <c r="J1137" s="4">
        <f ca="1">IFERROR(__xludf.UNSUPPORTED("""COMPUTED_VALUE"""),44903.3750462962)</f>
        <v>44903.375046296198</v>
      </c>
    </row>
    <row r="1138" spans="1:12" ht="12.75">
      <c r="A1138" s="3" t="str">
        <f ca="1">IFERROR(__xludf.UNSUPPORTED("""COMPUTED_VALUE"""),"220e2b42")</f>
        <v>220e2b42</v>
      </c>
      <c r="B1138" s="4">
        <f ca="1">IFERROR(__xludf.UNSUPPORTED("""COMPUTED_VALUE"""),44903.414074074)</f>
        <v>44903.414074073997</v>
      </c>
      <c r="C1138" s="7" t="str">
        <f ca="1">IFERROR(__xludf.UNSUPPORTED("""COMPUTED_VALUE"""),"Paranaguá")</f>
        <v>Paranaguá</v>
      </c>
      <c r="D1138" s="3" t="str">
        <f ca="1">IFERROR(__xludf.UNSUPPORTED("""COMPUTED_VALUE"""),"🚢 REGULAR")</f>
        <v>🚢 REGULAR</v>
      </c>
      <c r="E1138" s="3" t="str">
        <f ca="1">IFERROR(__xludf.UNSUPPORTED("""COMPUTED_VALUE"""),"🚛 LIBERADO")</f>
        <v>🚛 LIBERADO</v>
      </c>
      <c r="F1138" s="5">
        <f ca="1">IFERROR(__xludf.UNSUPPORTED("""COMPUTED_VALUE"""),0)</f>
        <v>0</v>
      </c>
      <c r="G1138" s="3" t="str">
        <f ca="1">IFERROR(__xludf.UNSUPPORTED("""COMPUTED_VALUE"""),"Trânsito em pista simples em trecho curto da BR-277 por conta de deslizamento de barreiras.")</f>
        <v>Trânsito em pista simples em trecho curto da BR-277 por conta de deslizamento de barreiras.</v>
      </c>
      <c r="H1138" s="4">
        <f ca="1">IFERROR(__xludf.UNSUPPORTED("""COMPUTED_VALUE"""),44903.414074074)</f>
        <v>44903.414074073997</v>
      </c>
      <c r="I1138" s="3">
        <f ca="1">IFERROR(__xludf.UNSUPPORTED("""COMPUTED_VALUE"""),24)</f>
        <v>24</v>
      </c>
      <c r="J1138" s="4">
        <f ca="1">IFERROR(__xludf.UNSUPPORTED("""COMPUTED_VALUE"""),44904.414074074)</f>
        <v>44904.414074073997</v>
      </c>
    </row>
    <row r="1139" spans="1:12" ht="12.75">
      <c r="A1139" s="3" t="str">
        <f ca="1">IFERROR(__xludf.UNSUPPORTED("""COMPUTED_VALUE"""),"d968e463")</f>
        <v>d968e463</v>
      </c>
      <c r="B1139" s="4">
        <f ca="1">IFERROR(__xludf.UNSUPPORTED("""COMPUTED_VALUE"""),44907.4170254629)</f>
        <v>44907.417025462899</v>
      </c>
      <c r="C1139" s="7" t="str">
        <f ca="1">IFERROR(__xludf.UNSUPPORTED("""COMPUTED_VALUE"""),"Paranaguá")</f>
        <v>Paranaguá</v>
      </c>
      <c r="D1139" s="3" t="str">
        <f ca="1">IFERROR(__xludf.UNSUPPORTED("""COMPUTED_VALUE"""),"🚢 REGULAR")</f>
        <v>🚢 REGULAR</v>
      </c>
      <c r="E1139" s="3" t="str">
        <f ca="1">IFERROR(__xludf.UNSUPPORTED("""COMPUTED_VALUE"""),"🚛 LIBERADO")</f>
        <v>🚛 LIBERADO</v>
      </c>
      <c r="F1139" s="5">
        <f ca="1">IFERROR(__xludf.UNSUPPORTED("""COMPUTED_VALUE"""),0)</f>
        <v>0</v>
      </c>
      <c r="G1139" s="3" t="str">
        <f ca="1">IFERROR(__xludf.UNSUPPORTED("""COMPUTED_VALUE"""),"Sem restrições em virtude de paralizações e/ou manifestações. Trecho em pista simples na BR-277 em virtude de queda de barreiras.")</f>
        <v>Sem restrições em virtude de paralizações e/ou manifestações. Trecho em pista simples na BR-277 em virtude de queda de barreiras.</v>
      </c>
      <c r="H1139" s="4">
        <f ca="1">IFERROR(__xludf.UNSUPPORTED("""COMPUTED_VALUE"""),44908.3545254629)</f>
        <v>44908.354525462899</v>
      </c>
      <c r="I1139" s="3">
        <f ca="1">IFERROR(__xludf.UNSUPPORTED("""COMPUTED_VALUE"""),24)</f>
        <v>24</v>
      </c>
      <c r="J1139" s="4">
        <f ca="1">IFERROR(__xludf.UNSUPPORTED("""COMPUTED_VALUE"""),44909.3545254629)</f>
        <v>44909.354525462899</v>
      </c>
    </row>
    <row r="1140" spans="1:12" ht="12.75">
      <c r="A1140" s="3" t="str">
        <f ca="1">IFERROR(__xludf.UNSUPPORTED("""COMPUTED_VALUE"""),"2dfbc4c6")</f>
        <v>2dfbc4c6</v>
      </c>
      <c r="B1140" s="4">
        <f ca="1">IFERROR(__xludf.UNSUPPORTED("""COMPUTED_VALUE"""),44909.4420717592)</f>
        <v>44909.4420717592</v>
      </c>
      <c r="C1140" s="7" t="str">
        <f ca="1">IFERROR(__xludf.UNSUPPORTED("""COMPUTED_VALUE"""),"Paranaguá")</f>
        <v>Paranaguá</v>
      </c>
      <c r="D1140" s="3" t="str">
        <f ca="1">IFERROR(__xludf.UNSUPPORTED("""COMPUTED_VALUE"""),"🚢 REGULAR")</f>
        <v>🚢 REGULAR</v>
      </c>
      <c r="E1140" s="3" t="str">
        <f ca="1">IFERROR(__xludf.UNSUPPORTED("""COMPUTED_VALUE"""),"🚛 LIBERADO")</f>
        <v>🚛 LIBERADO</v>
      </c>
      <c r="F1140" s="5">
        <f ca="1">IFERROR(__xludf.UNSUPPORTED("""COMPUTED_VALUE"""),0)</f>
        <v>0</v>
      </c>
      <c r="G1140" s="3" t="str">
        <f ca="1">IFERROR(__xludf.UNSUPPORTED("""COMPUTED_VALUE"""),"Trecho da BR-277 em pista simples por conta de deslizamentos de barreiras, causando lentidão e tempo adicional no deslocamento.")</f>
        <v>Trecho da BR-277 em pista simples por conta de deslizamentos de barreiras, causando lentidão e tempo adicional no deslocamento.</v>
      </c>
      <c r="H1140" s="4">
        <f ca="1">IFERROR(__xludf.UNSUPPORTED("""COMPUTED_VALUE"""),44914.2920717592)</f>
        <v>44914.292071759199</v>
      </c>
      <c r="I1140" s="3">
        <f ca="1">IFERROR(__xludf.UNSUPPORTED("""COMPUTED_VALUE"""),24)</f>
        <v>24</v>
      </c>
      <c r="J1140" s="4">
        <f ca="1">IFERROR(__xludf.UNSUPPORTED("""COMPUTED_VALUE"""),44915.2920717592)</f>
        <v>44915.292071759199</v>
      </c>
    </row>
    <row r="1141" spans="1:12" ht="12.75">
      <c r="A1141" s="3" t="str">
        <f ca="1">IFERROR(__xludf.UNSUPPORTED("""COMPUTED_VALUE"""),"2b7502d6")</f>
        <v>2b7502d6</v>
      </c>
      <c r="B1141" s="4">
        <f ca="1">IFERROR(__xludf.UNSUPPORTED("""COMPUTED_VALUE"""),44915.3581481481)</f>
        <v>44915.358148148101</v>
      </c>
      <c r="C1141" s="7" t="str">
        <f ca="1">IFERROR(__xludf.UNSUPPORTED("""COMPUTED_VALUE"""),"Paranaguá")</f>
        <v>Paranaguá</v>
      </c>
      <c r="D1141" s="3" t="str">
        <f ca="1">IFERROR(__xludf.UNSUPPORTED("""COMPUTED_VALUE"""),"🚢 REGULAR")</f>
        <v>🚢 REGULAR</v>
      </c>
      <c r="E1141" s="3" t="str">
        <f ca="1">IFERROR(__xludf.UNSUPPORTED("""COMPUTED_VALUE"""),"⚠️ PARCIALMENTE BLOQUEADO")</f>
        <v>⚠️ PARCIALMENTE BLOQUEADO</v>
      </c>
      <c r="F1141" s="5">
        <f ca="1">IFERROR(__xludf.UNSUPPORTED("""COMPUTED_VALUE"""),0)</f>
        <v>0</v>
      </c>
      <c r="G1141" s="3" t="str">
        <f ca="1">IFERROR(__xludf.UNSUPPORTED("""COMPUTED_VALUE"""),"Trecho da BR-277 em pista simples por conta de deslizamentos de barreiras, causando lentidão e tempo adicional no deslocamento.")</f>
        <v>Trecho da BR-277 em pista simples por conta de deslizamentos de barreiras, causando lentidão e tempo adicional no deslocamento.</v>
      </c>
      <c r="H1141" s="4">
        <f ca="1">IFERROR(__xludf.UNSUPPORTED("""COMPUTED_VALUE"""),44915.3581481481)</f>
        <v>44915.358148148101</v>
      </c>
      <c r="I1141" s="3">
        <f ca="1">IFERROR(__xludf.UNSUPPORTED("""COMPUTED_VALUE"""),24)</f>
        <v>24</v>
      </c>
      <c r="J1141" s="4">
        <f ca="1">IFERROR(__xludf.UNSUPPORTED("""COMPUTED_VALUE"""),44916.3581481481)</f>
        <v>44916.358148148101</v>
      </c>
    </row>
    <row r="1142" spans="1:12" ht="12.75">
      <c r="A1142" s="3" t="str">
        <f ca="1">IFERROR(__xludf.UNSUPPORTED("""COMPUTED_VALUE"""),"d5047e50")</f>
        <v>d5047e50</v>
      </c>
      <c r="B1142" s="4">
        <f ca="1">IFERROR(__xludf.UNSUPPORTED("""COMPUTED_VALUE"""),44916.3764814814)</f>
        <v>44916.376481481399</v>
      </c>
      <c r="C1142" s="8" t="str">
        <f ca="1">IFERROR(__xludf.UNSUPPORTED("""COMPUTED_VALUE"""),"Paranaguá")</f>
        <v>Paranaguá</v>
      </c>
      <c r="D1142" s="3" t="str">
        <f ca="1">IFERROR(__xludf.UNSUPPORTED("""COMPUTED_VALUE"""),"🚢 REGULAR")</f>
        <v>🚢 REGULAR</v>
      </c>
      <c r="E1142" s="3" t="str">
        <f ca="1">IFERROR(__xludf.UNSUPPORTED("""COMPUTED_VALUE"""),"🚛 LIBERADO")</f>
        <v>🚛 LIBERADO</v>
      </c>
      <c r="F1142" s="5">
        <f ca="1">IFERROR(__xludf.UNSUPPORTED("""COMPUTED_VALUE"""),0)</f>
        <v>0</v>
      </c>
      <c r="G1142" s="3" t="str">
        <f ca="1">IFERROR(__xludf.UNSUPPORTED("""COMPUTED_VALUE"""),"Trecho da BR-277 em pista simples por conta de deslizamentos de barreiras, causando lentidão e tempo adicional no deslocamento.")</f>
        <v>Trecho da BR-277 em pista simples por conta de deslizamentos de barreiras, causando lentidão e tempo adicional no deslocamento.</v>
      </c>
      <c r="H1142" s="4">
        <f ca="1">IFERROR(__xludf.UNSUPPORTED("""COMPUTED_VALUE"""),44916.3764814814)</f>
        <v>44916.376481481399</v>
      </c>
      <c r="I1142" s="3">
        <f ca="1">IFERROR(__xludf.UNSUPPORTED("""COMPUTED_VALUE"""),24)</f>
        <v>24</v>
      </c>
      <c r="J1142" s="4">
        <f ca="1">IFERROR(__xludf.UNSUPPORTED("""COMPUTED_VALUE"""),44917.3764814814)</f>
        <v>44917.376481481399</v>
      </c>
    </row>
    <row r="1143" spans="1:12" ht="12.75">
      <c r="A1143" s="3" t="str">
        <f ca="1">IFERROR(__xludf.UNSUPPORTED("""COMPUTED_VALUE"""),"e194b06b")</f>
        <v>e194b06b</v>
      </c>
      <c r="B1143" s="4">
        <f ca="1">IFERROR(__xludf.UNSUPPORTED("""COMPUTED_VALUE"""),44918.4507638888)</f>
        <v>44918.450763888803</v>
      </c>
      <c r="C1143" s="8" t="str">
        <f ca="1">IFERROR(__xludf.UNSUPPORTED("""COMPUTED_VALUE"""),"Paranaguá")</f>
        <v>Paranaguá</v>
      </c>
      <c r="D1143" s="3" t="str">
        <f ca="1">IFERROR(__xludf.UNSUPPORTED("""COMPUTED_VALUE"""),"🚢 REGULAR")</f>
        <v>🚢 REGULAR</v>
      </c>
      <c r="E1143" s="3" t="str">
        <f ca="1">IFERROR(__xludf.UNSUPPORTED("""COMPUTED_VALUE"""),"⚠️ PARCIALMENTE BLOQUEADO")</f>
        <v>⚠️ PARCIALMENTE BLOQUEADO</v>
      </c>
      <c r="F1143" s="5">
        <f ca="1">IFERROR(__xludf.UNSUPPORTED("""COMPUTED_VALUE"""),0)</f>
        <v>0</v>
      </c>
      <c r="G1143" s="3" t="str">
        <f ca="1">IFERROR(__xludf.UNSUPPORTED("""COMPUTED_VALUE"""),"Rodovia BR277, que dá acesso ao Porto, em pista simples em trecho de serra. 
Proibição de circulação de veículos de carga em dias e horários específicos no final de ano, conforme informe operacional da APPA disposto em https://www.portosdoparana.pr.gov.br"&amp;"/Noticia/INFORME-OPERACIONAL-0.")</f>
        <v>Rodovia BR277, que dá acesso ao Porto, em pista simples em trecho de serra. 
Proibição de circulação de veículos de carga em dias e horários específicos no final de ano, conforme informe operacional da APPA disposto em https://www.portosdoparana.pr.gov.br/Noticia/INFORME-OPERACIONAL-0.</v>
      </c>
      <c r="H1143" s="4">
        <f ca="1">IFERROR(__xludf.UNSUPPORTED("""COMPUTED_VALUE"""),44918.4507638888)</f>
        <v>44918.450763888803</v>
      </c>
      <c r="I1143" s="3">
        <f ca="1">IFERROR(__xludf.UNSUPPORTED("""COMPUTED_VALUE"""),24)</f>
        <v>24</v>
      </c>
      <c r="J1143" s="4">
        <f ca="1">IFERROR(__xludf.UNSUPPORTED("""COMPUTED_VALUE"""),44919.4507638888)</f>
        <v>44919.450763888803</v>
      </c>
    </row>
    <row r="1144" spans="1:12" ht="12.75">
      <c r="A1144" s="3" t="str">
        <f ca="1">IFERROR(__xludf.UNSUPPORTED("""COMPUTED_VALUE"""),"ef005165")</f>
        <v>ef005165</v>
      </c>
      <c r="B1144" s="4">
        <f ca="1">IFERROR(__xludf.UNSUPPORTED("""COMPUTED_VALUE"""),44921.4094444444)</f>
        <v>44921.409444444398</v>
      </c>
      <c r="C1144" s="8" t="str">
        <f ca="1">IFERROR(__xludf.UNSUPPORTED("""COMPUTED_VALUE"""),"Paranaguá")</f>
        <v>Paranaguá</v>
      </c>
      <c r="D1144" s="3" t="str">
        <f ca="1">IFERROR(__xludf.UNSUPPORTED("""COMPUTED_VALUE"""),"🚢 REGULAR")</f>
        <v>🚢 REGULAR</v>
      </c>
      <c r="E1144" s="3" t="str">
        <f ca="1">IFERROR(__xludf.UNSUPPORTED("""COMPUTED_VALUE"""),"🚛 LIBERADO")</f>
        <v>🚛 LIBERADO</v>
      </c>
      <c r="F1144" s="5">
        <f ca="1">IFERROR(__xludf.UNSUPPORTED("""COMPUTED_VALUE"""),0)</f>
        <v>0</v>
      </c>
      <c r="G1144" s="3" t="str">
        <f ca="1">IFERROR(__xludf.UNSUPPORTED("""COMPUTED_VALUE"""),"Rodovia BR277, que dá acesso ao Porto, em pista simples em trecho de serra. 
Proibição de circulação de veículos de carga em dias e horários específicos no final de ano, conforme informe operacional da APPA disposto em https://www.portosdoparana.pr.gov.br"&amp;"/Noticia/INFORME-OPERACIONAL-0.")</f>
        <v>Rodovia BR277, que dá acesso ao Porto, em pista simples em trecho de serra. 
Proibição de circulação de veículos de carga em dias e horários específicos no final de ano, conforme informe operacional da APPA disposto em https://www.portosdoparana.pr.gov.br/Noticia/INFORME-OPERACIONAL-0.</v>
      </c>
      <c r="H1144" s="4">
        <f ca="1">IFERROR(__xludf.UNSUPPORTED("""COMPUTED_VALUE"""),44921.4094444444)</f>
        <v>44921.409444444398</v>
      </c>
      <c r="I1144" s="3">
        <f ca="1">IFERROR(__xludf.UNSUPPORTED("""COMPUTED_VALUE"""),24)</f>
        <v>24</v>
      </c>
      <c r="J1144" s="4">
        <f ca="1">IFERROR(__xludf.UNSUPPORTED("""COMPUTED_VALUE"""),44922.4094444444)</f>
        <v>44922.409444444398</v>
      </c>
    </row>
    <row r="1145" spans="1:12" ht="12.75">
      <c r="A1145" s="3" t="str">
        <f ca="1">IFERROR(__xludf.UNSUPPORTED("""COMPUTED_VALUE"""),"0cd2241b")</f>
        <v>0cd2241b</v>
      </c>
      <c r="B1145" s="4">
        <f ca="1">IFERROR(__xludf.UNSUPPORTED("""COMPUTED_VALUE"""),44924.6331481481)</f>
        <v>44924.633148148103</v>
      </c>
      <c r="C1145" s="7" t="str">
        <f ca="1">IFERROR(__xludf.UNSUPPORTED("""COMPUTED_VALUE"""),"Paranaguá")</f>
        <v>Paranaguá</v>
      </c>
      <c r="D1145" s="3" t="str">
        <f ca="1">IFERROR(__xludf.UNSUPPORTED("""COMPUTED_VALUE"""),"🚢 REGULAR")</f>
        <v>🚢 REGULAR</v>
      </c>
      <c r="E1145" s="3" t="str">
        <f ca="1">IFERROR(__xludf.UNSUPPORTED("""COMPUTED_VALUE"""),"🚛 LIBERADO")</f>
        <v>🚛 LIBERADO</v>
      </c>
      <c r="F1145" s="5">
        <f ca="1">IFERROR(__xludf.UNSUPPORTED("""COMPUTED_VALUE"""),0)</f>
        <v>0</v>
      </c>
      <c r="G1145" s="3" t="str">
        <f ca="1">IFERROR(__xludf.UNSUPPORTED("""COMPUTED_VALUE"""),"Rodovia BR277, que dá acesso ao Porto, em pista simples em trecho de serra. 
Proibição de circulação de veículos de carga em dias e horários específicos no final de ano, conforme informe operacional da APPA disposto em https://www.portosdoparana.pr.gov.br"&amp;"/Noticia/INFORME-OPERACIONAL-0.")</f>
        <v>Rodovia BR277, que dá acesso ao Porto, em pista simples em trecho de serra. 
Proibição de circulação de veículos de carga em dias e horários específicos no final de ano, conforme informe operacional da APPA disposto em https://www.portosdoparana.pr.gov.br/Noticia/INFORME-OPERACIONAL-0.</v>
      </c>
      <c r="H1145" s="4">
        <f ca="1">IFERROR(__xludf.UNSUPPORTED("""COMPUTED_VALUE"""),44924.6331481481)</f>
        <v>44924.633148148103</v>
      </c>
      <c r="I1145" s="3">
        <f ca="1">IFERROR(__xludf.UNSUPPORTED("""COMPUTED_VALUE"""),24)</f>
        <v>24</v>
      </c>
      <c r="J1145" s="4">
        <f ca="1">IFERROR(__xludf.UNSUPPORTED("""COMPUTED_VALUE"""),44925.6331481481)</f>
        <v>44925.633148148103</v>
      </c>
    </row>
    <row r="1146" spans="1:12" ht="12.75">
      <c r="A1146" s="3" t="str">
        <f ca="1">IFERROR(__xludf.UNSUPPORTED("""COMPUTED_VALUE"""),"2c9f0e17")</f>
        <v>2c9f0e17</v>
      </c>
      <c r="B1146" s="4">
        <f ca="1">IFERROR(__xludf.UNSUPPORTED("""COMPUTED_VALUE"""),44928.4625925925)</f>
        <v>44928.462592592499</v>
      </c>
      <c r="C1146" s="8" t="str">
        <f ca="1">IFERROR(__xludf.UNSUPPORTED("""COMPUTED_VALUE"""),"Paranaguá")</f>
        <v>Paranaguá</v>
      </c>
      <c r="D1146" s="3" t="str">
        <f ca="1">IFERROR(__xludf.UNSUPPORTED("""COMPUTED_VALUE"""),"🚢 REGULAR")</f>
        <v>🚢 REGULAR</v>
      </c>
      <c r="E1146" s="3" t="str">
        <f ca="1">IFERROR(__xludf.UNSUPPORTED("""COMPUTED_VALUE"""),"🚛 LIBERADO")</f>
        <v>🚛 LIBERADO</v>
      </c>
      <c r="F1146" s="5">
        <f ca="1">IFERROR(__xludf.UNSUPPORTED("""COMPUTED_VALUE"""),0)</f>
        <v>0</v>
      </c>
      <c r="G1146" s="3" t="str">
        <f ca="1">IFERROR(__xludf.UNSUPPORTED("""COMPUTED_VALUE"""),"Rodovia BR277, que dá acesso ao Porto, em pista simples em trecho de serra. 
Proibição de circulação de veículos de carga em dias e horários específicos no final de ano, conforme informe operacional da APPA disposto em https://www.portosdoparana.pr.gov.br"&amp;"/Noticia/INFORME-OPERACIONAL-0.")</f>
        <v>Rodovia BR277, que dá acesso ao Porto, em pista simples em trecho de serra. 
Proibição de circulação de veículos de carga em dias e horários específicos no final de ano, conforme informe operacional da APPA disposto em https://www.portosdoparana.pr.gov.br/Noticia/INFORME-OPERACIONAL-0.</v>
      </c>
      <c r="H1146" s="4">
        <f ca="1">IFERROR(__xludf.UNSUPPORTED("""COMPUTED_VALUE"""),44928.4625925925)</f>
        <v>44928.462592592499</v>
      </c>
      <c r="I1146" s="3">
        <f ca="1">IFERROR(__xludf.UNSUPPORTED("""COMPUTED_VALUE"""),24)</f>
        <v>24</v>
      </c>
      <c r="J1146" s="4">
        <f ca="1">IFERROR(__xludf.UNSUPPORTED("""COMPUTED_VALUE"""),44929.4625925925)</f>
        <v>44929.462592592499</v>
      </c>
    </row>
    <row r="1147" spans="1:12" ht="12.75">
      <c r="A1147" s="3" t="str">
        <f ca="1">IFERROR(__xludf.UNSUPPORTED("""COMPUTED_VALUE"""),"8d818569")</f>
        <v>8d818569</v>
      </c>
      <c r="B1147" s="4">
        <f ca="1">IFERROR(__xludf.UNSUPPORTED("""COMPUTED_VALUE"""),44929.5906597222)</f>
        <v>44929.590659722198</v>
      </c>
      <c r="C1147" s="8" t="str">
        <f ca="1">IFERROR(__xludf.UNSUPPORTED("""COMPUTED_VALUE"""),"Paranaguá")</f>
        <v>Paranaguá</v>
      </c>
      <c r="D1147" s="3" t="str">
        <f ca="1">IFERROR(__xludf.UNSUPPORTED("""COMPUTED_VALUE"""),"🚢 REGULAR")</f>
        <v>🚢 REGULAR</v>
      </c>
      <c r="E1147" s="3" t="str">
        <f ca="1">IFERROR(__xludf.UNSUPPORTED("""COMPUTED_VALUE"""),"🚛 LIBERADO")</f>
        <v>🚛 LIBERADO</v>
      </c>
      <c r="F1147" s="5">
        <f ca="1">IFERROR(__xludf.UNSUPPORTED("""COMPUTED_VALUE"""),0)</f>
        <v>0</v>
      </c>
      <c r="G1147" s="3" t="str">
        <f ca="1">IFERROR(__xludf.UNSUPPORTED("""COMPUTED_VALUE"""),"Rodovia BR277, que dá acesso ao Porto, em pista simples em trecho de serra. 
Proibição de circulação de veículos de carga em dias e horários específicos no final de ano, conforme informe operacional da APPA disposto em https://www.portosdoparana.pr.gov.br"&amp;"/Noticia/INFORME-OPERACIONAL-0.")</f>
        <v>Rodovia BR277, que dá acesso ao Porto, em pista simples em trecho de serra. 
Proibição de circulação de veículos de carga em dias e horários específicos no final de ano, conforme informe operacional da APPA disposto em https://www.portosdoparana.pr.gov.br/Noticia/INFORME-OPERACIONAL-0.</v>
      </c>
      <c r="H1147" s="4">
        <f ca="1">IFERROR(__xludf.UNSUPPORTED("""COMPUTED_VALUE"""),44929.5906597222)</f>
        <v>44929.590659722198</v>
      </c>
      <c r="I1147" s="3">
        <f ca="1">IFERROR(__xludf.UNSUPPORTED("""COMPUTED_VALUE"""),24)</f>
        <v>24</v>
      </c>
      <c r="J1147" s="4">
        <f ca="1">IFERROR(__xludf.UNSUPPORTED("""COMPUTED_VALUE"""),44930.5906597222)</f>
        <v>44930.590659722198</v>
      </c>
    </row>
    <row r="1148" spans="1:12" ht="12.75">
      <c r="A1148" s="3" t="str">
        <f ca="1">IFERROR(__xludf.UNSUPPORTED("""COMPUTED_VALUE"""),"631c851a")</f>
        <v>631c851a</v>
      </c>
      <c r="B1148" s="4">
        <f ca="1">IFERROR(__xludf.UNSUPPORTED("""COMPUTED_VALUE"""),44932.6643518518)</f>
        <v>44932.664351851803</v>
      </c>
      <c r="C1148" s="7" t="str">
        <f ca="1">IFERROR(__xludf.UNSUPPORTED("""COMPUTED_VALUE"""),"Paranaguá")</f>
        <v>Paranaguá</v>
      </c>
      <c r="D1148" s="3" t="str">
        <f ca="1">IFERROR(__xludf.UNSUPPORTED("""COMPUTED_VALUE"""),"🚢 REGULAR")</f>
        <v>🚢 REGULAR</v>
      </c>
      <c r="E1148" s="3" t="str">
        <f ca="1">IFERROR(__xludf.UNSUPPORTED("""COMPUTED_VALUE"""),"🚛 LIBERADO")</f>
        <v>🚛 LIBERADO</v>
      </c>
      <c r="F1148" s="5">
        <f ca="1">IFERROR(__xludf.UNSUPPORTED("""COMPUTED_VALUE"""),0)</f>
        <v>0</v>
      </c>
      <c r="G1148" s="3" t="str">
        <f ca="1">IFERROR(__xludf.UNSUPPORTED("""COMPUTED_VALUE"""),"Normalidade")</f>
        <v>Normalidade</v>
      </c>
      <c r="H1148" s="4">
        <f ca="1">IFERROR(__xludf.UNSUPPORTED("""COMPUTED_VALUE"""),44932.6643518518)</f>
        <v>44932.664351851803</v>
      </c>
      <c r="I1148" s="3">
        <f ca="1">IFERROR(__xludf.UNSUPPORTED("""COMPUTED_VALUE"""),24)</f>
        <v>24</v>
      </c>
      <c r="J1148" s="4">
        <f ca="1">IFERROR(__xludf.UNSUPPORTED("""COMPUTED_VALUE"""),44933.6643518518)</f>
        <v>44933.664351851803</v>
      </c>
    </row>
    <row r="1149" spans="1:12" ht="12.75">
      <c r="A1149" s="3" t="str">
        <f ca="1">IFERROR(__xludf.UNSUPPORTED("""COMPUTED_VALUE"""),"608422d5")</f>
        <v>608422d5</v>
      </c>
      <c r="B1149" s="4">
        <f ca="1">IFERROR(__xludf.UNSUPPORTED("""COMPUTED_VALUE"""),44935.4152546296)</f>
        <v>44935.415254629603</v>
      </c>
      <c r="C1149" s="8" t="str">
        <f ca="1">IFERROR(__xludf.UNSUPPORTED("""COMPUTED_VALUE"""),"Paranaguá")</f>
        <v>Paranaguá</v>
      </c>
      <c r="D1149" s="3" t="str">
        <f ca="1">IFERROR(__xludf.UNSUPPORTED("""COMPUTED_VALUE"""),"🚢 REGULAR")</f>
        <v>🚢 REGULAR</v>
      </c>
      <c r="E1149" s="3" t="str">
        <f ca="1">IFERROR(__xludf.UNSUPPORTED("""COMPUTED_VALUE"""),"⚠️ PARCIALMENTE BLOQUEADO")</f>
        <v>⚠️ PARCIALMENTE BLOQUEADO</v>
      </c>
      <c r="F1149" s="5">
        <f ca="1">IFERROR(__xludf.UNSUPPORTED("""COMPUTED_VALUE"""),0.25)</f>
        <v>0.25</v>
      </c>
      <c r="G1149" s="3" t="str">
        <f ca="1">IFERROR(__xludf.UNSUPPORTED("""COMPUTED_VALUE"""),"Rodovia BR277, que dá acesso ao Porto, operando em pista simples em trecho de serra
devido a obras  para contenção de desmoronamentos ocorridos no Km 42. Há filas e atrasos na viagem. Atualizações constantes podem ser obtidas em: https://www.der.pr.gov.br"&amp;"/ , na opção: “ATUALIZAÇÕES DE TRÁFEGO”")</f>
        <v>Rodovia BR277, que dá acesso ao Porto, operando em pista simples em trecho de serra
devido a obras  para contenção de desmoronamentos ocorridos no Km 42. Há filas e atrasos na viagem. Atualizações constantes podem ser obtidas em: https://www.der.pr.gov.br/ , na opção: “ATUALIZAÇÕES DE TRÁFEGO”</v>
      </c>
      <c r="H1149" s="4">
        <f ca="1">IFERROR(__xludf.UNSUPPORTED("""COMPUTED_VALUE"""),44935.4152546296)</f>
        <v>44935.415254629603</v>
      </c>
      <c r="I1149" s="3">
        <f ca="1">IFERROR(__xludf.UNSUPPORTED("""COMPUTED_VALUE"""),12)</f>
        <v>12</v>
      </c>
      <c r="J1149" s="4">
        <f ca="1">IFERROR(__xludf.UNSUPPORTED("""COMPUTED_VALUE"""),44935.9152546296)</f>
        <v>44935.915254629603</v>
      </c>
      <c r="L1149" s="3" t="str">
        <f ca="1">IFERROR(__xludf.UNSUPPORTED("""COMPUTED_VALUE"""),"Crítico")</f>
        <v>Crítico</v>
      </c>
    </row>
    <row r="1150" spans="1:12" ht="12.75">
      <c r="A1150" s="3" t="str">
        <f ca="1">IFERROR(__xludf.UNSUPPORTED("""COMPUTED_VALUE"""),"ea377f44")</f>
        <v>ea377f44</v>
      </c>
      <c r="B1150" s="4">
        <f ca="1">IFERROR(__xludf.UNSUPPORTED("""COMPUTED_VALUE"""),44937.641574074)</f>
        <v>44937.641574073998</v>
      </c>
      <c r="C1150" s="7" t="str">
        <f ca="1">IFERROR(__xludf.UNSUPPORTED("""COMPUTED_VALUE"""),"Paranaguá")</f>
        <v>Paranaguá</v>
      </c>
      <c r="D1150" s="3" t="str">
        <f ca="1">IFERROR(__xludf.UNSUPPORTED("""COMPUTED_VALUE"""),"🚢 REGULAR")</f>
        <v>🚢 REGULAR</v>
      </c>
      <c r="E1150" s="3" t="str">
        <f ca="1">IFERROR(__xludf.UNSUPPORTED("""COMPUTED_VALUE"""),"⚠️ PARCIALMENTE BLOQUEADO")</f>
        <v>⚠️ PARCIALMENTE BLOQUEADO</v>
      </c>
      <c r="F1150" s="5">
        <f ca="1">IFERROR(__xludf.UNSUPPORTED("""COMPUTED_VALUE"""),0.25)</f>
        <v>0.25</v>
      </c>
      <c r="G1150" s="3" t="str">
        <f ca="1">IFERROR(__xludf.UNSUPPORTED("""COMPUTED_VALUE"""),"Rodovia BR277, que dá acesso ao Porto, operando em pista simples em trecho de serra (Km 42), por conta de obras de contenção de desmoronamentos. 
Não há interrupções, porém há lentidão e formação de filas em amos os sentidos com atrasos na viagem. 
Inform"&amp;"ações atualizadas podem ser obtidas em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amos os sentidos com atrasos na viagem. 
Informações atualizadas podem ser obtidas em www.der.pr.gov.br, clicando em seguida em “Atualizações de Tráfego”.</v>
      </c>
      <c r="H1150" s="4">
        <f ca="1">IFERROR(__xludf.UNSUPPORTED("""COMPUTED_VALUE"""),44937.641574074)</f>
        <v>44937.641574073998</v>
      </c>
      <c r="I1150" s="3">
        <f ca="1">IFERROR(__xludf.UNSUPPORTED("""COMPUTED_VALUE"""),24)</f>
        <v>24</v>
      </c>
      <c r="J1150" s="4">
        <f ca="1">IFERROR(__xludf.UNSUPPORTED("""COMPUTED_VALUE"""),44938.641574074)</f>
        <v>44938.641574073998</v>
      </c>
      <c r="L1150" s="3" t="str">
        <f ca="1">IFERROR(__xludf.UNSUPPORTED("""COMPUTED_VALUE"""),"Crítico")</f>
        <v>Crítico</v>
      </c>
    </row>
    <row r="1151" spans="1:12" ht="12.75">
      <c r="A1151" s="3" t="str">
        <f ca="1">IFERROR(__xludf.UNSUPPORTED("""COMPUTED_VALUE"""),"6d56d33d")</f>
        <v>6d56d33d</v>
      </c>
      <c r="B1151" s="4">
        <f ca="1">IFERROR(__xludf.UNSUPPORTED("""COMPUTED_VALUE"""),44939.8201736111)</f>
        <v>44939.8201736111</v>
      </c>
      <c r="C1151" s="7" t="str">
        <f ca="1">IFERROR(__xludf.UNSUPPORTED("""COMPUTED_VALUE"""),"Paranaguá")</f>
        <v>Paranaguá</v>
      </c>
      <c r="D1151" s="3" t="str">
        <f ca="1">IFERROR(__xludf.UNSUPPORTED("""COMPUTED_VALUE"""),"🚢 REGULAR")</f>
        <v>🚢 REGULAR</v>
      </c>
      <c r="E1151" s="3" t="str">
        <f ca="1">IFERROR(__xludf.UNSUPPORTED("""COMPUTED_VALUE"""),"⚠️ PARCIALMENTE BLOQUEADO")</f>
        <v>⚠️ PARCIALMENTE BLOQUEADO</v>
      </c>
      <c r="F1151" s="5">
        <f ca="1">IFERROR(__xludf.UNSUPPORTED("""COMPUTED_VALUE"""),0.25)</f>
        <v>0.25</v>
      </c>
      <c r="G1151"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"&amp;"Informações atualizadas podem ser obtidas em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Informações atualizadas podem ser obtidas em www.der.pr.gov.br, clicando em seguida em “Atualizações de Tráfego”.</v>
      </c>
      <c r="H1151" s="4">
        <f ca="1">IFERROR(__xludf.UNSUPPORTED("""COMPUTED_VALUE"""),44939.8201736111)</f>
        <v>44939.8201736111</v>
      </c>
      <c r="I1151" s="3">
        <f ca="1">IFERROR(__xludf.UNSUPPORTED("""COMPUTED_VALUE"""),24)</f>
        <v>24</v>
      </c>
      <c r="J1151" s="4">
        <f ca="1">IFERROR(__xludf.UNSUPPORTED("""COMPUTED_VALUE"""),44940.8201736111)</f>
        <v>44940.8201736111</v>
      </c>
      <c r="L1151" s="3" t="str">
        <f ca="1">IFERROR(__xludf.UNSUPPORTED("""COMPUTED_VALUE"""),"Crítico")</f>
        <v>Crítico</v>
      </c>
    </row>
    <row r="1152" spans="1:12" ht="12.75">
      <c r="A1152" s="3" t="str">
        <f ca="1">IFERROR(__xludf.UNSUPPORTED("""COMPUTED_VALUE"""),"08ddb475")</f>
        <v>08ddb475</v>
      </c>
      <c r="B1152" s="4">
        <f ca="1">IFERROR(__xludf.UNSUPPORTED("""COMPUTED_VALUE"""),44942.7233564814)</f>
        <v>44942.723356481401</v>
      </c>
      <c r="C1152" s="8" t="str">
        <f ca="1">IFERROR(__xludf.UNSUPPORTED("""COMPUTED_VALUE"""),"Paranaguá")</f>
        <v>Paranaguá</v>
      </c>
      <c r="D1152" s="3" t="str">
        <f ca="1">IFERROR(__xludf.UNSUPPORTED("""COMPUTED_VALUE"""),"🚢 REGULAR")</f>
        <v>🚢 REGULAR</v>
      </c>
      <c r="E1152" s="3" t="str">
        <f ca="1">IFERROR(__xludf.UNSUPPORTED("""COMPUTED_VALUE"""),"⚠️ PARCIALMENTE BLOQUEADO")</f>
        <v>⚠️ PARCIALMENTE BLOQUEADO</v>
      </c>
      <c r="F1152" s="5">
        <f ca="1">IFERROR(__xludf.UNSUPPORTED("""COMPUTED_VALUE"""),0.25)</f>
        <v>0.25</v>
      </c>
      <c r="G1152"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"&amp;"Informações atualizadas podem ser obtidas em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Informações atualizadas podem ser obtidas em www.der.pr.gov.br, clicando em seguida em “Atualizações de Tráfego”.</v>
      </c>
      <c r="H1152" s="4">
        <f ca="1">IFERROR(__xludf.UNSUPPORTED("""COMPUTED_VALUE"""),44942.7233564814)</f>
        <v>44942.723356481401</v>
      </c>
      <c r="I1152" s="3">
        <f ca="1">IFERROR(__xludf.UNSUPPORTED("""COMPUTED_VALUE"""),24)</f>
        <v>24</v>
      </c>
      <c r="J1152" s="4">
        <f ca="1">IFERROR(__xludf.UNSUPPORTED("""COMPUTED_VALUE"""),44943.7233564814)</f>
        <v>44943.723356481401</v>
      </c>
      <c r="L1152" s="3" t="str">
        <f ca="1">IFERROR(__xludf.UNSUPPORTED("""COMPUTED_VALUE"""),"Crítico")</f>
        <v>Crítico</v>
      </c>
    </row>
    <row r="1153" spans="1:12" ht="12.75">
      <c r="A1153" s="3" t="str">
        <f ca="1">IFERROR(__xludf.UNSUPPORTED("""COMPUTED_VALUE"""),"a92580d7")</f>
        <v>a92580d7</v>
      </c>
      <c r="B1153" s="4">
        <f ca="1">IFERROR(__xludf.UNSUPPORTED("""COMPUTED_VALUE"""),44946.6609259259)</f>
        <v>44946.660925925898</v>
      </c>
      <c r="C1153" s="8" t="str">
        <f ca="1">IFERROR(__xludf.UNSUPPORTED("""COMPUTED_VALUE"""),"Paranaguá")</f>
        <v>Paranaguá</v>
      </c>
      <c r="D1153" s="3" t="str">
        <f ca="1">IFERROR(__xludf.UNSUPPORTED("""COMPUTED_VALUE"""),"🚢 REGULAR")</f>
        <v>🚢 REGULAR</v>
      </c>
      <c r="E1153" s="3" t="str">
        <f ca="1">IFERROR(__xludf.UNSUPPORTED("""COMPUTED_VALUE"""),"⚠️ PARCIALMENTE BLOQUEADO")</f>
        <v>⚠️ PARCIALMENTE BLOQUEADO</v>
      </c>
      <c r="F1153" s="5">
        <f ca="1">IFERROR(__xludf.UNSUPPORTED("""COMPUTED_VALUE"""),0.25)</f>
        <v>0.25</v>
      </c>
      <c r="G1153"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1153" s="4">
        <f ca="1">IFERROR(__xludf.UNSUPPORTED("""COMPUTED_VALUE"""),44946.6609259259)</f>
        <v>44946.660925925898</v>
      </c>
      <c r="I1153" s="3">
        <f ca="1">IFERROR(__xludf.UNSUPPORTED("""COMPUTED_VALUE"""),24)</f>
        <v>24</v>
      </c>
      <c r="J1153" s="4">
        <f ca="1">IFERROR(__xludf.UNSUPPORTED("""COMPUTED_VALUE"""),44947.6609259259)</f>
        <v>44947.660925925898</v>
      </c>
      <c r="L1153" s="3" t="str">
        <f ca="1">IFERROR(__xludf.UNSUPPORTED("""COMPUTED_VALUE"""),"Crítico")</f>
        <v>Crítico</v>
      </c>
    </row>
    <row r="1154" spans="1:12" ht="12.75">
      <c r="A1154" s="3" t="str">
        <f ca="1">IFERROR(__xludf.UNSUPPORTED("""COMPUTED_VALUE"""),"873dbbd8")</f>
        <v>873dbbd8</v>
      </c>
      <c r="B1154" s="4">
        <f ca="1">IFERROR(__xludf.UNSUPPORTED("""COMPUTED_VALUE"""),44950.3723726851)</f>
        <v>44950.372372685102</v>
      </c>
      <c r="C1154" s="7" t="str">
        <f ca="1">IFERROR(__xludf.UNSUPPORTED("""COMPUTED_VALUE"""),"Paranaguá")</f>
        <v>Paranaguá</v>
      </c>
      <c r="D1154" s="3" t="str">
        <f ca="1">IFERROR(__xludf.UNSUPPORTED("""COMPUTED_VALUE"""),"🚢 REGULAR")</f>
        <v>🚢 REGULAR</v>
      </c>
      <c r="E1154" s="3" t="str">
        <f ca="1">IFERROR(__xludf.UNSUPPORTED("""COMPUTED_VALUE"""),"⚠️ PARCIALMENTE BLOQUEADO")</f>
        <v>⚠️ PARCIALMENTE BLOQUEADO</v>
      </c>
      <c r="F1154" s="5">
        <f ca="1">IFERROR(__xludf.UNSUPPORTED("""COMPUTED_VALUE"""),0.25)</f>
        <v>0.25</v>
      </c>
      <c r="G1154"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1154" s="4">
        <f ca="1">IFERROR(__xludf.UNSUPPORTED("""COMPUTED_VALUE"""),44951.3723726851)</f>
        <v>44951.372372685102</v>
      </c>
      <c r="I1154" s="3">
        <f ca="1">IFERROR(__xludf.UNSUPPORTED("""COMPUTED_VALUE"""),24)</f>
        <v>24</v>
      </c>
      <c r="J1154" s="4">
        <f ca="1">IFERROR(__xludf.UNSUPPORTED("""COMPUTED_VALUE"""),44952.3723726851)</f>
        <v>44952.372372685102</v>
      </c>
      <c r="K1154" s="3" t="str">
        <f ca="1">IFERROR(__xludf.UNSUPPORTED("""COMPUTED_VALUE"""),"URECB")</f>
        <v>URECB</v>
      </c>
      <c r="L1154" s="3" t="str">
        <f ca="1">IFERROR(__xludf.UNSUPPORTED("""COMPUTED_VALUE"""),"Crítico")</f>
        <v>Crítico</v>
      </c>
    </row>
    <row r="1155" spans="1:12" ht="12.75">
      <c r="A1155" s="3" t="str">
        <f ca="1">IFERROR(__xludf.UNSUPPORTED("""COMPUTED_VALUE"""),"eaf70f1f")</f>
        <v>eaf70f1f</v>
      </c>
      <c r="B1155" s="4">
        <f ca="1">IFERROR(__xludf.UNSUPPORTED("""COMPUTED_VALUE"""),44952.7044328703)</f>
        <v>44952.704432870298</v>
      </c>
      <c r="C1155" s="8" t="str">
        <f ca="1">IFERROR(__xludf.UNSUPPORTED("""COMPUTED_VALUE"""),"Paranaguá")</f>
        <v>Paranaguá</v>
      </c>
      <c r="D1155" s="3" t="str">
        <f ca="1">IFERROR(__xludf.UNSUPPORTED("""COMPUTED_VALUE"""),"🚢 REGULAR")</f>
        <v>🚢 REGULAR</v>
      </c>
      <c r="E1155" s="3" t="str">
        <f ca="1">IFERROR(__xludf.UNSUPPORTED("""COMPUTED_VALUE"""),"⚠️ PARCIALMENTE BLOQUEADO")</f>
        <v>⚠️ PARCIALMENTE BLOQUEADO</v>
      </c>
      <c r="F1155" s="5">
        <f ca="1">IFERROR(__xludf.UNSUPPORTED("""COMPUTED_VALUE"""),0.25)</f>
        <v>0.25</v>
      </c>
      <c r="G1155"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1155" s="4">
        <f ca="1">IFERROR(__xludf.UNSUPPORTED("""COMPUTED_VALUE"""),44952.7044328703)</f>
        <v>44952.704432870298</v>
      </c>
      <c r="I1155" s="3">
        <f ca="1">IFERROR(__xludf.UNSUPPORTED("""COMPUTED_VALUE"""),24)</f>
        <v>24</v>
      </c>
      <c r="J1155" s="4">
        <f ca="1">IFERROR(__xludf.UNSUPPORTED("""COMPUTED_VALUE"""),44953.7044328703)</f>
        <v>44953.704432870298</v>
      </c>
      <c r="K1155" s="3" t="str">
        <f ca="1">IFERROR(__xludf.UNSUPPORTED("""COMPUTED_VALUE"""),"URECB")</f>
        <v>URECB</v>
      </c>
      <c r="L1155" s="3" t="str">
        <f ca="1">IFERROR(__xludf.UNSUPPORTED("""COMPUTED_VALUE"""),"Crítico")</f>
        <v>Crítico</v>
      </c>
    </row>
    <row r="1156" spans="1:12" ht="12.75">
      <c r="A1156" s="3" t="str">
        <f ca="1">IFERROR(__xludf.UNSUPPORTED("""COMPUTED_VALUE"""),"bd3bbdfa")</f>
        <v>bd3bbdfa</v>
      </c>
      <c r="B1156" s="4">
        <f ca="1">IFERROR(__xludf.UNSUPPORTED("""COMPUTED_VALUE"""),44956.640636574)</f>
        <v>44956.640636573997</v>
      </c>
      <c r="C1156" s="7" t="str">
        <f ca="1">IFERROR(__xludf.UNSUPPORTED("""COMPUTED_VALUE"""),"Paranaguá")</f>
        <v>Paranaguá</v>
      </c>
      <c r="D1156" s="3" t="str">
        <f ca="1">IFERROR(__xludf.UNSUPPORTED("""COMPUTED_VALUE"""),"🚢 REGULAR")</f>
        <v>🚢 REGULAR</v>
      </c>
      <c r="E1156" s="3" t="str">
        <f ca="1">IFERROR(__xludf.UNSUPPORTED("""COMPUTED_VALUE"""),"⚠️ PARCIALMENTE BLOQUEADO")</f>
        <v>⚠️ PARCIALMENTE BLOQUEADO</v>
      </c>
      <c r="F1156" s="5">
        <f ca="1">IFERROR(__xludf.UNSUPPORTED("""COMPUTED_VALUE"""),0.25)</f>
        <v>0.25</v>
      </c>
      <c r="G1156" s="3" t="str">
        <f ca="1">IFERROR(__xludf.UNSUPPORTED("""COMPUTED_VALUE"""),"DESCRIÇÃO DETALHADA DA SITUAÇÃO:
Rodovia BR277, que dá acesso ao Porto, operando em pista simples em trecho de serra (Km 42), por conta de obras de contenção de desmoronamentos.
Não há interrupções, porém há lentidão e formação de filas em ambos os sent"&amp;"idos, gerando atrasos na viagem.
Proibição de circulação de veículos de carga em dias e horários específicos (twitter.com/prf_pr.) Informações atualizadas podem ser obtidas em twitter.com/prf_pr e www.der.pr.gov.br (clicando em seguida em “Atualizações d"&amp;"e Tráfego”).")</f>
        <v>DESCRIÇÃO DETALHADA DA SITUAÇÃO:
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1156" s="4">
        <f ca="1">IFERROR(__xludf.UNSUPPORTED("""COMPUTED_VALUE"""),44956.640636574)</f>
        <v>44956.640636573997</v>
      </c>
      <c r="I1156" s="3">
        <f ca="1">IFERROR(__xludf.UNSUPPORTED("""COMPUTED_VALUE"""),24)</f>
        <v>24</v>
      </c>
      <c r="J1156" s="4">
        <f ca="1">IFERROR(__xludf.UNSUPPORTED("""COMPUTED_VALUE"""),44957.640636574)</f>
        <v>44957.640636573997</v>
      </c>
      <c r="K1156" s="3" t="str">
        <f ca="1">IFERROR(__xludf.UNSUPPORTED("""COMPUTED_VALUE"""),"URECB")</f>
        <v>URECB</v>
      </c>
      <c r="L1156" s="3" t="str">
        <f ca="1">IFERROR(__xludf.UNSUPPORTED("""COMPUTED_VALUE"""),"Crítico")</f>
        <v>Crítico</v>
      </c>
    </row>
    <row r="1157" spans="1:12" ht="12.75">
      <c r="A1157" s="3" t="str">
        <f ca="1">IFERROR(__xludf.UNSUPPORTED("""COMPUTED_VALUE"""),"f24f97f6")</f>
        <v>f24f97f6</v>
      </c>
      <c r="B1157" s="4">
        <f ca="1">IFERROR(__xludf.UNSUPPORTED("""COMPUTED_VALUE"""),44959.5703356481)</f>
        <v>44959.570335648103</v>
      </c>
      <c r="C1157" s="7" t="str">
        <f ca="1">IFERROR(__xludf.UNSUPPORTED("""COMPUTED_VALUE"""),"Paranaguá")</f>
        <v>Paranaguá</v>
      </c>
      <c r="D1157" s="3" t="str">
        <f ca="1">IFERROR(__xludf.UNSUPPORTED("""COMPUTED_VALUE"""),"🚢 REGULAR")</f>
        <v>🚢 REGULAR</v>
      </c>
      <c r="E1157" s="3" t="str">
        <f ca="1">IFERROR(__xludf.UNSUPPORTED("""COMPUTED_VALUE"""),"⚠️ PARCIALMENTE BLOQUEADO")</f>
        <v>⚠️ PARCIALMENTE BLOQUEADO</v>
      </c>
      <c r="F1157" s="5">
        <f ca="1">IFERROR(__xludf.UNSUPPORTED("""COMPUTED_VALUE"""),0.25)</f>
        <v>0.25</v>
      </c>
      <c r="G1157"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1157" s="4">
        <f ca="1">IFERROR(__xludf.UNSUPPORTED("""COMPUTED_VALUE"""),44959.5703356481)</f>
        <v>44959.570335648103</v>
      </c>
      <c r="I1157" s="3">
        <f ca="1">IFERROR(__xludf.UNSUPPORTED("""COMPUTED_VALUE"""),24)</f>
        <v>24</v>
      </c>
      <c r="J1157" s="4">
        <f ca="1">IFERROR(__xludf.UNSUPPORTED("""COMPUTED_VALUE"""),44960.5703356481)</f>
        <v>44960.570335648103</v>
      </c>
      <c r="K1157" s="3" t="str">
        <f ca="1">IFERROR(__xludf.UNSUPPORTED("""COMPUTED_VALUE"""),"URECB")</f>
        <v>URECB</v>
      </c>
      <c r="L1157" s="3" t="str">
        <f ca="1">IFERROR(__xludf.UNSUPPORTED("""COMPUTED_VALUE"""),"Crítico")</f>
        <v>Crítico</v>
      </c>
    </row>
    <row r="1158" spans="1:12" ht="12.75">
      <c r="A1158" s="3" t="str">
        <f ca="1">IFERROR(__xludf.UNSUPPORTED("""COMPUTED_VALUE"""),"1eea8b9e")</f>
        <v>1eea8b9e</v>
      </c>
      <c r="B1158" s="4">
        <f ca="1">IFERROR(__xludf.UNSUPPORTED("""COMPUTED_VALUE"""),44960.4521759259)</f>
        <v>44960.452175925901</v>
      </c>
      <c r="C1158" s="7" t="str">
        <f ca="1">IFERROR(__xludf.UNSUPPORTED("""COMPUTED_VALUE"""),"Paranaguá")</f>
        <v>Paranaguá</v>
      </c>
      <c r="D1158" s="3" t="str">
        <f ca="1">IFERROR(__xludf.UNSUPPORTED("""COMPUTED_VALUE"""),"🚢 REGULAR")</f>
        <v>🚢 REGULAR</v>
      </c>
      <c r="E1158" s="3" t="str">
        <f ca="1">IFERROR(__xludf.UNSUPPORTED("""COMPUTED_VALUE"""),"⚠️ PARCIALMENTE BLOQUEADO")</f>
        <v>⚠️ PARCIALMENTE BLOQUEADO</v>
      </c>
      <c r="F1158" s="5">
        <f ca="1">IFERROR(__xludf.UNSUPPORTED("""COMPUTED_VALUE"""),0.25)</f>
        <v>0.25</v>
      </c>
      <c r="G1158"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Pr"&amp;"oibição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1158" s="4">
        <f ca="1">IFERROR(__xludf.UNSUPPORTED("""COMPUTED_VALUE"""),44960.4521759259)</f>
        <v>44960.452175925901</v>
      </c>
      <c r="I1158" s="3">
        <f ca="1">IFERROR(__xludf.UNSUPPORTED("""COMPUTED_VALUE"""),24)</f>
        <v>24</v>
      </c>
      <c r="J1158" s="4">
        <f ca="1">IFERROR(__xludf.UNSUPPORTED("""COMPUTED_VALUE"""),44961.4521759259)</f>
        <v>44961.452175925901</v>
      </c>
      <c r="K1158" s="3" t="str">
        <f ca="1">IFERROR(__xludf.UNSUPPORTED("""COMPUTED_VALUE"""),"URECB")</f>
        <v>URECB</v>
      </c>
      <c r="L1158" s="3" t="str">
        <f ca="1">IFERROR(__xludf.UNSUPPORTED("""COMPUTED_VALUE"""),"Crítico")</f>
        <v>Crítico</v>
      </c>
    </row>
    <row r="1159" spans="1:12" ht="12.75">
      <c r="A1159" s="3" t="str">
        <f ca="1">IFERROR(__xludf.UNSUPPORTED("""COMPUTED_VALUE"""),"e7cb4752")</f>
        <v>e7cb4752</v>
      </c>
      <c r="B1159" s="4">
        <f ca="1">IFERROR(__xludf.UNSUPPORTED("""COMPUTED_VALUE"""),44963.5788657407)</f>
        <v>44963.578865740703</v>
      </c>
      <c r="C1159" s="8" t="str">
        <f ca="1">IFERROR(__xludf.UNSUPPORTED("""COMPUTED_VALUE"""),"Paranaguá")</f>
        <v>Paranaguá</v>
      </c>
      <c r="D1159" s="3" t="str">
        <f ca="1">IFERROR(__xludf.UNSUPPORTED("""COMPUTED_VALUE"""),"🚢 REGULAR")</f>
        <v>🚢 REGULAR</v>
      </c>
      <c r="E1159" s="3" t="str">
        <f ca="1">IFERROR(__xludf.UNSUPPORTED("""COMPUTED_VALUE"""),"⚠️ PARCIALMENTE BLOQUEADO")</f>
        <v>⚠️ PARCIALMENTE BLOQUEADO</v>
      </c>
      <c r="F1159" s="5">
        <f ca="1">IFERROR(__xludf.UNSUPPORTED("""COMPUTED_VALUE"""),0.25)</f>
        <v>0.25</v>
      </c>
      <c r="G1159"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Pr"&amp;"oibição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1159" s="4">
        <f ca="1">IFERROR(__xludf.UNSUPPORTED("""COMPUTED_VALUE"""),44963.5788657407)</f>
        <v>44963.578865740703</v>
      </c>
      <c r="I1159" s="3">
        <f ca="1">IFERROR(__xludf.UNSUPPORTED("""COMPUTED_VALUE"""),24)</f>
        <v>24</v>
      </c>
      <c r="J1159" s="4">
        <f ca="1">IFERROR(__xludf.UNSUPPORTED("""COMPUTED_VALUE"""),44964.5788657407)</f>
        <v>44964.578865740703</v>
      </c>
      <c r="K1159" s="3" t="str">
        <f ca="1">IFERROR(__xludf.UNSUPPORTED("""COMPUTED_VALUE"""),"URECB")</f>
        <v>URECB</v>
      </c>
      <c r="L1159" s="3" t="str">
        <f ca="1">IFERROR(__xludf.UNSUPPORTED("""COMPUTED_VALUE"""),"Crítico")</f>
        <v>Crítico</v>
      </c>
    </row>
    <row r="1160" spans="1:12" ht="12.75">
      <c r="A1160" s="3" t="str">
        <f ca="1">IFERROR(__xludf.UNSUPPORTED("""COMPUTED_VALUE"""),"b12fa5bd")</f>
        <v>b12fa5bd</v>
      </c>
      <c r="B1160" s="4">
        <f ca="1">IFERROR(__xludf.UNSUPPORTED("""COMPUTED_VALUE"""),44966.3972800925)</f>
        <v>44966.397280092497</v>
      </c>
      <c r="C1160" s="7" t="str">
        <f ca="1">IFERROR(__xludf.UNSUPPORTED("""COMPUTED_VALUE"""),"Paranaguá")</f>
        <v>Paranaguá</v>
      </c>
      <c r="D1160" s="3" t="str">
        <f ca="1">IFERROR(__xludf.UNSUPPORTED("""COMPUTED_VALUE"""),"🚢 REGULAR")</f>
        <v>🚢 REGULAR</v>
      </c>
      <c r="E1160" s="3" t="str">
        <f ca="1">IFERROR(__xludf.UNSUPPORTED("""COMPUTED_VALUE"""),"⚠️ PARCIALMENTE BLOQUEADO")</f>
        <v>⚠️ PARCIALMENTE BLOQUEADO</v>
      </c>
      <c r="F1160" s="5">
        <f ca="1">IFERROR(__xludf.UNSUPPORTED("""COMPUTED_VALUE"""),0.25)</f>
        <v>0.25</v>
      </c>
      <c r="G1160"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Pr"&amp;"oibição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1160" s="4">
        <f ca="1">IFERROR(__xludf.UNSUPPORTED("""COMPUTED_VALUE"""),44966.3972800925)</f>
        <v>44966.397280092497</v>
      </c>
      <c r="I1160" s="3">
        <f ca="1">IFERROR(__xludf.UNSUPPORTED("""COMPUTED_VALUE"""),24)</f>
        <v>24</v>
      </c>
      <c r="J1160" s="4">
        <f ca="1">IFERROR(__xludf.UNSUPPORTED("""COMPUTED_VALUE"""),44967.3972800925)</f>
        <v>44967.397280092497</v>
      </c>
      <c r="K1160" s="3" t="str">
        <f ca="1">IFERROR(__xludf.UNSUPPORTED("""COMPUTED_VALUE"""),"URECB")</f>
        <v>URECB</v>
      </c>
      <c r="L1160" s="3" t="str">
        <f ca="1">IFERROR(__xludf.UNSUPPORTED("""COMPUTED_VALUE"""),"Crítico")</f>
        <v>Crítico</v>
      </c>
    </row>
    <row r="1161" spans="1:12" ht="12.75">
      <c r="A1161" s="3" t="str">
        <f ca="1">IFERROR(__xludf.UNSUPPORTED("""COMPUTED_VALUE"""),"027ab019")</f>
        <v>027ab019</v>
      </c>
      <c r="B1161" s="4">
        <f ca="1">IFERROR(__xludf.UNSUPPORTED("""COMPUTED_VALUE"""),44993.4290162037)</f>
        <v>44993.4290162037</v>
      </c>
      <c r="C1161" s="8" t="str">
        <f ca="1">IFERROR(__xludf.UNSUPPORTED("""COMPUTED_VALUE"""),"Paranaguá")</f>
        <v>Paranaguá</v>
      </c>
      <c r="D1161" s="3" t="str">
        <f ca="1">IFERROR(__xludf.UNSUPPORTED("""COMPUTED_VALUE"""),"🚢 REGULAR")</f>
        <v>🚢 REGULAR</v>
      </c>
      <c r="E1161" s="3" t="str">
        <f ca="1">IFERROR(__xludf.UNSUPPORTED("""COMPUTED_VALUE"""),"⚠️ PARCIALMENTE BLOQUEADO")</f>
        <v>⚠️ PARCIALMENTE BLOQUEADO</v>
      </c>
      <c r="F1161" s="5">
        <f ca="1">IFERROR(__xludf.UNSUPPORTED("""COMPUTED_VALUE"""),0.25)</f>
        <v>0.25</v>
      </c>
      <c r="G1161" s="3" t="str">
        <f ca="1">IFERROR(__xludf.UNSUPPORTED("""COMPUTED_VALUE"""),"DESCRIÇÃO DETALHADA DA SITUAÇÃO:
Rodovia BR277, que dá acesso ao Porto, com interdição parcial em razão do afundamento do pavimento no km 33,5. 
 Informações atualizadas podem ser obtidas em twitter.com/prf_pr e www.der.pr.gov.br (clicando em seguida em"&amp;" “Atualizações de Tráfego”).")</f>
        <v>DESCRIÇÃO DETALHADA DA SITUAÇÃO:
Rodovia BR277, que dá acesso ao Porto, com interdição parcial em razão do afundamento do pavimento no km 33,5. 
 Informações atualizadas podem ser obtidas em twitter.com/prf_pr e www.der.pr.gov.br (clicando em seguida em “Atualizações de Tráfego”).</v>
      </c>
      <c r="H1161" s="4">
        <f ca="1">IFERROR(__xludf.UNSUPPORTED("""COMPUTED_VALUE"""),44995.4290162037)</f>
        <v>44995.4290162037</v>
      </c>
      <c r="I1161" s="3">
        <f ca="1">IFERROR(__xludf.UNSUPPORTED("""COMPUTED_VALUE"""),24)</f>
        <v>24</v>
      </c>
      <c r="J1161" s="4">
        <f ca="1">IFERROR(__xludf.UNSUPPORTED("""COMPUTED_VALUE"""),44996.4290162037)</f>
        <v>44996.4290162037</v>
      </c>
      <c r="K1161" s="6" t="str">
        <f ca="1">IFERROR(__xludf.UNSUPPORTED("""COMPUTED_VALUE"""),"www.der.pr.gov.br")</f>
        <v>www.der.pr.gov.br</v>
      </c>
      <c r="L1161" s="3" t="str">
        <f ca="1">IFERROR(__xludf.UNSUPPORTED("""COMPUTED_VALUE"""),"Crítico")</f>
        <v>Crítico</v>
      </c>
    </row>
    <row r="1162" spans="1:12" ht="12.75">
      <c r="A1162" s="3" t="str">
        <f ca="1">IFERROR(__xludf.UNSUPPORTED("""COMPUTED_VALUE"""),"cdd1b89c")</f>
        <v>cdd1b89c</v>
      </c>
      <c r="B1162" s="4">
        <f ca="1">IFERROR(__xludf.UNSUPPORTED("""COMPUTED_VALUE"""),45001.3948958333)</f>
        <v>45001.394895833299</v>
      </c>
      <c r="C1162" s="7" t="str">
        <f ca="1">IFERROR(__xludf.UNSUPPORTED("""COMPUTED_VALUE"""),"Paranaguá")</f>
        <v>Paranaguá</v>
      </c>
      <c r="D1162" s="3" t="str">
        <f ca="1">IFERROR(__xludf.UNSUPPORTED("""COMPUTED_VALUE"""),"🚢 REGULAR")</f>
        <v>🚢 REGULAR</v>
      </c>
      <c r="E1162" s="3" t="str">
        <f ca="1">IFERROR(__xludf.UNSUPPORTED("""COMPUTED_VALUE"""),"⚠️ PARCIALMENTE BLOQUEADO")</f>
        <v>⚠️ PARCIALMENTE BLOQUEADO</v>
      </c>
      <c r="F1162" s="5">
        <f ca="1">IFERROR(__xludf.UNSUPPORTED("""COMPUTED_VALUE"""),0.25)</f>
        <v>0.25</v>
      </c>
      <c r="G1162" s="3" t="str">
        <f ca="1">IFERROR(__xludf.UNSUPPORTED("""COMPUTED_VALUE"""),"Restrições de acesso na rodovia BR-277, que dá acesso aos Portos de Paranaguá e Antonina, em virtude de quedas de barreira e rachaduras na pista.
Condições atualizadas das restrições podem ser consultadas em https://www.der.pr.gov.br/, na aba ""atualizaç"&amp;"ões de tráfego"".")</f>
        <v>Restrições de acesso na rodovia BR-277, que dá acesso aos Portos de Paranaguá e Antonina, em virtude de quedas de barreira e rachaduras na pista.
Condições atualizadas das restrições podem ser consultadas em https://www.der.pr.gov.br/, na aba "atualizações de tráfego".</v>
      </c>
      <c r="H1162" s="4">
        <f ca="1">IFERROR(__xludf.UNSUPPORTED("""COMPUTED_VALUE"""),45001.3948958333)</f>
        <v>45001.394895833299</v>
      </c>
      <c r="I1162" s="3">
        <f ca="1">IFERROR(__xludf.UNSUPPORTED("""COMPUTED_VALUE"""),24)</f>
        <v>24</v>
      </c>
      <c r="J1162" s="4">
        <f ca="1">IFERROR(__xludf.UNSUPPORTED("""COMPUTED_VALUE"""),45002.3948958333)</f>
        <v>45002.394895833299</v>
      </c>
      <c r="K1162" s="3" t="str">
        <f ca="1">IFERROR(__xludf.UNSUPPORTED("""COMPUTED_VALUE"""),"URECB")</f>
        <v>URECB</v>
      </c>
      <c r="L1162" s="3" t="str">
        <f ca="1">IFERROR(__xludf.UNSUPPORTED("""COMPUTED_VALUE"""),"Crítico")</f>
        <v>Crítico</v>
      </c>
    </row>
    <row r="1163" spans="1:12" ht="12.75">
      <c r="A1163" s="3" t="str">
        <f ca="1">IFERROR(__xludf.UNSUPPORTED("""COMPUTED_VALUE"""),"789ee5e2")</f>
        <v>789ee5e2</v>
      </c>
      <c r="B1163" s="4">
        <f ca="1">IFERROR(__xludf.UNSUPPORTED("""COMPUTED_VALUE"""),45002.4120023148)</f>
        <v>45002.412002314799</v>
      </c>
      <c r="C1163" s="8" t="str">
        <f ca="1">IFERROR(__xludf.UNSUPPORTED("""COMPUTED_VALUE"""),"Paranaguá")</f>
        <v>Paranaguá</v>
      </c>
      <c r="D1163" s="3" t="str">
        <f ca="1">IFERROR(__xludf.UNSUPPORTED("""COMPUTED_VALUE"""),"🚢 REGULAR")</f>
        <v>🚢 REGULAR</v>
      </c>
      <c r="E1163" s="3" t="str">
        <f ca="1">IFERROR(__xludf.UNSUPPORTED("""COMPUTED_VALUE"""),"⚠️ PARCIALMENTE BLOQUEADO")</f>
        <v>⚠️ PARCIALMENTE BLOQUEADO</v>
      </c>
      <c r="F1163" s="5">
        <f ca="1">IFERROR(__xludf.UNSUPPORTED("""COMPUTED_VALUE"""),0.25)</f>
        <v>0.25</v>
      </c>
      <c r="G1163" s="3" t="str">
        <f ca="1">IFERROR(__xludf.UNSUPPORTED("""COMPUTED_VALUE"""),"Restrições de acesso na rodovia BR-277, que dá acesso aos Portos de Paranaguá e Antonina, em virtude de quedas de barreira e rachaduras na pista. Condições atualizadas das restrições podem ser consultadas em https://www.der.pr.gov.br/, na aba ""atualizaçõ"&amp;"es de tráfego"".")</f>
        <v>Restrições de acesso na rodovia BR-277, que dá acesso aos Portos de Paranaguá e Antonina, em virtude de quedas de barreira e rachaduras na pista. Condições atualizadas das restrições podem ser consultadas em https://www.der.pr.gov.br/, na aba "atualizações de tráfego".</v>
      </c>
      <c r="H1163" s="4">
        <f ca="1">IFERROR(__xludf.UNSUPPORTED("""COMPUTED_VALUE"""),45002.4120023148)</f>
        <v>45002.412002314799</v>
      </c>
      <c r="I1163" s="3">
        <f ca="1">IFERROR(__xludf.UNSUPPORTED("""COMPUTED_VALUE"""),24)</f>
        <v>24</v>
      </c>
      <c r="J1163" s="4">
        <f ca="1">IFERROR(__xludf.UNSUPPORTED("""COMPUTED_VALUE"""),45003.4120023148)</f>
        <v>45003.412002314799</v>
      </c>
      <c r="K1163" s="3" t="str">
        <f ca="1">IFERROR(__xludf.UNSUPPORTED("""COMPUTED_VALUE"""),"URECB")</f>
        <v>URECB</v>
      </c>
      <c r="L1163" s="3" t="str">
        <f ca="1">IFERROR(__xludf.UNSUPPORTED("""COMPUTED_VALUE"""),"Crítico")</f>
        <v>Crítico</v>
      </c>
    </row>
    <row r="1164" spans="1:12" ht="12.75">
      <c r="A1164" s="3" t="str">
        <f ca="1">IFERROR(__xludf.UNSUPPORTED("""COMPUTED_VALUE"""),"6dc9aa4a")</f>
        <v>6dc9aa4a</v>
      </c>
      <c r="B1164" s="4">
        <f ca="1">IFERROR(__xludf.UNSUPPORTED("""COMPUTED_VALUE"""),45006.9010879629)</f>
        <v>45006.901087962899</v>
      </c>
      <c r="C1164" s="8" t="str">
        <f ca="1">IFERROR(__xludf.UNSUPPORTED("""COMPUTED_VALUE"""),"Paranaguá")</f>
        <v>Paranaguá</v>
      </c>
      <c r="D1164" s="3" t="str">
        <f ca="1">IFERROR(__xludf.UNSUPPORTED("""COMPUTED_VALUE"""),"🚢 REGULAR")</f>
        <v>🚢 REGULAR</v>
      </c>
      <c r="E1164" s="3" t="str">
        <f ca="1">IFERROR(__xludf.UNSUPPORTED("""COMPUTED_VALUE"""),"⚠️ PARCIALMENTE BLOQUEADO")</f>
        <v>⚠️ PARCIALMENTE BLOQUEADO</v>
      </c>
      <c r="F1164" s="5">
        <f ca="1">IFERROR(__xludf.UNSUPPORTED("""COMPUTED_VALUE"""),0.25)</f>
        <v>0.25</v>
      </c>
      <c r="G1164"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1164" s="4">
        <f ca="1">IFERROR(__xludf.UNSUPPORTED("""COMPUTED_VALUE"""),45006.9010879629)</f>
        <v>45006.901087962899</v>
      </c>
      <c r="I1164" s="3">
        <f ca="1">IFERROR(__xludf.UNSUPPORTED("""COMPUTED_VALUE"""),24)</f>
        <v>24</v>
      </c>
      <c r="J1164" s="4">
        <f ca="1">IFERROR(__xludf.UNSUPPORTED("""COMPUTED_VALUE"""),45007.9010879629)</f>
        <v>45007.901087962899</v>
      </c>
      <c r="K1164" s="3" t="str">
        <f ca="1">IFERROR(__xludf.UNSUPPORTED("""COMPUTED_VALUE"""),"comunicação pessoal")</f>
        <v>comunicação pessoal</v>
      </c>
      <c r="L1164" s="3" t="str">
        <f ca="1">IFERROR(__xludf.UNSUPPORTED("""COMPUTED_VALUE"""),"Crítico")</f>
        <v>Crítico</v>
      </c>
    </row>
    <row r="1165" spans="1:12" ht="12.75">
      <c r="A1165" s="3" t="str">
        <f ca="1">IFERROR(__xludf.UNSUPPORTED("""COMPUTED_VALUE"""),"4716369d")</f>
        <v>4716369d</v>
      </c>
      <c r="B1165" s="4">
        <f ca="1">IFERROR(__xludf.UNSUPPORTED("""COMPUTED_VALUE"""),45015.420011574)</f>
        <v>45015.420011574002</v>
      </c>
      <c r="C1165" s="7" t="str">
        <f ca="1">IFERROR(__xludf.UNSUPPORTED("""COMPUTED_VALUE"""),"Paranaguá")</f>
        <v>Paranaguá</v>
      </c>
      <c r="D1165" s="3" t="str">
        <f ca="1">IFERROR(__xludf.UNSUPPORTED("""COMPUTED_VALUE"""),"🚢 REGULAR")</f>
        <v>🚢 REGULAR</v>
      </c>
      <c r="E1165" s="3" t="str">
        <f ca="1">IFERROR(__xludf.UNSUPPORTED("""COMPUTED_VALUE"""),"⚠️ PARCIALMENTE BLOQUEADO")</f>
        <v>⚠️ PARCIALMENTE BLOQUEADO</v>
      </c>
      <c r="F1165" s="5">
        <f ca="1">IFERROR(__xludf.UNSUPPORTED("""COMPUTED_VALUE"""),0.25)</f>
        <v>0.25</v>
      </c>
      <c r="G1165"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1165" s="4">
        <f ca="1">IFERROR(__xludf.UNSUPPORTED("""COMPUTED_VALUE"""),45015.420011574)</f>
        <v>45015.420011574002</v>
      </c>
      <c r="I1165" s="3">
        <f ca="1">IFERROR(__xludf.UNSUPPORTED("""COMPUTED_VALUE"""),24)</f>
        <v>24</v>
      </c>
      <c r="J1165" s="4">
        <f ca="1">IFERROR(__xludf.UNSUPPORTED("""COMPUTED_VALUE"""),45016.420011574)</f>
        <v>45016.420011574002</v>
      </c>
      <c r="K1165" s="3" t="str">
        <f ca="1">IFERROR(__xludf.UNSUPPORTED("""COMPUTED_VALUE"""),"Comunicação pessoal; DER e PRF")</f>
        <v>Comunicação pessoal; DER e PRF</v>
      </c>
      <c r="L1165" s="3" t="str">
        <f ca="1">IFERROR(__xludf.UNSUPPORTED("""COMPUTED_VALUE"""),"Crítico")</f>
        <v>Crítico</v>
      </c>
    </row>
    <row r="1166" spans="1:12" ht="12.75">
      <c r="A1166" s="3" t="str">
        <f ca="1">IFERROR(__xludf.UNSUPPORTED("""COMPUTED_VALUE"""),"9339004a")</f>
        <v>9339004a</v>
      </c>
      <c r="B1166" s="4">
        <f ca="1">IFERROR(__xludf.UNSUPPORTED("""COMPUTED_VALUE"""),45016.754699074)</f>
        <v>45016.754699074001</v>
      </c>
      <c r="C1166" s="8" t="str">
        <f ca="1">IFERROR(__xludf.UNSUPPORTED("""COMPUTED_VALUE"""),"Paranaguá")</f>
        <v>Paranaguá</v>
      </c>
      <c r="D1166" s="3" t="str">
        <f ca="1">IFERROR(__xludf.UNSUPPORTED("""COMPUTED_VALUE"""),"🚢 REGULAR")</f>
        <v>🚢 REGULAR</v>
      </c>
      <c r="E1166" s="3" t="str">
        <f ca="1">IFERROR(__xludf.UNSUPPORTED("""COMPUTED_VALUE"""),"⚠️ PARCIALMENTE BLOQUEADO")</f>
        <v>⚠️ PARCIALMENTE BLOQUEADO</v>
      </c>
      <c r="F1166" s="5">
        <f ca="1">IFERROR(__xludf.UNSUPPORTED("""COMPUTED_VALUE"""),0.25)</f>
        <v>0.25</v>
      </c>
      <c r="G1166"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1166" s="4">
        <f ca="1">IFERROR(__xludf.UNSUPPORTED("""COMPUTED_VALUE"""),45016.754699074)</f>
        <v>45016.754699074001</v>
      </c>
      <c r="I1166" s="3">
        <f ca="1">IFERROR(__xludf.UNSUPPORTED("""COMPUTED_VALUE"""),6)</f>
        <v>6</v>
      </c>
      <c r="J1166" s="4">
        <f ca="1">IFERROR(__xludf.UNSUPPORTED("""COMPUTED_VALUE"""),45017.004699074)</f>
        <v>45017.004699074001</v>
      </c>
      <c r="K1166" s="3" t="str">
        <f ca="1">IFERROR(__xludf.UNSUPPORTED("""COMPUTED_VALUE"""),"Comunicação pessoal; twitter da PRF e DER")</f>
        <v>Comunicação pessoal; twitter da PRF e DER</v>
      </c>
      <c r="L1166" s="3" t="str">
        <f ca="1">IFERROR(__xludf.UNSUPPORTED("""COMPUTED_VALUE"""),"Crítico")</f>
        <v>Crítico</v>
      </c>
    </row>
    <row r="1167" spans="1:12" ht="12.75">
      <c r="A1167" s="3" t="str">
        <f ca="1">IFERROR(__xludf.UNSUPPORTED("""COMPUTED_VALUE"""),"22aaa5f3")</f>
        <v>22aaa5f3</v>
      </c>
      <c r="B1167" s="4">
        <f ca="1">IFERROR(__xludf.UNSUPPORTED("""COMPUTED_VALUE"""),45020.3854166666)</f>
        <v>45020.385416666599</v>
      </c>
      <c r="C1167" s="8" t="str">
        <f ca="1">IFERROR(__xludf.UNSUPPORTED("""COMPUTED_VALUE"""),"Paranaguá")</f>
        <v>Paranaguá</v>
      </c>
      <c r="D1167" s="3" t="str">
        <f ca="1">IFERROR(__xludf.UNSUPPORTED("""COMPUTED_VALUE"""),"🚢 REGULAR")</f>
        <v>🚢 REGULAR</v>
      </c>
      <c r="E1167" s="3" t="str">
        <f ca="1">IFERROR(__xludf.UNSUPPORTED("""COMPUTED_VALUE"""),"⚠️ PARCIALMENTE BLOQUEADO")</f>
        <v>⚠️ PARCIALMENTE BLOQUEADO</v>
      </c>
      <c r="F1167" s="5">
        <f ca="1">IFERROR(__xludf.UNSUPPORTED("""COMPUTED_VALUE"""),0.25)</f>
        <v>0.25</v>
      </c>
      <c r="G1167"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1167" s="4">
        <f ca="1">IFERROR(__xludf.UNSUPPORTED("""COMPUTED_VALUE"""),45020.3854166666)</f>
        <v>45020.385416666599</v>
      </c>
      <c r="I1167" s="3">
        <f ca="1">IFERROR(__xludf.UNSUPPORTED("""COMPUTED_VALUE"""),24)</f>
        <v>24</v>
      </c>
      <c r="J1167" s="4">
        <f ca="1">IFERROR(__xludf.UNSUPPORTED("""COMPUTED_VALUE"""),45021.3854166666)</f>
        <v>45021.385416666599</v>
      </c>
      <c r="K1167" s="3" t="str">
        <f ca="1">IFERROR(__xludf.UNSUPPORTED("""COMPUTED_VALUE"""),"Comunicação pessoal; site e redes sociais de DER e PRF")</f>
        <v>Comunicação pessoal; site e redes sociais de DER e PRF</v>
      </c>
      <c r="L1167" s="3" t="str">
        <f ca="1">IFERROR(__xludf.UNSUPPORTED("""COMPUTED_VALUE"""),"Crítico")</f>
        <v>Crítico</v>
      </c>
    </row>
    <row r="1168" spans="1:12" ht="12.75">
      <c r="A1168" s="3" t="str">
        <f ca="1">IFERROR(__xludf.UNSUPPORTED("""COMPUTED_VALUE"""),"5de82f97")</f>
        <v>5de82f97</v>
      </c>
      <c r="B1168" s="4">
        <f ca="1">IFERROR(__xludf.UNSUPPORTED("""COMPUTED_VALUE"""),45022.4078703703)</f>
        <v>45022.407870370298</v>
      </c>
      <c r="C1168" s="8" t="str">
        <f ca="1">IFERROR(__xludf.UNSUPPORTED("""COMPUTED_VALUE"""),"Paranaguá")</f>
        <v>Paranaguá</v>
      </c>
      <c r="D1168" s="3" t="str">
        <f ca="1">IFERROR(__xludf.UNSUPPORTED("""COMPUTED_VALUE"""),"🚢 REGULAR")</f>
        <v>🚢 REGULAR</v>
      </c>
      <c r="E1168" s="3" t="str">
        <f ca="1">IFERROR(__xludf.UNSUPPORTED("""COMPUTED_VALUE"""),"⚠️ PARCIALMENTE BLOQUEADO")</f>
        <v>⚠️ PARCIALMENTE BLOQUEADO</v>
      </c>
      <c r="F1168" s="5">
        <f ca="1">IFERROR(__xludf.UNSUPPORTED("""COMPUTED_VALUE"""),0.25)</f>
        <v>0.25</v>
      </c>
      <c r="G1168"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
FONTE DA INFORMAÇÃO:"&amp;" Comunicação pessoal; site e redes sociais de DER e PRF")</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
FONTE DA INFORMAÇÃO: Comunicação pessoal; site e redes sociais de DER e PRF</v>
      </c>
      <c r="H1168" s="4">
        <f ca="1">IFERROR(__xludf.UNSUPPORTED("""COMPUTED_VALUE"""),45022.4078703703)</f>
        <v>45022.407870370298</v>
      </c>
      <c r="I1168" s="3">
        <f ca="1">IFERROR(__xludf.UNSUPPORTED("""COMPUTED_VALUE"""),6)</f>
        <v>6</v>
      </c>
      <c r="J1168" s="4">
        <f ca="1">IFERROR(__xludf.UNSUPPORTED("""COMPUTED_VALUE"""),45022.6578703703)</f>
        <v>45022.657870370298</v>
      </c>
      <c r="K1168" s="3" t="str">
        <f ca="1">IFERROR(__xludf.UNSUPPORTED("""COMPUTED_VALUE"""),"URECB")</f>
        <v>URECB</v>
      </c>
      <c r="L1168" s="3" t="str">
        <f ca="1">IFERROR(__xludf.UNSUPPORTED("""COMPUTED_VALUE"""),"Crítico")</f>
        <v>Crítico</v>
      </c>
    </row>
    <row r="1169" spans="1:12" ht="12.75">
      <c r="A1169" s="3" t="str">
        <f ca="1">IFERROR(__xludf.UNSUPPORTED("""COMPUTED_VALUE"""),"d880115f")</f>
        <v>d880115f</v>
      </c>
      <c r="B1169" s="4">
        <f ca="1">IFERROR(__xludf.UNSUPPORTED("""COMPUTED_VALUE"""),45026.3645254629)</f>
        <v>45026.364525462901</v>
      </c>
      <c r="C1169" s="7" t="str">
        <f ca="1">IFERROR(__xludf.UNSUPPORTED("""COMPUTED_VALUE"""),"Paranaguá")</f>
        <v>Paranaguá</v>
      </c>
      <c r="D1169" s="3" t="str">
        <f ca="1">IFERROR(__xludf.UNSUPPORTED("""COMPUTED_VALUE"""),"🚢 REGULAR")</f>
        <v>🚢 REGULAR</v>
      </c>
      <c r="E1169" s="3" t="str">
        <f ca="1">IFERROR(__xludf.UNSUPPORTED("""COMPUTED_VALUE"""),"⚠️ PARCIALMENTE BLOQUEADO")</f>
        <v>⚠️ PARCIALMENTE BLOQUEADO</v>
      </c>
      <c r="F1169" s="5">
        <f ca="1">IFERROR(__xludf.UNSUPPORTED("""COMPUTED_VALUE"""),0.25)</f>
        <v>0.25</v>
      </c>
      <c r="G1169"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1169" s="4">
        <f ca="1">IFERROR(__xludf.UNSUPPORTED("""COMPUTED_VALUE"""),45026.3645254629)</f>
        <v>45026.364525462901</v>
      </c>
      <c r="I1169" s="3">
        <f ca="1">IFERROR(__xludf.UNSUPPORTED("""COMPUTED_VALUE"""),24)</f>
        <v>24</v>
      </c>
      <c r="J1169" s="4">
        <f ca="1">IFERROR(__xludf.UNSUPPORTED("""COMPUTED_VALUE"""),45027.3645254629)</f>
        <v>45027.364525462901</v>
      </c>
      <c r="K1169" s="3" t="str">
        <f ca="1">IFERROR(__xludf.UNSUPPORTED("""COMPUTED_VALUE"""),"Comunicação pessoal; site e redes sociais de DER e PRF")</f>
        <v>Comunicação pessoal; site e redes sociais de DER e PRF</v>
      </c>
      <c r="L1169" s="3" t="str">
        <f ca="1">IFERROR(__xludf.UNSUPPORTED("""COMPUTED_VALUE"""),"Crítico")</f>
        <v>Crítico</v>
      </c>
    </row>
    <row r="1170" spans="1:12" ht="12.75">
      <c r="A1170" s="3" t="str">
        <f ca="1">IFERROR(__xludf.UNSUPPORTED("""COMPUTED_VALUE"""),"f8f0de9f")</f>
        <v>f8f0de9f</v>
      </c>
      <c r="B1170" s="4">
        <f ca="1">IFERROR(__xludf.UNSUPPORTED("""COMPUTED_VALUE"""),45027.6576273148)</f>
        <v>45027.657627314802</v>
      </c>
      <c r="C1170" s="7" t="str">
        <f ca="1">IFERROR(__xludf.UNSUPPORTED("""COMPUTED_VALUE"""),"Paranaguá")</f>
        <v>Paranaguá</v>
      </c>
      <c r="D1170" s="3" t="str">
        <f ca="1">IFERROR(__xludf.UNSUPPORTED("""COMPUTED_VALUE"""),"🚢 REGULAR")</f>
        <v>🚢 REGULAR</v>
      </c>
      <c r="E1170" s="3" t="str">
        <f ca="1">IFERROR(__xludf.UNSUPPORTED("""COMPUTED_VALUE"""),"⚠️ PARCIALMENTE BLOQUEADO")</f>
        <v>⚠️ PARCIALMENTE BLOQUEADO</v>
      </c>
      <c r="F1170" s="5">
        <f ca="1">IFERROR(__xludf.UNSUPPORTED("""COMPUTED_VALUE"""),0.25)</f>
        <v>0.25</v>
      </c>
      <c r="G1170"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1170" s="4">
        <f ca="1">IFERROR(__xludf.UNSUPPORTED("""COMPUTED_VALUE"""),45027.6576273148)</f>
        <v>45027.657627314802</v>
      </c>
      <c r="I1170" s="3">
        <f ca="1">IFERROR(__xludf.UNSUPPORTED("""COMPUTED_VALUE"""),24)</f>
        <v>24</v>
      </c>
      <c r="J1170" s="4">
        <f ca="1">IFERROR(__xludf.UNSUPPORTED("""COMPUTED_VALUE"""),45028.6576273148)</f>
        <v>45028.657627314802</v>
      </c>
      <c r="K1170" s="3" t="str">
        <f ca="1">IFERROR(__xludf.UNSUPPORTED("""COMPUTED_VALUE"""),"Comunicação pessoal; site e redes sociais de DER e PRF")</f>
        <v>Comunicação pessoal; site e redes sociais de DER e PRF</v>
      </c>
      <c r="L1170" s="3" t="str">
        <f ca="1">IFERROR(__xludf.UNSUPPORTED("""COMPUTED_VALUE"""),"Crítico")</f>
        <v>Crítico</v>
      </c>
    </row>
    <row r="1171" spans="1:12" ht="12.75">
      <c r="A1171" s="3" t="str">
        <f ca="1">IFERROR(__xludf.UNSUPPORTED("""COMPUTED_VALUE"""),"0a77ec02")</f>
        <v>0a77ec02</v>
      </c>
      <c r="B1171" s="4">
        <f ca="1">IFERROR(__xludf.UNSUPPORTED("""COMPUTED_VALUE"""),45029.671099537)</f>
        <v>45029.671099537001</v>
      </c>
      <c r="C1171" s="8" t="str">
        <f ca="1">IFERROR(__xludf.UNSUPPORTED("""COMPUTED_VALUE"""),"Paranaguá")</f>
        <v>Paranaguá</v>
      </c>
      <c r="D1171" s="3" t="str">
        <f ca="1">IFERROR(__xludf.UNSUPPORTED("""COMPUTED_VALUE"""),"🚢 REGULAR")</f>
        <v>🚢 REGULAR</v>
      </c>
      <c r="E1171" s="3" t="str">
        <f ca="1">IFERROR(__xludf.UNSUPPORTED("""COMPUTED_VALUE"""),"⚠️ PARCIALMENTE BLOQUEADO")</f>
        <v>⚠️ PARCIALMENTE BLOQUEADO</v>
      </c>
      <c r="F1171" s="5">
        <f ca="1">IFERROR(__xludf.UNSUPPORTED("""COMPUTED_VALUE"""),0.25)</f>
        <v>0.25</v>
      </c>
      <c r="G1171" s="3" t="str">
        <f ca="1">IFERROR(__xludf.UNSUPPORTED("""COMPUTED_VALUE"""),"Rodovia BR277, que dá acesso ao Porto, operando em pista simples em trecho de serra (Km 42), por conta de obras de contenção de desmoronamentos. 
Não há interrupções, porém há lentidão e formação de filas em ambos os sentidos, gerando atrasos na viagem. 
"&amp;"Proibição de circulação de veículos de carga em dias e horários específicos (twitter.com/prf_pr.)
Informações atualizadas podem ser obtidas em twitter.com/prf_pr e  www.der.pr.gov.br (clicando em seguida em “Atualizações de Tráfego”).")</f>
        <v>Rodovia BR277, que dá acesso ao Porto, operando em pista simples em trecho de serra (Km 42), por conta de obras de contenção de desmoronamentos. 
Não há interrupções, porém há lentidão e formação de filas em ambos os sentidos, gerando atrasos na viagem. 
Proibição de circulação de veículos de carga em dias e horários específicos (twitter.com/prf_pr.)
Informações atualizadas podem ser obtidas em twitter.com/prf_pr e  www.der.pr.gov.br (clicando em seguida em “Atualizações de Tráfego”).</v>
      </c>
      <c r="H1171" s="4">
        <f ca="1">IFERROR(__xludf.UNSUPPORTED("""COMPUTED_VALUE"""),45029.671099537)</f>
        <v>45029.671099537001</v>
      </c>
      <c r="I1171" s="3">
        <f ca="1">IFERROR(__xludf.UNSUPPORTED("""COMPUTED_VALUE"""),24)</f>
        <v>24</v>
      </c>
      <c r="J1171" s="4">
        <f ca="1">IFERROR(__xludf.UNSUPPORTED("""COMPUTED_VALUE"""),45030.671099537)</f>
        <v>45030.671099537001</v>
      </c>
      <c r="K1171" s="3" t="str">
        <f ca="1">IFERROR(__xludf.UNSUPPORTED("""COMPUTED_VALUE"""),"FONTE DA INFORMAÇÃO: Comunicação pessoal; site e redes sociais de DER e PRF")</f>
        <v>FONTE DA INFORMAÇÃO: Comunicação pessoal; site e redes sociais de DER e PRF</v>
      </c>
      <c r="L1171" s="3" t="str">
        <f ca="1">IFERROR(__xludf.UNSUPPORTED("""COMPUTED_VALUE"""),"Crítico")</f>
        <v>Crítico</v>
      </c>
    </row>
    <row r="1172" spans="1:12" ht="12.75">
      <c r="A1172" s="3" t="str">
        <f ca="1">IFERROR(__xludf.UNSUPPORTED("""COMPUTED_VALUE"""),"8f02b203")</f>
        <v>8f02b203</v>
      </c>
      <c r="B1172" s="4">
        <f ca="1">IFERROR(__xludf.UNSUPPORTED("""COMPUTED_VALUE"""),45034.4406712962)</f>
        <v>45034.440671296201</v>
      </c>
      <c r="C1172" s="8" t="str">
        <f ca="1">IFERROR(__xludf.UNSUPPORTED("""COMPUTED_VALUE"""),"Paranaguá")</f>
        <v>Paranaguá</v>
      </c>
      <c r="D1172" s="3" t="str">
        <f ca="1">IFERROR(__xludf.UNSUPPORTED("""COMPUTED_VALUE"""),"🚢 REGULAR")</f>
        <v>🚢 REGULAR</v>
      </c>
      <c r="E1172" s="3" t="str">
        <f ca="1">IFERROR(__xludf.UNSUPPORTED("""COMPUTED_VALUE"""),"⛔️ BLOQUEADO")</f>
        <v>⛔️ BLOQUEADO</v>
      </c>
      <c r="F1172" s="5">
        <f ca="1">IFERROR(__xludf.UNSUPPORTED("""COMPUTED_VALUE"""),0.5)</f>
        <v>0.5</v>
      </c>
      <c r="G1172" s="3" t="str">
        <f ca="1">IFERROR(__xludf.UNSUPPORTED("""COMPUTED_VALUE"""),"Rodovia BR277, com ambos os sentidos bloqueados em virtude de tombamento de carreta de óleo vegetal no km 36.
Informações atualizadas podem ser obtidas em twitter.com/prf_pr e  www.der.pr.gov.br (clicando em seguida em “Atualizações de Tráfego”).")</f>
        <v>Rodovia BR277, com ambos os sentidos bloqueados em virtude de tombamento de carreta de óleo vegetal no km 36.
Informações atualizadas podem ser obtidas em twitter.com/prf_pr e  www.der.pr.gov.br (clicando em seguida em “Atualizações de Tráfego”).</v>
      </c>
      <c r="H1172" s="4">
        <f ca="1">IFERROR(__xludf.UNSUPPORTED("""COMPUTED_VALUE"""),45034.4448379629)</f>
        <v>45034.444837962903</v>
      </c>
      <c r="I1172" s="3">
        <f ca="1">IFERROR(__xludf.UNSUPPORTED("""COMPUTED_VALUE"""),12)</f>
        <v>12</v>
      </c>
      <c r="J1172" s="4">
        <f ca="1">IFERROR(__xludf.UNSUPPORTED("""COMPUTED_VALUE"""),45034.9448379629)</f>
        <v>45034.944837962903</v>
      </c>
      <c r="K1172" s="6" t="str">
        <f ca="1">IFERROR(__xludf.UNSUPPORTED("""COMPUTED_VALUE"""),"www.der.pr.gov.br")</f>
        <v>www.der.pr.gov.br</v>
      </c>
      <c r="L1172" s="3" t="str">
        <f ca="1">IFERROR(__xludf.UNSUPPORTED("""COMPUTED_VALUE"""),"Crítico")</f>
        <v>Crítico</v>
      </c>
    </row>
    <row r="1173" spans="1:12" ht="12.75">
      <c r="A1173" s="3" t="str">
        <f ca="1">IFERROR(__xludf.UNSUPPORTED("""COMPUTED_VALUE"""),"a66c928f")</f>
        <v>a66c928f</v>
      </c>
      <c r="B1173" s="4">
        <f ca="1">IFERROR(__xludf.UNSUPPORTED("""COMPUTED_VALUE"""),45121.6858912037)</f>
        <v>45121.685891203699</v>
      </c>
      <c r="C1173" s="8" t="str">
        <f ca="1">IFERROR(__xludf.UNSUPPORTED("""COMPUTED_VALUE"""),"Paranaguá")</f>
        <v>Paranaguá</v>
      </c>
      <c r="D1173" s="3" t="str">
        <f ca="1">IFERROR(__xludf.UNSUPPORTED("""COMPUTED_VALUE"""),"🚢 REGULAR")</f>
        <v>🚢 REGULAR</v>
      </c>
      <c r="E1173" s="3" t="str">
        <f ca="1">IFERROR(__xludf.UNSUPPORTED("""COMPUTED_VALUE"""),"🚛 LIBERADO")</f>
        <v>🚛 LIBERADO</v>
      </c>
      <c r="F1173" s="5">
        <f ca="1">IFERROR(__xludf.UNSUPPORTED("""COMPUTED_VALUE"""),0)</f>
        <v>0</v>
      </c>
      <c r="G1173" s="3" t="str">
        <f ca="1">IFERROR(__xludf.UNSUPPORTED("""COMPUTED_VALUE"""),"Normalidade")</f>
        <v>Normalidade</v>
      </c>
      <c r="H1173" s="4">
        <f ca="1">IFERROR(__xludf.UNSUPPORTED("""COMPUTED_VALUE"""),45121.6858912037)</f>
        <v>45121.685891203699</v>
      </c>
      <c r="I1173" s="3">
        <f ca="1">IFERROR(__xludf.UNSUPPORTED("""COMPUTED_VALUE"""),24)</f>
        <v>24</v>
      </c>
      <c r="J1173" s="4">
        <f ca="1">IFERROR(__xludf.UNSUPPORTED("""COMPUTED_VALUE"""),45122.6858912037)</f>
        <v>45122.685891203699</v>
      </c>
    </row>
    <row r="1174" spans="1:12" ht="12.75">
      <c r="A1174" s="3" t="str">
        <f ca="1">IFERROR(__xludf.UNSUPPORTED("""COMPUTED_VALUE"""),"d2e73249")</f>
        <v>d2e73249</v>
      </c>
      <c r="B1174" s="4">
        <f ca="1">IFERROR(__xludf.UNSUPPORTED("""COMPUTED_VALUE"""),45125.8405439814)</f>
        <v>45125.840543981401</v>
      </c>
      <c r="C1174" s="8" t="str">
        <f ca="1">IFERROR(__xludf.UNSUPPORTED("""COMPUTED_VALUE"""),"Paranaguá")</f>
        <v>Paranaguá</v>
      </c>
      <c r="D1174" s="3" t="str">
        <f ca="1">IFERROR(__xludf.UNSUPPORTED("""COMPUTED_VALUE"""),"🚢 REGULAR")</f>
        <v>🚢 REGULAR</v>
      </c>
      <c r="E1174" s="3" t="str">
        <f ca="1">IFERROR(__xludf.UNSUPPORTED("""COMPUTED_VALUE"""),"🚛 LIBERADO")</f>
        <v>🚛 LIBERADO</v>
      </c>
      <c r="F1174" s="5">
        <f ca="1">IFERROR(__xludf.UNSUPPORTED("""COMPUTED_VALUE"""),0)</f>
        <v>0</v>
      </c>
      <c r="G1174" s="3" t="str">
        <f ca="1">IFERROR(__xludf.UNSUPPORTED("""COMPUTED_VALUE"""),"Normalidade")</f>
        <v>Normalidade</v>
      </c>
      <c r="H1174" s="4">
        <f ca="1">IFERROR(__xludf.UNSUPPORTED("""COMPUTED_VALUE"""),45125.8405439814)</f>
        <v>45125.840543981401</v>
      </c>
      <c r="I1174" s="3">
        <f ca="1">IFERROR(__xludf.UNSUPPORTED("""COMPUTED_VALUE"""),24)</f>
        <v>24</v>
      </c>
      <c r="J1174" s="4">
        <f ca="1">IFERROR(__xludf.UNSUPPORTED("""COMPUTED_VALUE"""),45126.8405439814)</f>
        <v>45126.840543981401</v>
      </c>
    </row>
    <row r="1175" spans="1:12" ht="12.75">
      <c r="A1175" s="3" t="str">
        <f ca="1">IFERROR(__xludf.UNSUPPORTED("""COMPUTED_VALUE"""),"77e6b177")</f>
        <v>77e6b177</v>
      </c>
      <c r="B1175" s="4">
        <f ca="1">IFERROR(__xludf.UNSUPPORTED("""COMPUTED_VALUE"""),45400.3766550925)</f>
        <v>45400.376655092499</v>
      </c>
      <c r="C1175" s="8" t="str">
        <f ca="1">IFERROR(__xludf.UNSUPPORTED("""COMPUTED_VALUE"""),"Paranaguá")</f>
        <v>Paranaguá</v>
      </c>
      <c r="D1175" s="3" t="str">
        <f ca="1">IFERROR(__xludf.UNSUPPORTED("""COMPUTED_VALUE"""),"🚢 REGULAR")</f>
        <v>🚢 REGULAR</v>
      </c>
      <c r="E1175" s="3" t="str">
        <f ca="1">IFERROR(__xludf.UNSUPPORTED("""COMPUTED_VALUE"""),"🚛 LIBERADO")</f>
        <v>🚛 LIBERADO</v>
      </c>
      <c r="F1175" s="5">
        <f ca="1">IFERROR(__xludf.UNSUPPORTED("""COMPUTED_VALUE"""),0)</f>
        <v>0</v>
      </c>
      <c r="G1175" s="3" t="str">
        <f ca="1">IFERROR(__xludf.UNSUPPORTED("""COMPUTED_VALUE"""),"Normalidade")</f>
        <v>Normalidade</v>
      </c>
      <c r="H1175" s="4">
        <f ca="1">IFERROR(__xludf.UNSUPPORTED("""COMPUTED_VALUE"""),45400.3766550925)</f>
        <v>45400.376655092499</v>
      </c>
      <c r="I1175" s="3">
        <f ca="1">IFERROR(__xludf.UNSUPPORTED("""COMPUTED_VALUE"""),24)</f>
        <v>24</v>
      </c>
      <c r="J1175" s="4">
        <f ca="1">IFERROR(__xludf.UNSUPPORTED("""COMPUTED_VALUE"""),45401.3766550925)</f>
        <v>45401.376655092499</v>
      </c>
      <c r="L1175" s="3" t="str">
        <f ca="1">IFERROR(__xludf.UNSUPPORTED("""COMPUTED_VALUE"""),"Normalidade")</f>
        <v>Normalidade</v>
      </c>
    </row>
    <row r="1176" spans="1:12" ht="12.75">
      <c r="A1176" s="3" t="str">
        <f ca="1">IFERROR(__xludf.UNSUPPORTED("""COMPUTED_VALUE"""),"99bc31b9")</f>
        <v>99bc31b9</v>
      </c>
      <c r="B1176" s="4">
        <f ca="1">IFERROR(__xludf.UNSUPPORTED("""COMPUTED_VALUE"""),45587.4606597222)</f>
        <v>45587.460659722201</v>
      </c>
      <c r="C1176" s="7" t="str">
        <f ca="1">IFERROR(__xludf.UNSUPPORTED("""COMPUTED_VALUE"""),"Paranaguá")</f>
        <v>Paranaguá</v>
      </c>
      <c r="D1176" s="3" t="str">
        <f ca="1">IFERROR(__xludf.UNSUPPORTED("""COMPUTED_VALUE"""),"⚠️ COM ATRASOS")</f>
        <v>⚠️ COM ATRASOS</v>
      </c>
      <c r="E1176" s="3" t="str">
        <f ca="1">IFERROR(__xludf.UNSUPPORTED("""COMPUTED_VALUE"""),"🚛 LIBERADO")</f>
        <v>🚛 LIBERADO</v>
      </c>
      <c r="F1176" s="5">
        <f ca="1">IFERROR(__xludf.UNSUPPORTED("""COMPUTED_VALUE"""),0.75)</f>
        <v>0.75</v>
      </c>
      <c r="G1176" s="3" t="str">
        <f ca="1">IFERROR(__xludf.UNSUPPORTED("""COMPUTED_VALUE"""),"(Atualização - 15:50)
- ⚠️ navios atracados que dependem de operadores TPA's, permanecem paralisadas (sem operação).
- ✅ navios que independem de operadores, do corredor de exportação, estão operando normalmente.
- ✅ navios atracados no TCP, de contêinere"&amp;"s, estão operando ""com efetivo próprio do TCP, de modo reduzido"" (50% dos ternos - percentual fixado em comum acordo entre SINDESTIVA e TCP).
* De momento, a quantidade de manifestantes ficou reduzida após o almoço.
* Manifestação segue pacífica e orde"&amp;"ira, sem tumultos e/ou obstrução de acessos.
(Relato inicial - 10a.m.) Movimento iniciado por volta das 07h, com pequena movimentação, mas tendo ganhado maior volume de adeptos. 
Manifestação concentrada e até então limitada à frente do portão de pedestr"&amp;"es no prédio Dom Pedro II.
Administração portuária contando com o apoio das demais instituições: PF, PRF e PMPR.
Operacionalmente o impacto foi a paralisação nos berços que dependem da mão de obra dos TPAs. Nos berços ligados ao corredor de exportação, a "&amp;"operação flui normalmente, pois ali a operação não é tão dependente deles.
Houve um chamado no TCP sobre problemas na operação relacionados ao movimento! PF e Guarda Portuária pelo local, em negociação com direção sindical.")</f>
        <v>(Atualização - 15:50)
- ⚠️ navios atracados que dependem de operadores TPA's, permanecem paralisadas (sem operação).
- ✅ navios que independem de operadores, do corredor de exportação, estão operando normalmente.
- ✅ navios atracados no TCP, de contêineres, estão operando "com efetivo próprio do TCP, de modo reduzido" (50% dos ternos - percentual fixado em comum acordo entre SINDESTIVA e TCP).
* De momento, a quantidade de manifestantes ficou reduzida após o almoço.
* Manifestação segue pacífica e ordeira, sem tumultos e/ou obstrução de acessos.
(Relato inicial - 10a.m.) Movimento iniciado por volta das 07h, com pequena movimentação, mas tendo ganhado maior volume de adeptos. 
Manifestação concentrada e até então limitada à frente do portão de pedestres no prédio Dom Pedro II.
Administração portuária contando com o apoio das demais instituições: PF, PRF e PMPR.
Operacionalmente o impacto foi a paralisação nos berços que dependem da mão de obra dos TPAs. Nos berços ligados ao corredor de exportação, a operação flui normalmente, pois ali a operação não é tão dependente deles.
Houve um chamado no TCP sobre problemas na operação relacionados ao movimento! PF e Guarda Portuária pelo local, em negociação com direção sindical.</v>
      </c>
      <c r="H1176" s="4">
        <f ca="1">IFERROR(__xludf.UNSUPPORTED("""COMPUTED_VALUE"""),45587.2916666666)</f>
        <v>45587.291666666599</v>
      </c>
      <c r="I1176" s="3">
        <f ca="1">IFERROR(__xludf.UNSUPPORTED("""COMPUTED_VALUE"""),12)</f>
        <v>12</v>
      </c>
      <c r="J1176" s="4">
        <f ca="1">IFERROR(__xludf.UNSUPPORTED("""COMPUTED_VALUE"""),45587.7916666666)</f>
        <v>45587.791666666599</v>
      </c>
      <c r="K1176" s="3" t="str">
        <f ca="1">IFERROR(__xludf.UNSUPPORTED("""COMPUTED_VALUE"""),"Autoridade portuária e NEPOM da PF")</f>
        <v>Autoridade portuária e NEPOM da PF</v>
      </c>
      <c r="L1176" s="3" t="str">
        <f ca="1">IFERROR(__xludf.UNSUPPORTED("""COMPUTED_VALUE"""),"Crítico")</f>
        <v>Crítico</v>
      </c>
    </row>
    <row r="1177" spans="1:12" ht="12.75">
      <c r="A1177" s="3" t="str">
        <f ca="1">IFERROR(__xludf.UNSUPPORTED("""COMPUTED_VALUE"""),"35ca38d1")</f>
        <v>35ca38d1</v>
      </c>
      <c r="B1177" s="4">
        <f ca="1">IFERROR(__xludf.UNSUPPORTED("""COMPUTED_VALUE"""),45666.4985532407)</f>
        <v>45666.498553240701</v>
      </c>
      <c r="C1177" s="7" t="str">
        <f ca="1">IFERROR(__xludf.UNSUPPORTED("""COMPUTED_VALUE"""),"Paranaguá")</f>
        <v>Paranaguá</v>
      </c>
      <c r="D1177" s="3" t="str">
        <f ca="1">IFERROR(__xludf.UNSUPPORTED("""COMPUTED_VALUE"""),"⚠️ COM ATRASOS")</f>
        <v>⚠️ COM ATRASOS</v>
      </c>
      <c r="E1177" s="3" t="str">
        <f ca="1">IFERROR(__xludf.UNSUPPORTED("""COMPUTED_VALUE"""),"⚠️ PARCIALMENTE BLOQUEADO")</f>
        <v>⚠️ PARCIALMENTE BLOQUEADO</v>
      </c>
      <c r="F1177" s="5">
        <f ca="1">IFERROR(__xludf.UNSUPPORTED("""COMPUTED_VALUE"""),0.25)</f>
        <v>0.25</v>
      </c>
      <c r="G1177" s="3" t="str">
        <f ca="1">IFERROR(__xludf.UNSUPPORTED("""COMPUTED_VALUE"""),"TCP operando em regime de contingência, com retenções e formação de filas, devido às fortes chuvas que dificultam o acesso ao terminal.")</f>
        <v>TCP operando em regime de contingência, com retenções e formação de filas, devido às fortes chuvas que dificultam o acesso ao terminal.</v>
      </c>
      <c r="H1177" s="4">
        <f ca="1">IFERROR(__xludf.UNSUPPORTED("""COMPUTED_VALUE"""),45666.4985532407)</f>
        <v>45666.498553240701</v>
      </c>
      <c r="I1177" s="3">
        <f ca="1">IFERROR(__xludf.UNSUPPORTED("""COMPUTED_VALUE"""),6)</f>
        <v>6</v>
      </c>
      <c r="J1177" s="4">
        <f ca="1">IFERROR(__xludf.UNSUPPORTED("""COMPUTED_VALUE"""),45666.7485532407)</f>
        <v>45666.748553240701</v>
      </c>
      <c r="K1177" s="3" t="str">
        <f ca="1">IFERROR(__xludf.UNSUPPORTED("""COMPUTED_VALUE"""),"O próprio terminal")</f>
        <v>O próprio terminal</v>
      </c>
      <c r="L1177" s="3" t="str">
        <f ca="1">IFERROR(__xludf.UNSUPPORTED("""COMPUTED_VALUE"""),"Crítico")</f>
        <v>Crítico</v>
      </c>
    </row>
    <row r="1178" spans="1:12" ht="12.75">
      <c r="A1178" s="3" t="str">
        <f ca="1">IFERROR(__xludf.UNSUPPORTED("""COMPUTED_VALUE"""),"99eeeff8")</f>
        <v>99eeeff8</v>
      </c>
      <c r="B1178" s="4">
        <f ca="1">IFERROR(__xludf.UNSUPPORTED("""COMPUTED_VALUE"""),44866.5094444444)</f>
        <v>44866.509444444397</v>
      </c>
      <c r="C1178" s="8" t="str">
        <f ca="1">IFERROR(__xludf.UNSUPPORTED("""COMPUTED_VALUE"""),"Pelotas")</f>
        <v>Pelotas</v>
      </c>
      <c r="D1178" s="3" t="str">
        <f ca="1">IFERROR(__xludf.UNSUPPORTED("""COMPUTED_VALUE"""),"🚢 REGULAR")</f>
        <v>🚢 REGULAR</v>
      </c>
      <c r="E1178" s="3" t="str">
        <f ca="1">IFERROR(__xludf.UNSUPPORTED("""COMPUTED_VALUE"""),"⚠️ PARCIALMENTE BLOQUEADO")</f>
        <v>⚠️ PARCIALMENTE BLOQUEADO</v>
      </c>
      <c r="F1178" s="5">
        <f ca="1">IFERROR(__xludf.UNSUPPORTED("""COMPUTED_VALUE"""),0.25)</f>
        <v>0.25</v>
      </c>
      <c r="G1178" s="3" t="str">
        <f ca="1">IFERROR(__xludf.UNSUPPORTED("""COMPUTED_VALUE"""),"Não há bloqueio em vias localizadas no município de Pelotas, o que possibilita o fluxo normal de veículos nas atividades portuárias. Contudo, bloqueios em rodovias de ligação ao porto podem impactar o fluxo de cargas nos próximos dias.")</f>
        <v>Não há bloqueio em vias localizadas no município de Pelotas, o que possibilita o fluxo normal de veículos nas atividades portuárias. Contudo, bloqueios em rodovias de ligação ao porto podem impactar o fluxo de cargas nos próximos dias.</v>
      </c>
      <c r="H1178" s="4">
        <f ca="1">IFERROR(__xludf.UNSUPPORTED("""COMPUTED_VALUE"""),44865.5)</f>
        <v>44865.5</v>
      </c>
      <c r="I1178" s="3">
        <f ca="1">IFERROR(__xludf.UNSUPPORTED("""COMPUTED_VALUE"""),32)</f>
        <v>32</v>
      </c>
      <c r="J1178" s="4">
        <f ca="1">IFERROR(__xludf.UNSUPPORTED("""COMPUTED_VALUE"""),44866.8333333333)</f>
        <v>44866.833333333299</v>
      </c>
    </row>
    <row r="1179" spans="1:12" ht="12.75">
      <c r="A1179" s="3" t="str">
        <f ca="1">IFERROR(__xludf.UNSUPPORTED("""COMPUTED_VALUE"""),"4d01a197")</f>
        <v>4d01a197</v>
      </c>
      <c r="B1179" s="4">
        <f ca="1">IFERROR(__xludf.UNSUPPORTED("""COMPUTED_VALUE"""),44868.4091550925)</f>
        <v>44868.4091550925</v>
      </c>
      <c r="C1179" s="7" t="str">
        <f ca="1">IFERROR(__xludf.UNSUPPORTED("""COMPUTED_VALUE"""),"Pelotas")</f>
        <v>Pelotas</v>
      </c>
      <c r="D1179" s="3" t="str">
        <f ca="1">IFERROR(__xludf.UNSUPPORTED("""COMPUTED_VALUE"""),"🚢 REGULAR")</f>
        <v>🚢 REGULAR</v>
      </c>
      <c r="E1179" s="3" t="str">
        <f ca="1">IFERROR(__xludf.UNSUPPORTED("""COMPUTED_VALUE"""),"🚛 LIBERADO")</f>
        <v>🚛 LIBERADO</v>
      </c>
      <c r="F1179" s="5">
        <f ca="1">IFERROR(__xludf.UNSUPPORTED("""COMPUTED_VALUE"""),0)</f>
        <v>0</v>
      </c>
      <c r="G1179" s="3" t="str">
        <f ca="1">IFERROR(__xludf.UNSUPPORTED("""COMPUTED_VALUE"""),"Não há bloqueio em vias localizadas no município de Pelotas, o que possibilita o fluxo normal de veículos nas atividades portuárias.")</f>
        <v>Não há bloqueio em vias localizadas no município de Pelotas, o que possibilita o fluxo normal de veículos nas atividades portuárias.</v>
      </c>
      <c r="H1179" s="4">
        <f ca="1">IFERROR(__xludf.UNSUPPORTED("""COMPUTED_VALUE"""),44868.4091550925)</f>
        <v>44868.4091550925</v>
      </c>
      <c r="I1179" s="3">
        <f ca="1">IFERROR(__xludf.UNSUPPORTED("""COMPUTED_VALUE"""),24)</f>
        <v>24</v>
      </c>
      <c r="J1179" s="4">
        <f ca="1">IFERROR(__xludf.UNSUPPORTED("""COMPUTED_VALUE"""),44869.4091550925)</f>
        <v>44869.4091550925</v>
      </c>
    </row>
    <row r="1180" spans="1:12" ht="12.75">
      <c r="A1180" s="3" t="str">
        <f ca="1">IFERROR(__xludf.UNSUPPORTED("""COMPUTED_VALUE"""),"8f824201")</f>
        <v>8f824201</v>
      </c>
      <c r="B1180" s="4">
        <f ca="1">IFERROR(__xludf.UNSUPPORTED("""COMPUTED_VALUE"""),44869.4073148148)</f>
        <v>44869.407314814802</v>
      </c>
      <c r="C1180" s="8" t="str">
        <f ca="1">IFERROR(__xludf.UNSUPPORTED("""COMPUTED_VALUE"""),"Pelotas")</f>
        <v>Pelotas</v>
      </c>
      <c r="D1180" s="3" t="str">
        <f ca="1">IFERROR(__xludf.UNSUPPORTED("""COMPUTED_VALUE"""),"🚢 REGULAR")</f>
        <v>🚢 REGULAR</v>
      </c>
      <c r="E1180" s="3" t="str">
        <f ca="1">IFERROR(__xludf.UNSUPPORTED("""COMPUTED_VALUE"""),"🚛 LIBERADO")</f>
        <v>🚛 LIBERADO</v>
      </c>
      <c r="F1180" s="5">
        <f ca="1">IFERROR(__xludf.UNSUPPORTED("""COMPUTED_VALUE"""),0)</f>
        <v>0</v>
      </c>
      <c r="G1180" s="3" t="str">
        <f ca="1">IFERROR(__xludf.UNSUPPORTED("""COMPUTED_VALUE"""),"Não há bloqueio em vias localizadas no município, o que possibilita o fluxo normal de veículos nas atividades portuárias.")</f>
        <v>Não há bloqueio em vias localizadas no município, o que possibilita o fluxo normal de veículos nas atividades portuárias.</v>
      </c>
      <c r="H1180" s="4">
        <f ca="1">IFERROR(__xludf.UNSUPPORTED("""COMPUTED_VALUE"""),44869.4073148148)</f>
        <v>44869.407314814802</v>
      </c>
      <c r="I1180" s="3">
        <f ca="1">IFERROR(__xludf.UNSUPPORTED("""COMPUTED_VALUE"""),24)</f>
        <v>24</v>
      </c>
      <c r="J1180" s="4">
        <f ca="1">IFERROR(__xludf.UNSUPPORTED("""COMPUTED_VALUE"""),44870.4073148148)</f>
        <v>44870.407314814802</v>
      </c>
    </row>
    <row r="1181" spans="1:12" ht="12.75">
      <c r="A1181" s="3" t="str">
        <f ca="1">IFERROR(__xludf.UNSUPPORTED("""COMPUTED_VALUE"""),"beb16dc7")</f>
        <v>beb16dc7</v>
      </c>
      <c r="B1181" s="4">
        <f ca="1">IFERROR(__xludf.UNSUPPORTED("""COMPUTED_VALUE"""),44870.4200578703)</f>
        <v>44870.420057870302</v>
      </c>
      <c r="C1181" s="7" t="str">
        <f ca="1">IFERROR(__xludf.UNSUPPORTED("""COMPUTED_VALUE"""),"Pelotas")</f>
        <v>Pelotas</v>
      </c>
      <c r="D1181" s="3" t="str">
        <f ca="1">IFERROR(__xludf.UNSUPPORTED("""COMPUTED_VALUE"""),"🚢 REGULAR")</f>
        <v>🚢 REGULAR</v>
      </c>
      <c r="E1181" s="3" t="str">
        <f ca="1">IFERROR(__xludf.UNSUPPORTED("""COMPUTED_VALUE"""),"🚛 LIBERADO")</f>
        <v>🚛 LIBERADO</v>
      </c>
      <c r="F1181" s="5">
        <f ca="1">IFERROR(__xludf.UNSUPPORTED("""COMPUTED_VALUE"""),0)</f>
        <v>0</v>
      </c>
      <c r="G1181" s="3" t="str">
        <f ca="1">IFERROR(__xludf.UNSUPPORTED("""COMPUTED_VALUE"""),"Não há bloqueio em vias localizadas no município, o que possibilita o fluxo normal de veículos nas atividades portuárias.")</f>
        <v>Não há bloqueio em vias localizadas no município, o que possibilita o fluxo normal de veículos nas atividades portuárias.</v>
      </c>
      <c r="H1181" s="4">
        <f ca="1">IFERROR(__xludf.UNSUPPORTED("""COMPUTED_VALUE"""),44870.4200578703)</f>
        <v>44870.420057870302</v>
      </c>
      <c r="I1181" s="3">
        <f ca="1">IFERROR(__xludf.UNSUPPORTED("""COMPUTED_VALUE"""),24)</f>
        <v>24</v>
      </c>
      <c r="J1181" s="4">
        <f ca="1">IFERROR(__xludf.UNSUPPORTED("""COMPUTED_VALUE"""),44871.4200578703)</f>
        <v>44871.420057870302</v>
      </c>
    </row>
    <row r="1182" spans="1:12" ht="12.75">
      <c r="A1182" s="3" t="str">
        <f ca="1">IFERROR(__xludf.UNSUPPORTED("""COMPUTED_VALUE"""),"7b126a7f")</f>
        <v>7b126a7f</v>
      </c>
      <c r="B1182" s="4">
        <f ca="1">IFERROR(__xludf.UNSUPPORTED("""COMPUTED_VALUE"""),44871.7145486111)</f>
        <v>44871.714548611097</v>
      </c>
      <c r="C1182" s="7" t="str">
        <f ca="1">IFERROR(__xludf.UNSUPPORTED("""COMPUTED_VALUE"""),"Pelotas")</f>
        <v>Pelotas</v>
      </c>
      <c r="D1182" s="3" t="str">
        <f ca="1">IFERROR(__xludf.UNSUPPORTED("""COMPUTED_VALUE"""),"🚢 REGULAR")</f>
        <v>🚢 REGULAR</v>
      </c>
      <c r="E1182" s="3" t="str">
        <f ca="1">IFERROR(__xludf.UNSUPPORTED("""COMPUTED_VALUE"""),"🚛 LIBERADO")</f>
        <v>🚛 LIBERADO</v>
      </c>
      <c r="F1182" s="5">
        <f ca="1">IFERROR(__xludf.UNSUPPORTED("""COMPUTED_VALUE"""),0)</f>
        <v>0</v>
      </c>
      <c r="G1182" s="3" t="str">
        <f ca="1">IFERROR(__xludf.UNSUPPORTED("""COMPUTED_VALUE"""),"Situação de normalidade")</f>
        <v>Situação de normalidade</v>
      </c>
      <c r="H1182" s="4">
        <f ca="1">IFERROR(__xludf.UNSUPPORTED("""COMPUTED_VALUE"""),44871.7145486111)</f>
        <v>44871.714548611097</v>
      </c>
      <c r="I1182" s="3">
        <f ca="1">IFERROR(__xludf.UNSUPPORTED("""COMPUTED_VALUE"""),24)</f>
        <v>24</v>
      </c>
      <c r="J1182" s="4">
        <f ca="1">IFERROR(__xludf.UNSUPPORTED("""COMPUTED_VALUE"""),44872.7145486111)</f>
        <v>44872.714548611097</v>
      </c>
    </row>
    <row r="1183" spans="1:12" ht="12.75">
      <c r="A1183" s="3" t="str">
        <f ca="1">IFERROR(__xludf.UNSUPPORTED("""COMPUTED_VALUE"""),"4950846d")</f>
        <v>4950846d</v>
      </c>
      <c r="B1183" s="4">
        <f ca="1">IFERROR(__xludf.UNSUPPORTED("""COMPUTED_VALUE"""),44872.432349537)</f>
        <v>44872.432349536997</v>
      </c>
      <c r="C1183" s="7" t="str">
        <f ca="1">IFERROR(__xludf.UNSUPPORTED("""COMPUTED_VALUE"""),"Pelotas")</f>
        <v>Pelotas</v>
      </c>
      <c r="D1183" s="3" t="str">
        <f ca="1">IFERROR(__xludf.UNSUPPORTED("""COMPUTED_VALUE"""),"🚢 REGULAR")</f>
        <v>🚢 REGULAR</v>
      </c>
      <c r="E1183" s="3" t="str">
        <f ca="1">IFERROR(__xludf.UNSUPPORTED("""COMPUTED_VALUE"""),"🚛 LIBERADO")</f>
        <v>🚛 LIBERADO</v>
      </c>
      <c r="F1183" s="5">
        <f ca="1">IFERROR(__xludf.UNSUPPORTED("""COMPUTED_VALUE"""),0)</f>
        <v>0</v>
      </c>
      <c r="G1183" s="3" t="str">
        <f ca="1">IFERROR(__xludf.UNSUPPORTED("""COMPUTED_VALUE"""),"Situação de normalidade")</f>
        <v>Situação de normalidade</v>
      </c>
      <c r="H1183" s="4">
        <f ca="1">IFERROR(__xludf.UNSUPPORTED("""COMPUTED_VALUE"""),44872.432349537)</f>
        <v>44872.432349536997</v>
      </c>
      <c r="I1183" s="3">
        <f ca="1">IFERROR(__xludf.UNSUPPORTED("""COMPUTED_VALUE"""),24)</f>
        <v>24</v>
      </c>
      <c r="J1183" s="4">
        <f ca="1">IFERROR(__xludf.UNSUPPORTED("""COMPUTED_VALUE"""),44873.432349537)</f>
        <v>44873.432349536997</v>
      </c>
    </row>
    <row r="1184" spans="1:12" ht="12.75">
      <c r="A1184" s="3" t="str">
        <f ca="1">IFERROR(__xludf.UNSUPPORTED("""COMPUTED_VALUE"""),"9d6d43b0")</f>
        <v>9d6d43b0</v>
      </c>
      <c r="B1184" s="4">
        <f ca="1">IFERROR(__xludf.UNSUPPORTED("""COMPUTED_VALUE"""),44883.7478703703)</f>
        <v>44883.747870370302</v>
      </c>
      <c r="C1184" s="8" t="str">
        <f ca="1">IFERROR(__xludf.UNSUPPORTED("""COMPUTED_VALUE"""),"Pelotas")</f>
        <v>Pelotas</v>
      </c>
      <c r="D1184" s="3" t="str">
        <f ca="1">IFERROR(__xludf.UNSUPPORTED("""COMPUTED_VALUE"""),"🚢 REGULAR")</f>
        <v>🚢 REGULAR</v>
      </c>
      <c r="E1184" s="3" t="str">
        <f ca="1">IFERROR(__xludf.UNSUPPORTED("""COMPUTED_VALUE"""),"🚛 LIBERADO")</f>
        <v>🚛 LIBERADO</v>
      </c>
      <c r="F1184" s="5">
        <f ca="1">IFERROR(__xludf.UNSUPPORTED("""COMPUTED_VALUE"""),0)</f>
        <v>0</v>
      </c>
      <c r="G1184" s="3" t="str">
        <f ca="1">IFERROR(__xludf.UNSUPPORTED("""COMPUTED_VALUE"""),"Normalidade.")</f>
        <v>Normalidade.</v>
      </c>
      <c r="H1184" s="4">
        <f ca="1">IFERROR(__xludf.UNSUPPORTED("""COMPUTED_VALUE"""),44883.7478703703)</f>
        <v>44883.747870370302</v>
      </c>
      <c r="I1184" s="3">
        <f ca="1">IFERROR(__xludf.UNSUPPORTED("""COMPUTED_VALUE"""),24)</f>
        <v>24</v>
      </c>
      <c r="J1184" s="4">
        <f ca="1">IFERROR(__xludf.UNSUPPORTED("""COMPUTED_VALUE"""),44884.7478703703)</f>
        <v>44884.747870370302</v>
      </c>
    </row>
    <row r="1185" spans="1:10" ht="12.75">
      <c r="A1185" s="3" t="str">
        <f ca="1">IFERROR(__xludf.UNSUPPORTED("""COMPUTED_VALUE"""),"2d0c6cc0")</f>
        <v>2d0c6cc0</v>
      </c>
      <c r="B1185" s="4">
        <f ca="1">IFERROR(__xludf.UNSUPPORTED("""COMPUTED_VALUE"""),44886.383136574)</f>
        <v>44886.383136573997</v>
      </c>
      <c r="C1185" s="8" t="str">
        <f ca="1">IFERROR(__xludf.UNSUPPORTED("""COMPUTED_VALUE"""),"Pelotas")</f>
        <v>Pelotas</v>
      </c>
      <c r="D1185" s="3" t="str">
        <f ca="1">IFERROR(__xludf.UNSUPPORTED("""COMPUTED_VALUE"""),"🚢 REGULAR")</f>
        <v>🚢 REGULAR</v>
      </c>
      <c r="E1185" s="3" t="str">
        <f ca="1">IFERROR(__xludf.UNSUPPORTED("""COMPUTED_VALUE"""),"🚛 LIBERADO")</f>
        <v>🚛 LIBERADO</v>
      </c>
      <c r="F1185" s="5">
        <f ca="1">IFERROR(__xludf.UNSUPPORTED("""COMPUTED_VALUE"""),0)</f>
        <v>0</v>
      </c>
      <c r="G1185" s="3" t="str">
        <f ca="1">IFERROR(__xludf.UNSUPPORTED("""COMPUTED_VALUE"""),"Normalidade")</f>
        <v>Normalidade</v>
      </c>
      <c r="H1185" s="4">
        <f ca="1">IFERROR(__xludf.UNSUPPORTED("""COMPUTED_VALUE"""),44886.383136574)</f>
        <v>44886.383136573997</v>
      </c>
      <c r="I1185" s="3">
        <f ca="1">IFERROR(__xludf.UNSUPPORTED("""COMPUTED_VALUE"""),24)</f>
        <v>24</v>
      </c>
      <c r="J1185" s="4">
        <f ca="1">IFERROR(__xludf.UNSUPPORTED("""COMPUTED_VALUE"""),44887.383136574)</f>
        <v>44887.383136573997</v>
      </c>
    </row>
    <row r="1186" spans="1:10" ht="12.75">
      <c r="A1186" s="3" t="str">
        <f ca="1">IFERROR(__xludf.UNSUPPORTED("""COMPUTED_VALUE"""),"cbb39708")</f>
        <v>cbb39708</v>
      </c>
      <c r="B1186" s="4">
        <f ca="1">IFERROR(__xludf.UNSUPPORTED("""COMPUTED_VALUE"""),44887.3963194444)</f>
        <v>44887.3963194444</v>
      </c>
      <c r="C1186" s="7" t="str">
        <f ca="1">IFERROR(__xludf.UNSUPPORTED("""COMPUTED_VALUE"""),"Pelotas")</f>
        <v>Pelotas</v>
      </c>
      <c r="D1186" s="3" t="str">
        <f ca="1">IFERROR(__xludf.UNSUPPORTED("""COMPUTED_VALUE"""),"🚢 REGULAR")</f>
        <v>🚢 REGULAR</v>
      </c>
      <c r="E1186" s="3" t="str">
        <f ca="1">IFERROR(__xludf.UNSUPPORTED("""COMPUTED_VALUE"""),"🚛 LIBERADO")</f>
        <v>🚛 LIBERADO</v>
      </c>
      <c r="F1186" s="5">
        <f ca="1">IFERROR(__xludf.UNSUPPORTED("""COMPUTED_VALUE"""),0)</f>
        <v>0</v>
      </c>
      <c r="G1186" s="3" t="str">
        <f ca="1">IFERROR(__xludf.UNSUPPORTED("""COMPUTED_VALUE"""),"Normalidade")</f>
        <v>Normalidade</v>
      </c>
      <c r="H1186" s="4">
        <f ca="1">IFERROR(__xludf.UNSUPPORTED("""COMPUTED_VALUE"""),44887.3963194444)</f>
        <v>44887.3963194444</v>
      </c>
      <c r="I1186" s="3">
        <f ca="1">IFERROR(__xludf.UNSUPPORTED("""COMPUTED_VALUE"""),24)</f>
        <v>24</v>
      </c>
      <c r="J1186" s="4">
        <f ca="1">IFERROR(__xludf.UNSUPPORTED("""COMPUTED_VALUE"""),44888.3963194444)</f>
        <v>44888.3963194444</v>
      </c>
    </row>
    <row r="1187" spans="1:10" ht="12.75">
      <c r="A1187" s="3" t="str">
        <f ca="1">IFERROR(__xludf.UNSUPPORTED("""COMPUTED_VALUE"""),"af42ca1f")</f>
        <v>af42ca1f</v>
      </c>
      <c r="B1187" s="4">
        <f ca="1">IFERROR(__xludf.UNSUPPORTED("""COMPUTED_VALUE"""),44888.3548726851)</f>
        <v>44888.3548726851</v>
      </c>
      <c r="C1187" s="7" t="str">
        <f ca="1">IFERROR(__xludf.UNSUPPORTED("""COMPUTED_VALUE"""),"Pelotas")</f>
        <v>Pelotas</v>
      </c>
      <c r="D1187" s="3" t="str">
        <f ca="1">IFERROR(__xludf.UNSUPPORTED("""COMPUTED_VALUE"""),"🚢 REGULAR")</f>
        <v>🚢 REGULAR</v>
      </c>
      <c r="E1187" s="3" t="str">
        <f ca="1">IFERROR(__xludf.UNSUPPORTED("""COMPUTED_VALUE"""),"🚛 LIBERADO")</f>
        <v>🚛 LIBERADO</v>
      </c>
      <c r="F1187" s="5">
        <f ca="1">IFERROR(__xludf.UNSUPPORTED("""COMPUTED_VALUE"""),0)</f>
        <v>0</v>
      </c>
      <c r="G1187" s="3" t="str">
        <f ca="1">IFERROR(__xludf.UNSUPPORTED("""COMPUTED_VALUE"""),"Normalidade")</f>
        <v>Normalidade</v>
      </c>
      <c r="H1187" s="4">
        <f ca="1">IFERROR(__xludf.UNSUPPORTED("""COMPUTED_VALUE"""),44888.3548726851)</f>
        <v>44888.3548726851</v>
      </c>
      <c r="I1187" s="3">
        <f ca="1">IFERROR(__xludf.UNSUPPORTED("""COMPUTED_VALUE"""),24)</f>
        <v>24</v>
      </c>
      <c r="J1187" s="4">
        <f ca="1">IFERROR(__xludf.UNSUPPORTED("""COMPUTED_VALUE"""),44889.3548726851)</f>
        <v>44889.3548726851</v>
      </c>
    </row>
    <row r="1188" spans="1:10" ht="12.75">
      <c r="A1188" s="3" t="str">
        <f ca="1">IFERROR(__xludf.UNSUPPORTED("""COMPUTED_VALUE"""),"3e7714c1")</f>
        <v>3e7714c1</v>
      </c>
      <c r="B1188" s="4">
        <f ca="1">IFERROR(__xludf.UNSUPPORTED("""COMPUTED_VALUE"""),44889.3684375)</f>
        <v>44889.368437500001</v>
      </c>
      <c r="C1188" s="8" t="str">
        <f ca="1">IFERROR(__xludf.UNSUPPORTED("""COMPUTED_VALUE"""),"Pelotas")</f>
        <v>Pelotas</v>
      </c>
      <c r="D1188" s="3" t="str">
        <f ca="1">IFERROR(__xludf.UNSUPPORTED("""COMPUTED_VALUE"""),"🚢 REGULAR")</f>
        <v>🚢 REGULAR</v>
      </c>
      <c r="E1188" s="3" t="str">
        <f ca="1">IFERROR(__xludf.UNSUPPORTED("""COMPUTED_VALUE"""),"🚛 LIBERADO")</f>
        <v>🚛 LIBERADO</v>
      </c>
      <c r="F1188" s="5">
        <f ca="1">IFERROR(__xludf.UNSUPPORTED("""COMPUTED_VALUE"""),0)</f>
        <v>0</v>
      </c>
      <c r="G1188" s="3" t="str">
        <f ca="1">IFERROR(__xludf.UNSUPPORTED("""COMPUTED_VALUE"""),"Normal")</f>
        <v>Normal</v>
      </c>
      <c r="H1188" s="4">
        <f ca="1">IFERROR(__xludf.UNSUPPORTED("""COMPUTED_VALUE"""),44889.3684375)</f>
        <v>44889.368437500001</v>
      </c>
      <c r="I1188" s="3">
        <f ca="1">IFERROR(__xludf.UNSUPPORTED("""COMPUTED_VALUE"""),24)</f>
        <v>24</v>
      </c>
      <c r="J1188" s="4">
        <f ca="1">IFERROR(__xludf.UNSUPPORTED("""COMPUTED_VALUE"""),44890.3684375)</f>
        <v>44890.368437500001</v>
      </c>
    </row>
    <row r="1189" spans="1:10" ht="12.75">
      <c r="A1189" s="3" t="str">
        <f ca="1">IFERROR(__xludf.UNSUPPORTED("""COMPUTED_VALUE"""),"f8fb342b")</f>
        <v>f8fb342b</v>
      </c>
      <c r="B1189" s="4">
        <f ca="1">IFERROR(__xludf.UNSUPPORTED("""COMPUTED_VALUE"""),44890.6323958333)</f>
        <v>44890.632395833301</v>
      </c>
      <c r="C1189" s="7" t="str">
        <f ca="1">IFERROR(__xludf.UNSUPPORTED("""COMPUTED_VALUE"""),"Pelotas")</f>
        <v>Pelotas</v>
      </c>
      <c r="D1189" s="3" t="str">
        <f ca="1">IFERROR(__xludf.UNSUPPORTED("""COMPUTED_VALUE"""),"🚢 REGULAR")</f>
        <v>🚢 REGULAR</v>
      </c>
      <c r="E1189" s="3" t="str">
        <f ca="1">IFERROR(__xludf.UNSUPPORTED("""COMPUTED_VALUE"""),"🚛 LIBERADO")</f>
        <v>🚛 LIBERADO</v>
      </c>
      <c r="F1189" s="5">
        <f ca="1">IFERROR(__xludf.UNSUPPORTED("""COMPUTED_VALUE"""),0)</f>
        <v>0</v>
      </c>
      <c r="G1189" s="3" t="str">
        <f ca="1">IFERROR(__xludf.UNSUPPORTED("""COMPUTED_VALUE"""),"Normal")</f>
        <v>Normal</v>
      </c>
      <c r="H1189" s="4">
        <f ca="1">IFERROR(__xludf.UNSUPPORTED("""COMPUTED_VALUE"""),44890.6323958333)</f>
        <v>44890.632395833301</v>
      </c>
      <c r="I1189" s="3">
        <f ca="1">IFERROR(__xludf.UNSUPPORTED("""COMPUTED_VALUE"""),24)</f>
        <v>24</v>
      </c>
      <c r="J1189" s="4">
        <f ca="1">IFERROR(__xludf.UNSUPPORTED("""COMPUTED_VALUE"""),44891.6323958333)</f>
        <v>44891.632395833301</v>
      </c>
    </row>
    <row r="1190" spans="1:10" ht="12.75">
      <c r="A1190" s="3" t="str">
        <f ca="1">IFERROR(__xludf.UNSUPPORTED("""COMPUTED_VALUE"""),"ce7eccfa")</f>
        <v>ce7eccfa</v>
      </c>
      <c r="B1190" s="4">
        <f ca="1">IFERROR(__xludf.UNSUPPORTED("""COMPUTED_VALUE"""),44893.4005671296)</f>
        <v>44893.400567129604</v>
      </c>
      <c r="C1190" s="7" t="str">
        <f ca="1">IFERROR(__xludf.UNSUPPORTED("""COMPUTED_VALUE"""),"Pelotas")</f>
        <v>Pelotas</v>
      </c>
      <c r="D1190" s="3" t="str">
        <f ca="1">IFERROR(__xludf.UNSUPPORTED("""COMPUTED_VALUE"""),"🚢 REGULAR")</f>
        <v>🚢 REGULAR</v>
      </c>
      <c r="E1190" s="3" t="str">
        <f ca="1">IFERROR(__xludf.UNSUPPORTED("""COMPUTED_VALUE"""),"🚛 LIBERADO")</f>
        <v>🚛 LIBERADO</v>
      </c>
      <c r="F1190" s="5">
        <f ca="1">IFERROR(__xludf.UNSUPPORTED("""COMPUTED_VALUE"""),0)</f>
        <v>0</v>
      </c>
      <c r="G1190" s="3" t="str">
        <f ca="1">IFERROR(__xludf.UNSUPPORTED("""COMPUTED_VALUE"""),"Normal")</f>
        <v>Normal</v>
      </c>
      <c r="H1190" s="4">
        <f ca="1">IFERROR(__xludf.UNSUPPORTED("""COMPUTED_VALUE"""),44893.4005671296)</f>
        <v>44893.400567129604</v>
      </c>
      <c r="I1190" s="3">
        <f ca="1">IFERROR(__xludf.UNSUPPORTED("""COMPUTED_VALUE"""),24)</f>
        <v>24</v>
      </c>
      <c r="J1190" s="4">
        <f ca="1">IFERROR(__xludf.UNSUPPORTED("""COMPUTED_VALUE"""),44894.4005671296)</f>
        <v>44894.400567129604</v>
      </c>
    </row>
    <row r="1191" spans="1:10" ht="12.75">
      <c r="A1191" s="3" t="str">
        <f ca="1">IFERROR(__xludf.UNSUPPORTED("""COMPUTED_VALUE"""),"da80405a")</f>
        <v>da80405a</v>
      </c>
      <c r="B1191" s="4">
        <f ca="1">IFERROR(__xludf.UNSUPPORTED("""COMPUTED_VALUE"""),44894.405787037)</f>
        <v>44894.405787037002</v>
      </c>
      <c r="C1191" s="8" t="str">
        <f ca="1">IFERROR(__xludf.UNSUPPORTED("""COMPUTED_VALUE"""),"Pelotas")</f>
        <v>Pelotas</v>
      </c>
      <c r="D1191" s="3" t="str">
        <f ca="1">IFERROR(__xludf.UNSUPPORTED("""COMPUTED_VALUE"""),"🚢 REGULAR")</f>
        <v>🚢 REGULAR</v>
      </c>
      <c r="E1191" s="3" t="str">
        <f ca="1">IFERROR(__xludf.UNSUPPORTED("""COMPUTED_VALUE"""),"🚛 LIBERADO")</f>
        <v>🚛 LIBERADO</v>
      </c>
      <c r="F1191" s="5">
        <f ca="1">IFERROR(__xludf.UNSUPPORTED("""COMPUTED_VALUE"""),0)</f>
        <v>0</v>
      </c>
      <c r="G1191" s="3" t="str">
        <f ca="1">IFERROR(__xludf.UNSUPPORTED("""COMPUTED_VALUE"""),"Normal")</f>
        <v>Normal</v>
      </c>
      <c r="H1191" s="4">
        <f ca="1">IFERROR(__xludf.UNSUPPORTED("""COMPUTED_VALUE"""),44894.405787037)</f>
        <v>44894.405787037002</v>
      </c>
      <c r="I1191" s="3">
        <f ca="1">IFERROR(__xludf.UNSUPPORTED("""COMPUTED_VALUE"""),24)</f>
        <v>24</v>
      </c>
      <c r="J1191" s="4">
        <f ca="1">IFERROR(__xludf.UNSUPPORTED("""COMPUTED_VALUE"""),44895.405787037)</f>
        <v>44895.405787037002</v>
      </c>
    </row>
    <row r="1192" spans="1:10" ht="12.75">
      <c r="A1192" s="3" t="str">
        <f ca="1">IFERROR(__xludf.UNSUPPORTED("""COMPUTED_VALUE"""),"2b433bf0")</f>
        <v>2b433bf0</v>
      </c>
      <c r="B1192" s="4">
        <f ca="1">IFERROR(__xludf.UNSUPPORTED("""COMPUTED_VALUE"""),44895.3471874999)</f>
        <v>44895.347187499901</v>
      </c>
      <c r="C1192" s="7" t="str">
        <f ca="1">IFERROR(__xludf.UNSUPPORTED("""COMPUTED_VALUE"""),"Pelotas")</f>
        <v>Pelotas</v>
      </c>
      <c r="D1192" s="3" t="str">
        <f ca="1">IFERROR(__xludf.UNSUPPORTED("""COMPUTED_VALUE"""),"🚢 REGULAR")</f>
        <v>🚢 REGULAR</v>
      </c>
      <c r="E1192" s="3" t="str">
        <f ca="1">IFERROR(__xludf.UNSUPPORTED("""COMPUTED_VALUE"""),"🚛 LIBERADO")</f>
        <v>🚛 LIBERADO</v>
      </c>
      <c r="F1192" s="5">
        <f ca="1">IFERROR(__xludf.UNSUPPORTED("""COMPUTED_VALUE"""),0)</f>
        <v>0</v>
      </c>
      <c r="G1192" s="3" t="str">
        <f ca="1">IFERROR(__xludf.UNSUPPORTED("""COMPUTED_VALUE"""),"Normal")</f>
        <v>Normal</v>
      </c>
      <c r="H1192" s="4">
        <f ca="1">IFERROR(__xludf.UNSUPPORTED("""COMPUTED_VALUE"""),44895.3471874999)</f>
        <v>44895.347187499901</v>
      </c>
      <c r="I1192" s="3">
        <f ca="1">IFERROR(__xludf.UNSUPPORTED("""COMPUTED_VALUE"""),24)</f>
        <v>24</v>
      </c>
      <c r="J1192" s="4">
        <f ca="1">IFERROR(__xludf.UNSUPPORTED("""COMPUTED_VALUE"""),44896.3471874999)</f>
        <v>44896.347187499901</v>
      </c>
    </row>
    <row r="1193" spans="1:10" ht="12.75">
      <c r="A1193" s="3" t="str">
        <f ca="1">IFERROR(__xludf.UNSUPPORTED("""COMPUTED_VALUE"""),"96745083")</f>
        <v>96745083</v>
      </c>
      <c r="B1193" s="4">
        <f ca="1">IFERROR(__xludf.UNSUPPORTED("""COMPUTED_VALUE"""),44896.3546527777)</f>
        <v>44896.3546527777</v>
      </c>
      <c r="C1193" s="8" t="str">
        <f ca="1">IFERROR(__xludf.UNSUPPORTED("""COMPUTED_VALUE"""),"Pelotas")</f>
        <v>Pelotas</v>
      </c>
      <c r="D1193" s="3" t="str">
        <f ca="1">IFERROR(__xludf.UNSUPPORTED("""COMPUTED_VALUE"""),"🚢 REGULAR")</f>
        <v>🚢 REGULAR</v>
      </c>
      <c r="E1193" s="3" t="str">
        <f ca="1">IFERROR(__xludf.UNSUPPORTED("""COMPUTED_VALUE"""),"🚛 LIBERADO")</f>
        <v>🚛 LIBERADO</v>
      </c>
      <c r="F1193" s="5">
        <f ca="1">IFERROR(__xludf.UNSUPPORTED("""COMPUTED_VALUE"""),0)</f>
        <v>0</v>
      </c>
      <c r="G1193" s="3" t="str">
        <f ca="1">IFERROR(__xludf.UNSUPPORTED("""COMPUTED_VALUE"""),"Normal")</f>
        <v>Normal</v>
      </c>
      <c r="H1193" s="4">
        <f ca="1">IFERROR(__xludf.UNSUPPORTED("""COMPUTED_VALUE"""),44896.3546527777)</f>
        <v>44896.3546527777</v>
      </c>
      <c r="I1193" s="3">
        <f ca="1">IFERROR(__xludf.UNSUPPORTED("""COMPUTED_VALUE"""),24)</f>
        <v>24</v>
      </c>
      <c r="J1193" s="4">
        <f ca="1">IFERROR(__xludf.UNSUPPORTED("""COMPUTED_VALUE"""),44897.3546527777)</f>
        <v>44897.3546527777</v>
      </c>
    </row>
    <row r="1194" spans="1:10" ht="12.75">
      <c r="A1194" s="3" t="str">
        <f ca="1">IFERROR(__xludf.UNSUPPORTED("""COMPUTED_VALUE"""),"b8f44195")</f>
        <v>b8f44195</v>
      </c>
      <c r="B1194" s="4">
        <f ca="1">IFERROR(__xludf.UNSUPPORTED("""COMPUTED_VALUE"""),44897.3987962963)</f>
        <v>44897.3987962963</v>
      </c>
      <c r="C1194" s="7" t="str">
        <f ca="1">IFERROR(__xludf.UNSUPPORTED("""COMPUTED_VALUE"""),"Pelotas")</f>
        <v>Pelotas</v>
      </c>
      <c r="D1194" s="3" t="str">
        <f ca="1">IFERROR(__xludf.UNSUPPORTED("""COMPUTED_VALUE"""),"🚢 REGULAR")</f>
        <v>🚢 REGULAR</v>
      </c>
      <c r="E1194" s="3" t="str">
        <f ca="1">IFERROR(__xludf.UNSUPPORTED("""COMPUTED_VALUE"""),"🚛 LIBERADO")</f>
        <v>🚛 LIBERADO</v>
      </c>
      <c r="F1194" s="5">
        <f ca="1">IFERROR(__xludf.UNSUPPORTED("""COMPUTED_VALUE"""),0)</f>
        <v>0</v>
      </c>
      <c r="G1194" s="3" t="str">
        <f ca="1">IFERROR(__xludf.UNSUPPORTED("""COMPUTED_VALUE"""),"Normal")</f>
        <v>Normal</v>
      </c>
      <c r="H1194" s="4">
        <f ca="1">IFERROR(__xludf.UNSUPPORTED("""COMPUTED_VALUE"""),44897.3987962963)</f>
        <v>44897.3987962963</v>
      </c>
      <c r="I1194" s="3">
        <f ca="1">IFERROR(__xludf.UNSUPPORTED("""COMPUTED_VALUE"""),24)</f>
        <v>24</v>
      </c>
      <c r="J1194" s="4">
        <f ca="1">IFERROR(__xludf.UNSUPPORTED("""COMPUTED_VALUE"""),44898.3987962963)</f>
        <v>44898.3987962963</v>
      </c>
    </row>
    <row r="1195" spans="1:10" ht="12.75">
      <c r="A1195" s="3" t="str">
        <f ca="1">IFERROR(__xludf.UNSUPPORTED("""COMPUTED_VALUE"""),"f3ab7620")</f>
        <v>f3ab7620</v>
      </c>
      <c r="B1195" s="4">
        <f ca="1">IFERROR(__xludf.UNSUPPORTED("""COMPUTED_VALUE"""),44900.424849537)</f>
        <v>44900.424849536997</v>
      </c>
      <c r="C1195" s="8" t="str">
        <f ca="1">IFERROR(__xludf.UNSUPPORTED("""COMPUTED_VALUE"""),"Pelotas")</f>
        <v>Pelotas</v>
      </c>
      <c r="D1195" s="3" t="str">
        <f ca="1">IFERROR(__xludf.UNSUPPORTED("""COMPUTED_VALUE"""),"🚢 REGULAR")</f>
        <v>🚢 REGULAR</v>
      </c>
      <c r="E1195" s="3" t="str">
        <f ca="1">IFERROR(__xludf.UNSUPPORTED("""COMPUTED_VALUE"""),"🚛 LIBERADO")</f>
        <v>🚛 LIBERADO</v>
      </c>
      <c r="F1195" s="5">
        <f ca="1">IFERROR(__xludf.UNSUPPORTED("""COMPUTED_VALUE"""),0)</f>
        <v>0</v>
      </c>
      <c r="G1195" s="3" t="str">
        <f ca="1">IFERROR(__xludf.UNSUPPORTED("""COMPUTED_VALUE"""),"Normal")</f>
        <v>Normal</v>
      </c>
      <c r="H1195" s="4">
        <f ca="1">IFERROR(__xludf.UNSUPPORTED("""COMPUTED_VALUE"""),44900.424849537)</f>
        <v>44900.424849536997</v>
      </c>
      <c r="I1195" s="3">
        <f ca="1">IFERROR(__xludf.UNSUPPORTED("""COMPUTED_VALUE"""),24)</f>
        <v>24</v>
      </c>
      <c r="J1195" s="4">
        <f ca="1">IFERROR(__xludf.UNSUPPORTED("""COMPUTED_VALUE"""),44901.424849537)</f>
        <v>44901.424849536997</v>
      </c>
    </row>
    <row r="1196" spans="1:10" ht="12.75">
      <c r="A1196" s="3" t="str">
        <f ca="1">IFERROR(__xludf.UNSUPPORTED("""COMPUTED_VALUE"""),"dfa64c2d")</f>
        <v>dfa64c2d</v>
      </c>
      <c r="B1196" s="4">
        <f ca="1">IFERROR(__xludf.UNSUPPORTED("""COMPUTED_VALUE"""),44901.3649768518)</f>
        <v>44901.364976851801</v>
      </c>
      <c r="C1196" s="8" t="str">
        <f ca="1">IFERROR(__xludf.UNSUPPORTED("""COMPUTED_VALUE"""),"Pelotas")</f>
        <v>Pelotas</v>
      </c>
      <c r="D1196" s="3" t="str">
        <f ca="1">IFERROR(__xludf.UNSUPPORTED("""COMPUTED_VALUE"""),"🚢 REGULAR")</f>
        <v>🚢 REGULAR</v>
      </c>
      <c r="E1196" s="3" t="str">
        <f ca="1">IFERROR(__xludf.UNSUPPORTED("""COMPUTED_VALUE"""),"🚛 LIBERADO")</f>
        <v>🚛 LIBERADO</v>
      </c>
      <c r="F1196" s="5">
        <f ca="1">IFERROR(__xludf.UNSUPPORTED("""COMPUTED_VALUE"""),0)</f>
        <v>0</v>
      </c>
      <c r="G1196" s="3" t="str">
        <f ca="1">IFERROR(__xludf.UNSUPPORTED("""COMPUTED_VALUE"""),"Normal")</f>
        <v>Normal</v>
      </c>
      <c r="H1196" s="4">
        <f ca="1">IFERROR(__xludf.UNSUPPORTED("""COMPUTED_VALUE"""),44901.3649768518)</f>
        <v>44901.364976851801</v>
      </c>
      <c r="I1196" s="3">
        <f ca="1">IFERROR(__xludf.UNSUPPORTED("""COMPUTED_VALUE"""),24)</f>
        <v>24</v>
      </c>
      <c r="J1196" s="4">
        <f ca="1">IFERROR(__xludf.UNSUPPORTED("""COMPUTED_VALUE"""),44902.3649768518)</f>
        <v>44902.364976851801</v>
      </c>
    </row>
    <row r="1197" spans="1:10" ht="12.75">
      <c r="A1197" s="3" t="str">
        <f ca="1">IFERROR(__xludf.UNSUPPORTED("""COMPUTED_VALUE"""),"c69d4cea")</f>
        <v>c69d4cea</v>
      </c>
      <c r="B1197" s="4">
        <f ca="1">IFERROR(__xludf.UNSUPPORTED("""COMPUTED_VALUE"""),44902.3537268518)</f>
        <v>44902.353726851798</v>
      </c>
      <c r="C1197" s="7" t="str">
        <f ca="1">IFERROR(__xludf.UNSUPPORTED("""COMPUTED_VALUE"""),"Pelotas")</f>
        <v>Pelotas</v>
      </c>
      <c r="D1197" s="3" t="str">
        <f ca="1">IFERROR(__xludf.UNSUPPORTED("""COMPUTED_VALUE"""),"🚢 REGULAR")</f>
        <v>🚢 REGULAR</v>
      </c>
      <c r="E1197" s="3" t="str">
        <f ca="1">IFERROR(__xludf.UNSUPPORTED("""COMPUTED_VALUE"""),"🚛 LIBERADO")</f>
        <v>🚛 LIBERADO</v>
      </c>
      <c r="F1197" s="5">
        <f ca="1">IFERROR(__xludf.UNSUPPORTED("""COMPUTED_VALUE"""),0)</f>
        <v>0</v>
      </c>
      <c r="G1197" s="3" t="str">
        <f ca="1">IFERROR(__xludf.UNSUPPORTED("""COMPUTED_VALUE"""),"Normal")</f>
        <v>Normal</v>
      </c>
      <c r="H1197" s="4">
        <f ca="1">IFERROR(__xludf.UNSUPPORTED("""COMPUTED_VALUE"""),44902.3537268518)</f>
        <v>44902.353726851798</v>
      </c>
      <c r="I1197" s="3">
        <f ca="1">IFERROR(__xludf.UNSUPPORTED("""COMPUTED_VALUE"""),24)</f>
        <v>24</v>
      </c>
      <c r="J1197" s="4">
        <f ca="1">IFERROR(__xludf.UNSUPPORTED("""COMPUTED_VALUE"""),44903.3537268518)</f>
        <v>44903.353726851798</v>
      </c>
    </row>
    <row r="1198" spans="1:10" ht="12.75">
      <c r="A1198" s="3" t="str">
        <f ca="1">IFERROR(__xludf.UNSUPPORTED("""COMPUTED_VALUE"""),"2b378bf4")</f>
        <v>2b378bf4</v>
      </c>
      <c r="B1198" s="4">
        <f ca="1">IFERROR(__xludf.UNSUPPORTED("""COMPUTED_VALUE"""),44903.409074074)</f>
        <v>44903.409074073999</v>
      </c>
      <c r="C1198" s="8" t="str">
        <f ca="1">IFERROR(__xludf.UNSUPPORTED("""COMPUTED_VALUE"""),"Pelotas")</f>
        <v>Pelotas</v>
      </c>
      <c r="D1198" s="3" t="str">
        <f ca="1">IFERROR(__xludf.UNSUPPORTED("""COMPUTED_VALUE"""),"🚢 REGULAR")</f>
        <v>🚢 REGULAR</v>
      </c>
      <c r="E1198" s="3" t="str">
        <f ca="1">IFERROR(__xludf.UNSUPPORTED("""COMPUTED_VALUE"""),"🚛 LIBERADO")</f>
        <v>🚛 LIBERADO</v>
      </c>
      <c r="F1198" s="5">
        <f ca="1">IFERROR(__xludf.UNSUPPORTED("""COMPUTED_VALUE"""),0)</f>
        <v>0</v>
      </c>
      <c r="G1198" s="3" t="str">
        <f ca="1">IFERROR(__xludf.UNSUPPORTED("""COMPUTED_VALUE"""),"Normal")</f>
        <v>Normal</v>
      </c>
      <c r="H1198" s="4">
        <f ca="1">IFERROR(__xludf.UNSUPPORTED("""COMPUTED_VALUE"""),44903.409074074)</f>
        <v>44903.409074073999</v>
      </c>
      <c r="I1198" s="3">
        <f ca="1">IFERROR(__xludf.UNSUPPORTED("""COMPUTED_VALUE"""),24)</f>
        <v>24</v>
      </c>
      <c r="J1198" s="4">
        <f ca="1">IFERROR(__xludf.UNSUPPORTED("""COMPUTED_VALUE"""),44904.409074074)</f>
        <v>44904.409074073999</v>
      </c>
    </row>
    <row r="1199" spans="1:10" ht="12.75">
      <c r="A1199" s="3" t="str">
        <f ca="1">IFERROR(__xludf.UNSUPPORTED("""COMPUTED_VALUE"""),"c6e779a2")</f>
        <v>c6e779a2</v>
      </c>
      <c r="B1199" s="4">
        <f ca="1">IFERROR(__xludf.UNSUPPORTED("""COMPUTED_VALUE"""),44904.3694791666)</f>
        <v>44904.369479166598</v>
      </c>
      <c r="C1199" s="7" t="str">
        <f ca="1">IFERROR(__xludf.UNSUPPORTED("""COMPUTED_VALUE"""),"Pelotas")</f>
        <v>Pelotas</v>
      </c>
      <c r="D1199" s="3" t="str">
        <f ca="1">IFERROR(__xludf.UNSUPPORTED("""COMPUTED_VALUE"""),"🚢 REGULAR")</f>
        <v>🚢 REGULAR</v>
      </c>
      <c r="E1199" s="3" t="str">
        <f ca="1">IFERROR(__xludf.UNSUPPORTED("""COMPUTED_VALUE"""),"🚛 LIBERADO")</f>
        <v>🚛 LIBERADO</v>
      </c>
      <c r="F1199" s="5">
        <f ca="1">IFERROR(__xludf.UNSUPPORTED("""COMPUTED_VALUE"""),0)</f>
        <v>0</v>
      </c>
      <c r="G1199" s="3" t="str">
        <f ca="1">IFERROR(__xludf.UNSUPPORTED("""COMPUTED_VALUE"""),"Normal")</f>
        <v>Normal</v>
      </c>
      <c r="H1199" s="4">
        <f ca="1">IFERROR(__xludf.UNSUPPORTED("""COMPUTED_VALUE"""),44904.3694791666)</f>
        <v>44904.369479166598</v>
      </c>
      <c r="I1199" s="3">
        <f ca="1">IFERROR(__xludf.UNSUPPORTED("""COMPUTED_VALUE"""),24)</f>
        <v>24</v>
      </c>
      <c r="J1199" s="4">
        <f ca="1">IFERROR(__xludf.UNSUPPORTED("""COMPUTED_VALUE"""),44905.3694791666)</f>
        <v>44905.369479166598</v>
      </c>
    </row>
    <row r="1200" spans="1:10" ht="12.75">
      <c r="A1200" s="3" t="str">
        <f ca="1">IFERROR(__xludf.UNSUPPORTED("""COMPUTED_VALUE"""),"5bbca539")</f>
        <v>5bbca539</v>
      </c>
      <c r="B1200" s="4">
        <f ca="1">IFERROR(__xludf.UNSUPPORTED("""COMPUTED_VALUE"""),44905.3903472222)</f>
        <v>44905.390347222201</v>
      </c>
      <c r="C1200" s="8" t="str">
        <f ca="1">IFERROR(__xludf.UNSUPPORTED("""COMPUTED_VALUE"""),"Pelotas")</f>
        <v>Pelotas</v>
      </c>
      <c r="D1200" s="3" t="str">
        <f ca="1">IFERROR(__xludf.UNSUPPORTED("""COMPUTED_VALUE"""),"🚢 REGULAR")</f>
        <v>🚢 REGULAR</v>
      </c>
      <c r="E1200" s="3" t="str">
        <f ca="1">IFERROR(__xludf.UNSUPPORTED("""COMPUTED_VALUE"""),"🚛 LIBERADO")</f>
        <v>🚛 LIBERADO</v>
      </c>
      <c r="F1200" s="5">
        <f ca="1">IFERROR(__xludf.UNSUPPORTED("""COMPUTED_VALUE"""),0)</f>
        <v>0</v>
      </c>
      <c r="G1200" s="3" t="str">
        <f ca="1">IFERROR(__xludf.UNSUPPORTED("""COMPUTED_VALUE"""),"Normal")</f>
        <v>Normal</v>
      </c>
      <c r="H1200" s="4">
        <f ca="1">IFERROR(__xludf.UNSUPPORTED("""COMPUTED_VALUE"""),44905.3903472222)</f>
        <v>44905.390347222201</v>
      </c>
      <c r="I1200" s="3">
        <f ca="1">IFERROR(__xludf.UNSUPPORTED("""COMPUTED_VALUE"""),24)</f>
        <v>24</v>
      </c>
      <c r="J1200" s="4">
        <f ca="1">IFERROR(__xludf.UNSUPPORTED("""COMPUTED_VALUE"""),44906.3903472222)</f>
        <v>44906.390347222201</v>
      </c>
    </row>
    <row r="1201" spans="1:12" ht="12.75">
      <c r="A1201" s="3" t="str">
        <f ca="1">IFERROR(__xludf.UNSUPPORTED("""COMPUTED_VALUE"""),"76d22d6a")</f>
        <v>76d22d6a</v>
      </c>
      <c r="B1201" s="4">
        <f ca="1">IFERROR(__xludf.UNSUPPORTED("""COMPUTED_VALUE"""),44907.4157407407)</f>
        <v>44907.415740740696</v>
      </c>
      <c r="C1201" s="7" t="str">
        <f ca="1">IFERROR(__xludf.UNSUPPORTED("""COMPUTED_VALUE"""),"Pelotas")</f>
        <v>Pelotas</v>
      </c>
      <c r="D1201" s="3" t="str">
        <f ca="1">IFERROR(__xludf.UNSUPPORTED("""COMPUTED_VALUE"""),"🚢 REGULAR")</f>
        <v>🚢 REGULAR</v>
      </c>
      <c r="E1201" s="3" t="str">
        <f ca="1">IFERROR(__xludf.UNSUPPORTED("""COMPUTED_VALUE"""),"🚛 LIBERADO")</f>
        <v>🚛 LIBERADO</v>
      </c>
      <c r="F1201" s="5">
        <f ca="1">IFERROR(__xludf.UNSUPPORTED("""COMPUTED_VALUE"""),0)</f>
        <v>0</v>
      </c>
      <c r="G1201" s="3" t="str">
        <f ca="1">IFERROR(__xludf.UNSUPPORTED("""COMPUTED_VALUE"""),"Normal")</f>
        <v>Normal</v>
      </c>
      <c r="H1201" s="4">
        <f ca="1">IFERROR(__xludf.UNSUPPORTED("""COMPUTED_VALUE"""),44907.4157407407)</f>
        <v>44907.415740740696</v>
      </c>
      <c r="I1201" s="3">
        <f ca="1">IFERROR(__xludf.UNSUPPORTED("""COMPUTED_VALUE"""),24)</f>
        <v>24</v>
      </c>
      <c r="J1201" s="4">
        <f ca="1">IFERROR(__xludf.UNSUPPORTED("""COMPUTED_VALUE"""),44908.4157407407)</f>
        <v>44908.415740740696</v>
      </c>
    </row>
    <row r="1202" spans="1:12" ht="12.75">
      <c r="A1202" s="3" t="str">
        <f ca="1">IFERROR(__xludf.UNSUPPORTED("""COMPUTED_VALUE"""),"0a816dd2")</f>
        <v>0a816dd2</v>
      </c>
      <c r="B1202" s="4">
        <f ca="1">IFERROR(__xludf.UNSUPPORTED("""COMPUTED_VALUE"""),44908.3962384259)</f>
        <v>44908.396238425899</v>
      </c>
      <c r="C1202" s="8" t="str">
        <f ca="1">IFERROR(__xludf.UNSUPPORTED("""COMPUTED_VALUE"""),"Pelotas")</f>
        <v>Pelotas</v>
      </c>
      <c r="D1202" s="3" t="str">
        <f ca="1">IFERROR(__xludf.UNSUPPORTED("""COMPUTED_VALUE"""),"🚢 REGULAR")</f>
        <v>🚢 REGULAR</v>
      </c>
      <c r="E1202" s="3" t="str">
        <f ca="1">IFERROR(__xludf.UNSUPPORTED("""COMPUTED_VALUE"""),"🚛 LIBERADO")</f>
        <v>🚛 LIBERADO</v>
      </c>
      <c r="F1202" s="5">
        <f ca="1">IFERROR(__xludf.UNSUPPORTED("""COMPUTED_VALUE"""),0)</f>
        <v>0</v>
      </c>
      <c r="G1202" s="3" t="str">
        <f ca="1">IFERROR(__xludf.UNSUPPORTED("""COMPUTED_VALUE"""),"Normal")</f>
        <v>Normal</v>
      </c>
      <c r="H1202" s="4">
        <f ca="1">IFERROR(__xludf.UNSUPPORTED("""COMPUTED_VALUE"""),44908.3962384259)</f>
        <v>44908.396238425899</v>
      </c>
      <c r="I1202" s="3">
        <f ca="1">IFERROR(__xludf.UNSUPPORTED("""COMPUTED_VALUE"""),24)</f>
        <v>24</v>
      </c>
      <c r="J1202" s="4">
        <f ca="1">IFERROR(__xludf.UNSUPPORTED("""COMPUTED_VALUE"""),44909.3962384259)</f>
        <v>44909.396238425899</v>
      </c>
    </row>
    <row r="1203" spans="1:12" ht="12.75">
      <c r="A1203" s="3" t="str">
        <f ca="1">IFERROR(__xludf.UNSUPPORTED("""COMPUTED_VALUE"""),"8dee1bc3")</f>
        <v>8dee1bc3</v>
      </c>
      <c r="B1203" s="4">
        <f ca="1">IFERROR(__xludf.UNSUPPORTED("""COMPUTED_VALUE"""),44909.4367824074)</f>
        <v>44909.4367824074</v>
      </c>
      <c r="C1203" s="8" t="str">
        <f ca="1">IFERROR(__xludf.UNSUPPORTED("""COMPUTED_VALUE"""),"Pelotas")</f>
        <v>Pelotas</v>
      </c>
      <c r="D1203" s="3" t="str">
        <f ca="1">IFERROR(__xludf.UNSUPPORTED("""COMPUTED_VALUE"""),"🚢 REGULAR")</f>
        <v>🚢 REGULAR</v>
      </c>
      <c r="E1203" s="3" t="str">
        <f ca="1">IFERROR(__xludf.UNSUPPORTED("""COMPUTED_VALUE"""),"🚛 LIBERADO")</f>
        <v>🚛 LIBERADO</v>
      </c>
      <c r="F1203" s="5">
        <f ca="1">IFERROR(__xludf.UNSUPPORTED("""COMPUTED_VALUE"""),0)</f>
        <v>0</v>
      </c>
      <c r="G1203" s="3" t="str">
        <f ca="1">IFERROR(__xludf.UNSUPPORTED("""COMPUTED_VALUE"""),"Normal")</f>
        <v>Normal</v>
      </c>
      <c r="H1203" s="4">
        <f ca="1">IFERROR(__xludf.UNSUPPORTED("""COMPUTED_VALUE"""),44909.4367824074)</f>
        <v>44909.4367824074</v>
      </c>
      <c r="I1203" s="3">
        <f ca="1">IFERROR(__xludf.UNSUPPORTED("""COMPUTED_VALUE"""),24)</f>
        <v>24</v>
      </c>
      <c r="J1203" s="4">
        <f ca="1">IFERROR(__xludf.UNSUPPORTED("""COMPUTED_VALUE"""),44910.4367824074)</f>
        <v>44910.4367824074</v>
      </c>
    </row>
    <row r="1204" spans="1:12" ht="12.75">
      <c r="A1204" s="3" t="str">
        <f ca="1">IFERROR(__xludf.UNSUPPORTED("""COMPUTED_VALUE"""),"350a8f95")</f>
        <v>350a8f95</v>
      </c>
      <c r="B1204" s="4">
        <f ca="1">IFERROR(__xludf.UNSUPPORTED("""COMPUTED_VALUE"""),44910.3960879629)</f>
        <v>44910.396087962901</v>
      </c>
      <c r="C1204" s="8" t="str">
        <f ca="1">IFERROR(__xludf.UNSUPPORTED("""COMPUTED_VALUE"""),"Pelotas")</f>
        <v>Pelotas</v>
      </c>
      <c r="D1204" s="3" t="str">
        <f ca="1">IFERROR(__xludf.UNSUPPORTED("""COMPUTED_VALUE"""),"🚢 REGULAR")</f>
        <v>🚢 REGULAR</v>
      </c>
      <c r="E1204" s="3" t="str">
        <f ca="1">IFERROR(__xludf.UNSUPPORTED("""COMPUTED_VALUE"""),"🚛 LIBERADO")</f>
        <v>🚛 LIBERADO</v>
      </c>
      <c r="F1204" s="5">
        <f ca="1">IFERROR(__xludf.UNSUPPORTED("""COMPUTED_VALUE"""),0)</f>
        <v>0</v>
      </c>
      <c r="G1204" s="3" t="str">
        <f ca="1">IFERROR(__xludf.UNSUPPORTED("""COMPUTED_VALUE"""),"Normal")</f>
        <v>Normal</v>
      </c>
      <c r="H1204" s="4">
        <f ca="1">IFERROR(__xludf.UNSUPPORTED("""COMPUTED_VALUE"""),44910.3960879629)</f>
        <v>44910.396087962901</v>
      </c>
      <c r="I1204" s="3">
        <f ca="1">IFERROR(__xludf.UNSUPPORTED("""COMPUTED_VALUE"""),24)</f>
        <v>24</v>
      </c>
      <c r="J1204" s="4">
        <f ca="1">IFERROR(__xludf.UNSUPPORTED("""COMPUTED_VALUE"""),44911.3960879629)</f>
        <v>44911.396087962901</v>
      </c>
    </row>
    <row r="1205" spans="1:12" ht="12.75">
      <c r="A1205" s="3" t="str">
        <f ca="1">IFERROR(__xludf.UNSUPPORTED("""COMPUTED_VALUE"""),"f8e1795a")</f>
        <v>f8e1795a</v>
      </c>
      <c r="B1205" s="4">
        <f ca="1">IFERROR(__xludf.UNSUPPORTED("""COMPUTED_VALUE"""),44911.3561689814)</f>
        <v>44911.356168981401</v>
      </c>
      <c r="C1205" s="8" t="str">
        <f ca="1">IFERROR(__xludf.UNSUPPORTED("""COMPUTED_VALUE"""),"Pelotas")</f>
        <v>Pelotas</v>
      </c>
      <c r="D1205" s="3" t="str">
        <f ca="1">IFERROR(__xludf.UNSUPPORTED("""COMPUTED_VALUE"""),"🚢 REGULAR")</f>
        <v>🚢 REGULAR</v>
      </c>
      <c r="E1205" s="3" t="str">
        <f ca="1">IFERROR(__xludf.UNSUPPORTED("""COMPUTED_VALUE"""),"🚛 LIBERADO")</f>
        <v>🚛 LIBERADO</v>
      </c>
      <c r="F1205" s="5">
        <f ca="1">IFERROR(__xludf.UNSUPPORTED("""COMPUTED_VALUE"""),0)</f>
        <v>0</v>
      </c>
      <c r="G1205" s="3" t="str">
        <f ca="1">IFERROR(__xludf.UNSUPPORTED("""COMPUTED_VALUE"""),"Normal")</f>
        <v>Normal</v>
      </c>
      <c r="H1205" s="4">
        <f ca="1">IFERROR(__xludf.UNSUPPORTED("""COMPUTED_VALUE"""),44911.3561689814)</f>
        <v>44911.356168981401</v>
      </c>
      <c r="I1205" s="3">
        <f ca="1">IFERROR(__xludf.UNSUPPORTED("""COMPUTED_VALUE"""),24)</f>
        <v>24</v>
      </c>
      <c r="J1205" s="4">
        <f ca="1">IFERROR(__xludf.UNSUPPORTED("""COMPUTED_VALUE"""),44912.3561689814)</f>
        <v>44912.356168981401</v>
      </c>
    </row>
    <row r="1206" spans="1:12" ht="12.75">
      <c r="A1206" s="3" t="str">
        <f ca="1">IFERROR(__xludf.UNSUPPORTED("""COMPUTED_VALUE"""),"28505a25")</f>
        <v>28505a25</v>
      </c>
      <c r="B1206" s="4">
        <f ca="1">IFERROR(__xludf.UNSUPPORTED("""COMPUTED_VALUE"""),44914.3185300926)</f>
        <v>44914.318530092598</v>
      </c>
      <c r="C1206" s="8" t="str">
        <f ca="1">IFERROR(__xludf.UNSUPPORTED("""COMPUTED_VALUE"""),"Pelotas")</f>
        <v>Pelotas</v>
      </c>
      <c r="D1206" s="3" t="str">
        <f ca="1">IFERROR(__xludf.UNSUPPORTED("""COMPUTED_VALUE"""),"🚢 REGULAR")</f>
        <v>🚢 REGULAR</v>
      </c>
      <c r="E1206" s="3" t="str">
        <f ca="1">IFERROR(__xludf.UNSUPPORTED("""COMPUTED_VALUE"""),"🚛 LIBERADO")</f>
        <v>🚛 LIBERADO</v>
      </c>
      <c r="F1206" s="5">
        <f ca="1">IFERROR(__xludf.UNSUPPORTED("""COMPUTED_VALUE"""),0)</f>
        <v>0</v>
      </c>
      <c r="G1206" s="3" t="str">
        <f ca="1">IFERROR(__xludf.UNSUPPORTED("""COMPUTED_VALUE"""),"Normal")</f>
        <v>Normal</v>
      </c>
      <c r="H1206" s="4">
        <f ca="1">IFERROR(__xludf.UNSUPPORTED("""COMPUTED_VALUE"""),44914.3185300926)</f>
        <v>44914.318530092598</v>
      </c>
      <c r="I1206" s="3">
        <f ca="1">IFERROR(__xludf.UNSUPPORTED("""COMPUTED_VALUE"""),24)</f>
        <v>24</v>
      </c>
      <c r="J1206" s="4">
        <f ca="1">IFERROR(__xludf.UNSUPPORTED("""COMPUTED_VALUE"""),44915.3185300926)</f>
        <v>44915.318530092598</v>
      </c>
    </row>
    <row r="1207" spans="1:12" ht="12.75">
      <c r="A1207" s="3" t="str">
        <f ca="1">IFERROR(__xludf.UNSUPPORTED("""COMPUTED_VALUE"""),"303ae4e3")</f>
        <v>303ae4e3</v>
      </c>
      <c r="B1207" s="4">
        <f ca="1">IFERROR(__xludf.UNSUPPORTED("""COMPUTED_VALUE"""),44915.41375)</f>
        <v>44915.41375</v>
      </c>
      <c r="C1207" s="7" t="str">
        <f ca="1">IFERROR(__xludf.UNSUPPORTED("""COMPUTED_VALUE"""),"Pelotas")</f>
        <v>Pelotas</v>
      </c>
      <c r="D1207" s="3" t="str">
        <f ca="1">IFERROR(__xludf.UNSUPPORTED("""COMPUTED_VALUE"""),"🚢 REGULAR")</f>
        <v>🚢 REGULAR</v>
      </c>
      <c r="E1207" s="3" t="str">
        <f ca="1">IFERROR(__xludf.UNSUPPORTED("""COMPUTED_VALUE"""),"🚛 LIBERADO")</f>
        <v>🚛 LIBERADO</v>
      </c>
      <c r="F1207" s="5">
        <f ca="1">IFERROR(__xludf.UNSUPPORTED("""COMPUTED_VALUE"""),0)</f>
        <v>0</v>
      </c>
      <c r="G1207" s="3" t="str">
        <f ca="1">IFERROR(__xludf.UNSUPPORTED("""COMPUTED_VALUE"""),"Normal")</f>
        <v>Normal</v>
      </c>
      <c r="H1207" s="4">
        <f ca="1">IFERROR(__xludf.UNSUPPORTED("""COMPUTED_VALUE"""),44915.41375)</f>
        <v>44915.41375</v>
      </c>
      <c r="I1207" s="3">
        <f ca="1">IFERROR(__xludf.UNSUPPORTED("""COMPUTED_VALUE"""),24)</f>
        <v>24</v>
      </c>
      <c r="J1207" s="4">
        <f ca="1">IFERROR(__xludf.UNSUPPORTED("""COMPUTED_VALUE"""),44916.41375)</f>
        <v>44916.41375</v>
      </c>
    </row>
    <row r="1208" spans="1:12" ht="12.75">
      <c r="A1208" s="3" t="str">
        <f ca="1">IFERROR(__xludf.UNSUPPORTED("""COMPUTED_VALUE"""),"e719e7ff")</f>
        <v>e719e7ff</v>
      </c>
      <c r="B1208" s="4">
        <f ca="1">IFERROR(__xludf.UNSUPPORTED("""COMPUTED_VALUE"""),44916.3458680555)</f>
        <v>44916.345868055498</v>
      </c>
      <c r="C1208" s="8" t="str">
        <f ca="1">IFERROR(__xludf.UNSUPPORTED("""COMPUTED_VALUE"""),"Pelotas")</f>
        <v>Pelotas</v>
      </c>
      <c r="D1208" s="3" t="str">
        <f ca="1">IFERROR(__xludf.UNSUPPORTED("""COMPUTED_VALUE"""),"🚢 REGULAR")</f>
        <v>🚢 REGULAR</v>
      </c>
      <c r="E1208" s="3" t="str">
        <f ca="1">IFERROR(__xludf.UNSUPPORTED("""COMPUTED_VALUE"""),"🚛 LIBERADO")</f>
        <v>🚛 LIBERADO</v>
      </c>
      <c r="F1208" s="5">
        <f ca="1">IFERROR(__xludf.UNSUPPORTED("""COMPUTED_VALUE"""),0)</f>
        <v>0</v>
      </c>
      <c r="G1208" s="3" t="str">
        <f ca="1">IFERROR(__xludf.UNSUPPORTED("""COMPUTED_VALUE"""),"Normal")</f>
        <v>Normal</v>
      </c>
      <c r="H1208" s="4">
        <f ca="1">IFERROR(__xludf.UNSUPPORTED("""COMPUTED_VALUE"""),44916.3458680555)</f>
        <v>44916.345868055498</v>
      </c>
      <c r="I1208" s="3">
        <f ca="1">IFERROR(__xludf.UNSUPPORTED("""COMPUTED_VALUE"""),24)</f>
        <v>24</v>
      </c>
      <c r="J1208" s="4">
        <f ca="1">IFERROR(__xludf.UNSUPPORTED("""COMPUTED_VALUE"""),44917.3458680555)</f>
        <v>44917.345868055498</v>
      </c>
    </row>
    <row r="1209" spans="1:12" ht="12.75">
      <c r="A1209" s="3" t="str">
        <f ca="1">IFERROR(__xludf.UNSUPPORTED("""COMPUTED_VALUE"""),"8c68a370")</f>
        <v>8c68a370</v>
      </c>
      <c r="B1209" s="4">
        <f ca="1">IFERROR(__xludf.UNSUPPORTED("""COMPUTED_VALUE"""),44917.3902546296)</f>
        <v>44917.390254629601</v>
      </c>
      <c r="C1209" s="8" t="str">
        <f ca="1">IFERROR(__xludf.UNSUPPORTED("""COMPUTED_VALUE"""),"Pelotas")</f>
        <v>Pelotas</v>
      </c>
      <c r="D1209" s="3" t="str">
        <f ca="1">IFERROR(__xludf.UNSUPPORTED("""COMPUTED_VALUE"""),"🚢 REGULAR")</f>
        <v>🚢 REGULAR</v>
      </c>
      <c r="E1209" s="3" t="str">
        <f ca="1">IFERROR(__xludf.UNSUPPORTED("""COMPUTED_VALUE"""),"🚛 LIBERADO")</f>
        <v>🚛 LIBERADO</v>
      </c>
      <c r="F1209" s="5">
        <f ca="1">IFERROR(__xludf.UNSUPPORTED("""COMPUTED_VALUE"""),0)</f>
        <v>0</v>
      </c>
      <c r="G1209" s="3" t="str">
        <f ca="1">IFERROR(__xludf.UNSUPPORTED("""COMPUTED_VALUE"""),"Normal")</f>
        <v>Normal</v>
      </c>
      <c r="H1209" s="4">
        <f ca="1">IFERROR(__xludf.UNSUPPORTED("""COMPUTED_VALUE"""),44917.3902546296)</f>
        <v>44917.390254629601</v>
      </c>
      <c r="I1209" s="3">
        <f ca="1">IFERROR(__xludf.UNSUPPORTED("""COMPUTED_VALUE"""),24)</f>
        <v>24</v>
      </c>
      <c r="J1209" s="4">
        <f ca="1">IFERROR(__xludf.UNSUPPORTED("""COMPUTED_VALUE"""),44918.3902546296)</f>
        <v>44918.390254629601</v>
      </c>
    </row>
    <row r="1210" spans="1:12" ht="12.75">
      <c r="A1210" s="3" t="str">
        <f ca="1">IFERROR(__xludf.UNSUPPORTED("""COMPUTED_VALUE"""),"c4b734e3")</f>
        <v>c4b734e3</v>
      </c>
      <c r="B1210" s="4">
        <f ca="1">IFERROR(__xludf.UNSUPPORTED("""COMPUTED_VALUE"""),44925.4134259259)</f>
        <v>44925.413425925901</v>
      </c>
      <c r="C1210" s="7" t="str">
        <f ca="1">IFERROR(__xludf.UNSUPPORTED("""COMPUTED_VALUE"""),"Pelotas")</f>
        <v>Pelotas</v>
      </c>
      <c r="D1210" s="3" t="str">
        <f ca="1">IFERROR(__xludf.UNSUPPORTED("""COMPUTED_VALUE"""),"🚢 REGULAR")</f>
        <v>🚢 REGULAR</v>
      </c>
      <c r="E1210" s="3" t="str">
        <f ca="1">IFERROR(__xludf.UNSUPPORTED("""COMPUTED_VALUE"""),"🚛 LIBERADO")</f>
        <v>🚛 LIBERADO</v>
      </c>
      <c r="F1210" s="5">
        <f ca="1">IFERROR(__xludf.UNSUPPORTED("""COMPUTED_VALUE"""),0)</f>
        <v>0</v>
      </c>
      <c r="G1210" s="3" t="str">
        <f ca="1">IFERROR(__xludf.UNSUPPORTED("""COMPUTED_VALUE"""),"Normal")</f>
        <v>Normal</v>
      </c>
      <c r="H1210" s="4">
        <f ca="1">IFERROR(__xludf.UNSUPPORTED("""COMPUTED_VALUE"""),44925.4134259259)</f>
        <v>44925.413425925901</v>
      </c>
      <c r="I1210" s="3">
        <f ca="1">IFERROR(__xludf.UNSUPPORTED("""COMPUTED_VALUE"""),24)</f>
        <v>24</v>
      </c>
      <c r="J1210" s="4">
        <f ca="1">IFERROR(__xludf.UNSUPPORTED("""COMPUTED_VALUE"""),44926.4134259259)</f>
        <v>44926.413425925901</v>
      </c>
    </row>
    <row r="1211" spans="1:12" ht="12.75">
      <c r="A1211" s="3" t="str">
        <f ca="1">IFERROR(__xludf.UNSUPPORTED("""COMPUTED_VALUE"""),"853f814e")</f>
        <v>853f814e</v>
      </c>
      <c r="B1211" s="4">
        <f ca="1">IFERROR(__xludf.UNSUPPORTED("""COMPUTED_VALUE"""),44932.5177083333)</f>
        <v>44932.517708333296</v>
      </c>
      <c r="C1211" s="8" t="str">
        <f ca="1">IFERROR(__xludf.UNSUPPORTED("""COMPUTED_VALUE"""),"Pelotas")</f>
        <v>Pelotas</v>
      </c>
      <c r="D1211" s="3" t="str">
        <f ca="1">IFERROR(__xludf.UNSUPPORTED("""COMPUTED_VALUE"""),"🚢 REGULAR")</f>
        <v>🚢 REGULAR</v>
      </c>
      <c r="E1211" s="3" t="str">
        <f ca="1">IFERROR(__xludf.UNSUPPORTED("""COMPUTED_VALUE"""),"🚛 LIBERADO")</f>
        <v>🚛 LIBERADO</v>
      </c>
      <c r="F1211" s="5">
        <f ca="1">IFERROR(__xludf.UNSUPPORTED("""COMPUTED_VALUE"""),0)</f>
        <v>0</v>
      </c>
      <c r="G1211" s="3" t="str">
        <f ca="1">IFERROR(__xludf.UNSUPPORTED("""COMPUTED_VALUE"""),"Normalidade")</f>
        <v>Normalidade</v>
      </c>
      <c r="H1211" s="4">
        <f ca="1">IFERROR(__xludf.UNSUPPORTED("""COMPUTED_VALUE"""),44932.5177083333)</f>
        <v>44932.517708333296</v>
      </c>
      <c r="I1211" s="3">
        <f ca="1">IFERROR(__xludf.UNSUPPORTED("""COMPUTED_VALUE"""),24)</f>
        <v>24</v>
      </c>
      <c r="J1211" s="4">
        <f ca="1">IFERROR(__xludf.UNSUPPORTED("""COMPUTED_VALUE"""),44933.5177083333)</f>
        <v>44933.517708333296</v>
      </c>
      <c r="L1211" s="3" t="str">
        <f ca="1">IFERROR(__xludf.UNSUPPORTED("""COMPUTED_VALUE"""),"Normalidade")</f>
        <v>Normalidade</v>
      </c>
    </row>
    <row r="1212" spans="1:12" ht="12.75">
      <c r="A1212" s="3" t="str">
        <f ca="1">IFERROR(__xludf.UNSUPPORTED("""COMPUTED_VALUE"""),"a7d167e1")</f>
        <v>a7d167e1</v>
      </c>
      <c r="B1212" s="4">
        <f ca="1">IFERROR(__xludf.UNSUPPORTED("""COMPUTED_VALUE"""),44935.3257175926)</f>
        <v>44935.325717592597</v>
      </c>
      <c r="C1212" s="7" t="str">
        <f ca="1">IFERROR(__xludf.UNSUPPORTED("""COMPUTED_VALUE"""),"Pelotas")</f>
        <v>Pelotas</v>
      </c>
      <c r="D1212" s="3" t="str">
        <f ca="1">IFERROR(__xludf.UNSUPPORTED("""COMPUTED_VALUE"""),"🚢 REGULAR")</f>
        <v>🚢 REGULAR</v>
      </c>
      <c r="E1212" s="3" t="str">
        <f ca="1">IFERROR(__xludf.UNSUPPORTED("""COMPUTED_VALUE"""),"🚛 LIBERADO")</f>
        <v>🚛 LIBERADO</v>
      </c>
      <c r="F1212" s="5">
        <f ca="1">IFERROR(__xludf.UNSUPPORTED("""COMPUTED_VALUE"""),0)</f>
        <v>0</v>
      </c>
      <c r="G1212" s="3" t="str">
        <f ca="1">IFERROR(__xludf.UNSUPPORTED("""COMPUTED_VALUE"""),"Normalidade")</f>
        <v>Normalidade</v>
      </c>
      <c r="H1212" s="4">
        <f ca="1">IFERROR(__xludf.UNSUPPORTED("""COMPUTED_VALUE"""),44935.3257175926)</f>
        <v>44935.325717592597</v>
      </c>
      <c r="I1212" s="3">
        <f ca="1">IFERROR(__xludf.UNSUPPORTED("""COMPUTED_VALUE"""),24)</f>
        <v>24</v>
      </c>
      <c r="J1212" s="4">
        <f ca="1">IFERROR(__xludf.UNSUPPORTED("""COMPUTED_VALUE"""),44936.3257175926)</f>
        <v>44936.325717592597</v>
      </c>
      <c r="L1212" s="3" t="str">
        <f ca="1">IFERROR(__xludf.UNSUPPORTED("""COMPUTED_VALUE"""),"Normalidade")</f>
        <v>Normalidade</v>
      </c>
    </row>
    <row r="1213" spans="1:12" ht="12.75">
      <c r="A1213" s="3" t="str">
        <f ca="1">IFERROR(__xludf.UNSUPPORTED("""COMPUTED_VALUE"""),"0fd6e135")</f>
        <v>0fd6e135</v>
      </c>
      <c r="B1213" s="4">
        <f ca="1">IFERROR(__xludf.UNSUPPORTED("""COMPUTED_VALUE"""),44936.4895138888)</f>
        <v>44936.489513888802</v>
      </c>
      <c r="C1213" s="7" t="str">
        <f ca="1">IFERROR(__xludf.UNSUPPORTED("""COMPUTED_VALUE"""),"Pelotas")</f>
        <v>Pelotas</v>
      </c>
      <c r="D1213" s="3" t="str">
        <f ca="1">IFERROR(__xludf.UNSUPPORTED("""COMPUTED_VALUE"""),"🚢 REGULAR")</f>
        <v>🚢 REGULAR</v>
      </c>
      <c r="E1213" s="3" t="str">
        <f ca="1">IFERROR(__xludf.UNSUPPORTED("""COMPUTED_VALUE"""),"🚛 LIBERADO")</f>
        <v>🚛 LIBERADO</v>
      </c>
      <c r="F1213" s="5">
        <f ca="1">IFERROR(__xludf.UNSUPPORTED("""COMPUTED_VALUE"""),0)</f>
        <v>0</v>
      </c>
      <c r="G1213" s="3" t="str">
        <f ca="1">IFERROR(__xludf.UNSUPPORTED("""COMPUTED_VALUE"""),"Normalidade")</f>
        <v>Normalidade</v>
      </c>
      <c r="H1213" s="4">
        <f ca="1">IFERROR(__xludf.UNSUPPORTED("""COMPUTED_VALUE"""),44936.4895138888)</f>
        <v>44936.489513888802</v>
      </c>
      <c r="I1213" s="3">
        <f ca="1">IFERROR(__xludf.UNSUPPORTED("""COMPUTED_VALUE"""),24)</f>
        <v>24</v>
      </c>
      <c r="J1213" s="4">
        <f ca="1">IFERROR(__xludf.UNSUPPORTED("""COMPUTED_VALUE"""),44937.4895138888)</f>
        <v>44937.489513888802</v>
      </c>
      <c r="L1213" s="3" t="str">
        <f ca="1">IFERROR(__xludf.UNSUPPORTED("""COMPUTED_VALUE"""),"Normalidade")</f>
        <v>Normalidade</v>
      </c>
    </row>
    <row r="1214" spans="1:12" ht="12.75">
      <c r="A1214" s="3" t="str">
        <f ca="1">IFERROR(__xludf.UNSUPPORTED("""COMPUTED_VALUE"""),"763d8175")</f>
        <v>763d8175</v>
      </c>
      <c r="B1214" s="4">
        <f ca="1">IFERROR(__xludf.UNSUPPORTED("""COMPUTED_VALUE"""),44937.3761921296)</f>
        <v>44937.376192129603</v>
      </c>
      <c r="C1214" s="8" t="str">
        <f ca="1">IFERROR(__xludf.UNSUPPORTED("""COMPUTED_VALUE"""),"Pelotas")</f>
        <v>Pelotas</v>
      </c>
      <c r="D1214" s="3" t="str">
        <f ca="1">IFERROR(__xludf.UNSUPPORTED("""COMPUTED_VALUE"""),"🚢 REGULAR")</f>
        <v>🚢 REGULAR</v>
      </c>
      <c r="E1214" s="3" t="str">
        <f ca="1">IFERROR(__xludf.UNSUPPORTED("""COMPUTED_VALUE"""),"🚛 LIBERADO")</f>
        <v>🚛 LIBERADO</v>
      </c>
      <c r="F1214" s="5">
        <f ca="1">IFERROR(__xludf.UNSUPPORTED("""COMPUTED_VALUE"""),0)</f>
        <v>0</v>
      </c>
      <c r="G1214" s="3" t="str">
        <f ca="1">IFERROR(__xludf.UNSUPPORTED("""COMPUTED_VALUE"""),"Normalidade")</f>
        <v>Normalidade</v>
      </c>
      <c r="H1214" s="4">
        <f ca="1">IFERROR(__xludf.UNSUPPORTED("""COMPUTED_VALUE"""),44937.3761921296)</f>
        <v>44937.376192129603</v>
      </c>
      <c r="I1214" s="3">
        <f ca="1">IFERROR(__xludf.UNSUPPORTED("""COMPUTED_VALUE"""),24)</f>
        <v>24</v>
      </c>
      <c r="J1214" s="4">
        <f ca="1">IFERROR(__xludf.UNSUPPORTED("""COMPUTED_VALUE"""),44938.3761921296)</f>
        <v>44938.376192129603</v>
      </c>
      <c r="L1214" s="3" t="str">
        <f ca="1">IFERROR(__xludf.UNSUPPORTED("""COMPUTED_VALUE"""),"Normalidade")</f>
        <v>Normalidade</v>
      </c>
    </row>
    <row r="1215" spans="1:12" ht="12.75">
      <c r="A1215" s="3" t="str">
        <f ca="1">IFERROR(__xludf.UNSUPPORTED("""COMPUTED_VALUE"""),"1a581c3e")</f>
        <v>1a581c3e</v>
      </c>
      <c r="B1215" s="4">
        <f ca="1">IFERROR(__xludf.UNSUPPORTED("""COMPUTED_VALUE"""),44942.4388194444)</f>
        <v>44942.438819444404</v>
      </c>
      <c r="C1215" s="8" t="str">
        <f ca="1">IFERROR(__xludf.UNSUPPORTED("""COMPUTED_VALUE"""),"Pelotas")</f>
        <v>Pelotas</v>
      </c>
      <c r="D1215" s="3" t="str">
        <f ca="1">IFERROR(__xludf.UNSUPPORTED("""COMPUTED_VALUE"""),"🚢 REGULAR")</f>
        <v>🚢 REGULAR</v>
      </c>
      <c r="E1215" s="3" t="str">
        <f ca="1">IFERROR(__xludf.UNSUPPORTED("""COMPUTED_VALUE"""),"🚛 LIBERADO")</f>
        <v>🚛 LIBERADO</v>
      </c>
      <c r="F1215" s="5">
        <f ca="1">IFERROR(__xludf.UNSUPPORTED("""COMPUTED_VALUE"""),0)</f>
        <v>0</v>
      </c>
      <c r="G1215" s="3" t="str">
        <f ca="1">IFERROR(__xludf.UNSUPPORTED("""COMPUTED_VALUE"""),"Normalidade")</f>
        <v>Normalidade</v>
      </c>
      <c r="H1215" s="4">
        <f ca="1">IFERROR(__xludf.UNSUPPORTED("""COMPUTED_VALUE"""),44942.4388194444)</f>
        <v>44942.438819444404</v>
      </c>
      <c r="I1215" s="3">
        <f ca="1">IFERROR(__xludf.UNSUPPORTED("""COMPUTED_VALUE"""),24)</f>
        <v>24</v>
      </c>
      <c r="J1215" s="4">
        <f ca="1">IFERROR(__xludf.UNSUPPORTED("""COMPUTED_VALUE"""),44943.4388194444)</f>
        <v>44943.438819444404</v>
      </c>
      <c r="L1215" s="3" t="str">
        <f ca="1">IFERROR(__xludf.UNSUPPORTED("""COMPUTED_VALUE"""),"Normalidade")</f>
        <v>Normalidade</v>
      </c>
    </row>
    <row r="1216" spans="1:12" ht="12.75">
      <c r="A1216" s="3" t="str">
        <f ca="1">IFERROR(__xludf.UNSUPPORTED("""COMPUTED_VALUE"""),"06d59c4e")</f>
        <v>06d59c4e</v>
      </c>
      <c r="B1216" s="4">
        <f ca="1">IFERROR(__xludf.UNSUPPORTED("""COMPUTED_VALUE"""),44943.3842013888)</f>
        <v>44943.384201388799</v>
      </c>
      <c r="C1216" s="8" t="str">
        <f ca="1">IFERROR(__xludf.UNSUPPORTED("""COMPUTED_VALUE"""),"Pelotas")</f>
        <v>Pelotas</v>
      </c>
      <c r="D1216" s="3" t="str">
        <f ca="1">IFERROR(__xludf.UNSUPPORTED("""COMPUTED_VALUE"""),"🚢 REGULAR")</f>
        <v>🚢 REGULAR</v>
      </c>
      <c r="E1216" s="3" t="str">
        <f ca="1">IFERROR(__xludf.UNSUPPORTED("""COMPUTED_VALUE"""),"🚛 LIBERADO")</f>
        <v>🚛 LIBERADO</v>
      </c>
      <c r="F1216" s="5">
        <f ca="1">IFERROR(__xludf.UNSUPPORTED("""COMPUTED_VALUE"""),0)</f>
        <v>0</v>
      </c>
      <c r="G1216" s="3" t="str">
        <f ca="1">IFERROR(__xludf.UNSUPPORTED("""COMPUTED_VALUE"""),"Normalidade")</f>
        <v>Normalidade</v>
      </c>
      <c r="H1216" s="4">
        <f ca="1">IFERROR(__xludf.UNSUPPORTED("""COMPUTED_VALUE"""),44943.3842013888)</f>
        <v>44943.384201388799</v>
      </c>
      <c r="I1216" s="3">
        <f ca="1">IFERROR(__xludf.UNSUPPORTED("""COMPUTED_VALUE"""),24)</f>
        <v>24</v>
      </c>
      <c r="J1216" s="4">
        <f ca="1">IFERROR(__xludf.UNSUPPORTED("""COMPUTED_VALUE"""),44944.3842013888)</f>
        <v>44944.384201388799</v>
      </c>
      <c r="L1216" s="3" t="str">
        <f ca="1">IFERROR(__xludf.UNSUPPORTED("""COMPUTED_VALUE"""),"Normalidade")</f>
        <v>Normalidade</v>
      </c>
    </row>
    <row r="1217" spans="1:12" ht="12.75">
      <c r="A1217" s="3" t="str">
        <f ca="1">IFERROR(__xludf.UNSUPPORTED("""COMPUTED_VALUE"""),"95306f39")</f>
        <v>95306f39</v>
      </c>
      <c r="B1217" s="4">
        <f ca="1">IFERROR(__xludf.UNSUPPORTED("""COMPUTED_VALUE"""),44945.4369907407)</f>
        <v>44945.436990740702</v>
      </c>
      <c r="C1217" s="8" t="str">
        <f ca="1">IFERROR(__xludf.UNSUPPORTED("""COMPUTED_VALUE"""),"Pelotas")</f>
        <v>Pelotas</v>
      </c>
      <c r="D1217" s="3" t="str">
        <f ca="1">IFERROR(__xludf.UNSUPPORTED("""COMPUTED_VALUE"""),"🚢 REGULAR")</f>
        <v>🚢 REGULAR</v>
      </c>
      <c r="E1217" s="3" t="str">
        <f ca="1">IFERROR(__xludf.UNSUPPORTED("""COMPUTED_VALUE"""),"🚛 LIBERADO")</f>
        <v>🚛 LIBERADO</v>
      </c>
      <c r="F1217" s="5">
        <f ca="1">IFERROR(__xludf.UNSUPPORTED("""COMPUTED_VALUE"""),0)</f>
        <v>0</v>
      </c>
      <c r="G1217" s="3" t="str">
        <f ca="1">IFERROR(__xludf.UNSUPPORTED("""COMPUTED_VALUE"""),"Normalidade")</f>
        <v>Normalidade</v>
      </c>
      <c r="H1217" s="4">
        <f ca="1">IFERROR(__xludf.UNSUPPORTED("""COMPUTED_VALUE"""),44945.4369907407)</f>
        <v>44945.436990740702</v>
      </c>
      <c r="I1217" s="3">
        <f ca="1">IFERROR(__xludf.UNSUPPORTED("""COMPUTED_VALUE"""),24)</f>
        <v>24</v>
      </c>
      <c r="J1217" s="4">
        <f ca="1">IFERROR(__xludf.UNSUPPORTED("""COMPUTED_VALUE"""),44946.4369907407)</f>
        <v>44946.436990740702</v>
      </c>
      <c r="L1217" s="3" t="str">
        <f ca="1">IFERROR(__xludf.UNSUPPORTED("""COMPUTED_VALUE"""),"Normalidade")</f>
        <v>Normalidade</v>
      </c>
    </row>
    <row r="1218" spans="1:12" ht="12.75">
      <c r="A1218" s="3" t="str">
        <f ca="1">IFERROR(__xludf.UNSUPPORTED("""COMPUTED_VALUE"""),"fbc5ba57")</f>
        <v>fbc5ba57</v>
      </c>
      <c r="B1218" s="4">
        <f ca="1">IFERROR(__xludf.UNSUPPORTED("""COMPUTED_VALUE"""),44946.3979976851)</f>
        <v>44946.397997685097</v>
      </c>
      <c r="C1218" s="7" t="str">
        <f ca="1">IFERROR(__xludf.UNSUPPORTED("""COMPUTED_VALUE"""),"Pelotas")</f>
        <v>Pelotas</v>
      </c>
      <c r="D1218" s="3" t="str">
        <f ca="1">IFERROR(__xludf.UNSUPPORTED("""COMPUTED_VALUE"""),"🚢 REGULAR")</f>
        <v>🚢 REGULAR</v>
      </c>
      <c r="E1218" s="3" t="str">
        <f ca="1">IFERROR(__xludf.UNSUPPORTED("""COMPUTED_VALUE"""),"🚛 LIBERADO")</f>
        <v>🚛 LIBERADO</v>
      </c>
      <c r="F1218" s="5">
        <f ca="1">IFERROR(__xludf.UNSUPPORTED("""COMPUTED_VALUE"""),0)</f>
        <v>0</v>
      </c>
      <c r="G1218" s="3" t="str">
        <f ca="1">IFERROR(__xludf.UNSUPPORTED("""COMPUTED_VALUE"""),"Normalidade")</f>
        <v>Normalidade</v>
      </c>
      <c r="H1218" s="4">
        <f ca="1">IFERROR(__xludf.UNSUPPORTED("""COMPUTED_VALUE"""),44946.3979976851)</f>
        <v>44946.397997685097</v>
      </c>
      <c r="I1218" s="3">
        <f ca="1">IFERROR(__xludf.UNSUPPORTED("""COMPUTED_VALUE"""),24)</f>
        <v>24</v>
      </c>
      <c r="J1218" s="4">
        <f ca="1">IFERROR(__xludf.UNSUPPORTED("""COMPUTED_VALUE"""),44947.3979976851)</f>
        <v>44947.397997685097</v>
      </c>
      <c r="L1218" s="3" t="str">
        <f ca="1">IFERROR(__xludf.UNSUPPORTED("""COMPUTED_VALUE"""),"Normalidade")</f>
        <v>Normalidade</v>
      </c>
    </row>
    <row r="1219" spans="1:12" ht="12.75">
      <c r="A1219" s="3" t="str">
        <f ca="1">IFERROR(__xludf.UNSUPPORTED("""COMPUTED_VALUE"""),"6f80a2ef")</f>
        <v>6f80a2ef</v>
      </c>
      <c r="B1219" s="4">
        <f ca="1">IFERROR(__xludf.UNSUPPORTED("""COMPUTED_VALUE"""),44949.382974537)</f>
        <v>44949.382974537002</v>
      </c>
      <c r="C1219" s="8" t="str">
        <f ca="1">IFERROR(__xludf.UNSUPPORTED("""COMPUTED_VALUE"""),"Pelotas")</f>
        <v>Pelotas</v>
      </c>
      <c r="D1219" s="3" t="str">
        <f ca="1">IFERROR(__xludf.UNSUPPORTED("""COMPUTED_VALUE"""),"🚢 REGULAR")</f>
        <v>🚢 REGULAR</v>
      </c>
      <c r="E1219" s="3" t="str">
        <f ca="1">IFERROR(__xludf.UNSUPPORTED("""COMPUTED_VALUE"""),"🚛 LIBERADO")</f>
        <v>🚛 LIBERADO</v>
      </c>
      <c r="F1219" s="5">
        <f ca="1">IFERROR(__xludf.UNSUPPORTED("""COMPUTED_VALUE"""),0)</f>
        <v>0</v>
      </c>
      <c r="G1219" s="3" t="str">
        <f ca="1">IFERROR(__xludf.UNSUPPORTED("""COMPUTED_VALUE"""),"Normalidade")</f>
        <v>Normalidade</v>
      </c>
      <c r="H1219" s="4">
        <f ca="1">IFERROR(__xludf.UNSUPPORTED("""COMPUTED_VALUE"""),44949.382974537)</f>
        <v>44949.382974537002</v>
      </c>
      <c r="I1219" s="3">
        <f ca="1">IFERROR(__xludf.UNSUPPORTED("""COMPUTED_VALUE"""),24)</f>
        <v>24</v>
      </c>
      <c r="J1219" s="4">
        <f ca="1">IFERROR(__xludf.UNSUPPORTED("""COMPUTED_VALUE"""),44950.382974537)</f>
        <v>44950.382974537002</v>
      </c>
      <c r="L1219" s="3" t="str">
        <f ca="1">IFERROR(__xludf.UNSUPPORTED("""COMPUTED_VALUE"""),"Normalidade")</f>
        <v>Normalidade</v>
      </c>
    </row>
    <row r="1220" spans="1:12" ht="12.75">
      <c r="A1220" s="3" t="str">
        <f ca="1">IFERROR(__xludf.UNSUPPORTED("""COMPUTED_VALUE"""),"145a865f")</f>
        <v>145a865f</v>
      </c>
      <c r="B1220" s="4">
        <f ca="1">IFERROR(__xludf.UNSUPPORTED("""COMPUTED_VALUE"""),44950.3676157407)</f>
        <v>44950.367615740703</v>
      </c>
      <c r="C1220" s="7" t="str">
        <f ca="1">IFERROR(__xludf.UNSUPPORTED("""COMPUTED_VALUE"""),"Pelotas")</f>
        <v>Pelotas</v>
      </c>
      <c r="D1220" s="3" t="str">
        <f ca="1">IFERROR(__xludf.UNSUPPORTED("""COMPUTED_VALUE"""),"🚢 REGULAR")</f>
        <v>🚢 REGULAR</v>
      </c>
      <c r="E1220" s="3" t="str">
        <f ca="1">IFERROR(__xludf.UNSUPPORTED("""COMPUTED_VALUE"""),"🚛 LIBERADO")</f>
        <v>🚛 LIBERADO</v>
      </c>
      <c r="F1220" s="5">
        <f ca="1">IFERROR(__xludf.UNSUPPORTED("""COMPUTED_VALUE"""),0)</f>
        <v>0</v>
      </c>
      <c r="G1220" s="3" t="str">
        <f ca="1">IFERROR(__xludf.UNSUPPORTED("""COMPUTED_VALUE"""),"Normalidade")</f>
        <v>Normalidade</v>
      </c>
      <c r="H1220" s="4">
        <f ca="1">IFERROR(__xludf.UNSUPPORTED("""COMPUTED_VALUE"""),44950.3676157407)</f>
        <v>44950.367615740703</v>
      </c>
      <c r="I1220" s="3">
        <f ca="1">IFERROR(__xludf.UNSUPPORTED("""COMPUTED_VALUE"""),24)</f>
        <v>24</v>
      </c>
      <c r="J1220" s="4">
        <f ca="1">IFERROR(__xludf.UNSUPPORTED("""COMPUTED_VALUE"""),44951.3676157407)</f>
        <v>44951.367615740703</v>
      </c>
      <c r="L1220" s="3" t="str">
        <f ca="1">IFERROR(__xludf.UNSUPPORTED("""COMPUTED_VALUE"""),"Normalidade")</f>
        <v>Normalidade</v>
      </c>
    </row>
    <row r="1221" spans="1:12" ht="12.75">
      <c r="A1221" s="3" t="str">
        <f ca="1">IFERROR(__xludf.UNSUPPORTED("""COMPUTED_VALUE"""),"cd7ddcea")</f>
        <v>cd7ddcea</v>
      </c>
      <c r="B1221" s="4">
        <f ca="1">IFERROR(__xludf.UNSUPPORTED("""COMPUTED_VALUE"""),44951.3693055555)</f>
        <v>44951.369305555498</v>
      </c>
      <c r="C1221" s="8" t="str">
        <f ca="1">IFERROR(__xludf.UNSUPPORTED("""COMPUTED_VALUE"""),"Pelotas")</f>
        <v>Pelotas</v>
      </c>
      <c r="D1221" s="3" t="str">
        <f ca="1">IFERROR(__xludf.UNSUPPORTED("""COMPUTED_VALUE"""),"🚢 REGULAR")</f>
        <v>🚢 REGULAR</v>
      </c>
      <c r="E1221" s="3" t="str">
        <f ca="1">IFERROR(__xludf.UNSUPPORTED("""COMPUTED_VALUE"""),"🚛 LIBERADO")</f>
        <v>🚛 LIBERADO</v>
      </c>
      <c r="F1221" s="5">
        <f ca="1">IFERROR(__xludf.UNSUPPORTED("""COMPUTED_VALUE"""),0)</f>
        <v>0</v>
      </c>
      <c r="G1221" s="3" t="str">
        <f ca="1">IFERROR(__xludf.UNSUPPORTED("""COMPUTED_VALUE"""),"Normalidade")</f>
        <v>Normalidade</v>
      </c>
      <c r="H1221" s="4">
        <f ca="1">IFERROR(__xludf.UNSUPPORTED("""COMPUTED_VALUE"""),44951.3693055555)</f>
        <v>44951.369305555498</v>
      </c>
      <c r="I1221" s="3">
        <f ca="1">IFERROR(__xludf.UNSUPPORTED("""COMPUTED_VALUE"""),24)</f>
        <v>24</v>
      </c>
      <c r="J1221" s="4">
        <f ca="1">IFERROR(__xludf.UNSUPPORTED("""COMPUTED_VALUE"""),44952.3693055555)</f>
        <v>44952.369305555498</v>
      </c>
      <c r="L1221" s="3" t="str">
        <f ca="1">IFERROR(__xludf.UNSUPPORTED("""COMPUTED_VALUE"""),"Normalidade")</f>
        <v>Normalidade</v>
      </c>
    </row>
    <row r="1222" spans="1:12" ht="12.75">
      <c r="A1222" s="3" t="str">
        <f ca="1">IFERROR(__xludf.UNSUPPORTED("""COMPUTED_VALUE"""),"7f7b209e")</f>
        <v>7f7b209e</v>
      </c>
      <c r="B1222" s="4">
        <f ca="1">IFERROR(__xludf.UNSUPPORTED("""COMPUTED_VALUE"""),44952.3750578703)</f>
        <v>44952.375057870297</v>
      </c>
      <c r="C1222" s="7" t="str">
        <f ca="1">IFERROR(__xludf.UNSUPPORTED("""COMPUTED_VALUE"""),"Pelotas")</f>
        <v>Pelotas</v>
      </c>
      <c r="D1222" s="3" t="str">
        <f ca="1">IFERROR(__xludf.UNSUPPORTED("""COMPUTED_VALUE"""),"🚢 REGULAR")</f>
        <v>🚢 REGULAR</v>
      </c>
      <c r="E1222" s="3" t="str">
        <f ca="1">IFERROR(__xludf.UNSUPPORTED("""COMPUTED_VALUE"""),"🚛 LIBERADO")</f>
        <v>🚛 LIBERADO</v>
      </c>
      <c r="F1222" s="5">
        <f ca="1">IFERROR(__xludf.UNSUPPORTED("""COMPUTED_VALUE"""),0)</f>
        <v>0</v>
      </c>
      <c r="G1222" s="3" t="str">
        <f ca="1">IFERROR(__xludf.UNSUPPORTED("""COMPUTED_VALUE"""),"Normalidade")</f>
        <v>Normalidade</v>
      </c>
      <c r="H1222" s="4">
        <f ca="1">IFERROR(__xludf.UNSUPPORTED("""COMPUTED_VALUE"""),44952.3750578703)</f>
        <v>44952.375057870297</v>
      </c>
      <c r="I1222" s="3">
        <f ca="1">IFERROR(__xludf.UNSUPPORTED("""COMPUTED_VALUE"""),24)</f>
        <v>24</v>
      </c>
      <c r="J1222" s="4">
        <f ca="1">IFERROR(__xludf.UNSUPPORTED("""COMPUTED_VALUE"""),44953.3750578703)</f>
        <v>44953.375057870297</v>
      </c>
      <c r="L1222" s="3" t="str">
        <f ca="1">IFERROR(__xludf.UNSUPPORTED("""COMPUTED_VALUE"""),"Normalidade")</f>
        <v>Normalidade</v>
      </c>
    </row>
    <row r="1223" spans="1:12" ht="12.75">
      <c r="A1223" s="3" t="str">
        <f ca="1">IFERROR(__xludf.UNSUPPORTED("""COMPUTED_VALUE"""),"5a351294")</f>
        <v>5a351294</v>
      </c>
      <c r="B1223" s="4">
        <f ca="1">IFERROR(__xludf.UNSUPPORTED("""COMPUTED_VALUE"""),44953.3467361111)</f>
        <v>44953.346736111103</v>
      </c>
      <c r="C1223" s="8" t="str">
        <f ca="1">IFERROR(__xludf.UNSUPPORTED("""COMPUTED_VALUE"""),"Pelotas")</f>
        <v>Pelotas</v>
      </c>
      <c r="D1223" s="3" t="str">
        <f ca="1">IFERROR(__xludf.UNSUPPORTED("""COMPUTED_VALUE"""),"🚢 REGULAR")</f>
        <v>🚢 REGULAR</v>
      </c>
      <c r="E1223" s="3" t="str">
        <f ca="1">IFERROR(__xludf.UNSUPPORTED("""COMPUTED_VALUE"""),"🚛 LIBERADO")</f>
        <v>🚛 LIBERADO</v>
      </c>
      <c r="F1223" s="5">
        <f ca="1">IFERROR(__xludf.UNSUPPORTED("""COMPUTED_VALUE"""),0)</f>
        <v>0</v>
      </c>
      <c r="G1223" s="3" t="str">
        <f ca="1">IFERROR(__xludf.UNSUPPORTED("""COMPUTED_VALUE"""),"Normalidade")</f>
        <v>Normalidade</v>
      </c>
      <c r="H1223" s="4">
        <f ca="1">IFERROR(__xludf.UNSUPPORTED("""COMPUTED_VALUE"""),44953.3467361111)</f>
        <v>44953.346736111103</v>
      </c>
      <c r="I1223" s="3">
        <f ca="1">IFERROR(__xludf.UNSUPPORTED("""COMPUTED_VALUE"""),24)</f>
        <v>24</v>
      </c>
      <c r="J1223" s="4">
        <f ca="1">IFERROR(__xludf.UNSUPPORTED("""COMPUTED_VALUE"""),44954.3467361111)</f>
        <v>44954.346736111103</v>
      </c>
      <c r="L1223" s="3" t="str">
        <f ca="1">IFERROR(__xludf.UNSUPPORTED("""COMPUTED_VALUE"""),"Normalidade")</f>
        <v>Normalidade</v>
      </c>
    </row>
    <row r="1224" spans="1:12" ht="12.75">
      <c r="A1224" s="3" t="str">
        <f ca="1">IFERROR(__xludf.UNSUPPORTED("""COMPUTED_VALUE"""),"68eba669")</f>
        <v>68eba669</v>
      </c>
      <c r="B1224" s="4">
        <f ca="1">IFERROR(__xludf.UNSUPPORTED("""COMPUTED_VALUE"""),44956.3975810185)</f>
        <v>44956.3975810185</v>
      </c>
      <c r="C1224" s="8" t="str">
        <f ca="1">IFERROR(__xludf.UNSUPPORTED("""COMPUTED_VALUE"""),"Pelotas")</f>
        <v>Pelotas</v>
      </c>
      <c r="D1224" s="3" t="str">
        <f ca="1">IFERROR(__xludf.UNSUPPORTED("""COMPUTED_VALUE"""),"🚢 REGULAR")</f>
        <v>🚢 REGULAR</v>
      </c>
      <c r="E1224" s="3" t="str">
        <f ca="1">IFERROR(__xludf.UNSUPPORTED("""COMPUTED_VALUE"""),"🚛 LIBERADO")</f>
        <v>🚛 LIBERADO</v>
      </c>
      <c r="F1224" s="5">
        <f ca="1">IFERROR(__xludf.UNSUPPORTED("""COMPUTED_VALUE"""),0)</f>
        <v>0</v>
      </c>
      <c r="G1224" s="3" t="str">
        <f ca="1">IFERROR(__xludf.UNSUPPORTED("""COMPUTED_VALUE"""),"Normalidade")</f>
        <v>Normalidade</v>
      </c>
      <c r="H1224" s="4">
        <f ca="1">IFERROR(__xludf.UNSUPPORTED("""COMPUTED_VALUE"""),44956.3975810185)</f>
        <v>44956.3975810185</v>
      </c>
      <c r="I1224" s="3">
        <f ca="1">IFERROR(__xludf.UNSUPPORTED("""COMPUTED_VALUE"""),24)</f>
        <v>24</v>
      </c>
      <c r="J1224" s="4">
        <f ca="1">IFERROR(__xludf.UNSUPPORTED("""COMPUTED_VALUE"""),44957.3975810185)</f>
        <v>44957.3975810185</v>
      </c>
      <c r="L1224" s="3" t="str">
        <f ca="1">IFERROR(__xludf.UNSUPPORTED("""COMPUTED_VALUE"""),"Normalidade")</f>
        <v>Normalidade</v>
      </c>
    </row>
    <row r="1225" spans="1:12" ht="12.75">
      <c r="A1225" s="3" t="str">
        <f ca="1">IFERROR(__xludf.UNSUPPORTED("""COMPUTED_VALUE"""),"8fa0be77")</f>
        <v>8fa0be77</v>
      </c>
      <c r="B1225" s="4">
        <f ca="1">IFERROR(__xludf.UNSUPPORTED("""COMPUTED_VALUE"""),44957.3362731481)</f>
        <v>44957.336273148103</v>
      </c>
      <c r="C1225" s="7" t="str">
        <f ca="1">IFERROR(__xludf.UNSUPPORTED("""COMPUTED_VALUE"""),"Pelotas")</f>
        <v>Pelotas</v>
      </c>
      <c r="D1225" s="3" t="str">
        <f ca="1">IFERROR(__xludf.UNSUPPORTED("""COMPUTED_VALUE"""),"🚢 REGULAR")</f>
        <v>🚢 REGULAR</v>
      </c>
      <c r="E1225" s="3" t="str">
        <f ca="1">IFERROR(__xludf.UNSUPPORTED("""COMPUTED_VALUE"""),"🚛 LIBERADO")</f>
        <v>🚛 LIBERADO</v>
      </c>
      <c r="F1225" s="5">
        <f ca="1">IFERROR(__xludf.UNSUPPORTED("""COMPUTED_VALUE"""),0)</f>
        <v>0</v>
      </c>
      <c r="G1225" s="3" t="str">
        <f ca="1">IFERROR(__xludf.UNSUPPORTED("""COMPUTED_VALUE"""),"Normalidade")</f>
        <v>Normalidade</v>
      </c>
      <c r="H1225" s="4">
        <f ca="1">IFERROR(__xludf.UNSUPPORTED("""COMPUTED_VALUE"""),44957.3362731481)</f>
        <v>44957.336273148103</v>
      </c>
      <c r="I1225" s="3">
        <f ca="1">IFERROR(__xludf.UNSUPPORTED("""COMPUTED_VALUE"""),24)</f>
        <v>24</v>
      </c>
      <c r="J1225" s="4">
        <f ca="1">IFERROR(__xludf.UNSUPPORTED("""COMPUTED_VALUE"""),44958.3362731481)</f>
        <v>44958.336273148103</v>
      </c>
      <c r="L1225" s="3" t="str">
        <f ca="1">IFERROR(__xludf.UNSUPPORTED("""COMPUTED_VALUE"""),"Normalidade")</f>
        <v>Normalidade</v>
      </c>
    </row>
    <row r="1226" spans="1:12" ht="12.75">
      <c r="A1226" s="3" t="str">
        <f ca="1">IFERROR(__xludf.UNSUPPORTED("""COMPUTED_VALUE"""),"8c94ac3a")</f>
        <v>8c94ac3a</v>
      </c>
      <c r="B1226" s="4">
        <f ca="1">IFERROR(__xludf.UNSUPPORTED("""COMPUTED_VALUE"""),44958.3727777777)</f>
        <v>44958.372777777702</v>
      </c>
      <c r="C1226" s="8" t="str">
        <f ca="1">IFERROR(__xludf.UNSUPPORTED("""COMPUTED_VALUE"""),"Pelotas")</f>
        <v>Pelotas</v>
      </c>
      <c r="D1226" s="3" t="str">
        <f ca="1">IFERROR(__xludf.UNSUPPORTED("""COMPUTED_VALUE"""),"🚢 REGULAR")</f>
        <v>🚢 REGULAR</v>
      </c>
      <c r="E1226" s="3" t="str">
        <f ca="1">IFERROR(__xludf.UNSUPPORTED("""COMPUTED_VALUE"""),"🚛 LIBERADO")</f>
        <v>🚛 LIBERADO</v>
      </c>
      <c r="F1226" s="5">
        <f ca="1">IFERROR(__xludf.UNSUPPORTED("""COMPUTED_VALUE"""),0)</f>
        <v>0</v>
      </c>
      <c r="G1226" s="3" t="str">
        <f ca="1">IFERROR(__xludf.UNSUPPORTED("""COMPUTED_VALUE"""),"Normalidade")</f>
        <v>Normalidade</v>
      </c>
      <c r="H1226" s="4">
        <f ca="1">IFERROR(__xludf.UNSUPPORTED("""COMPUTED_VALUE"""),44958.3727777777)</f>
        <v>44958.372777777702</v>
      </c>
      <c r="I1226" s="3">
        <f ca="1">IFERROR(__xludf.UNSUPPORTED("""COMPUTED_VALUE"""),24)</f>
        <v>24</v>
      </c>
      <c r="J1226" s="4">
        <f ca="1">IFERROR(__xludf.UNSUPPORTED("""COMPUTED_VALUE"""),44959.3727777777)</f>
        <v>44959.372777777702</v>
      </c>
      <c r="L1226" s="3" t="str">
        <f ca="1">IFERROR(__xludf.UNSUPPORTED("""COMPUTED_VALUE"""),"Normalidade")</f>
        <v>Normalidade</v>
      </c>
    </row>
    <row r="1227" spans="1:12" ht="12.75">
      <c r="A1227" s="3" t="str">
        <f ca="1">IFERROR(__xludf.UNSUPPORTED("""COMPUTED_VALUE"""),"d71c0e48")</f>
        <v>d71c0e48</v>
      </c>
      <c r="B1227" s="4">
        <f ca="1">IFERROR(__xludf.UNSUPPORTED("""COMPUTED_VALUE"""),44959.3596527777)</f>
        <v>44959.359652777697</v>
      </c>
      <c r="C1227" s="8" t="str">
        <f ca="1">IFERROR(__xludf.UNSUPPORTED("""COMPUTED_VALUE"""),"Pelotas")</f>
        <v>Pelotas</v>
      </c>
      <c r="D1227" s="3" t="str">
        <f ca="1">IFERROR(__xludf.UNSUPPORTED("""COMPUTED_VALUE"""),"🚢 REGULAR")</f>
        <v>🚢 REGULAR</v>
      </c>
      <c r="E1227" s="3" t="str">
        <f ca="1">IFERROR(__xludf.UNSUPPORTED("""COMPUTED_VALUE"""),"🚛 LIBERADO")</f>
        <v>🚛 LIBERADO</v>
      </c>
      <c r="F1227" s="5">
        <f ca="1">IFERROR(__xludf.UNSUPPORTED("""COMPUTED_VALUE"""),0)</f>
        <v>0</v>
      </c>
      <c r="G1227" s="3" t="str">
        <f ca="1">IFERROR(__xludf.UNSUPPORTED("""COMPUTED_VALUE"""),"Normalidade")</f>
        <v>Normalidade</v>
      </c>
      <c r="H1227" s="4">
        <f ca="1">IFERROR(__xludf.UNSUPPORTED("""COMPUTED_VALUE"""),44959.3596527777)</f>
        <v>44959.359652777697</v>
      </c>
      <c r="I1227" s="3">
        <f ca="1">IFERROR(__xludf.UNSUPPORTED("""COMPUTED_VALUE"""),24)</f>
        <v>24</v>
      </c>
      <c r="J1227" s="4">
        <f ca="1">IFERROR(__xludf.UNSUPPORTED("""COMPUTED_VALUE"""),44960.3596527777)</f>
        <v>44960.359652777697</v>
      </c>
      <c r="L1227" s="3" t="str">
        <f ca="1">IFERROR(__xludf.UNSUPPORTED("""COMPUTED_VALUE"""),"Normalidade")</f>
        <v>Normalidade</v>
      </c>
    </row>
    <row r="1228" spans="1:12" ht="12.75">
      <c r="A1228" s="3" t="str">
        <f ca="1">IFERROR(__xludf.UNSUPPORTED("""COMPUTED_VALUE"""),"c347e4f4")</f>
        <v>c347e4f4</v>
      </c>
      <c r="B1228" s="4">
        <f ca="1">IFERROR(__xludf.UNSUPPORTED("""COMPUTED_VALUE"""),44960.3526157407)</f>
        <v>44960.352615740703</v>
      </c>
      <c r="C1228" s="7" t="str">
        <f ca="1">IFERROR(__xludf.UNSUPPORTED("""COMPUTED_VALUE"""),"Pelotas")</f>
        <v>Pelotas</v>
      </c>
      <c r="D1228" s="3" t="str">
        <f ca="1">IFERROR(__xludf.UNSUPPORTED("""COMPUTED_VALUE"""),"🚢 REGULAR")</f>
        <v>🚢 REGULAR</v>
      </c>
      <c r="E1228" s="3" t="str">
        <f ca="1">IFERROR(__xludf.UNSUPPORTED("""COMPUTED_VALUE"""),"🚛 LIBERADO")</f>
        <v>🚛 LIBERADO</v>
      </c>
      <c r="F1228" s="5">
        <f ca="1">IFERROR(__xludf.UNSUPPORTED("""COMPUTED_VALUE"""),0)</f>
        <v>0</v>
      </c>
      <c r="G1228" s="3" t="str">
        <f ca="1">IFERROR(__xludf.UNSUPPORTED("""COMPUTED_VALUE"""),"Normalidade")</f>
        <v>Normalidade</v>
      </c>
      <c r="H1228" s="4">
        <f ca="1">IFERROR(__xludf.UNSUPPORTED("""COMPUTED_VALUE"""),44960.3526157407)</f>
        <v>44960.352615740703</v>
      </c>
      <c r="I1228" s="3">
        <f ca="1">IFERROR(__xludf.UNSUPPORTED("""COMPUTED_VALUE"""),24)</f>
        <v>24</v>
      </c>
      <c r="J1228" s="4">
        <f ca="1">IFERROR(__xludf.UNSUPPORTED("""COMPUTED_VALUE"""),44961.3526157407)</f>
        <v>44961.352615740703</v>
      </c>
      <c r="L1228" s="3" t="str">
        <f ca="1">IFERROR(__xludf.UNSUPPORTED("""COMPUTED_VALUE"""),"Normalidade")</f>
        <v>Normalidade</v>
      </c>
    </row>
    <row r="1229" spans="1:12" ht="12.75">
      <c r="A1229" s="3" t="str">
        <f ca="1">IFERROR(__xludf.UNSUPPORTED("""COMPUTED_VALUE"""),"5a3af40d")</f>
        <v>5a3af40d</v>
      </c>
      <c r="B1229" s="4">
        <f ca="1">IFERROR(__xludf.UNSUPPORTED("""COMPUTED_VALUE"""),44963.3748379629)</f>
        <v>44963.374837962903</v>
      </c>
      <c r="C1229" s="7" t="str">
        <f ca="1">IFERROR(__xludf.UNSUPPORTED("""COMPUTED_VALUE"""),"Pelotas")</f>
        <v>Pelotas</v>
      </c>
      <c r="D1229" s="3" t="str">
        <f ca="1">IFERROR(__xludf.UNSUPPORTED("""COMPUTED_VALUE"""),"🚢 REGULAR")</f>
        <v>🚢 REGULAR</v>
      </c>
      <c r="E1229" s="3" t="str">
        <f ca="1">IFERROR(__xludf.UNSUPPORTED("""COMPUTED_VALUE"""),"🚛 LIBERADO")</f>
        <v>🚛 LIBERADO</v>
      </c>
      <c r="F1229" s="5">
        <f ca="1">IFERROR(__xludf.UNSUPPORTED("""COMPUTED_VALUE"""),0)</f>
        <v>0</v>
      </c>
      <c r="G1229" s="3" t="str">
        <f ca="1">IFERROR(__xludf.UNSUPPORTED("""COMPUTED_VALUE"""),"Normalidade")</f>
        <v>Normalidade</v>
      </c>
      <c r="H1229" s="4">
        <f ca="1">IFERROR(__xludf.UNSUPPORTED("""COMPUTED_VALUE"""),44963.3748379629)</f>
        <v>44963.374837962903</v>
      </c>
      <c r="I1229" s="3">
        <f ca="1">IFERROR(__xludf.UNSUPPORTED("""COMPUTED_VALUE"""),24)</f>
        <v>24</v>
      </c>
      <c r="J1229" s="4">
        <f ca="1">IFERROR(__xludf.UNSUPPORTED("""COMPUTED_VALUE"""),44964.3748379629)</f>
        <v>44964.374837962903</v>
      </c>
    </row>
    <row r="1230" spans="1:12" ht="12.75">
      <c r="A1230" s="3" t="str">
        <f ca="1">IFERROR(__xludf.UNSUPPORTED("""COMPUTED_VALUE"""),"f2ce5803")</f>
        <v>f2ce5803</v>
      </c>
      <c r="B1230" s="4">
        <f ca="1">IFERROR(__xludf.UNSUPPORTED("""COMPUTED_VALUE"""),44964.3696527777)</f>
        <v>44964.369652777699</v>
      </c>
      <c r="C1230" s="8" t="str">
        <f ca="1">IFERROR(__xludf.UNSUPPORTED("""COMPUTED_VALUE"""),"Pelotas")</f>
        <v>Pelotas</v>
      </c>
      <c r="D1230" s="3" t="str">
        <f ca="1">IFERROR(__xludf.UNSUPPORTED("""COMPUTED_VALUE"""),"🚢 REGULAR")</f>
        <v>🚢 REGULAR</v>
      </c>
      <c r="E1230" s="3" t="str">
        <f ca="1">IFERROR(__xludf.UNSUPPORTED("""COMPUTED_VALUE"""),"🚛 LIBERADO")</f>
        <v>🚛 LIBERADO</v>
      </c>
      <c r="F1230" s="5">
        <f ca="1">IFERROR(__xludf.UNSUPPORTED("""COMPUTED_VALUE"""),0)</f>
        <v>0</v>
      </c>
      <c r="G1230" s="3" t="str">
        <f ca="1">IFERROR(__xludf.UNSUPPORTED("""COMPUTED_VALUE"""),"Normalidade")</f>
        <v>Normalidade</v>
      </c>
      <c r="H1230" s="4">
        <f ca="1">IFERROR(__xludf.UNSUPPORTED("""COMPUTED_VALUE"""),44964.3696527777)</f>
        <v>44964.369652777699</v>
      </c>
      <c r="I1230" s="3">
        <f ca="1">IFERROR(__xludf.UNSUPPORTED("""COMPUTED_VALUE"""),24)</f>
        <v>24</v>
      </c>
      <c r="J1230" s="4">
        <f ca="1">IFERROR(__xludf.UNSUPPORTED("""COMPUTED_VALUE"""),44965.3696527777)</f>
        <v>44965.369652777699</v>
      </c>
      <c r="L1230" s="3" t="str">
        <f ca="1">IFERROR(__xludf.UNSUPPORTED("""COMPUTED_VALUE"""),"Normalidade")</f>
        <v>Normalidade</v>
      </c>
    </row>
    <row r="1231" spans="1:12" ht="12.75">
      <c r="A1231" s="3" t="str">
        <f ca="1">IFERROR(__xludf.UNSUPPORTED("""COMPUTED_VALUE"""),"6081aedc")</f>
        <v>6081aedc</v>
      </c>
      <c r="B1231" s="4">
        <f ca="1">IFERROR(__xludf.UNSUPPORTED("""COMPUTED_VALUE"""),44964.3728472222)</f>
        <v>44964.372847222199</v>
      </c>
      <c r="C1231" s="7" t="str">
        <f ca="1">IFERROR(__xludf.UNSUPPORTED("""COMPUTED_VALUE"""),"Pelotas")</f>
        <v>Pelotas</v>
      </c>
      <c r="D1231" s="3" t="str">
        <f ca="1">IFERROR(__xludf.UNSUPPORTED("""COMPUTED_VALUE"""),"🚢 REGULAR")</f>
        <v>🚢 REGULAR</v>
      </c>
      <c r="E1231" s="3" t="str">
        <f ca="1">IFERROR(__xludf.UNSUPPORTED("""COMPUTED_VALUE"""),"🚛 LIBERADO")</f>
        <v>🚛 LIBERADO</v>
      </c>
      <c r="F1231" s="5">
        <f ca="1">IFERROR(__xludf.UNSUPPORTED("""COMPUTED_VALUE"""),0)</f>
        <v>0</v>
      </c>
      <c r="G1231" s="3" t="str">
        <f ca="1">IFERROR(__xludf.UNSUPPORTED("""COMPUTED_VALUE"""),"Normalidade")</f>
        <v>Normalidade</v>
      </c>
      <c r="H1231" s="4">
        <f ca="1">IFERROR(__xludf.UNSUPPORTED("""COMPUTED_VALUE"""),44964.3728472222)</f>
        <v>44964.372847222199</v>
      </c>
      <c r="I1231" s="3">
        <f ca="1">IFERROR(__xludf.UNSUPPORTED("""COMPUTED_VALUE"""),24)</f>
        <v>24</v>
      </c>
      <c r="J1231" s="4">
        <f ca="1">IFERROR(__xludf.UNSUPPORTED("""COMPUTED_VALUE"""),44965.3728472222)</f>
        <v>44965.372847222199</v>
      </c>
      <c r="L1231" s="3" t="str">
        <f ca="1">IFERROR(__xludf.UNSUPPORTED("""COMPUTED_VALUE"""),"Normalidade")</f>
        <v>Normalidade</v>
      </c>
    </row>
    <row r="1232" spans="1:12" ht="12.75">
      <c r="A1232" s="3" t="str">
        <f ca="1">IFERROR(__xludf.UNSUPPORTED("""COMPUTED_VALUE"""),"9d42ac20")</f>
        <v>9d42ac20</v>
      </c>
      <c r="B1232" s="4">
        <f ca="1">IFERROR(__xludf.UNSUPPORTED("""COMPUTED_VALUE"""),44965.3464004629)</f>
        <v>44965.346400462899</v>
      </c>
      <c r="C1232" s="7" t="str">
        <f ca="1">IFERROR(__xludf.UNSUPPORTED("""COMPUTED_VALUE"""),"Pelotas")</f>
        <v>Pelotas</v>
      </c>
      <c r="D1232" s="3" t="str">
        <f ca="1">IFERROR(__xludf.UNSUPPORTED("""COMPUTED_VALUE"""),"🚢 REGULAR")</f>
        <v>🚢 REGULAR</v>
      </c>
      <c r="E1232" s="3" t="str">
        <f ca="1">IFERROR(__xludf.UNSUPPORTED("""COMPUTED_VALUE"""),"🚛 LIBERADO")</f>
        <v>🚛 LIBERADO</v>
      </c>
      <c r="F1232" s="5">
        <f ca="1">IFERROR(__xludf.UNSUPPORTED("""COMPUTED_VALUE"""),0)</f>
        <v>0</v>
      </c>
      <c r="G1232" s="3" t="str">
        <f ca="1">IFERROR(__xludf.UNSUPPORTED("""COMPUTED_VALUE"""),"Normalidade")</f>
        <v>Normalidade</v>
      </c>
      <c r="H1232" s="4">
        <f ca="1">IFERROR(__xludf.UNSUPPORTED("""COMPUTED_VALUE"""),44965.3464004629)</f>
        <v>44965.346400462899</v>
      </c>
      <c r="I1232" s="3">
        <f ca="1">IFERROR(__xludf.UNSUPPORTED("""COMPUTED_VALUE"""),24)</f>
        <v>24</v>
      </c>
      <c r="J1232" s="4">
        <f ca="1">IFERROR(__xludf.UNSUPPORTED("""COMPUTED_VALUE"""),44966.3464004629)</f>
        <v>44966.346400462899</v>
      </c>
      <c r="L1232" s="3" t="str">
        <f ca="1">IFERROR(__xludf.UNSUPPORTED("""COMPUTED_VALUE"""),"Normalidade")</f>
        <v>Normalidade</v>
      </c>
    </row>
    <row r="1233" spans="1:12" ht="12.75">
      <c r="A1233" s="3" t="str">
        <f ca="1">IFERROR(__xludf.UNSUPPORTED("""COMPUTED_VALUE"""),"877da553")</f>
        <v>877da553</v>
      </c>
      <c r="B1233" s="4">
        <f ca="1">IFERROR(__xludf.UNSUPPORTED("""COMPUTED_VALUE"""),44966.3777199074)</f>
        <v>44966.377719907403</v>
      </c>
      <c r="C1233" s="8" t="str">
        <f ca="1">IFERROR(__xludf.UNSUPPORTED("""COMPUTED_VALUE"""),"Pelotas")</f>
        <v>Pelotas</v>
      </c>
      <c r="D1233" s="3" t="str">
        <f ca="1">IFERROR(__xludf.UNSUPPORTED("""COMPUTED_VALUE"""),"🚢 REGULAR")</f>
        <v>🚢 REGULAR</v>
      </c>
      <c r="E1233" s="3" t="str">
        <f ca="1">IFERROR(__xludf.UNSUPPORTED("""COMPUTED_VALUE"""),"🚛 LIBERADO")</f>
        <v>🚛 LIBERADO</v>
      </c>
      <c r="F1233" s="5">
        <f ca="1">IFERROR(__xludf.UNSUPPORTED("""COMPUTED_VALUE"""),0)</f>
        <v>0</v>
      </c>
      <c r="G1233" s="3" t="str">
        <f ca="1">IFERROR(__xludf.UNSUPPORTED("""COMPUTED_VALUE"""),"Normalidade")</f>
        <v>Normalidade</v>
      </c>
      <c r="H1233" s="4">
        <f ca="1">IFERROR(__xludf.UNSUPPORTED("""COMPUTED_VALUE"""),44966.3777199074)</f>
        <v>44966.377719907403</v>
      </c>
      <c r="I1233" s="3">
        <f ca="1">IFERROR(__xludf.UNSUPPORTED("""COMPUTED_VALUE"""),24)</f>
        <v>24</v>
      </c>
      <c r="J1233" s="4">
        <f ca="1">IFERROR(__xludf.UNSUPPORTED("""COMPUTED_VALUE"""),44967.3777199074)</f>
        <v>44967.377719907403</v>
      </c>
      <c r="L1233" s="3" t="str">
        <f ca="1">IFERROR(__xludf.UNSUPPORTED("""COMPUTED_VALUE"""),"Normalidade")</f>
        <v>Normalidade</v>
      </c>
    </row>
    <row r="1234" spans="1:12" ht="12.75">
      <c r="A1234" s="3" t="str">
        <f ca="1">IFERROR(__xludf.UNSUPPORTED("""COMPUTED_VALUE"""),"e9bdba0c")</f>
        <v>e9bdba0c</v>
      </c>
      <c r="B1234" s="4">
        <f ca="1">IFERROR(__xludf.UNSUPPORTED("""COMPUTED_VALUE"""),44966.3822569444)</f>
        <v>44966.382256944402</v>
      </c>
      <c r="C1234" s="8" t="str">
        <f ca="1">IFERROR(__xludf.UNSUPPORTED("""COMPUTED_VALUE"""),"Pelotas")</f>
        <v>Pelotas</v>
      </c>
      <c r="D1234" s="3" t="str">
        <f ca="1">IFERROR(__xludf.UNSUPPORTED("""COMPUTED_VALUE"""),"🚢 REGULAR")</f>
        <v>🚢 REGULAR</v>
      </c>
      <c r="E1234" s="3" t="str">
        <f ca="1">IFERROR(__xludf.UNSUPPORTED("""COMPUTED_VALUE"""),"🚛 LIBERADO")</f>
        <v>🚛 LIBERADO</v>
      </c>
      <c r="F1234" s="5">
        <f ca="1">IFERROR(__xludf.UNSUPPORTED("""COMPUTED_VALUE"""),0)</f>
        <v>0</v>
      </c>
      <c r="G1234" s="3" t="str">
        <f ca="1">IFERROR(__xludf.UNSUPPORTED("""COMPUTED_VALUE"""),"Normalidade")</f>
        <v>Normalidade</v>
      </c>
      <c r="H1234" s="4">
        <f ca="1">IFERROR(__xludf.UNSUPPORTED("""COMPUTED_VALUE"""),44966.3822569444)</f>
        <v>44966.382256944402</v>
      </c>
      <c r="I1234" s="3">
        <f ca="1">IFERROR(__xludf.UNSUPPORTED("""COMPUTED_VALUE"""),24)</f>
        <v>24</v>
      </c>
      <c r="J1234" s="4">
        <f ca="1">IFERROR(__xludf.UNSUPPORTED("""COMPUTED_VALUE"""),44967.3822569444)</f>
        <v>44967.382256944402</v>
      </c>
      <c r="L1234" s="3" t="str">
        <f ca="1">IFERROR(__xludf.UNSUPPORTED("""COMPUTED_VALUE"""),"Normalidade")</f>
        <v>Normalidade</v>
      </c>
    </row>
    <row r="1235" spans="1:12" ht="12.75">
      <c r="A1235" s="3" t="str">
        <f ca="1">IFERROR(__xludf.UNSUPPORTED("""COMPUTED_VALUE"""),"c593dcd5")</f>
        <v>c593dcd5</v>
      </c>
      <c r="B1235" s="4">
        <f ca="1">IFERROR(__xludf.UNSUPPORTED("""COMPUTED_VALUE"""),44967.3614351851)</f>
        <v>44967.361435185099</v>
      </c>
      <c r="C1235" s="8" t="str">
        <f ca="1">IFERROR(__xludf.UNSUPPORTED("""COMPUTED_VALUE"""),"Pelotas")</f>
        <v>Pelotas</v>
      </c>
      <c r="D1235" s="3" t="str">
        <f ca="1">IFERROR(__xludf.UNSUPPORTED("""COMPUTED_VALUE"""),"🚢 REGULAR")</f>
        <v>🚢 REGULAR</v>
      </c>
      <c r="E1235" s="3" t="str">
        <f ca="1">IFERROR(__xludf.UNSUPPORTED("""COMPUTED_VALUE"""),"🚛 LIBERADO")</f>
        <v>🚛 LIBERADO</v>
      </c>
      <c r="F1235" s="5">
        <f ca="1">IFERROR(__xludf.UNSUPPORTED("""COMPUTED_VALUE"""),0)</f>
        <v>0</v>
      </c>
      <c r="G1235" s="3" t="str">
        <f ca="1">IFERROR(__xludf.UNSUPPORTED("""COMPUTED_VALUE"""),"Normalidade")</f>
        <v>Normalidade</v>
      </c>
      <c r="H1235" s="4">
        <f ca="1">IFERROR(__xludf.UNSUPPORTED("""COMPUTED_VALUE"""),44967.3614351851)</f>
        <v>44967.361435185099</v>
      </c>
      <c r="I1235" s="3">
        <f ca="1">IFERROR(__xludf.UNSUPPORTED("""COMPUTED_VALUE"""),24)</f>
        <v>24</v>
      </c>
      <c r="J1235" s="4">
        <f ca="1">IFERROR(__xludf.UNSUPPORTED("""COMPUTED_VALUE"""),44968.3614351851)</f>
        <v>44968.361435185099</v>
      </c>
      <c r="L1235" s="3" t="str">
        <f ca="1">IFERROR(__xludf.UNSUPPORTED("""COMPUTED_VALUE"""),"Normalidade")</f>
        <v>Normalidade</v>
      </c>
    </row>
    <row r="1236" spans="1:12" ht="12.75">
      <c r="A1236" s="3" t="str">
        <f ca="1">IFERROR(__xludf.UNSUPPORTED("""COMPUTED_VALUE"""),"18540467")</f>
        <v>18540467</v>
      </c>
      <c r="B1236" s="4">
        <f ca="1">IFERROR(__xludf.UNSUPPORTED("""COMPUTED_VALUE"""),44967.3694560185)</f>
        <v>44967.369456018503</v>
      </c>
      <c r="C1236" s="7" t="str">
        <f ca="1">IFERROR(__xludf.UNSUPPORTED("""COMPUTED_VALUE"""),"Pelotas")</f>
        <v>Pelotas</v>
      </c>
      <c r="D1236" s="3" t="str">
        <f ca="1">IFERROR(__xludf.UNSUPPORTED("""COMPUTED_VALUE"""),"🚢 REGULAR")</f>
        <v>🚢 REGULAR</v>
      </c>
      <c r="E1236" s="3" t="str">
        <f ca="1">IFERROR(__xludf.UNSUPPORTED("""COMPUTED_VALUE"""),"🚛 LIBERADO")</f>
        <v>🚛 LIBERADO</v>
      </c>
      <c r="F1236" s="5">
        <f ca="1">IFERROR(__xludf.UNSUPPORTED("""COMPUTED_VALUE"""),0)</f>
        <v>0</v>
      </c>
      <c r="G1236" s="3" t="str">
        <f ca="1">IFERROR(__xludf.UNSUPPORTED("""COMPUTED_VALUE"""),"Normalidade")</f>
        <v>Normalidade</v>
      </c>
      <c r="H1236" s="4">
        <f ca="1">IFERROR(__xludf.UNSUPPORTED("""COMPUTED_VALUE"""),44967.3694560185)</f>
        <v>44967.369456018503</v>
      </c>
      <c r="I1236" s="3">
        <f ca="1">IFERROR(__xludf.UNSUPPORTED("""COMPUTED_VALUE"""),24)</f>
        <v>24</v>
      </c>
      <c r="J1236" s="4">
        <f ca="1">IFERROR(__xludf.UNSUPPORTED("""COMPUTED_VALUE"""),44968.3694560185)</f>
        <v>44968.369456018503</v>
      </c>
      <c r="L1236" s="3" t="str">
        <f ca="1">IFERROR(__xludf.UNSUPPORTED("""COMPUTED_VALUE"""),"Normalidade")</f>
        <v>Normalidade</v>
      </c>
    </row>
    <row r="1237" spans="1:12" ht="12.75">
      <c r="A1237" s="3" t="str">
        <f ca="1">IFERROR(__xludf.UNSUPPORTED("""COMPUTED_VALUE"""),"1c18e855")</f>
        <v>1c18e855</v>
      </c>
      <c r="B1237" s="4">
        <f ca="1">IFERROR(__xludf.UNSUPPORTED("""COMPUTED_VALUE"""),44970.3710069444)</f>
        <v>44970.371006944399</v>
      </c>
      <c r="C1237" s="8" t="str">
        <f ca="1">IFERROR(__xludf.UNSUPPORTED("""COMPUTED_VALUE"""),"Pelotas")</f>
        <v>Pelotas</v>
      </c>
      <c r="D1237" s="3" t="str">
        <f ca="1">IFERROR(__xludf.UNSUPPORTED("""COMPUTED_VALUE"""),"🚢 REGULAR")</f>
        <v>🚢 REGULAR</v>
      </c>
      <c r="E1237" s="3" t="str">
        <f ca="1">IFERROR(__xludf.UNSUPPORTED("""COMPUTED_VALUE"""),"🚛 LIBERADO")</f>
        <v>🚛 LIBERADO</v>
      </c>
      <c r="F1237" s="5">
        <f ca="1">IFERROR(__xludf.UNSUPPORTED("""COMPUTED_VALUE"""),0)</f>
        <v>0</v>
      </c>
      <c r="G1237" s="3" t="str">
        <f ca="1">IFERROR(__xludf.UNSUPPORTED("""COMPUTED_VALUE"""),"Normalidade")</f>
        <v>Normalidade</v>
      </c>
      <c r="H1237" s="4">
        <f ca="1">IFERROR(__xludf.UNSUPPORTED("""COMPUTED_VALUE"""),44970.3710069444)</f>
        <v>44970.371006944399</v>
      </c>
      <c r="I1237" s="3">
        <f ca="1">IFERROR(__xludf.UNSUPPORTED("""COMPUTED_VALUE"""),24)</f>
        <v>24</v>
      </c>
      <c r="J1237" s="4">
        <f ca="1">IFERROR(__xludf.UNSUPPORTED("""COMPUTED_VALUE"""),44971.3710069444)</f>
        <v>44971.371006944399</v>
      </c>
      <c r="L1237" s="3" t="str">
        <f ca="1">IFERROR(__xludf.UNSUPPORTED("""COMPUTED_VALUE"""),"Normalidade")</f>
        <v>Normalidade</v>
      </c>
    </row>
    <row r="1238" spans="1:12" ht="12.75">
      <c r="A1238" s="3" t="str">
        <f ca="1">IFERROR(__xludf.UNSUPPORTED("""COMPUTED_VALUE"""),"92719f23")</f>
        <v>92719f23</v>
      </c>
      <c r="B1238" s="4">
        <f ca="1">IFERROR(__xludf.UNSUPPORTED("""COMPUTED_VALUE"""),44970.3761226851)</f>
        <v>44970.376122685098</v>
      </c>
      <c r="C1238" s="7" t="str">
        <f ca="1">IFERROR(__xludf.UNSUPPORTED("""COMPUTED_VALUE"""),"Pelotas")</f>
        <v>Pelotas</v>
      </c>
      <c r="D1238" s="3" t="str">
        <f ca="1">IFERROR(__xludf.UNSUPPORTED("""COMPUTED_VALUE"""),"🚢 REGULAR")</f>
        <v>🚢 REGULAR</v>
      </c>
      <c r="E1238" s="3" t="str">
        <f ca="1">IFERROR(__xludf.UNSUPPORTED("""COMPUTED_VALUE"""),"🚛 LIBERADO")</f>
        <v>🚛 LIBERADO</v>
      </c>
      <c r="F1238" s="5">
        <f ca="1">IFERROR(__xludf.UNSUPPORTED("""COMPUTED_VALUE"""),0)</f>
        <v>0</v>
      </c>
      <c r="G1238" s="3" t="str">
        <f ca="1">IFERROR(__xludf.UNSUPPORTED("""COMPUTED_VALUE"""),"Normalidade")</f>
        <v>Normalidade</v>
      </c>
      <c r="H1238" s="4">
        <f ca="1">IFERROR(__xludf.UNSUPPORTED("""COMPUTED_VALUE"""),44970.3761226851)</f>
        <v>44970.376122685098</v>
      </c>
      <c r="I1238" s="3">
        <f ca="1">IFERROR(__xludf.UNSUPPORTED("""COMPUTED_VALUE"""),24)</f>
        <v>24</v>
      </c>
      <c r="J1238" s="4">
        <f ca="1">IFERROR(__xludf.UNSUPPORTED("""COMPUTED_VALUE"""),44971.3761226851)</f>
        <v>44971.376122685098</v>
      </c>
      <c r="L1238" s="3" t="str">
        <f ca="1">IFERROR(__xludf.UNSUPPORTED("""COMPUTED_VALUE"""),"Normalidade")</f>
        <v>Normalidade</v>
      </c>
    </row>
    <row r="1239" spans="1:12" ht="12.75">
      <c r="A1239" s="3" t="str">
        <f ca="1">IFERROR(__xludf.UNSUPPORTED("""COMPUTED_VALUE"""),"1cd3385b")</f>
        <v>1cd3385b</v>
      </c>
      <c r="B1239" s="4">
        <f ca="1">IFERROR(__xludf.UNSUPPORTED("""COMPUTED_VALUE"""),44971.3677546296)</f>
        <v>44971.367754629602</v>
      </c>
      <c r="C1239" s="7" t="str">
        <f ca="1">IFERROR(__xludf.UNSUPPORTED("""COMPUTED_VALUE"""),"Pelotas")</f>
        <v>Pelotas</v>
      </c>
      <c r="D1239" s="3" t="str">
        <f ca="1">IFERROR(__xludf.UNSUPPORTED("""COMPUTED_VALUE"""),"🚢 REGULAR")</f>
        <v>🚢 REGULAR</v>
      </c>
      <c r="E1239" s="3" t="str">
        <f ca="1">IFERROR(__xludf.UNSUPPORTED("""COMPUTED_VALUE"""),"🚛 LIBERADO")</f>
        <v>🚛 LIBERADO</v>
      </c>
      <c r="F1239" s="5">
        <f ca="1">IFERROR(__xludf.UNSUPPORTED("""COMPUTED_VALUE"""),0)</f>
        <v>0</v>
      </c>
      <c r="G1239" s="3" t="str">
        <f ca="1">IFERROR(__xludf.UNSUPPORTED("""COMPUTED_VALUE"""),"Normalidade")</f>
        <v>Normalidade</v>
      </c>
      <c r="H1239" s="4">
        <f ca="1">IFERROR(__xludf.UNSUPPORTED("""COMPUTED_VALUE"""),44971.3677546296)</f>
        <v>44971.367754629602</v>
      </c>
      <c r="I1239" s="3">
        <f ca="1">IFERROR(__xludf.UNSUPPORTED("""COMPUTED_VALUE"""),24)</f>
        <v>24</v>
      </c>
      <c r="J1239" s="4">
        <f ca="1">IFERROR(__xludf.UNSUPPORTED("""COMPUTED_VALUE"""),44972.3677546296)</f>
        <v>44972.367754629602</v>
      </c>
      <c r="L1239" s="3" t="str">
        <f ca="1">IFERROR(__xludf.UNSUPPORTED("""COMPUTED_VALUE"""),"Normalidade")</f>
        <v>Normalidade</v>
      </c>
    </row>
    <row r="1240" spans="1:12" ht="12.75">
      <c r="A1240" s="3" t="str">
        <f ca="1">IFERROR(__xludf.UNSUPPORTED("""COMPUTED_VALUE"""),"671bbb1d")</f>
        <v>671bbb1d</v>
      </c>
      <c r="B1240" s="4">
        <f ca="1">IFERROR(__xludf.UNSUPPORTED("""COMPUTED_VALUE"""),44971.3721064814)</f>
        <v>44971.372106481402</v>
      </c>
      <c r="C1240" s="8" t="str">
        <f ca="1">IFERROR(__xludf.UNSUPPORTED("""COMPUTED_VALUE"""),"Pelotas")</f>
        <v>Pelotas</v>
      </c>
      <c r="D1240" s="3" t="str">
        <f ca="1">IFERROR(__xludf.UNSUPPORTED("""COMPUTED_VALUE"""),"🚢 REGULAR")</f>
        <v>🚢 REGULAR</v>
      </c>
      <c r="E1240" s="3" t="str">
        <f ca="1">IFERROR(__xludf.UNSUPPORTED("""COMPUTED_VALUE"""),"🚛 LIBERADO")</f>
        <v>🚛 LIBERADO</v>
      </c>
      <c r="F1240" s="5">
        <f ca="1">IFERROR(__xludf.UNSUPPORTED("""COMPUTED_VALUE"""),0)</f>
        <v>0</v>
      </c>
      <c r="G1240" s="3" t="str">
        <f ca="1">IFERROR(__xludf.UNSUPPORTED("""COMPUTED_VALUE"""),"Normalidade")</f>
        <v>Normalidade</v>
      </c>
      <c r="H1240" s="4">
        <f ca="1">IFERROR(__xludf.UNSUPPORTED("""COMPUTED_VALUE"""),44971.3721064814)</f>
        <v>44971.372106481402</v>
      </c>
      <c r="I1240" s="3">
        <f ca="1">IFERROR(__xludf.UNSUPPORTED("""COMPUTED_VALUE"""),24)</f>
        <v>24</v>
      </c>
      <c r="J1240" s="4">
        <f ca="1">IFERROR(__xludf.UNSUPPORTED("""COMPUTED_VALUE"""),44972.3721064814)</f>
        <v>44972.372106481402</v>
      </c>
      <c r="L1240" s="3" t="str">
        <f ca="1">IFERROR(__xludf.UNSUPPORTED("""COMPUTED_VALUE"""),"Normalidade")</f>
        <v>Normalidade</v>
      </c>
    </row>
    <row r="1241" spans="1:12" ht="12.75">
      <c r="A1241" s="3" t="str">
        <f ca="1">IFERROR(__xludf.UNSUPPORTED("""COMPUTED_VALUE"""),"23b7c906")</f>
        <v>23b7c906</v>
      </c>
      <c r="B1241" s="4">
        <f ca="1">IFERROR(__xludf.UNSUPPORTED("""COMPUTED_VALUE"""),44972.3863541666)</f>
        <v>44972.3863541666</v>
      </c>
      <c r="C1241" s="7" t="str">
        <f ca="1">IFERROR(__xludf.UNSUPPORTED("""COMPUTED_VALUE"""),"Pelotas")</f>
        <v>Pelotas</v>
      </c>
      <c r="D1241" s="3" t="str">
        <f ca="1">IFERROR(__xludf.UNSUPPORTED("""COMPUTED_VALUE"""),"🚢 REGULAR")</f>
        <v>🚢 REGULAR</v>
      </c>
      <c r="E1241" s="3" t="str">
        <f ca="1">IFERROR(__xludf.UNSUPPORTED("""COMPUTED_VALUE"""),"🚛 LIBERADO")</f>
        <v>🚛 LIBERADO</v>
      </c>
      <c r="F1241" s="5">
        <f ca="1">IFERROR(__xludf.UNSUPPORTED("""COMPUTED_VALUE"""),0)</f>
        <v>0</v>
      </c>
      <c r="G1241" s="3" t="str">
        <f ca="1">IFERROR(__xludf.UNSUPPORTED("""COMPUTED_VALUE"""),"Normalidade")</f>
        <v>Normalidade</v>
      </c>
      <c r="H1241" s="4">
        <f ca="1">IFERROR(__xludf.UNSUPPORTED("""COMPUTED_VALUE"""),44972.3863541666)</f>
        <v>44972.3863541666</v>
      </c>
      <c r="I1241" s="3">
        <f ca="1">IFERROR(__xludf.UNSUPPORTED("""COMPUTED_VALUE"""),24)</f>
        <v>24</v>
      </c>
      <c r="J1241" s="4">
        <f ca="1">IFERROR(__xludf.UNSUPPORTED("""COMPUTED_VALUE"""),44973.3863541666)</f>
        <v>44973.3863541666</v>
      </c>
      <c r="L1241" s="3" t="str">
        <f ca="1">IFERROR(__xludf.UNSUPPORTED("""COMPUTED_VALUE"""),"Normalidade")</f>
        <v>Normalidade</v>
      </c>
    </row>
    <row r="1242" spans="1:12" ht="12.75">
      <c r="A1242" s="3" t="str">
        <f ca="1">IFERROR(__xludf.UNSUPPORTED("""COMPUTED_VALUE"""),"c1c6cb89")</f>
        <v>c1c6cb89</v>
      </c>
      <c r="B1242" s="4">
        <f ca="1">IFERROR(__xludf.UNSUPPORTED("""COMPUTED_VALUE"""),44972.3900925925)</f>
        <v>44972.390092592497</v>
      </c>
      <c r="C1242" s="8" t="str">
        <f ca="1">IFERROR(__xludf.UNSUPPORTED("""COMPUTED_VALUE"""),"Pelotas")</f>
        <v>Pelotas</v>
      </c>
      <c r="D1242" s="3" t="str">
        <f ca="1">IFERROR(__xludf.UNSUPPORTED("""COMPUTED_VALUE"""),"🚢 REGULAR")</f>
        <v>🚢 REGULAR</v>
      </c>
      <c r="E1242" s="3" t="str">
        <f ca="1">IFERROR(__xludf.UNSUPPORTED("""COMPUTED_VALUE"""),"🚛 LIBERADO")</f>
        <v>🚛 LIBERADO</v>
      </c>
      <c r="F1242" s="5">
        <f ca="1">IFERROR(__xludf.UNSUPPORTED("""COMPUTED_VALUE"""),0)</f>
        <v>0</v>
      </c>
      <c r="G1242" s="3" t="str">
        <f ca="1">IFERROR(__xludf.UNSUPPORTED("""COMPUTED_VALUE"""),"Normalidade")</f>
        <v>Normalidade</v>
      </c>
      <c r="H1242" s="4">
        <f ca="1">IFERROR(__xludf.UNSUPPORTED("""COMPUTED_VALUE"""),44972.3900925925)</f>
        <v>44972.390092592497</v>
      </c>
      <c r="I1242" s="3">
        <f ca="1">IFERROR(__xludf.UNSUPPORTED("""COMPUTED_VALUE"""),24)</f>
        <v>24</v>
      </c>
      <c r="J1242" s="4">
        <f ca="1">IFERROR(__xludf.UNSUPPORTED("""COMPUTED_VALUE"""),44973.3900925925)</f>
        <v>44973.390092592497</v>
      </c>
      <c r="L1242" s="3" t="str">
        <f ca="1">IFERROR(__xludf.UNSUPPORTED("""COMPUTED_VALUE"""),"Normalidade")</f>
        <v>Normalidade</v>
      </c>
    </row>
    <row r="1243" spans="1:12" ht="12.75">
      <c r="A1243" s="3" t="str">
        <f ca="1">IFERROR(__xludf.UNSUPPORTED("""COMPUTED_VALUE"""),"f63e8de0")</f>
        <v>f63e8de0</v>
      </c>
      <c r="B1243" s="4">
        <f ca="1">IFERROR(__xludf.UNSUPPORTED("""COMPUTED_VALUE"""),44972.3915393518)</f>
        <v>44972.391539351796</v>
      </c>
      <c r="C1243" s="7" t="str">
        <f ca="1">IFERROR(__xludf.UNSUPPORTED("""COMPUTED_VALUE"""),"Pelotas")</f>
        <v>Pelotas</v>
      </c>
      <c r="D1243" s="3" t="str">
        <f ca="1">IFERROR(__xludf.UNSUPPORTED("""COMPUTED_VALUE"""),"🚢 REGULAR")</f>
        <v>🚢 REGULAR</v>
      </c>
      <c r="E1243" s="3" t="str">
        <f ca="1">IFERROR(__xludf.UNSUPPORTED("""COMPUTED_VALUE"""),"🚛 LIBERADO")</f>
        <v>🚛 LIBERADO</v>
      </c>
      <c r="F1243" s="5">
        <f ca="1">IFERROR(__xludf.UNSUPPORTED("""COMPUTED_VALUE"""),0)</f>
        <v>0</v>
      </c>
      <c r="G1243" s="3" t="str">
        <f ca="1">IFERROR(__xludf.UNSUPPORTED("""COMPUTED_VALUE"""),"Normalidade")</f>
        <v>Normalidade</v>
      </c>
      <c r="H1243" s="4">
        <f ca="1">IFERROR(__xludf.UNSUPPORTED("""COMPUTED_VALUE"""),44972.3915393518)</f>
        <v>44972.391539351796</v>
      </c>
      <c r="I1243" s="3">
        <f ca="1">IFERROR(__xludf.UNSUPPORTED("""COMPUTED_VALUE"""),24)</f>
        <v>24</v>
      </c>
      <c r="J1243" s="4">
        <f ca="1">IFERROR(__xludf.UNSUPPORTED("""COMPUTED_VALUE"""),44973.3915393518)</f>
        <v>44973.391539351796</v>
      </c>
      <c r="L1243" s="3" t="str">
        <f ca="1">IFERROR(__xludf.UNSUPPORTED("""COMPUTED_VALUE"""),"Normalidade")</f>
        <v>Normalidade</v>
      </c>
    </row>
    <row r="1244" spans="1:12" ht="12.75">
      <c r="A1244" s="3" t="str">
        <f ca="1">IFERROR(__xludf.UNSUPPORTED("""COMPUTED_VALUE"""),"c27e369c")</f>
        <v>c27e369c</v>
      </c>
      <c r="B1244" s="4">
        <f ca="1">IFERROR(__xludf.UNSUPPORTED("""COMPUTED_VALUE"""),44972.3928356481)</f>
        <v>44972.392835648097</v>
      </c>
      <c r="C1244" s="7" t="str">
        <f ca="1">IFERROR(__xludf.UNSUPPORTED("""COMPUTED_VALUE"""),"Pelotas")</f>
        <v>Pelotas</v>
      </c>
      <c r="D1244" s="3" t="str">
        <f ca="1">IFERROR(__xludf.UNSUPPORTED("""COMPUTED_VALUE"""),"🚢 REGULAR")</f>
        <v>🚢 REGULAR</v>
      </c>
      <c r="E1244" s="3" t="str">
        <f ca="1">IFERROR(__xludf.UNSUPPORTED("""COMPUTED_VALUE"""),"🚛 LIBERADO")</f>
        <v>🚛 LIBERADO</v>
      </c>
      <c r="F1244" s="5">
        <f ca="1">IFERROR(__xludf.UNSUPPORTED("""COMPUTED_VALUE"""),0)</f>
        <v>0</v>
      </c>
      <c r="G1244" s="3" t="str">
        <f ca="1">IFERROR(__xludf.UNSUPPORTED("""COMPUTED_VALUE"""),"Normalidade")</f>
        <v>Normalidade</v>
      </c>
      <c r="H1244" s="4">
        <f ca="1">IFERROR(__xludf.UNSUPPORTED("""COMPUTED_VALUE"""),44972.3928356481)</f>
        <v>44972.392835648097</v>
      </c>
      <c r="I1244" s="3">
        <f ca="1">IFERROR(__xludf.UNSUPPORTED("""COMPUTED_VALUE"""),24)</f>
        <v>24</v>
      </c>
      <c r="J1244" s="4">
        <f ca="1">IFERROR(__xludf.UNSUPPORTED("""COMPUTED_VALUE"""),44973.3928356481)</f>
        <v>44973.392835648097</v>
      </c>
      <c r="L1244" s="3" t="str">
        <f ca="1">IFERROR(__xludf.UNSUPPORTED("""COMPUTED_VALUE"""),"Normalidade")</f>
        <v>Normalidade</v>
      </c>
    </row>
    <row r="1245" spans="1:12" ht="12.75">
      <c r="A1245" s="3" t="str">
        <f ca="1">IFERROR(__xludf.UNSUPPORTED("""COMPUTED_VALUE"""),"049b644a")</f>
        <v>049b644a</v>
      </c>
      <c r="B1245" s="4">
        <f ca="1">IFERROR(__xludf.UNSUPPORTED("""COMPUTED_VALUE"""),44972.3966898148)</f>
        <v>44972.396689814799</v>
      </c>
      <c r="C1245" s="8" t="str">
        <f ca="1">IFERROR(__xludf.UNSUPPORTED("""COMPUTED_VALUE"""),"Pelotas")</f>
        <v>Pelotas</v>
      </c>
      <c r="D1245" s="3" t="str">
        <f ca="1">IFERROR(__xludf.UNSUPPORTED("""COMPUTED_VALUE"""),"🚢 REGULAR")</f>
        <v>🚢 REGULAR</v>
      </c>
      <c r="E1245" s="3" t="str">
        <f ca="1">IFERROR(__xludf.UNSUPPORTED("""COMPUTED_VALUE"""),"🚛 LIBERADO")</f>
        <v>🚛 LIBERADO</v>
      </c>
      <c r="F1245" s="5">
        <f ca="1">IFERROR(__xludf.UNSUPPORTED("""COMPUTED_VALUE"""),0)</f>
        <v>0</v>
      </c>
      <c r="G1245" s="3" t="str">
        <f ca="1">IFERROR(__xludf.UNSUPPORTED("""COMPUTED_VALUE"""),"Normalidade")</f>
        <v>Normalidade</v>
      </c>
      <c r="H1245" s="4">
        <f ca="1">IFERROR(__xludf.UNSUPPORTED("""COMPUTED_VALUE"""),44972.3966898148)</f>
        <v>44972.396689814799</v>
      </c>
      <c r="I1245" s="3">
        <f ca="1">IFERROR(__xludf.UNSUPPORTED("""COMPUTED_VALUE"""),24)</f>
        <v>24</v>
      </c>
      <c r="J1245" s="4">
        <f ca="1">IFERROR(__xludf.UNSUPPORTED("""COMPUTED_VALUE"""),44973.3966898148)</f>
        <v>44973.396689814799</v>
      </c>
      <c r="L1245" s="3" t="str">
        <f ca="1">IFERROR(__xludf.UNSUPPORTED("""COMPUTED_VALUE"""),"Normalidade")</f>
        <v>Normalidade</v>
      </c>
    </row>
    <row r="1246" spans="1:12" ht="12.75">
      <c r="A1246" s="3" t="str">
        <f ca="1">IFERROR(__xludf.UNSUPPORTED("""COMPUTED_VALUE"""),"4a279c62")</f>
        <v>4a279c62</v>
      </c>
      <c r="B1246" s="4">
        <f ca="1">IFERROR(__xludf.UNSUPPORTED("""COMPUTED_VALUE"""),44973.3782407407)</f>
        <v>44973.378240740698</v>
      </c>
      <c r="C1246" s="8" t="str">
        <f ca="1">IFERROR(__xludf.UNSUPPORTED("""COMPUTED_VALUE"""),"Pelotas")</f>
        <v>Pelotas</v>
      </c>
      <c r="D1246" s="3" t="str">
        <f ca="1">IFERROR(__xludf.UNSUPPORTED("""COMPUTED_VALUE"""),"🚢 REGULAR")</f>
        <v>🚢 REGULAR</v>
      </c>
      <c r="E1246" s="3" t="str">
        <f ca="1">IFERROR(__xludf.UNSUPPORTED("""COMPUTED_VALUE"""),"🚛 LIBERADO")</f>
        <v>🚛 LIBERADO</v>
      </c>
      <c r="F1246" s="5">
        <f ca="1">IFERROR(__xludf.UNSUPPORTED("""COMPUTED_VALUE"""),0)</f>
        <v>0</v>
      </c>
      <c r="G1246" s="3" t="str">
        <f ca="1">IFERROR(__xludf.UNSUPPORTED("""COMPUTED_VALUE"""),"Normalidade")</f>
        <v>Normalidade</v>
      </c>
      <c r="H1246" s="4">
        <f ca="1">IFERROR(__xludf.UNSUPPORTED("""COMPUTED_VALUE"""),44973.3782407407)</f>
        <v>44973.378240740698</v>
      </c>
      <c r="I1246" s="3">
        <f ca="1">IFERROR(__xludf.UNSUPPORTED("""COMPUTED_VALUE"""),24)</f>
        <v>24</v>
      </c>
      <c r="J1246" s="4">
        <f ca="1">IFERROR(__xludf.UNSUPPORTED("""COMPUTED_VALUE"""),44974.3782407407)</f>
        <v>44974.378240740698</v>
      </c>
      <c r="L1246" s="3" t="str">
        <f ca="1">IFERROR(__xludf.UNSUPPORTED("""COMPUTED_VALUE"""),"Normalidade")</f>
        <v>Normalidade</v>
      </c>
    </row>
    <row r="1247" spans="1:12" ht="12.75">
      <c r="A1247" s="3" t="str">
        <f ca="1">IFERROR(__xludf.UNSUPPORTED("""COMPUTED_VALUE"""),"bdca1dd2")</f>
        <v>bdca1dd2</v>
      </c>
      <c r="B1247" s="4">
        <f ca="1">IFERROR(__xludf.UNSUPPORTED("""COMPUTED_VALUE"""),44973.3801157406)</f>
        <v>44973.380115740598</v>
      </c>
      <c r="C1247" s="7" t="str">
        <f ca="1">IFERROR(__xludf.UNSUPPORTED("""COMPUTED_VALUE"""),"Pelotas")</f>
        <v>Pelotas</v>
      </c>
      <c r="D1247" s="3" t="str">
        <f ca="1">IFERROR(__xludf.UNSUPPORTED("""COMPUTED_VALUE"""),"🚢 REGULAR")</f>
        <v>🚢 REGULAR</v>
      </c>
      <c r="E1247" s="3" t="str">
        <f ca="1">IFERROR(__xludf.UNSUPPORTED("""COMPUTED_VALUE"""),"🚛 LIBERADO")</f>
        <v>🚛 LIBERADO</v>
      </c>
      <c r="F1247" s="5">
        <f ca="1">IFERROR(__xludf.UNSUPPORTED("""COMPUTED_VALUE"""),0)</f>
        <v>0</v>
      </c>
      <c r="G1247" s="3" t="str">
        <f ca="1">IFERROR(__xludf.UNSUPPORTED("""COMPUTED_VALUE"""),"Normalidade")</f>
        <v>Normalidade</v>
      </c>
      <c r="H1247" s="4">
        <f ca="1">IFERROR(__xludf.UNSUPPORTED("""COMPUTED_VALUE"""),44973.3801157406)</f>
        <v>44973.380115740598</v>
      </c>
      <c r="I1247" s="3">
        <f ca="1">IFERROR(__xludf.UNSUPPORTED("""COMPUTED_VALUE"""),24)</f>
        <v>24</v>
      </c>
      <c r="J1247" s="4">
        <f ca="1">IFERROR(__xludf.UNSUPPORTED("""COMPUTED_VALUE"""),44974.3801157406)</f>
        <v>44974.380115740598</v>
      </c>
      <c r="L1247" s="3" t="str">
        <f ca="1">IFERROR(__xludf.UNSUPPORTED("""COMPUTED_VALUE"""),"Normalidade")</f>
        <v>Normalidade</v>
      </c>
    </row>
    <row r="1248" spans="1:12" ht="12.75">
      <c r="A1248" s="3" t="str">
        <f ca="1">IFERROR(__xludf.UNSUPPORTED("""COMPUTED_VALUE"""),"175fb73f")</f>
        <v>175fb73f</v>
      </c>
      <c r="B1248" s="4">
        <f ca="1">IFERROR(__xludf.UNSUPPORTED("""COMPUTED_VALUE"""),44973.3848842591)</f>
        <v>44973.384884259103</v>
      </c>
      <c r="C1248" s="8" t="str">
        <f ca="1">IFERROR(__xludf.UNSUPPORTED("""COMPUTED_VALUE"""),"Pelotas")</f>
        <v>Pelotas</v>
      </c>
      <c r="D1248" s="3" t="str">
        <f ca="1">IFERROR(__xludf.UNSUPPORTED("""COMPUTED_VALUE"""),"🚢 REGULAR")</f>
        <v>🚢 REGULAR</v>
      </c>
      <c r="E1248" s="3" t="str">
        <f ca="1">IFERROR(__xludf.UNSUPPORTED("""COMPUTED_VALUE"""),"🚛 LIBERADO")</f>
        <v>🚛 LIBERADO</v>
      </c>
      <c r="F1248" s="5">
        <f ca="1">IFERROR(__xludf.UNSUPPORTED("""COMPUTED_VALUE"""),0)</f>
        <v>0</v>
      </c>
      <c r="G1248" s="3" t="str">
        <f ca="1">IFERROR(__xludf.UNSUPPORTED("""COMPUTED_VALUE"""),"Normalidade")</f>
        <v>Normalidade</v>
      </c>
      <c r="H1248" s="4">
        <f ca="1">IFERROR(__xludf.UNSUPPORTED("""COMPUTED_VALUE"""),44973.3848842591)</f>
        <v>44973.384884259103</v>
      </c>
      <c r="I1248" s="3">
        <f ca="1">IFERROR(__xludf.UNSUPPORTED("""COMPUTED_VALUE"""),24)</f>
        <v>24</v>
      </c>
      <c r="J1248" s="4">
        <f ca="1">IFERROR(__xludf.UNSUPPORTED("""COMPUTED_VALUE"""),44974.3848842591)</f>
        <v>44974.384884259103</v>
      </c>
      <c r="L1248" s="3" t="str">
        <f ca="1">IFERROR(__xludf.UNSUPPORTED("""COMPUTED_VALUE"""),"Normalidade")</f>
        <v>Normalidade</v>
      </c>
    </row>
    <row r="1249" spans="1:12" ht="12.75">
      <c r="A1249" s="3" t="str">
        <f ca="1">IFERROR(__xludf.UNSUPPORTED("""COMPUTED_VALUE"""),"93357328")</f>
        <v>93357328</v>
      </c>
      <c r="B1249" s="4">
        <f ca="1">IFERROR(__xludf.UNSUPPORTED("""COMPUTED_VALUE"""),44974.3571875)</f>
        <v>44974.357187499998</v>
      </c>
      <c r="C1249" s="7" t="str">
        <f ca="1">IFERROR(__xludf.UNSUPPORTED("""COMPUTED_VALUE"""),"Pelotas")</f>
        <v>Pelotas</v>
      </c>
      <c r="D1249" s="3" t="str">
        <f ca="1">IFERROR(__xludf.UNSUPPORTED("""COMPUTED_VALUE"""),"🚢 REGULAR")</f>
        <v>🚢 REGULAR</v>
      </c>
      <c r="E1249" s="3" t="str">
        <f ca="1">IFERROR(__xludf.UNSUPPORTED("""COMPUTED_VALUE"""),"🚛 LIBERADO")</f>
        <v>🚛 LIBERADO</v>
      </c>
      <c r="F1249" s="5">
        <f ca="1">IFERROR(__xludf.UNSUPPORTED("""COMPUTED_VALUE"""),0)</f>
        <v>0</v>
      </c>
      <c r="G1249" s="3" t="str">
        <f ca="1">IFERROR(__xludf.UNSUPPORTED("""COMPUTED_VALUE"""),"Normalidade")</f>
        <v>Normalidade</v>
      </c>
      <c r="H1249" s="4">
        <f ca="1">IFERROR(__xludf.UNSUPPORTED("""COMPUTED_VALUE"""),44974.3571875)</f>
        <v>44974.357187499998</v>
      </c>
      <c r="I1249" s="3">
        <f ca="1">IFERROR(__xludf.UNSUPPORTED("""COMPUTED_VALUE"""),24)</f>
        <v>24</v>
      </c>
      <c r="J1249" s="4">
        <f ca="1">IFERROR(__xludf.UNSUPPORTED("""COMPUTED_VALUE"""),44975.3571875)</f>
        <v>44975.357187499998</v>
      </c>
      <c r="L1249" s="3" t="str">
        <f ca="1">IFERROR(__xludf.UNSUPPORTED("""COMPUTED_VALUE"""),"Normalidade")</f>
        <v>Normalidade</v>
      </c>
    </row>
    <row r="1250" spans="1:12" ht="12.75">
      <c r="A1250" s="3" t="str">
        <f ca="1">IFERROR(__xludf.UNSUPPORTED("""COMPUTED_VALUE"""),"4162d189")</f>
        <v>4162d189</v>
      </c>
      <c r="B1250" s="4">
        <f ca="1">IFERROR(__xludf.UNSUPPORTED("""COMPUTED_VALUE"""),44974.3601851851)</f>
        <v>44974.360185185098</v>
      </c>
      <c r="C1250" s="8" t="str">
        <f ca="1">IFERROR(__xludf.UNSUPPORTED("""COMPUTED_VALUE"""),"Pelotas")</f>
        <v>Pelotas</v>
      </c>
      <c r="D1250" s="3" t="str">
        <f ca="1">IFERROR(__xludf.UNSUPPORTED("""COMPUTED_VALUE"""),"🚢 REGULAR")</f>
        <v>🚢 REGULAR</v>
      </c>
      <c r="E1250" s="3" t="str">
        <f ca="1">IFERROR(__xludf.UNSUPPORTED("""COMPUTED_VALUE"""),"🚛 LIBERADO")</f>
        <v>🚛 LIBERADO</v>
      </c>
      <c r="F1250" s="5">
        <f ca="1">IFERROR(__xludf.UNSUPPORTED("""COMPUTED_VALUE"""),0)</f>
        <v>0</v>
      </c>
      <c r="G1250" s="3" t="str">
        <f ca="1">IFERROR(__xludf.UNSUPPORTED("""COMPUTED_VALUE"""),"Normalidade")</f>
        <v>Normalidade</v>
      </c>
      <c r="H1250" s="4">
        <f ca="1">IFERROR(__xludf.UNSUPPORTED("""COMPUTED_VALUE"""),44974.3601851851)</f>
        <v>44974.360185185098</v>
      </c>
      <c r="I1250" s="3">
        <f ca="1">IFERROR(__xludf.UNSUPPORTED("""COMPUTED_VALUE"""),24)</f>
        <v>24</v>
      </c>
      <c r="J1250" s="4">
        <f ca="1">IFERROR(__xludf.UNSUPPORTED("""COMPUTED_VALUE"""),44975.3601851851)</f>
        <v>44975.360185185098</v>
      </c>
      <c r="L1250" s="3" t="str">
        <f ca="1">IFERROR(__xludf.UNSUPPORTED("""COMPUTED_VALUE"""),"Normalidade")</f>
        <v>Normalidade</v>
      </c>
    </row>
    <row r="1251" spans="1:12" ht="12.75">
      <c r="A1251" s="3" t="str">
        <f ca="1">IFERROR(__xludf.UNSUPPORTED("""COMPUTED_VALUE"""),"f658e3fb")</f>
        <v>f658e3fb</v>
      </c>
      <c r="B1251" s="4">
        <f ca="1">IFERROR(__xludf.UNSUPPORTED("""COMPUTED_VALUE"""),44980.3808912037)</f>
        <v>44980.380891203698</v>
      </c>
      <c r="C1251" s="7" t="str">
        <f ca="1">IFERROR(__xludf.UNSUPPORTED("""COMPUTED_VALUE"""),"Pelotas")</f>
        <v>Pelotas</v>
      </c>
      <c r="D1251" s="3" t="str">
        <f ca="1">IFERROR(__xludf.UNSUPPORTED("""COMPUTED_VALUE"""),"🚢 REGULAR")</f>
        <v>🚢 REGULAR</v>
      </c>
      <c r="E1251" s="3" t="str">
        <f ca="1">IFERROR(__xludf.UNSUPPORTED("""COMPUTED_VALUE"""),"🚛 LIBERADO")</f>
        <v>🚛 LIBERADO</v>
      </c>
      <c r="F1251" s="5">
        <f ca="1">IFERROR(__xludf.UNSUPPORTED("""COMPUTED_VALUE"""),0)</f>
        <v>0</v>
      </c>
      <c r="G1251" s="3" t="str">
        <f ca="1">IFERROR(__xludf.UNSUPPORTED("""COMPUTED_VALUE"""),"Normalidade")</f>
        <v>Normalidade</v>
      </c>
      <c r="H1251" s="4">
        <f ca="1">IFERROR(__xludf.UNSUPPORTED("""COMPUTED_VALUE"""),44980.3808912037)</f>
        <v>44980.380891203698</v>
      </c>
      <c r="I1251" s="3">
        <f ca="1">IFERROR(__xludf.UNSUPPORTED("""COMPUTED_VALUE"""),24)</f>
        <v>24</v>
      </c>
      <c r="J1251" s="4">
        <f ca="1">IFERROR(__xludf.UNSUPPORTED("""COMPUTED_VALUE"""),44981.3808912037)</f>
        <v>44981.380891203698</v>
      </c>
      <c r="L1251" s="3" t="str">
        <f ca="1">IFERROR(__xludf.UNSUPPORTED("""COMPUTED_VALUE"""),"Normalidade")</f>
        <v>Normalidade</v>
      </c>
    </row>
    <row r="1252" spans="1:12" ht="12.75">
      <c r="A1252" s="3" t="str">
        <f ca="1">IFERROR(__xludf.UNSUPPORTED("""COMPUTED_VALUE"""),"90b841f2")</f>
        <v>90b841f2</v>
      </c>
      <c r="B1252" s="4">
        <f ca="1">IFERROR(__xludf.UNSUPPORTED("""COMPUTED_VALUE"""),44980.3827314814)</f>
        <v>44980.382731481397</v>
      </c>
      <c r="C1252" s="8" t="str">
        <f ca="1">IFERROR(__xludf.UNSUPPORTED("""COMPUTED_VALUE"""),"Pelotas")</f>
        <v>Pelotas</v>
      </c>
      <c r="D1252" s="3" t="str">
        <f ca="1">IFERROR(__xludf.UNSUPPORTED("""COMPUTED_VALUE"""),"🚢 REGULAR")</f>
        <v>🚢 REGULAR</v>
      </c>
      <c r="E1252" s="3" t="str">
        <f ca="1">IFERROR(__xludf.UNSUPPORTED("""COMPUTED_VALUE"""),"🚛 LIBERADO")</f>
        <v>🚛 LIBERADO</v>
      </c>
      <c r="F1252" s="5">
        <f ca="1">IFERROR(__xludf.UNSUPPORTED("""COMPUTED_VALUE"""),0)</f>
        <v>0</v>
      </c>
      <c r="G1252" s="3" t="str">
        <f ca="1">IFERROR(__xludf.UNSUPPORTED("""COMPUTED_VALUE"""),"Normalidade")</f>
        <v>Normalidade</v>
      </c>
      <c r="H1252" s="4">
        <f ca="1">IFERROR(__xludf.UNSUPPORTED("""COMPUTED_VALUE"""),44980.3827314814)</f>
        <v>44980.382731481397</v>
      </c>
      <c r="I1252" s="3">
        <f ca="1">IFERROR(__xludf.UNSUPPORTED("""COMPUTED_VALUE"""),24)</f>
        <v>24</v>
      </c>
      <c r="J1252" s="4">
        <f ca="1">IFERROR(__xludf.UNSUPPORTED("""COMPUTED_VALUE"""),44981.3827314814)</f>
        <v>44981.382731481397</v>
      </c>
      <c r="L1252" s="3" t="str">
        <f ca="1">IFERROR(__xludf.UNSUPPORTED("""COMPUTED_VALUE"""),"Normalidade")</f>
        <v>Normalidade</v>
      </c>
    </row>
    <row r="1253" spans="1:12" ht="12.75">
      <c r="A1253" s="3" t="str">
        <f ca="1">IFERROR(__xludf.UNSUPPORTED("""COMPUTED_VALUE"""),"bd760026")</f>
        <v>bd760026</v>
      </c>
      <c r="B1253" s="4">
        <f ca="1">IFERROR(__xludf.UNSUPPORTED("""COMPUTED_VALUE"""),45120.6596064814)</f>
        <v>45120.6596064814</v>
      </c>
      <c r="C1253" s="8" t="str">
        <f ca="1">IFERROR(__xludf.UNSUPPORTED("""COMPUTED_VALUE"""),"Pelotas")</f>
        <v>Pelotas</v>
      </c>
      <c r="D1253" s="3" t="str">
        <f ca="1">IFERROR(__xludf.UNSUPPORTED("""COMPUTED_VALUE"""),"❗️ PARALISADA")</f>
        <v>❗️ PARALISADA</v>
      </c>
      <c r="E1253" s="3" t="str">
        <f ca="1">IFERROR(__xludf.UNSUPPORTED("""COMPUTED_VALUE"""),"🚛 LIBERADO")</f>
        <v>🚛 LIBERADO</v>
      </c>
      <c r="F1253" s="5">
        <f ca="1">IFERROR(__xludf.UNSUPPORTED("""COMPUTED_VALUE"""),0.75)</f>
        <v>0.75</v>
      </c>
      <c r="G1253" s="3" t="str">
        <f ca="1">IFERROR(__xludf.UNSUPPORTED("""COMPUTED_VALUE"""),"Operações portuárias suspensas em função de chuva e vento desde o final do dia 12/07/2023.")</f>
        <v>Operações portuárias suspensas em função de chuva e vento desde o final do dia 12/07/2023.</v>
      </c>
      <c r="H1253" s="4">
        <f ca="1">IFERROR(__xludf.UNSUPPORTED("""COMPUTED_VALUE"""),45120.6596064814)</f>
        <v>45120.6596064814</v>
      </c>
      <c r="I1253" s="3">
        <f ca="1">IFERROR(__xludf.UNSUPPORTED("""COMPUTED_VALUE"""),12)</f>
        <v>12</v>
      </c>
      <c r="J1253" s="4">
        <f ca="1">IFERROR(__xludf.UNSUPPORTED("""COMPUTED_VALUE"""),45121.1596064814)</f>
        <v>45121.1596064814</v>
      </c>
      <c r="K1253" s="3" t="str">
        <f ca="1">IFERROR(__xludf.UNSUPPORTED("""COMPUTED_VALUE"""),"Portos RS.")</f>
        <v>Portos RS.</v>
      </c>
      <c r="L1253" s="3" t="str">
        <f ca="1">IFERROR(__xludf.UNSUPPORTED("""COMPUTED_VALUE"""),"Crítico")</f>
        <v>Crítico</v>
      </c>
    </row>
    <row r="1254" spans="1:12" ht="12.75">
      <c r="A1254" s="3" t="str">
        <f ca="1">IFERROR(__xludf.UNSUPPORTED("""COMPUTED_VALUE"""),"67dbf915")</f>
        <v>67dbf915</v>
      </c>
      <c r="B1254" s="4">
        <f ca="1">IFERROR(__xludf.UNSUPPORTED("""COMPUTED_VALUE"""),45121.4494444444)</f>
        <v>45121.449444444399</v>
      </c>
      <c r="C1254" s="7" t="str">
        <f ca="1">IFERROR(__xludf.UNSUPPORTED("""COMPUTED_VALUE"""),"Pelotas")</f>
        <v>Pelotas</v>
      </c>
      <c r="D1254" s="3" t="str">
        <f ca="1">IFERROR(__xludf.UNSUPPORTED("""COMPUTED_VALUE"""),"🚢 REGULAR")</f>
        <v>🚢 REGULAR</v>
      </c>
      <c r="E1254" s="3" t="str">
        <f ca="1">IFERROR(__xludf.UNSUPPORTED("""COMPUTED_VALUE"""),"🚛 LIBERADO")</f>
        <v>🚛 LIBERADO</v>
      </c>
      <c r="F1254" s="5">
        <f ca="1">IFERROR(__xludf.UNSUPPORTED("""COMPUTED_VALUE"""),0)</f>
        <v>0</v>
      </c>
      <c r="G1254" s="3" t="str">
        <f ca="1">IFERROR(__xludf.UNSUPPORTED("""COMPUTED_VALUE"""),"Normalidade")</f>
        <v>Normalidade</v>
      </c>
      <c r="H1254" s="4">
        <f ca="1">IFERROR(__xludf.UNSUPPORTED("""COMPUTED_VALUE"""),45121.4494444444)</f>
        <v>45121.449444444399</v>
      </c>
      <c r="I1254" s="3">
        <f ca="1">IFERROR(__xludf.UNSUPPORTED("""COMPUTED_VALUE"""),24)</f>
        <v>24</v>
      </c>
      <c r="J1254" s="4">
        <f ca="1">IFERROR(__xludf.UNSUPPORTED("""COMPUTED_VALUE"""),45122.4494444444)</f>
        <v>45122.449444444399</v>
      </c>
      <c r="L1254" s="3" t="str">
        <f ca="1">IFERROR(__xludf.UNSUPPORTED("""COMPUTED_VALUE"""),"Normalidade")</f>
        <v>Normalidade</v>
      </c>
    </row>
    <row r="1255" spans="1:12" ht="12.75">
      <c r="A1255" s="3" t="str">
        <f ca="1">IFERROR(__xludf.UNSUPPORTED("""COMPUTED_VALUE"""),"271601ae")</f>
        <v>271601ae</v>
      </c>
      <c r="B1255" s="4">
        <f ca="1">IFERROR(__xludf.UNSUPPORTED("""COMPUTED_VALUE"""),45420.4086226851)</f>
        <v>45420.4086226851</v>
      </c>
      <c r="C1255" s="8" t="str">
        <f ca="1">IFERROR(__xludf.UNSUPPORTED("""COMPUTED_VALUE"""),"Pelotas")</f>
        <v>Pelotas</v>
      </c>
      <c r="D1255" s="3" t="str">
        <f ca="1">IFERROR(__xludf.UNSUPPORTED("""COMPUTED_VALUE"""),"❗️ PARALISADA")</f>
        <v>❗️ PARALISADA</v>
      </c>
      <c r="E1255" s="3" t="str">
        <f ca="1">IFERROR(__xludf.UNSUPPORTED("""COMPUTED_VALUE"""),"⛔️ BLOQUEADO")</f>
        <v>⛔️ BLOQUEADO</v>
      </c>
      <c r="F1255" s="5">
        <f ca="1">IFERROR(__xludf.UNSUPPORTED("""COMPUTED_VALUE"""),1)</f>
        <v>1</v>
      </c>
      <c r="G1255" s="3" t="str">
        <f ca="1">IFERROR(__xludf.UNSUPPORTED("""COMPUTED_VALUE"""),"A Portos RS - Autoridade Portuária dos Portos do Rio Grande do Sul informa que segue monitorando a situação de suas unidades operacionais e mantém suspensas as operações no Porto de Porto Alegre em razão da manutenção do nível do Lago Guaíba acima da cham"&amp;"ada cota de inundação, e no Porto de Pelotas, no sul do estado, o embarque de toras de madeira se mantém suspenso.")</f>
        <v>A Portos RS - Autoridade Portuária dos Portos do Rio Grande do Sul informa que segue monitorando a situação de suas unidades operacionais e mantém suspensas as operações no Porto de Porto Alegre em razão da manutenção do nível do Lago Guaíba acima da chamada cota de inundação, e no Porto de Pelotas, no sul do estado, o embarque de toras de madeira se mantém suspenso.</v>
      </c>
      <c r="H1255" s="4">
        <f ca="1">IFERROR(__xludf.UNSUPPORTED("""COMPUTED_VALUE"""),45420.4086226851)</f>
        <v>45420.4086226851</v>
      </c>
      <c r="I1255" s="3">
        <f ca="1">IFERROR(__xludf.UNSUPPORTED("""COMPUTED_VALUE"""),280)</f>
        <v>280</v>
      </c>
      <c r="J1255" s="4">
        <f ca="1">IFERROR(__xludf.UNSUPPORTED("""COMPUTED_VALUE"""),45432.0752893518)</f>
        <v>45432.0752893518</v>
      </c>
      <c r="K1255" s="3" t="str">
        <f ca="1">IFERROR(__xludf.UNSUPPORTED("""COMPUTED_VALUE"""),"Portos RS")</f>
        <v>Portos RS</v>
      </c>
      <c r="L1255" s="3" t="str">
        <f ca="1">IFERROR(__xludf.UNSUPPORTED("""COMPUTED_VALUE"""),"Crítico")</f>
        <v>Crítico</v>
      </c>
    </row>
    <row r="1256" spans="1:12" ht="12.75">
      <c r="A1256" s="3" t="str">
        <f ca="1">IFERROR(__xludf.UNSUPPORTED("""COMPUTED_VALUE"""),"684dab0a")</f>
        <v>684dab0a</v>
      </c>
      <c r="B1256" s="4">
        <f ca="1">IFERROR(__xludf.UNSUPPORTED("""COMPUTED_VALUE"""),44866.5087384259)</f>
        <v>44866.508738425902</v>
      </c>
      <c r="C1256" s="7" t="str">
        <f ca="1">IFERROR(__xludf.UNSUPPORTED("""COMPUTED_VALUE"""),"Porto Alegre")</f>
        <v>Porto Alegre</v>
      </c>
      <c r="D1256" s="3" t="str">
        <f ca="1">IFERROR(__xludf.UNSUPPORTED("""COMPUTED_VALUE"""),"🚢 REGULAR")</f>
        <v>🚢 REGULAR</v>
      </c>
      <c r="E1256" s="3" t="str">
        <f ca="1">IFERROR(__xludf.UNSUPPORTED("""COMPUTED_VALUE"""),"⚠️ PARCIALMENTE BLOQUEADO")</f>
        <v>⚠️ PARCIALMENTE BLOQUEADO</v>
      </c>
      <c r="F1256" s="5">
        <f ca="1">IFERROR(__xludf.UNSUPPORTED("""COMPUTED_VALUE"""),0.25)</f>
        <v>0.25</v>
      </c>
      <c r="G1256" s="3" t="str">
        <f ca="1">IFERROR(__xludf.UNSUPPORTED("""COMPUTED_VALUE"""),"Não há bloqueio em vias localizadas no município de Porto Alegre, o que possibilita o fluxo normal de veículos nas atividades portuárias. Contudo, bloqueios em rodovias de ligação ao porto podem impactar o fluxo de cargas nos próximos dias.")</f>
        <v>Não há bloqueio em vias localizadas no município de Porto Alegre, o que possibilita o fluxo normal de veículos nas atividades portuárias. Contudo, bloqueios em rodovias de ligação ao porto podem impactar o fluxo de cargas nos próximos dias.</v>
      </c>
      <c r="H1256" s="4">
        <f ca="1">IFERROR(__xludf.UNSUPPORTED("""COMPUTED_VALUE"""),44865.5)</f>
        <v>44865.5</v>
      </c>
      <c r="I1256" s="3">
        <f ca="1">IFERROR(__xludf.UNSUPPORTED("""COMPUTED_VALUE"""),32)</f>
        <v>32</v>
      </c>
      <c r="J1256" s="4">
        <f ca="1">IFERROR(__xludf.UNSUPPORTED("""COMPUTED_VALUE"""),44866.8333333333)</f>
        <v>44866.833333333299</v>
      </c>
    </row>
    <row r="1257" spans="1:12" ht="12.75">
      <c r="A1257" s="3" t="str">
        <f ca="1">IFERROR(__xludf.UNSUPPORTED("""COMPUTED_VALUE"""),"0c56fa02")</f>
        <v>0c56fa02</v>
      </c>
      <c r="B1257" s="4">
        <f ca="1">IFERROR(__xludf.UNSUPPORTED("""COMPUTED_VALUE"""),44868.4085300925)</f>
        <v>44868.4085300925</v>
      </c>
      <c r="C1257" s="8" t="str">
        <f ca="1">IFERROR(__xludf.UNSUPPORTED("""COMPUTED_VALUE"""),"Porto Alegre")</f>
        <v>Porto Alegre</v>
      </c>
      <c r="D1257" s="3" t="str">
        <f ca="1">IFERROR(__xludf.UNSUPPORTED("""COMPUTED_VALUE"""),"🚢 REGULAR")</f>
        <v>🚢 REGULAR</v>
      </c>
      <c r="E1257" s="3" t="str">
        <f ca="1">IFERROR(__xludf.UNSUPPORTED("""COMPUTED_VALUE"""),"🚛 LIBERADO")</f>
        <v>🚛 LIBERADO</v>
      </c>
      <c r="F1257" s="5">
        <f ca="1">IFERROR(__xludf.UNSUPPORTED("""COMPUTED_VALUE"""),0)</f>
        <v>0</v>
      </c>
      <c r="G1257" s="3" t="str">
        <f ca="1">IFERROR(__xludf.UNSUPPORTED("""COMPUTED_VALUE"""),"Não há bloqueio em vias localizadas no município de Rio Grande, o que possibilita o fluxo normal de veículos nas atividades portuárias.")</f>
        <v>Não há bloqueio em vias localizadas no município de Rio Grande, o que possibilita o fluxo normal de veículos nas atividades portuárias.</v>
      </c>
      <c r="H1257" s="4">
        <f ca="1">IFERROR(__xludf.UNSUPPORTED("""COMPUTED_VALUE"""),44868.4085300925)</f>
        <v>44868.4085300925</v>
      </c>
      <c r="I1257" s="3">
        <f ca="1">IFERROR(__xludf.UNSUPPORTED("""COMPUTED_VALUE"""),24)</f>
        <v>24</v>
      </c>
      <c r="J1257" s="4">
        <f ca="1">IFERROR(__xludf.UNSUPPORTED("""COMPUTED_VALUE"""),44869.4085300925)</f>
        <v>44869.4085300925</v>
      </c>
    </row>
    <row r="1258" spans="1:12" ht="12.75">
      <c r="A1258" s="3" t="str">
        <f ca="1">IFERROR(__xludf.UNSUPPORTED("""COMPUTED_VALUE"""),"3e5df9e1")</f>
        <v>3e5df9e1</v>
      </c>
      <c r="B1258" s="4">
        <f ca="1">IFERROR(__xludf.UNSUPPORTED("""COMPUTED_VALUE"""),44869.4070254629)</f>
        <v>44869.407025462897</v>
      </c>
      <c r="C1258" s="7" t="str">
        <f ca="1">IFERROR(__xludf.UNSUPPORTED("""COMPUTED_VALUE"""),"Porto Alegre")</f>
        <v>Porto Alegre</v>
      </c>
      <c r="D1258" s="3" t="str">
        <f ca="1">IFERROR(__xludf.UNSUPPORTED("""COMPUTED_VALUE"""),"🚢 REGULAR")</f>
        <v>🚢 REGULAR</v>
      </c>
      <c r="E1258" s="3" t="str">
        <f ca="1">IFERROR(__xludf.UNSUPPORTED("""COMPUTED_VALUE"""),"🚛 LIBERADO")</f>
        <v>🚛 LIBERADO</v>
      </c>
      <c r="F1258" s="5">
        <f ca="1">IFERROR(__xludf.UNSUPPORTED("""COMPUTED_VALUE"""),0)</f>
        <v>0</v>
      </c>
      <c r="G1258" s="3" t="str">
        <f ca="1">IFERROR(__xludf.UNSUPPORTED("""COMPUTED_VALUE"""),"Não há bloqueio em vias localizadas no município, o que possibilita o fluxo normal de veículos nas atividades portuárias.")</f>
        <v>Não há bloqueio em vias localizadas no município, o que possibilita o fluxo normal de veículos nas atividades portuárias.</v>
      </c>
      <c r="H1258" s="4">
        <f ca="1">IFERROR(__xludf.UNSUPPORTED("""COMPUTED_VALUE"""),44869.4070254629)</f>
        <v>44869.407025462897</v>
      </c>
      <c r="I1258" s="3">
        <f ca="1">IFERROR(__xludf.UNSUPPORTED("""COMPUTED_VALUE"""),24)</f>
        <v>24</v>
      </c>
      <c r="J1258" s="4">
        <f ca="1">IFERROR(__xludf.UNSUPPORTED("""COMPUTED_VALUE"""),44870.4070254629)</f>
        <v>44870.407025462897</v>
      </c>
    </row>
    <row r="1259" spans="1:12" ht="12.75">
      <c r="A1259" s="3" t="str">
        <f ca="1">IFERROR(__xludf.UNSUPPORTED("""COMPUTED_VALUE"""),"623a8c28")</f>
        <v>623a8c28</v>
      </c>
      <c r="B1259" s="4">
        <f ca="1">IFERROR(__xludf.UNSUPPORTED("""COMPUTED_VALUE"""),44870.4198726851)</f>
        <v>44870.419872685103</v>
      </c>
      <c r="C1259" s="8" t="str">
        <f ca="1">IFERROR(__xludf.UNSUPPORTED("""COMPUTED_VALUE"""),"Porto Alegre")</f>
        <v>Porto Alegre</v>
      </c>
      <c r="D1259" s="3" t="str">
        <f ca="1">IFERROR(__xludf.UNSUPPORTED("""COMPUTED_VALUE"""),"🚢 REGULAR")</f>
        <v>🚢 REGULAR</v>
      </c>
      <c r="E1259" s="3" t="str">
        <f ca="1">IFERROR(__xludf.UNSUPPORTED("""COMPUTED_VALUE"""),"🚛 LIBERADO")</f>
        <v>🚛 LIBERADO</v>
      </c>
      <c r="F1259" s="5">
        <f ca="1">IFERROR(__xludf.UNSUPPORTED("""COMPUTED_VALUE"""),0)</f>
        <v>0</v>
      </c>
      <c r="G1259" s="3" t="str">
        <f ca="1">IFERROR(__xludf.UNSUPPORTED("""COMPUTED_VALUE"""),"Não há bloqueio em vias localizadas no município, o que possibilita o fluxo normal de veículos nas atividades portuárias.")</f>
        <v>Não há bloqueio em vias localizadas no município, o que possibilita o fluxo normal de veículos nas atividades portuárias.</v>
      </c>
      <c r="H1259" s="4">
        <f ca="1">IFERROR(__xludf.UNSUPPORTED("""COMPUTED_VALUE"""),44870.4198726851)</f>
        <v>44870.419872685103</v>
      </c>
      <c r="I1259" s="3">
        <f ca="1">IFERROR(__xludf.UNSUPPORTED("""COMPUTED_VALUE"""),24)</f>
        <v>24</v>
      </c>
      <c r="J1259" s="4">
        <f ca="1">IFERROR(__xludf.UNSUPPORTED("""COMPUTED_VALUE"""),44871.4198726851)</f>
        <v>44871.419872685103</v>
      </c>
    </row>
    <row r="1260" spans="1:12" ht="12.75">
      <c r="A1260" s="3" t="str">
        <f ca="1">IFERROR(__xludf.UNSUPPORTED("""COMPUTED_VALUE"""),"b10ce9be")</f>
        <v>b10ce9be</v>
      </c>
      <c r="B1260" s="4">
        <f ca="1">IFERROR(__xludf.UNSUPPORTED("""COMPUTED_VALUE"""),44871.714386574)</f>
        <v>44871.714386574</v>
      </c>
      <c r="C1260" s="8" t="str">
        <f ca="1">IFERROR(__xludf.UNSUPPORTED("""COMPUTED_VALUE"""),"Porto Alegre")</f>
        <v>Porto Alegre</v>
      </c>
      <c r="D1260" s="3" t="str">
        <f ca="1">IFERROR(__xludf.UNSUPPORTED("""COMPUTED_VALUE"""),"🚢 REGULAR")</f>
        <v>🚢 REGULAR</v>
      </c>
      <c r="E1260" s="3" t="str">
        <f ca="1">IFERROR(__xludf.UNSUPPORTED("""COMPUTED_VALUE"""),"🚛 LIBERADO")</f>
        <v>🚛 LIBERADO</v>
      </c>
      <c r="F1260" s="5">
        <f ca="1">IFERROR(__xludf.UNSUPPORTED("""COMPUTED_VALUE"""),0)</f>
        <v>0</v>
      </c>
      <c r="G1260" s="3" t="str">
        <f ca="1">IFERROR(__xludf.UNSUPPORTED("""COMPUTED_VALUE"""),"Situação de normalidade")</f>
        <v>Situação de normalidade</v>
      </c>
      <c r="H1260" s="4">
        <f ca="1">IFERROR(__xludf.UNSUPPORTED("""COMPUTED_VALUE"""),44871.714386574)</f>
        <v>44871.714386574</v>
      </c>
      <c r="I1260" s="3">
        <f ca="1">IFERROR(__xludf.UNSUPPORTED("""COMPUTED_VALUE"""),24)</f>
        <v>24</v>
      </c>
      <c r="J1260" s="4">
        <f ca="1">IFERROR(__xludf.UNSUPPORTED("""COMPUTED_VALUE"""),44872.714386574)</f>
        <v>44872.714386574</v>
      </c>
    </row>
    <row r="1261" spans="1:12" ht="12.75">
      <c r="A1261" s="3" t="str">
        <f ca="1">IFERROR(__xludf.UNSUPPORTED("""COMPUTED_VALUE"""),"c7df8f99")</f>
        <v>c7df8f99</v>
      </c>
      <c r="B1261" s="4">
        <f ca="1">IFERROR(__xludf.UNSUPPORTED("""COMPUTED_VALUE"""),44872.4320601851)</f>
        <v>44872.4320601851</v>
      </c>
      <c r="C1261" s="8" t="str">
        <f ca="1">IFERROR(__xludf.UNSUPPORTED("""COMPUTED_VALUE"""),"Porto Alegre")</f>
        <v>Porto Alegre</v>
      </c>
      <c r="D1261" s="3" t="str">
        <f ca="1">IFERROR(__xludf.UNSUPPORTED("""COMPUTED_VALUE"""),"🚢 REGULAR")</f>
        <v>🚢 REGULAR</v>
      </c>
      <c r="E1261" s="3" t="str">
        <f ca="1">IFERROR(__xludf.UNSUPPORTED("""COMPUTED_VALUE"""),"🚛 LIBERADO")</f>
        <v>🚛 LIBERADO</v>
      </c>
      <c r="F1261" s="5">
        <f ca="1">IFERROR(__xludf.UNSUPPORTED("""COMPUTED_VALUE"""),0)</f>
        <v>0</v>
      </c>
      <c r="G1261" s="3" t="str">
        <f ca="1">IFERROR(__xludf.UNSUPPORTED("""COMPUTED_VALUE"""),"Situação de normalidade")</f>
        <v>Situação de normalidade</v>
      </c>
      <c r="H1261" s="4">
        <f ca="1">IFERROR(__xludf.UNSUPPORTED("""COMPUTED_VALUE"""),44872.4320601851)</f>
        <v>44872.4320601851</v>
      </c>
      <c r="I1261" s="3">
        <f ca="1">IFERROR(__xludf.UNSUPPORTED("""COMPUTED_VALUE"""),24)</f>
        <v>24</v>
      </c>
      <c r="J1261" s="4">
        <f ca="1">IFERROR(__xludf.UNSUPPORTED("""COMPUTED_VALUE"""),44873.4320601851)</f>
        <v>44873.4320601851</v>
      </c>
    </row>
    <row r="1262" spans="1:12" ht="12.75">
      <c r="A1262" s="3" t="str">
        <f ca="1">IFERROR(__xludf.UNSUPPORTED("""COMPUTED_VALUE"""),"baae18e9")</f>
        <v>baae18e9</v>
      </c>
      <c r="B1262" s="4">
        <f ca="1">IFERROR(__xludf.UNSUPPORTED("""COMPUTED_VALUE"""),44883.747662037)</f>
        <v>44883.747662037</v>
      </c>
      <c r="C1262" s="7" t="str">
        <f ca="1">IFERROR(__xludf.UNSUPPORTED("""COMPUTED_VALUE"""),"Porto Alegre")</f>
        <v>Porto Alegre</v>
      </c>
      <c r="D1262" s="3" t="str">
        <f ca="1">IFERROR(__xludf.UNSUPPORTED("""COMPUTED_VALUE"""),"🚢 REGULAR")</f>
        <v>🚢 REGULAR</v>
      </c>
      <c r="E1262" s="3" t="str">
        <f ca="1">IFERROR(__xludf.UNSUPPORTED("""COMPUTED_VALUE"""),"🚛 LIBERADO")</f>
        <v>🚛 LIBERADO</v>
      </c>
      <c r="F1262" s="5">
        <f ca="1">IFERROR(__xludf.UNSUPPORTED("""COMPUTED_VALUE"""),0)</f>
        <v>0</v>
      </c>
      <c r="G1262" s="3" t="str">
        <f ca="1">IFERROR(__xludf.UNSUPPORTED("""COMPUTED_VALUE"""),"Normalidade.")</f>
        <v>Normalidade.</v>
      </c>
      <c r="H1262" s="4">
        <f ca="1">IFERROR(__xludf.UNSUPPORTED("""COMPUTED_VALUE"""),44883.747662037)</f>
        <v>44883.747662037</v>
      </c>
      <c r="I1262" s="3">
        <f ca="1">IFERROR(__xludf.UNSUPPORTED("""COMPUTED_VALUE"""),24)</f>
        <v>24</v>
      </c>
      <c r="J1262" s="4">
        <f ca="1">IFERROR(__xludf.UNSUPPORTED("""COMPUTED_VALUE"""),44884.747662037)</f>
        <v>44884.747662037</v>
      </c>
    </row>
    <row r="1263" spans="1:12" ht="12.75">
      <c r="A1263" s="3" t="str">
        <f ca="1">IFERROR(__xludf.UNSUPPORTED("""COMPUTED_VALUE"""),"1ce4167b")</f>
        <v>1ce4167b</v>
      </c>
      <c r="B1263" s="4">
        <f ca="1">IFERROR(__xludf.UNSUPPORTED("""COMPUTED_VALUE"""),44886.3829398148)</f>
        <v>44886.382939814801</v>
      </c>
      <c r="C1263" s="7" t="str">
        <f ca="1">IFERROR(__xludf.UNSUPPORTED("""COMPUTED_VALUE"""),"Porto Alegre")</f>
        <v>Porto Alegre</v>
      </c>
      <c r="D1263" s="3" t="str">
        <f ca="1">IFERROR(__xludf.UNSUPPORTED("""COMPUTED_VALUE"""),"🚢 REGULAR")</f>
        <v>🚢 REGULAR</v>
      </c>
      <c r="E1263" s="3" t="str">
        <f ca="1">IFERROR(__xludf.UNSUPPORTED("""COMPUTED_VALUE"""),"🚛 LIBERADO")</f>
        <v>🚛 LIBERADO</v>
      </c>
      <c r="F1263" s="5">
        <f ca="1">IFERROR(__xludf.UNSUPPORTED("""COMPUTED_VALUE"""),0)</f>
        <v>0</v>
      </c>
      <c r="G1263" s="3" t="str">
        <f ca="1">IFERROR(__xludf.UNSUPPORTED("""COMPUTED_VALUE"""),"Normalidade")</f>
        <v>Normalidade</v>
      </c>
      <c r="H1263" s="4">
        <f ca="1">IFERROR(__xludf.UNSUPPORTED("""COMPUTED_VALUE"""),44886.3829398148)</f>
        <v>44886.382939814801</v>
      </c>
      <c r="I1263" s="3">
        <f ca="1">IFERROR(__xludf.UNSUPPORTED("""COMPUTED_VALUE"""),24)</f>
        <v>24</v>
      </c>
      <c r="J1263" s="4">
        <f ca="1">IFERROR(__xludf.UNSUPPORTED("""COMPUTED_VALUE"""),44887.3829398148)</f>
        <v>44887.382939814801</v>
      </c>
    </row>
    <row r="1264" spans="1:12" ht="12.75">
      <c r="A1264" s="3" t="str">
        <f ca="1">IFERROR(__xludf.UNSUPPORTED("""COMPUTED_VALUE"""),"7bf854fc")</f>
        <v>7bf854fc</v>
      </c>
      <c r="B1264" s="4">
        <f ca="1">IFERROR(__xludf.UNSUPPORTED("""COMPUTED_VALUE"""),44887.3961226851)</f>
        <v>44887.396122685102</v>
      </c>
      <c r="C1264" s="8" t="str">
        <f ca="1">IFERROR(__xludf.UNSUPPORTED("""COMPUTED_VALUE"""),"Porto Alegre")</f>
        <v>Porto Alegre</v>
      </c>
      <c r="D1264" s="3" t="str">
        <f ca="1">IFERROR(__xludf.UNSUPPORTED("""COMPUTED_VALUE"""),"🚢 REGULAR")</f>
        <v>🚢 REGULAR</v>
      </c>
      <c r="E1264" s="3" t="str">
        <f ca="1">IFERROR(__xludf.UNSUPPORTED("""COMPUTED_VALUE"""),"🚛 LIBERADO")</f>
        <v>🚛 LIBERADO</v>
      </c>
      <c r="F1264" s="5">
        <f ca="1">IFERROR(__xludf.UNSUPPORTED("""COMPUTED_VALUE"""),0)</f>
        <v>0</v>
      </c>
      <c r="G1264" s="3" t="str">
        <f ca="1">IFERROR(__xludf.UNSUPPORTED("""COMPUTED_VALUE"""),"Normalidade")</f>
        <v>Normalidade</v>
      </c>
      <c r="H1264" s="4">
        <f ca="1">IFERROR(__xludf.UNSUPPORTED("""COMPUTED_VALUE"""),44887.3961226851)</f>
        <v>44887.396122685102</v>
      </c>
      <c r="I1264" s="3">
        <f ca="1">IFERROR(__xludf.UNSUPPORTED("""COMPUTED_VALUE"""),24)</f>
        <v>24</v>
      </c>
      <c r="J1264" s="4">
        <f ca="1">IFERROR(__xludf.UNSUPPORTED("""COMPUTED_VALUE"""),44888.3961226851)</f>
        <v>44888.396122685102</v>
      </c>
    </row>
    <row r="1265" spans="1:10" ht="12.75">
      <c r="A1265" s="3" t="str">
        <f ca="1">IFERROR(__xludf.UNSUPPORTED("""COMPUTED_VALUE"""),"8b826190")</f>
        <v>8b826190</v>
      </c>
      <c r="B1265" s="4">
        <f ca="1">IFERROR(__xludf.UNSUPPORTED("""COMPUTED_VALUE"""),44888.3546180555)</f>
        <v>44888.354618055499</v>
      </c>
      <c r="C1265" s="8" t="str">
        <f ca="1">IFERROR(__xludf.UNSUPPORTED("""COMPUTED_VALUE"""),"Porto Alegre")</f>
        <v>Porto Alegre</v>
      </c>
      <c r="D1265" s="3" t="str">
        <f ca="1">IFERROR(__xludf.UNSUPPORTED("""COMPUTED_VALUE"""),"🚢 REGULAR")</f>
        <v>🚢 REGULAR</v>
      </c>
      <c r="E1265" s="3" t="str">
        <f ca="1">IFERROR(__xludf.UNSUPPORTED("""COMPUTED_VALUE"""),"🚛 LIBERADO")</f>
        <v>🚛 LIBERADO</v>
      </c>
      <c r="F1265" s="5">
        <f ca="1">IFERROR(__xludf.UNSUPPORTED("""COMPUTED_VALUE"""),0)</f>
        <v>0</v>
      </c>
      <c r="G1265" s="3" t="str">
        <f ca="1">IFERROR(__xludf.UNSUPPORTED("""COMPUTED_VALUE"""),"Normalidade")</f>
        <v>Normalidade</v>
      </c>
      <c r="H1265" s="4">
        <f ca="1">IFERROR(__xludf.UNSUPPORTED("""COMPUTED_VALUE"""),44888.3546180555)</f>
        <v>44888.354618055499</v>
      </c>
      <c r="I1265" s="3">
        <f ca="1">IFERROR(__xludf.UNSUPPORTED("""COMPUTED_VALUE"""),24)</f>
        <v>24</v>
      </c>
      <c r="J1265" s="4">
        <f ca="1">IFERROR(__xludf.UNSUPPORTED("""COMPUTED_VALUE"""),44889.3546180555)</f>
        <v>44889.354618055499</v>
      </c>
    </row>
    <row r="1266" spans="1:10" ht="12.75">
      <c r="A1266" s="3" t="str">
        <f ca="1">IFERROR(__xludf.UNSUPPORTED("""COMPUTED_VALUE"""),"28dc4c8f")</f>
        <v>28dc4c8f</v>
      </c>
      <c r="B1266" s="4">
        <f ca="1">IFERROR(__xludf.UNSUPPORTED("""COMPUTED_VALUE"""),44889.368287037)</f>
        <v>44889.368287037003</v>
      </c>
      <c r="C1266" s="7" t="str">
        <f ca="1">IFERROR(__xludf.UNSUPPORTED("""COMPUTED_VALUE"""),"Porto Alegre")</f>
        <v>Porto Alegre</v>
      </c>
      <c r="D1266" s="3" t="str">
        <f ca="1">IFERROR(__xludf.UNSUPPORTED("""COMPUTED_VALUE"""),"🚢 REGULAR")</f>
        <v>🚢 REGULAR</v>
      </c>
      <c r="E1266" s="3" t="str">
        <f ca="1">IFERROR(__xludf.UNSUPPORTED("""COMPUTED_VALUE"""),"🚛 LIBERADO")</f>
        <v>🚛 LIBERADO</v>
      </c>
      <c r="F1266" s="5">
        <f ca="1">IFERROR(__xludf.UNSUPPORTED("""COMPUTED_VALUE"""),0)</f>
        <v>0</v>
      </c>
      <c r="G1266" s="3" t="str">
        <f ca="1">IFERROR(__xludf.UNSUPPORTED("""COMPUTED_VALUE"""),"Normal")</f>
        <v>Normal</v>
      </c>
      <c r="H1266" s="4">
        <f ca="1">IFERROR(__xludf.UNSUPPORTED("""COMPUTED_VALUE"""),44889.368287037)</f>
        <v>44889.368287037003</v>
      </c>
      <c r="I1266" s="3">
        <f ca="1">IFERROR(__xludf.UNSUPPORTED("""COMPUTED_VALUE"""),24)</f>
        <v>24</v>
      </c>
      <c r="J1266" s="4">
        <f ca="1">IFERROR(__xludf.UNSUPPORTED("""COMPUTED_VALUE"""),44890.368287037)</f>
        <v>44890.368287037003</v>
      </c>
    </row>
    <row r="1267" spans="1:10" ht="12.75">
      <c r="A1267" s="3" t="str">
        <f ca="1">IFERROR(__xludf.UNSUPPORTED("""COMPUTED_VALUE"""),"d4a7fa5d")</f>
        <v>d4a7fa5d</v>
      </c>
      <c r="B1267" s="4">
        <f ca="1">IFERROR(__xludf.UNSUPPORTED("""COMPUTED_VALUE"""),44890.6322222222)</f>
        <v>44890.632222222201</v>
      </c>
      <c r="C1267" s="8" t="str">
        <f ca="1">IFERROR(__xludf.UNSUPPORTED("""COMPUTED_VALUE"""),"Porto Alegre")</f>
        <v>Porto Alegre</v>
      </c>
      <c r="D1267" s="3" t="str">
        <f ca="1">IFERROR(__xludf.UNSUPPORTED("""COMPUTED_VALUE"""),"🚢 REGULAR")</f>
        <v>🚢 REGULAR</v>
      </c>
      <c r="E1267" s="3" t="str">
        <f ca="1">IFERROR(__xludf.UNSUPPORTED("""COMPUTED_VALUE"""),"🚛 LIBERADO")</f>
        <v>🚛 LIBERADO</v>
      </c>
      <c r="F1267" s="5">
        <f ca="1">IFERROR(__xludf.UNSUPPORTED("""COMPUTED_VALUE"""),0)</f>
        <v>0</v>
      </c>
      <c r="G1267" s="3" t="str">
        <f ca="1">IFERROR(__xludf.UNSUPPORTED("""COMPUTED_VALUE"""),"Normal")</f>
        <v>Normal</v>
      </c>
      <c r="H1267" s="4">
        <f ca="1">IFERROR(__xludf.UNSUPPORTED("""COMPUTED_VALUE"""),44890.6322222222)</f>
        <v>44890.632222222201</v>
      </c>
      <c r="I1267" s="3">
        <f ca="1">IFERROR(__xludf.UNSUPPORTED("""COMPUTED_VALUE"""),24)</f>
        <v>24</v>
      </c>
      <c r="J1267" s="4">
        <f ca="1">IFERROR(__xludf.UNSUPPORTED("""COMPUTED_VALUE"""),44891.6322222222)</f>
        <v>44891.632222222201</v>
      </c>
    </row>
    <row r="1268" spans="1:10" ht="12.75">
      <c r="A1268" s="3" t="str">
        <f ca="1">IFERROR(__xludf.UNSUPPORTED("""COMPUTED_VALUE"""),"48c2d039")</f>
        <v>48c2d039</v>
      </c>
      <c r="B1268" s="4">
        <f ca="1">IFERROR(__xludf.UNSUPPORTED("""COMPUTED_VALUE"""),44893.4003935185)</f>
        <v>44893.400393518503</v>
      </c>
      <c r="C1268" s="8" t="str">
        <f ca="1">IFERROR(__xludf.UNSUPPORTED("""COMPUTED_VALUE"""),"Porto Alegre")</f>
        <v>Porto Alegre</v>
      </c>
      <c r="D1268" s="3" t="str">
        <f ca="1">IFERROR(__xludf.UNSUPPORTED("""COMPUTED_VALUE"""),"🚢 REGULAR")</f>
        <v>🚢 REGULAR</v>
      </c>
      <c r="E1268" s="3" t="str">
        <f ca="1">IFERROR(__xludf.UNSUPPORTED("""COMPUTED_VALUE"""),"🚛 LIBERADO")</f>
        <v>🚛 LIBERADO</v>
      </c>
      <c r="F1268" s="5">
        <f ca="1">IFERROR(__xludf.UNSUPPORTED("""COMPUTED_VALUE"""),0)</f>
        <v>0</v>
      </c>
      <c r="G1268" s="3" t="str">
        <f ca="1">IFERROR(__xludf.UNSUPPORTED("""COMPUTED_VALUE"""),"Normal")</f>
        <v>Normal</v>
      </c>
      <c r="H1268" s="4">
        <f ca="1">IFERROR(__xludf.UNSUPPORTED("""COMPUTED_VALUE"""),44893.4003935185)</f>
        <v>44893.400393518503</v>
      </c>
      <c r="I1268" s="3">
        <f ca="1">IFERROR(__xludf.UNSUPPORTED("""COMPUTED_VALUE"""),24)</f>
        <v>24</v>
      </c>
      <c r="J1268" s="4">
        <f ca="1">IFERROR(__xludf.UNSUPPORTED("""COMPUTED_VALUE"""),44894.4003935185)</f>
        <v>44894.400393518503</v>
      </c>
    </row>
    <row r="1269" spans="1:10" ht="12.75">
      <c r="A1269" s="3" t="str">
        <f ca="1">IFERROR(__xludf.UNSUPPORTED("""COMPUTED_VALUE"""),"9bc15715")</f>
        <v>9bc15715</v>
      </c>
      <c r="B1269" s="4">
        <f ca="1">IFERROR(__xludf.UNSUPPORTED("""COMPUTED_VALUE"""),44894.4055555555)</f>
        <v>44894.405555555502</v>
      </c>
      <c r="C1269" s="7" t="str">
        <f ca="1">IFERROR(__xludf.UNSUPPORTED("""COMPUTED_VALUE"""),"Porto Alegre")</f>
        <v>Porto Alegre</v>
      </c>
      <c r="D1269" s="3" t="str">
        <f ca="1">IFERROR(__xludf.UNSUPPORTED("""COMPUTED_VALUE"""),"🚢 REGULAR")</f>
        <v>🚢 REGULAR</v>
      </c>
      <c r="E1269" s="3" t="str">
        <f ca="1">IFERROR(__xludf.UNSUPPORTED("""COMPUTED_VALUE"""),"🚛 LIBERADO")</f>
        <v>🚛 LIBERADO</v>
      </c>
      <c r="F1269" s="5">
        <f ca="1">IFERROR(__xludf.UNSUPPORTED("""COMPUTED_VALUE"""),0)</f>
        <v>0</v>
      </c>
      <c r="G1269" s="3" t="str">
        <f ca="1">IFERROR(__xludf.UNSUPPORTED("""COMPUTED_VALUE"""),"Normal")</f>
        <v>Normal</v>
      </c>
      <c r="H1269" s="4">
        <f ca="1">IFERROR(__xludf.UNSUPPORTED("""COMPUTED_VALUE"""),44894.4055555555)</f>
        <v>44894.405555555502</v>
      </c>
      <c r="I1269" s="3">
        <f ca="1">IFERROR(__xludf.UNSUPPORTED("""COMPUTED_VALUE"""),24)</f>
        <v>24</v>
      </c>
      <c r="J1269" s="4">
        <f ca="1">IFERROR(__xludf.UNSUPPORTED("""COMPUTED_VALUE"""),44895.4055555555)</f>
        <v>44895.405555555502</v>
      </c>
    </row>
    <row r="1270" spans="1:10" ht="12.75">
      <c r="A1270" s="3" t="str">
        <f ca="1">IFERROR(__xludf.UNSUPPORTED("""COMPUTED_VALUE"""),"dd79363a")</f>
        <v>dd79363a</v>
      </c>
      <c r="B1270" s="4">
        <f ca="1">IFERROR(__xludf.UNSUPPORTED("""COMPUTED_VALUE"""),44895.3469560185)</f>
        <v>44895.346956018497</v>
      </c>
      <c r="C1270" s="8" t="str">
        <f ca="1">IFERROR(__xludf.UNSUPPORTED("""COMPUTED_VALUE"""),"Porto Alegre")</f>
        <v>Porto Alegre</v>
      </c>
      <c r="D1270" s="3" t="str">
        <f ca="1">IFERROR(__xludf.UNSUPPORTED("""COMPUTED_VALUE"""),"🚢 REGULAR")</f>
        <v>🚢 REGULAR</v>
      </c>
      <c r="E1270" s="3" t="str">
        <f ca="1">IFERROR(__xludf.UNSUPPORTED("""COMPUTED_VALUE"""),"🚛 LIBERADO")</f>
        <v>🚛 LIBERADO</v>
      </c>
      <c r="F1270" s="5">
        <f ca="1">IFERROR(__xludf.UNSUPPORTED("""COMPUTED_VALUE"""),0)</f>
        <v>0</v>
      </c>
      <c r="G1270" s="3" t="str">
        <f ca="1">IFERROR(__xludf.UNSUPPORTED("""COMPUTED_VALUE"""),"Normal")</f>
        <v>Normal</v>
      </c>
      <c r="H1270" s="4">
        <f ca="1">IFERROR(__xludf.UNSUPPORTED("""COMPUTED_VALUE"""),44895.3469560185)</f>
        <v>44895.346956018497</v>
      </c>
      <c r="I1270" s="3">
        <f ca="1">IFERROR(__xludf.UNSUPPORTED("""COMPUTED_VALUE"""),24)</f>
        <v>24</v>
      </c>
      <c r="J1270" s="4">
        <f ca="1">IFERROR(__xludf.UNSUPPORTED("""COMPUTED_VALUE"""),44896.3469560185)</f>
        <v>44896.346956018497</v>
      </c>
    </row>
    <row r="1271" spans="1:10" ht="12.75">
      <c r="A1271" s="3" t="str">
        <f ca="1">IFERROR(__xludf.UNSUPPORTED("""COMPUTED_VALUE"""),"f8fd1177")</f>
        <v>f8fd1177</v>
      </c>
      <c r="B1271" s="4">
        <f ca="1">IFERROR(__xludf.UNSUPPORTED("""COMPUTED_VALUE"""),44896.3544560185)</f>
        <v>44896.354456018496</v>
      </c>
      <c r="C1271" s="7" t="str">
        <f ca="1">IFERROR(__xludf.UNSUPPORTED("""COMPUTED_VALUE"""),"Porto Alegre")</f>
        <v>Porto Alegre</v>
      </c>
      <c r="D1271" s="3" t="str">
        <f ca="1">IFERROR(__xludf.UNSUPPORTED("""COMPUTED_VALUE"""),"🚢 REGULAR")</f>
        <v>🚢 REGULAR</v>
      </c>
      <c r="E1271" s="3" t="str">
        <f ca="1">IFERROR(__xludf.UNSUPPORTED("""COMPUTED_VALUE"""),"🚛 LIBERADO")</f>
        <v>🚛 LIBERADO</v>
      </c>
      <c r="F1271" s="5">
        <f ca="1">IFERROR(__xludf.UNSUPPORTED("""COMPUTED_VALUE"""),0)</f>
        <v>0</v>
      </c>
      <c r="G1271" s="3" t="str">
        <f ca="1">IFERROR(__xludf.UNSUPPORTED("""COMPUTED_VALUE"""),"Normal")</f>
        <v>Normal</v>
      </c>
      <c r="H1271" s="4">
        <f ca="1">IFERROR(__xludf.UNSUPPORTED("""COMPUTED_VALUE"""),44896.3544560185)</f>
        <v>44896.354456018496</v>
      </c>
      <c r="I1271" s="3">
        <f ca="1">IFERROR(__xludf.UNSUPPORTED("""COMPUTED_VALUE"""),24)</f>
        <v>24</v>
      </c>
      <c r="J1271" s="4">
        <f ca="1">IFERROR(__xludf.UNSUPPORTED("""COMPUTED_VALUE"""),44897.3544560185)</f>
        <v>44897.354456018496</v>
      </c>
    </row>
    <row r="1272" spans="1:10" ht="12.75">
      <c r="A1272" s="3" t="str">
        <f ca="1">IFERROR(__xludf.UNSUPPORTED("""COMPUTED_VALUE"""),"3f9e8767")</f>
        <v>3f9e8767</v>
      </c>
      <c r="B1272" s="4">
        <f ca="1">IFERROR(__xludf.UNSUPPORTED("""COMPUTED_VALUE"""),44897.398599537)</f>
        <v>44897.398599537002</v>
      </c>
      <c r="C1272" s="8" t="str">
        <f ca="1">IFERROR(__xludf.UNSUPPORTED("""COMPUTED_VALUE"""),"Porto Alegre")</f>
        <v>Porto Alegre</v>
      </c>
      <c r="D1272" s="3" t="str">
        <f ca="1">IFERROR(__xludf.UNSUPPORTED("""COMPUTED_VALUE"""),"🚢 REGULAR")</f>
        <v>🚢 REGULAR</v>
      </c>
      <c r="E1272" s="3" t="str">
        <f ca="1">IFERROR(__xludf.UNSUPPORTED("""COMPUTED_VALUE"""),"🚛 LIBERADO")</f>
        <v>🚛 LIBERADO</v>
      </c>
      <c r="F1272" s="5">
        <f ca="1">IFERROR(__xludf.UNSUPPORTED("""COMPUTED_VALUE"""),0)</f>
        <v>0</v>
      </c>
      <c r="G1272" s="3" t="str">
        <f ca="1">IFERROR(__xludf.UNSUPPORTED("""COMPUTED_VALUE"""),"Normal")</f>
        <v>Normal</v>
      </c>
      <c r="H1272" s="4">
        <f ca="1">IFERROR(__xludf.UNSUPPORTED("""COMPUTED_VALUE"""),44897.398599537)</f>
        <v>44897.398599537002</v>
      </c>
      <c r="I1272" s="3">
        <f ca="1">IFERROR(__xludf.UNSUPPORTED("""COMPUTED_VALUE"""),24)</f>
        <v>24</v>
      </c>
      <c r="J1272" s="4">
        <f ca="1">IFERROR(__xludf.UNSUPPORTED("""COMPUTED_VALUE"""),44898.398599537)</f>
        <v>44898.398599537002</v>
      </c>
    </row>
    <row r="1273" spans="1:10" ht="12.75">
      <c r="A1273" s="3" t="str">
        <f ca="1">IFERROR(__xludf.UNSUPPORTED("""COMPUTED_VALUE"""),"5be68fe1")</f>
        <v>5be68fe1</v>
      </c>
      <c r="B1273" s="4">
        <f ca="1">IFERROR(__xludf.UNSUPPORTED("""COMPUTED_VALUE"""),44900.4246643518)</f>
        <v>44900.424664351798</v>
      </c>
      <c r="C1273" s="7" t="str">
        <f ca="1">IFERROR(__xludf.UNSUPPORTED("""COMPUTED_VALUE"""),"Porto Alegre")</f>
        <v>Porto Alegre</v>
      </c>
      <c r="D1273" s="3" t="str">
        <f ca="1">IFERROR(__xludf.UNSUPPORTED("""COMPUTED_VALUE"""),"🚢 REGULAR")</f>
        <v>🚢 REGULAR</v>
      </c>
      <c r="E1273" s="3" t="str">
        <f ca="1">IFERROR(__xludf.UNSUPPORTED("""COMPUTED_VALUE"""),"🚛 LIBERADO")</f>
        <v>🚛 LIBERADO</v>
      </c>
      <c r="F1273" s="5">
        <f ca="1">IFERROR(__xludf.UNSUPPORTED("""COMPUTED_VALUE"""),0)</f>
        <v>0</v>
      </c>
      <c r="G1273" s="3" t="str">
        <f ca="1">IFERROR(__xludf.UNSUPPORTED("""COMPUTED_VALUE"""),"Normal")</f>
        <v>Normal</v>
      </c>
      <c r="H1273" s="4">
        <f ca="1">IFERROR(__xludf.UNSUPPORTED("""COMPUTED_VALUE"""),44900.4246643518)</f>
        <v>44900.424664351798</v>
      </c>
      <c r="I1273" s="3">
        <f ca="1">IFERROR(__xludf.UNSUPPORTED("""COMPUTED_VALUE"""),24)</f>
        <v>24</v>
      </c>
      <c r="J1273" s="4">
        <f ca="1">IFERROR(__xludf.UNSUPPORTED("""COMPUTED_VALUE"""),44901.4246643518)</f>
        <v>44901.424664351798</v>
      </c>
    </row>
    <row r="1274" spans="1:10" ht="12.75">
      <c r="A1274" s="3" t="str">
        <f ca="1">IFERROR(__xludf.UNSUPPORTED("""COMPUTED_VALUE"""),"9ab5e53c")</f>
        <v>9ab5e53c</v>
      </c>
      <c r="B1274" s="4">
        <f ca="1">IFERROR(__xludf.UNSUPPORTED("""COMPUTED_VALUE"""),44901.3647453703)</f>
        <v>44901.364745370302</v>
      </c>
      <c r="C1274" s="7" t="str">
        <f ca="1">IFERROR(__xludf.UNSUPPORTED("""COMPUTED_VALUE"""),"Porto Alegre")</f>
        <v>Porto Alegre</v>
      </c>
      <c r="D1274" s="3" t="str">
        <f ca="1">IFERROR(__xludf.UNSUPPORTED("""COMPUTED_VALUE"""),"🚢 REGULAR")</f>
        <v>🚢 REGULAR</v>
      </c>
      <c r="E1274" s="3" t="str">
        <f ca="1">IFERROR(__xludf.UNSUPPORTED("""COMPUTED_VALUE"""),"🚛 LIBERADO")</f>
        <v>🚛 LIBERADO</v>
      </c>
      <c r="F1274" s="5">
        <f ca="1">IFERROR(__xludf.UNSUPPORTED("""COMPUTED_VALUE"""),0)</f>
        <v>0</v>
      </c>
      <c r="G1274" s="3" t="str">
        <f ca="1">IFERROR(__xludf.UNSUPPORTED("""COMPUTED_VALUE"""),"Normal")</f>
        <v>Normal</v>
      </c>
      <c r="H1274" s="4">
        <f ca="1">IFERROR(__xludf.UNSUPPORTED("""COMPUTED_VALUE"""),44901.3647453703)</f>
        <v>44901.364745370302</v>
      </c>
      <c r="I1274" s="3">
        <f ca="1">IFERROR(__xludf.UNSUPPORTED("""COMPUTED_VALUE"""),24)</f>
        <v>24</v>
      </c>
      <c r="J1274" s="4">
        <f ca="1">IFERROR(__xludf.UNSUPPORTED("""COMPUTED_VALUE"""),44902.3647453703)</f>
        <v>44902.364745370302</v>
      </c>
    </row>
    <row r="1275" spans="1:10" ht="12.75">
      <c r="A1275" s="3" t="str">
        <f ca="1">IFERROR(__xludf.UNSUPPORTED("""COMPUTED_VALUE"""),"66389955")</f>
        <v>66389955</v>
      </c>
      <c r="B1275" s="4">
        <f ca="1">IFERROR(__xludf.UNSUPPORTED("""COMPUTED_VALUE"""),44902.3535416666)</f>
        <v>44902.353541666598</v>
      </c>
      <c r="C1275" s="8" t="str">
        <f ca="1">IFERROR(__xludf.UNSUPPORTED("""COMPUTED_VALUE"""),"Porto Alegre")</f>
        <v>Porto Alegre</v>
      </c>
      <c r="D1275" s="3" t="str">
        <f ca="1">IFERROR(__xludf.UNSUPPORTED("""COMPUTED_VALUE"""),"🚢 REGULAR")</f>
        <v>🚢 REGULAR</v>
      </c>
      <c r="E1275" s="3" t="str">
        <f ca="1">IFERROR(__xludf.UNSUPPORTED("""COMPUTED_VALUE"""),"🚛 LIBERADO")</f>
        <v>🚛 LIBERADO</v>
      </c>
      <c r="F1275" s="5">
        <f ca="1">IFERROR(__xludf.UNSUPPORTED("""COMPUTED_VALUE"""),0)</f>
        <v>0</v>
      </c>
      <c r="G1275" s="3" t="str">
        <f ca="1">IFERROR(__xludf.UNSUPPORTED("""COMPUTED_VALUE"""),"Normal")</f>
        <v>Normal</v>
      </c>
      <c r="H1275" s="4">
        <f ca="1">IFERROR(__xludf.UNSUPPORTED("""COMPUTED_VALUE"""),44902.3535416666)</f>
        <v>44902.353541666598</v>
      </c>
      <c r="I1275" s="3">
        <f ca="1">IFERROR(__xludf.UNSUPPORTED("""COMPUTED_VALUE"""),24)</f>
        <v>24</v>
      </c>
      <c r="J1275" s="4">
        <f ca="1">IFERROR(__xludf.UNSUPPORTED("""COMPUTED_VALUE"""),44903.3535416666)</f>
        <v>44903.353541666598</v>
      </c>
    </row>
    <row r="1276" spans="1:10" ht="12.75">
      <c r="A1276" s="3" t="str">
        <f ca="1">IFERROR(__xludf.UNSUPPORTED("""COMPUTED_VALUE"""),"87f9194f")</f>
        <v>87f9194f</v>
      </c>
      <c r="B1276" s="4">
        <f ca="1">IFERROR(__xludf.UNSUPPORTED("""COMPUTED_VALUE"""),44903.408912037)</f>
        <v>44903.408912036997</v>
      </c>
      <c r="C1276" s="7" t="str">
        <f ca="1">IFERROR(__xludf.UNSUPPORTED("""COMPUTED_VALUE"""),"Porto Alegre")</f>
        <v>Porto Alegre</v>
      </c>
      <c r="D1276" s="3" t="str">
        <f ca="1">IFERROR(__xludf.UNSUPPORTED("""COMPUTED_VALUE"""),"🚢 REGULAR")</f>
        <v>🚢 REGULAR</v>
      </c>
      <c r="E1276" s="3" t="str">
        <f ca="1">IFERROR(__xludf.UNSUPPORTED("""COMPUTED_VALUE"""),"🚛 LIBERADO")</f>
        <v>🚛 LIBERADO</v>
      </c>
      <c r="F1276" s="5">
        <f ca="1">IFERROR(__xludf.UNSUPPORTED("""COMPUTED_VALUE"""),0)</f>
        <v>0</v>
      </c>
      <c r="G1276" s="3" t="str">
        <f ca="1">IFERROR(__xludf.UNSUPPORTED("""COMPUTED_VALUE"""),"Normal")</f>
        <v>Normal</v>
      </c>
      <c r="H1276" s="4">
        <f ca="1">IFERROR(__xludf.UNSUPPORTED("""COMPUTED_VALUE"""),44903.408912037)</f>
        <v>44903.408912036997</v>
      </c>
      <c r="I1276" s="3">
        <f ca="1">IFERROR(__xludf.UNSUPPORTED("""COMPUTED_VALUE"""),24)</f>
        <v>24</v>
      </c>
      <c r="J1276" s="4">
        <f ca="1">IFERROR(__xludf.UNSUPPORTED("""COMPUTED_VALUE"""),44904.408912037)</f>
        <v>44904.408912036997</v>
      </c>
    </row>
    <row r="1277" spans="1:10" ht="12.75">
      <c r="A1277" s="3" t="str">
        <f ca="1">IFERROR(__xludf.UNSUPPORTED("""COMPUTED_VALUE"""),"f29086bd")</f>
        <v>f29086bd</v>
      </c>
      <c r="B1277" s="4">
        <f ca="1">IFERROR(__xludf.UNSUPPORTED("""COMPUTED_VALUE"""),44904.3692939814)</f>
        <v>44904.369293981399</v>
      </c>
      <c r="C1277" s="8" t="str">
        <f ca="1">IFERROR(__xludf.UNSUPPORTED("""COMPUTED_VALUE"""),"Porto Alegre")</f>
        <v>Porto Alegre</v>
      </c>
      <c r="D1277" s="3" t="str">
        <f ca="1">IFERROR(__xludf.UNSUPPORTED("""COMPUTED_VALUE"""),"🚢 REGULAR")</f>
        <v>🚢 REGULAR</v>
      </c>
      <c r="E1277" s="3" t="str">
        <f ca="1">IFERROR(__xludf.UNSUPPORTED("""COMPUTED_VALUE"""),"🚛 LIBERADO")</f>
        <v>🚛 LIBERADO</v>
      </c>
      <c r="F1277" s="5">
        <f ca="1">IFERROR(__xludf.UNSUPPORTED("""COMPUTED_VALUE"""),0)</f>
        <v>0</v>
      </c>
      <c r="G1277" s="3" t="str">
        <f ca="1">IFERROR(__xludf.UNSUPPORTED("""COMPUTED_VALUE"""),"Normal")</f>
        <v>Normal</v>
      </c>
      <c r="H1277" s="4">
        <f ca="1">IFERROR(__xludf.UNSUPPORTED("""COMPUTED_VALUE"""),44904.3692939814)</f>
        <v>44904.369293981399</v>
      </c>
      <c r="I1277" s="3">
        <f ca="1">IFERROR(__xludf.UNSUPPORTED("""COMPUTED_VALUE"""),24)</f>
        <v>24</v>
      </c>
      <c r="J1277" s="4">
        <f ca="1">IFERROR(__xludf.UNSUPPORTED("""COMPUTED_VALUE"""),44905.3692939814)</f>
        <v>44905.369293981399</v>
      </c>
    </row>
    <row r="1278" spans="1:10" ht="12.75">
      <c r="A1278" s="3" t="str">
        <f ca="1">IFERROR(__xludf.UNSUPPORTED("""COMPUTED_VALUE"""),"78eb15f7")</f>
        <v>78eb15f7</v>
      </c>
      <c r="B1278" s="4">
        <f ca="1">IFERROR(__xludf.UNSUPPORTED("""COMPUTED_VALUE"""),44905.3901504629)</f>
        <v>44905.390150462903</v>
      </c>
      <c r="C1278" s="7" t="str">
        <f ca="1">IFERROR(__xludf.UNSUPPORTED("""COMPUTED_VALUE"""),"Porto Alegre")</f>
        <v>Porto Alegre</v>
      </c>
      <c r="D1278" s="3" t="str">
        <f ca="1">IFERROR(__xludf.UNSUPPORTED("""COMPUTED_VALUE"""),"🚢 REGULAR")</f>
        <v>🚢 REGULAR</v>
      </c>
      <c r="E1278" s="3" t="str">
        <f ca="1">IFERROR(__xludf.UNSUPPORTED("""COMPUTED_VALUE"""),"🚛 LIBERADO")</f>
        <v>🚛 LIBERADO</v>
      </c>
      <c r="F1278" s="5">
        <f ca="1">IFERROR(__xludf.UNSUPPORTED("""COMPUTED_VALUE"""),0)</f>
        <v>0</v>
      </c>
      <c r="G1278" s="3" t="str">
        <f ca="1">IFERROR(__xludf.UNSUPPORTED("""COMPUTED_VALUE"""),"Normal")</f>
        <v>Normal</v>
      </c>
      <c r="H1278" s="4">
        <f ca="1">IFERROR(__xludf.UNSUPPORTED("""COMPUTED_VALUE"""),44905.3901504629)</f>
        <v>44905.390150462903</v>
      </c>
      <c r="I1278" s="3">
        <f ca="1">IFERROR(__xludf.UNSUPPORTED("""COMPUTED_VALUE"""),24)</f>
        <v>24</v>
      </c>
      <c r="J1278" s="4">
        <f ca="1">IFERROR(__xludf.UNSUPPORTED("""COMPUTED_VALUE"""),44906.3901504629)</f>
        <v>44906.390150462903</v>
      </c>
    </row>
    <row r="1279" spans="1:10" ht="12.75">
      <c r="A1279" s="3" t="str">
        <f ca="1">IFERROR(__xludf.UNSUPPORTED("""COMPUTED_VALUE"""),"c9001194")</f>
        <v>c9001194</v>
      </c>
      <c r="B1279" s="4">
        <f ca="1">IFERROR(__xludf.UNSUPPORTED("""COMPUTED_VALUE"""),44907.4155555555)</f>
        <v>44907.415555555497</v>
      </c>
      <c r="C1279" s="8" t="str">
        <f ca="1">IFERROR(__xludf.UNSUPPORTED("""COMPUTED_VALUE"""),"Porto Alegre")</f>
        <v>Porto Alegre</v>
      </c>
      <c r="D1279" s="3" t="str">
        <f ca="1">IFERROR(__xludf.UNSUPPORTED("""COMPUTED_VALUE"""),"🚢 REGULAR")</f>
        <v>🚢 REGULAR</v>
      </c>
      <c r="E1279" s="3" t="str">
        <f ca="1">IFERROR(__xludf.UNSUPPORTED("""COMPUTED_VALUE"""),"🚛 LIBERADO")</f>
        <v>🚛 LIBERADO</v>
      </c>
      <c r="F1279" s="5">
        <f ca="1">IFERROR(__xludf.UNSUPPORTED("""COMPUTED_VALUE"""),0)</f>
        <v>0</v>
      </c>
      <c r="G1279" s="3" t="str">
        <f ca="1">IFERROR(__xludf.UNSUPPORTED("""COMPUTED_VALUE"""),"Normal")</f>
        <v>Normal</v>
      </c>
      <c r="H1279" s="4">
        <f ca="1">IFERROR(__xludf.UNSUPPORTED("""COMPUTED_VALUE"""),44907.4155555555)</f>
        <v>44907.415555555497</v>
      </c>
      <c r="I1279" s="3">
        <f ca="1">IFERROR(__xludf.UNSUPPORTED("""COMPUTED_VALUE"""),24)</f>
        <v>24</v>
      </c>
      <c r="J1279" s="4">
        <f ca="1">IFERROR(__xludf.UNSUPPORTED("""COMPUTED_VALUE"""),44908.4155555555)</f>
        <v>44908.415555555497</v>
      </c>
    </row>
    <row r="1280" spans="1:10" ht="12.75">
      <c r="A1280" s="3" t="str">
        <f ca="1">IFERROR(__xludf.UNSUPPORTED("""COMPUTED_VALUE"""),"a9fb71db")</f>
        <v>a9fb71db</v>
      </c>
      <c r="B1280" s="4">
        <f ca="1">IFERROR(__xludf.UNSUPPORTED("""COMPUTED_VALUE"""),44908.3960648148)</f>
        <v>44908.396064814799</v>
      </c>
      <c r="C1280" s="7" t="str">
        <f ca="1">IFERROR(__xludf.UNSUPPORTED("""COMPUTED_VALUE"""),"Porto Alegre")</f>
        <v>Porto Alegre</v>
      </c>
      <c r="D1280" s="3" t="str">
        <f ca="1">IFERROR(__xludf.UNSUPPORTED("""COMPUTED_VALUE"""),"🚢 REGULAR")</f>
        <v>🚢 REGULAR</v>
      </c>
      <c r="E1280" s="3" t="str">
        <f ca="1">IFERROR(__xludf.UNSUPPORTED("""COMPUTED_VALUE"""),"🚛 LIBERADO")</f>
        <v>🚛 LIBERADO</v>
      </c>
      <c r="F1280" s="5">
        <f ca="1">IFERROR(__xludf.UNSUPPORTED("""COMPUTED_VALUE"""),0)</f>
        <v>0</v>
      </c>
      <c r="G1280" s="3" t="str">
        <f ca="1">IFERROR(__xludf.UNSUPPORTED("""COMPUTED_VALUE"""),"Normal")</f>
        <v>Normal</v>
      </c>
      <c r="H1280" s="4">
        <f ca="1">IFERROR(__xludf.UNSUPPORTED("""COMPUTED_VALUE"""),44908.3960648148)</f>
        <v>44908.396064814799</v>
      </c>
      <c r="I1280" s="3">
        <f ca="1">IFERROR(__xludf.UNSUPPORTED("""COMPUTED_VALUE"""),24)</f>
        <v>24</v>
      </c>
      <c r="J1280" s="4">
        <f ca="1">IFERROR(__xludf.UNSUPPORTED("""COMPUTED_VALUE"""),44909.3960648148)</f>
        <v>44909.396064814799</v>
      </c>
    </row>
    <row r="1281" spans="1:12" ht="12.75">
      <c r="A1281" s="3" t="str">
        <f ca="1">IFERROR(__xludf.UNSUPPORTED("""COMPUTED_VALUE"""),"53942b9d")</f>
        <v>53942b9d</v>
      </c>
      <c r="B1281" s="4">
        <f ca="1">IFERROR(__xludf.UNSUPPORTED("""COMPUTED_VALUE"""),44909.4365856481)</f>
        <v>44909.436585648102</v>
      </c>
      <c r="C1281" s="7" t="str">
        <f ca="1">IFERROR(__xludf.UNSUPPORTED("""COMPUTED_VALUE"""),"Porto Alegre")</f>
        <v>Porto Alegre</v>
      </c>
      <c r="D1281" s="3" t="str">
        <f ca="1">IFERROR(__xludf.UNSUPPORTED("""COMPUTED_VALUE"""),"🚢 REGULAR")</f>
        <v>🚢 REGULAR</v>
      </c>
      <c r="E1281" s="3" t="str">
        <f ca="1">IFERROR(__xludf.UNSUPPORTED("""COMPUTED_VALUE"""),"🚛 LIBERADO")</f>
        <v>🚛 LIBERADO</v>
      </c>
      <c r="F1281" s="5">
        <f ca="1">IFERROR(__xludf.UNSUPPORTED("""COMPUTED_VALUE"""),0)</f>
        <v>0</v>
      </c>
      <c r="G1281" s="3" t="str">
        <f ca="1">IFERROR(__xludf.UNSUPPORTED("""COMPUTED_VALUE"""),"Normal")</f>
        <v>Normal</v>
      </c>
      <c r="H1281" s="4">
        <f ca="1">IFERROR(__xludf.UNSUPPORTED("""COMPUTED_VALUE"""),44909.4365856481)</f>
        <v>44909.436585648102</v>
      </c>
      <c r="I1281" s="3">
        <f ca="1">IFERROR(__xludf.UNSUPPORTED("""COMPUTED_VALUE"""),24)</f>
        <v>24</v>
      </c>
      <c r="J1281" s="4">
        <f ca="1">IFERROR(__xludf.UNSUPPORTED("""COMPUTED_VALUE"""),44910.4365856481)</f>
        <v>44910.436585648102</v>
      </c>
    </row>
    <row r="1282" spans="1:12" ht="12.75">
      <c r="A1282" s="3" t="str">
        <f ca="1">IFERROR(__xludf.UNSUPPORTED("""COMPUTED_VALUE"""),"34c1a8a9")</f>
        <v>34c1a8a9</v>
      </c>
      <c r="B1282" s="4">
        <f ca="1">IFERROR(__xludf.UNSUPPORTED("""COMPUTED_VALUE"""),44910.3958680555)</f>
        <v>44910.395868055501</v>
      </c>
      <c r="C1282" s="7" t="str">
        <f ca="1">IFERROR(__xludf.UNSUPPORTED("""COMPUTED_VALUE"""),"Porto Alegre")</f>
        <v>Porto Alegre</v>
      </c>
      <c r="D1282" s="3" t="str">
        <f ca="1">IFERROR(__xludf.UNSUPPORTED("""COMPUTED_VALUE"""),"🚢 REGULAR")</f>
        <v>🚢 REGULAR</v>
      </c>
      <c r="E1282" s="3" t="str">
        <f ca="1">IFERROR(__xludf.UNSUPPORTED("""COMPUTED_VALUE"""),"🚛 LIBERADO")</f>
        <v>🚛 LIBERADO</v>
      </c>
      <c r="F1282" s="5">
        <f ca="1">IFERROR(__xludf.UNSUPPORTED("""COMPUTED_VALUE"""),0)</f>
        <v>0</v>
      </c>
      <c r="G1282" s="3" t="str">
        <f ca="1">IFERROR(__xludf.UNSUPPORTED("""COMPUTED_VALUE"""),"Normal")</f>
        <v>Normal</v>
      </c>
      <c r="H1282" s="4">
        <f ca="1">IFERROR(__xludf.UNSUPPORTED("""COMPUTED_VALUE"""),44910.3958680555)</f>
        <v>44910.395868055501</v>
      </c>
      <c r="I1282" s="3">
        <f ca="1">IFERROR(__xludf.UNSUPPORTED("""COMPUTED_VALUE"""),24)</f>
        <v>24</v>
      </c>
      <c r="J1282" s="4">
        <f ca="1">IFERROR(__xludf.UNSUPPORTED("""COMPUTED_VALUE"""),44911.3958680555)</f>
        <v>44911.395868055501</v>
      </c>
    </row>
    <row r="1283" spans="1:12" ht="12.75">
      <c r="A1283" s="3" t="str">
        <f ca="1">IFERROR(__xludf.UNSUPPORTED("""COMPUTED_VALUE"""),"b039ec17")</f>
        <v>b039ec17</v>
      </c>
      <c r="B1283" s="4">
        <f ca="1">IFERROR(__xludf.UNSUPPORTED("""COMPUTED_VALUE"""),44911.3560185185)</f>
        <v>44911.356018518498</v>
      </c>
      <c r="C1283" s="7" t="str">
        <f ca="1">IFERROR(__xludf.UNSUPPORTED("""COMPUTED_VALUE"""),"Porto Alegre")</f>
        <v>Porto Alegre</v>
      </c>
      <c r="D1283" s="3" t="str">
        <f ca="1">IFERROR(__xludf.UNSUPPORTED("""COMPUTED_VALUE"""),"🚢 REGULAR")</f>
        <v>🚢 REGULAR</v>
      </c>
      <c r="E1283" s="3" t="str">
        <f ca="1">IFERROR(__xludf.UNSUPPORTED("""COMPUTED_VALUE"""),"🚛 LIBERADO")</f>
        <v>🚛 LIBERADO</v>
      </c>
      <c r="F1283" s="5">
        <f ca="1">IFERROR(__xludf.UNSUPPORTED("""COMPUTED_VALUE"""),0)</f>
        <v>0</v>
      </c>
      <c r="G1283" s="3" t="str">
        <f ca="1">IFERROR(__xludf.UNSUPPORTED("""COMPUTED_VALUE"""),"Normal")</f>
        <v>Normal</v>
      </c>
      <c r="H1283" s="4">
        <f ca="1">IFERROR(__xludf.UNSUPPORTED("""COMPUTED_VALUE"""),44911.3560185185)</f>
        <v>44911.356018518498</v>
      </c>
      <c r="I1283" s="3">
        <f ca="1">IFERROR(__xludf.UNSUPPORTED("""COMPUTED_VALUE"""),24)</f>
        <v>24</v>
      </c>
      <c r="J1283" s="4">
        <f ca="1">IFERROR(__xludf.UNSUPPORTED("""COMPUTED_VALUE"""),44912.3560185185)</f>
        <v>44912.356018518498</v>
      </c>
    </row>
    <row r="1284" spans="1:12" ht="12.75">
      <c r="A1284" s="3" t="str">
        <f ca="1">IFERROR(__xludf.UNSUPPORTED("""COMPUTED_VALUE"""),"d7757dd8")</f>
        <v>d7757dd8</v>
      </c>
      <c r="B1284" s="4">
        <f ca="1">IFERROR(__xludf.UNSUPPORTED("""COMPUTED_VALUE"""),44914.3182523148)</f>
        <v>44914.318252314799</v>
      </c>
      <c r="C1284" s="7" t="str">
        <f ca="1">IFERROR(__xludf.UNSUPPORTED("""COMPUTED_VALUE"""),"Porto Alegre")</f>
        <v>Porto Alegre</v>
      </c>
      <c r="D1284" s="3" t="str">
        <f ca="1">IFERROR(__xludf.UNSUPPORTED("""COMPUTED_VALUE"""),"🚢 REGULAR")</f>
        <v>🚢 REGULAR</v>
      </c>
      <c r="E1284" s="3" t="str">
        <f ca="1">IFERROR(__xludf.UNSUPPORTED("""COMPUTED_VALUE"""),"🚛 LIBERADO")</f>
        <v>🚛 LIBERADO</v>
      </c>
      <c r="F1284" s="5">
        <f ca="1">IFERROR(__xludf.UNSUPPORTED("""COMPUTED_VALUE"""),0)</f>
        <v>0</v>
      </c>
      <c r="G1284" s="3" t="str">
        <f ca="1">IFERROR(__xludf.UNSUPPORTED("""COMPUTED_VALUE"""),"Normal")</f>
        <v>Normal</v>
      </c>
      <c r="H1284" s="4">
        <f ca="1">IFERROR(__xludf.UNSUPPORTED("""COMPUTED_VALUE"""),44914.3182523148)</f>
        <v>44914.318252314799</v>
      </c>
      <c r="I1284" s="3">
        <f ca="1">IFERROR(__xludf.UNSUPPORTED("""COMPUTED_VALUE"""),24)</f>
        <v>24</v>
      </c>
      <c r="J1284" s="4">
        <f ca="1">IFERROR(__xludf.UNSUPPORTED("""COMPUTED_VALUE"""),44915.3182523148)</f>
        <v>44915.318252314799</v>
      </c>
    </row>
    <row r="1285" spans="1:12" ht="12.75">
      <c r="A1285" s="3" t="str">
        <f ca="1">IFERROR(__xludf.UNSUPPORTED("""COMPUTED_VALUE"""),"6ba0b64b")</f>
        <v>6ba0b64b</v>
      </c>
      <c r="B1285" s="4">
        <f ca="1">IFERROR(__xludf.UNSUPPORTED("""COMPUTED_VALUE"""),44915.4135069444)</f>
        <v>44915.413506944402</v>
      </c>
      <c r="C1285" s="8" t="str">
        <f ca="1">IFERROR(__xludf.UNSUPPORTED("""COMPUTED_VALUE"""),"Porto Alegre")</f>
        <v>Porto Alegre</v>
      </c>
      <c r="D1285" s="3" t="str">
        <f ca="1">IFERROR(__xludf.UNSUPPORTED("""COMPUTED_VALUE"""),"🚢 REGULAR")</f>
        <v>🚢 REGULAR</v>
      </c>
      <c r="E1285" s="3" t="str">
        <f ca="1">IFERROR(__xludf.UNSUPPORTED("""COMPUTED_VALUE"""),"🚛 LIBERADO")</f>
        <v>🚛 LIBERADO</v>
      </c>
      <c r="F1285" s="5">
        <f ca="1">IFERROR(__xludf.UNSUPPORTED("""COMPUTED_VALUE"""),0)</f>
        <v>0</v>
      </c>
      <c r="G1285" s="3" t="str">
        <f ca="1">IFERROR(__xludf.UNSUPPORTED("""COMPUTED_VALUE"""),"Normal")</f>
        <v>Normal</v>
      </c>
      <c r="H1285" s="4">
        <f ca="1">IFERROR(__xludf.UNSUPPORTED("""COMPUTED_VALUE"""),44915.4135069444)</f>
        <v>44915.413506944402</v>
      </c>
      <c r="I1285" s="3">
        <f ca="1">IFERROR(__xludf.UNSUPPORTED("""COMPUTED_VALUE"""),24)</f>
        <v>24</v>
      </c>
      <c r="J1285" s="4">
        <f ca="1">IFERROR(__xludf.UNSUPPORTED("""COMPUTED_VALUE"""),44916.4135069444)</f>
        <v>44916.413506944402</v>
      </c>
    </row>
    <row r="1286" spans="1:12" ht="12.75">
      <c r="A1286" s="3" t="str">
        <f ca="1">IFERROR(__xludf.UNSUPPORTED("""COMPUTED_VALUE"""),"54c16ab1")</f>
        <v>54c16ab1</v>
      </c>
      <c r="B1286" s="4">
        <f ca="1">IFERROR(__xludf.UNSUPPORTED("""COMPUTED_VALUE"""),44916.3457060185)</f>
        <v>44916.345706018503</v>
      </c>
      <c r="C1286" s="7" t="str">
        <f ca="1">IFERROR(__xludf.UNSUPPORTED("""COMPUTED_VALUE"""),"Porto Alegre")</f>
        <v>Porto Alegre</v>
      </c>
      <c r="D1286" s="3" t="str">
        <f ca="1">IFERROR(__xludf.UNSUPPORTED("""COMPUTED_VALUE"""),"🚢 REGULAR")</f>
        <v>🚢 REGULAR</v>
      </c>
      <c r="E1286" s="3" t="str">
        <f ca="1">IFERROR(__xludf.UNSUPPORTED("""COMPUTED_VALUE"""),"🚛 LIBERADO")</f>
        <v>🚛 LIBERADO</v>
      </c>
      <c r="F1286" s="5">
        <f ca="1">IFERROR(__xludf.UNSUPPORTED("""COMPUTED_VALUE"""),0)</f>
        <v>0</v>
      </c>
      <c r="G1286" s="3" t="str">
        <f ca="1">IFERROR(__xludf.UNSUPPORTED("""COMPUTED_VALUE"""),"Normal")</f>
        <v>Normal</v>
      </c>
      <c r="H1286" s="4">
        <f ca="1">IFERROR(__xludf.UNSUPPORTED("""COMPUTED_VALUE"""),44916.3457060185)</f>
        <v>44916.345706018503</v>
      </c>
      <c r="I1286" s="3">
        <f ca="1">IFERROR(__xludf.UNSUPPORTED("""COMPUTED_VALUE"""),24)</f>
        <v>24</v>
      </c>
      <c r="J1286" s="4">
        <f ca="1">IFERROR(__xludf.UNSUPPORTED("""COMPUTED_VALUE"""),44917.3457060185)</f>
        <v>44917.345706018503</v>
      </c>
    </row>
    <row r="1287" spans="1:12" ht="12.75">
      <c r="A1287" s="3" t="str">
        <f ca="1">IFERROR(__xludf.UNSUPPORTED("""COMPUTED_VALUE"""),"e2574a91")</f>
        <v>e2574a91</v>
      </c>
      <c r="B1287" s="4">
        <f ca="1">IFERROR(__xludf.UNSUPPORTED("""COMPUTED_VALUE"""),44917.3901157407)</f>
        <v>44917.390115740702</v>
      </c>
      <c r="C1287" s="7" t="str">
        <f ca="1">IFERROR(__xludf.UNSUPPORTED("""COMPUTED_VALUE"""),"Porto Alegre")</f>
        <v>Porto Alegre</v>
      </c>
      <c r="D1287" s="3" t="str">
        <f ca="1">IFERROR(__xludf.UNSUPPORTED("""COMPUTED_VALUE"""),"🚢 REGULAR")</f>
        <v>🚢 REGULAR</v>
      </c>
      <c r="E1287" s="3" t="str">
        <f ca="1">IFERROR(__xludf.UNSUPPORTED("""COMPUTED_VALUE"""),"🚛 LIBERADO")</f>
        <v>🚛 LIBERADO</v>
      </c>
      <c r="F1287" s="5">
        <f ca="1">IFERROR(__xludf.UNSUPPORTED("""COMPUTED_VALUE"""),0)</f>
        <v>0</v>
      </c>
      <c r="G1287" s="3" t="str">
        <f ca="1">IFERROR(__xludf.UNSUPPORTED("""COMPUTED_VALUE"""),"Normal")</f>
        <v>Normal</v>
      </c>
      <c r="H1287" s="4">
        <f ca="1">IFERROR(__xludf.UNSUPPORTED("""COMPUTED_VALUE"""),44917.3901157407)</f>
        <v>44917.390115740702</v>
      </c>
      <c r="I1287" s="3">
        <f ca="1">IFERROR(__xludf.UNSUPPORTED("""COMPUTED_VALUE"""),24)</f>
        <v>24</v>
      </c>
      <c r="J1287" s="4">
        <f ca="1">IFERROR(__xludf.UNSUPPORTED("""COMPUTED_VALUE"""),44918.3901157407)</f>
        <v>44918.390115740702</v>
      </c>
    </row>
    <row r="1288" spans="1:12" ht="12.75">
      <c r="A1288" s="3" t="str">
        <f ca="1">IFERROR(__xludf.UNSUPPORTED("""COMPUTED_VALUE"""),"455346c6")</f>
        <v>455346c6</v>
      </c>
      <c r="B1288" s="4">
        <f ca="1">IFERROR(__xludf.UNSUPPORTED("""COMPUTED_VALUE"""),44925.4131712963)</f>
        <v>44925.413171296299</v>
      </c>
      <c r="C1288" s="8" t="str">
        <f ca="1">IFERROR(__xludf.UNSUPPORTED("""COMPUTED_VALUE"""),"Porto Alegre")</f>
        <v>Porto Alegre</v>
      </c>
      <c r="D1288" s="3" t="str">
        <f ca="1">IFERROR(__xludf.UNSUPPORTED("""COMPUTED_VALUE"""),"🚢 REGULAR")</f>
        <v>🚢 REGULAR</v>
      </c>
      <c r="E1288" s="3" t="str">
        <f ca="1">IFERROR(__xludf.UNSUPPORTED("""COMPUTED_VALUE"""),"🚛 LIBERADO")</f>
        <v>🚛 LIBERADO</v>
      </c>
      <c r="F1288" s="5">
        <f ca="1">IFERROR(__xludf.UNSUPPORTED("""COMPUTED_VALUE"""),0)</f>
        <v>0</v>
      </c>
      <c r="G1288" s="3" t="str">
        <f ca="1">IFERROR(__xludf.UNSUPPORTED("""COMPUTED_VALUE"""),"Normal")</f>
        <v>Normal</v>
      </c>
      <c r="H1288" s="4">
        <f ca="1">IFERROR(__xludf.UNSUPPORTED("""COMPUTED_VALUE"""),44925.4131712963)</f>
        <v>44925.413171296299</v>
      </c>
      <c r="I1288" s="3">
        <f ca="1">IFERROR(__xludf.UNSUPPORTED("""COMPUTED_VALUE"""),24)</f>
        <v>24</v>
      </c>
      <c r="J1288" s="4">
        <f ca="1">IFERROR(__xludf.UNSUPPORTED("""COMPUTED_VALUE"""),44926.4131712963)</f>
        <v>44926.413171296299</v>
      </c>
    </row>
    <row r="1289" spans="1:12" ht="12.75">
      <c r="A1289" s="3" t="str">
        <f ca="1">IFERROR(__xludf.UNSUPPORTED("""COMPUTED_VALUE"""),"b82067d6")</f>
        <v>b82067d6</v>
      </c>
      <c r="B1289" s="4">
        <f ca="1">IFERROR(__xludf.UNSUPPORTED("""COMPUTED_VALUE"""),44932.5176273148)</f>
        <v>44932.517627314803</v>
      </c>
      <c r="C1289" s="7" t="str">
        <f ca="1">IFERROR(__xludf.UNSUPPORTED("""COMPUTED_VALUE"""),"Porto Alegre")</f>
        <v>Porto Alegre</v>
      </c>
      <c r="D1289" s="3" t="str">
        <f ca="1">IFERROR(__xludf.UNSUPPORTED("""COMPUTED_VALUE"""),"🚢 REGULAR")</f>
        <v>🚢 REGULAR</v>
      </c>
      <c r="E1289" s="3" t="str">
        <f ca="1">IFERROR(__xludf.UNSUPPORTED("""COMPUTED_VALUE"""),"🚛 LIBERADO")</f>
        <v>🚛 LIBERADO</v>
      </c>
      <c r="F1289" s="5">
        <f ca="1">IFERROR(__xludf.UNSUPPORTED("""COMPUTED_VALUE"""),0)</f>
        <v>0</v>
      </c>
      <c r="G1289" s="3" t="str">
        <f ca="1">IFERROR(__xludf.UNSUPPORTED("""COMPUTED_VALUE"""),"Normalidade")</f>
        <v>Normalidade</v>
      </c>
      <c r="H1289" s="4">
        <f ca="1">IFERROR(__xludf.UNSUPPORTED("""COMPUTED_VALUE"""),44932.5176273148)</f>
        <v>44932.517627314803</v>
      </c>
      <c r="I1289" s="3">
        <f ca="1">IFERROR(__xludf.UNSUPPORTED("""COMPUTED_VALUE"""),24)</f>
        <v>24</v>
      </c>
      <c r="J1289" s="4">
        <f ca="1">IFERROR(__xludf.UNSUPPORTED("""COMPUTED_VALUE"""),44933.5176273148)</f>
        <v>44933.517627314803</v>
      </c>
      <c r="L1289" s="3" t="str">
        <f ca="1">IFERROR(__xludf.UNSUPPORTED("""COMPUTED_VALUE"""),"Normalidade")</f>
        <v>Normalidade</v>
      </c>
    </row>
    <row r="1290" spans="1:12" ht="12.75">
      <c r="A1290" s="3" t="str">
        <f ca="1">IFERROR(__xludf.UNSUPPORTED("""COMPUTED_VALUE"""),"a30fd039")</f>
        <v>a30fd039</v>
      </c>
      <c r="B1290" s="4">
        <f ca="1">IFERROR(__xludf.UNSUPPORTED("""COMPUTED_VALUE"""),44935.3255324074)</f>
        <v>44935.325532407398</v>
      </c>
      <c r="C1290" s="8" t="str">
        <f ca="1">IFERROR(__xludf.UNSUPPORTED("""COMPUTED_VALUE"""),"Porto Alegre")</f>
        <v>Porto Alegre</v>
      </c>
      <c r="D1290" s="3" t="str">
        <f ca="1">IFERROR(__xludf.UNSUPPORTED("""COMPUTED_VALUE"""),"🚢 REGULAR")</f>
        <v>🚢 REGULAR</v>
      </c>
      <c r="E1290" s="3" t="str">
        <f ca="1">IFERROR(__xludf.UNSUPPORTED("""COMPUTED_VALUE"""),"🚛 LIBERADO")</f>
        <v>🚛 LIBERADO</v>
      </c>
      <c r="F1290" s="5">
        <f ca="1">IFERROR(__xludf.UNSUPPORTED("""COMPUTED_VALUE"""),0)</f>
        <v>0</v>
      </c>
      <c r="G1290" s="3" t="str">
        <f ca="1">IFERROR(__xludf.UNSUPPORTED("""COMPUTED_VALUE"""),"Normalidade")</f>
        <v>Normalidade</v>
      </c>
      <c r="H1290" s="4">
        <f ca="1">IFERROR(__xludf.UNSUPPORTED("""COMPUTED_VALUE"""),44935.3255324074)</f>
        <v>44935.325532407398</v>
      </c>
      <c r="I1290" s="3">
        <f ca="1">IFERROR(__xludf.UNSUPPORTED("""COMPUTED_VALUE"""),24)</f>
        <v>24</v>
      </c>
      <c r="J1290" s="4">
        <f ca="1">IFERROR(__xludf.UNSUPPORTED("""COMPUTED_VALUE"""),44936.3255324074)</f>
        <v>44936.325532407398</v>
      </c>
      <c r="L1290" s="3" t="str">
        <f ca="1">IFERROR(__xludf.UNSUPPORTED("""COMPUTED_VALUE"""),"Normalidade")</f>
        <v>Normalidade</v>
      </c>
    </row>
    <row r="1291" spans="1:12" ht="12.75">
      <c r="A1291" s="3" t="str">
        <f ca="1">IFERROR(__xludf.UNSUPPORTED("""COMPUTED_VALUE"""),"84b10cfd")</f>
        <v>84b10cfd</v>
      </c>
      <c r="B1291" s="4">
        <f ca="1">IFERROR(__xludf.UNSUPPORTED("""COMPUTED_VALUE"""),44936.4894560185)</f>
        <v>44936.489456018498</v>
      </c>
      <c r="C1291" s="8" t="str">
        <f ca="1">IFERROR(__xludf.UNSUPPORTED("""COMPUTED_VALUE"""),"Porto Alegre")</f>
        <v>Porto Alegre</v>
      </c>
      <c r="D1291" s="3" t="str">
        <f ca="1">IFERROR(__xludf.UNSUPPORTED("""COMPUTED_VALUE"""),"🚢 REGULAR")</f>
        <v>🚢 REGULAR</v>
      </c>
      <c r="E1291" s="3" t="str">
        <f ca="1">IFERROR(__xludf.UNSUPPORTED("""COMPUTED_VALUE"""),"🚛 LIBERADO")</f>
        <v>🚛 LIBERADO</v>
      </c>
      <c r="F1291" s="5">
        <f ca="1">IFERROR(__xludf.UNSUPPORTED("""COMPUTED_VALUE"""),0)</f>
        <v>0</v>
      </c>
      <c r="G1291" s="3" t="str">
        <f ca="1">IFERROR(__xludf.UNSUPPORTED("""COMPUTED_VALUE"""),"Normalidade")</f>
        <v>Normalidade</v>
      </c>
      <c r="H1291" s="4">
        <f ca="1">IFERROR(__xludf.UNSUPPORTED("""COMPUTED_VALUE"""),44936.4894560185)</f>
        <v>44936.489456018498</v>
      </c>
      <c r="I1291" s="3">
        <f ca="1">IFERROR(__xludf.UNSUPPORTED("""COMPUTED_VALUE"""),24)</f>
        <v>24</v>
      </c>
      <c r="J1291" s="4">
        <f ca="1">IFERROR(__xludf.UNSUPPORTED("""COMPUTED_VALUE"""),44937.4894560185)</f>
        <v>44937.489456018498</v>
      </c>
      <c r="L1291" s="3" t="str">
        <f ca="1">IFERROR(__xludf.UNSUPPORTED("""COMPUTED_VALUE"""),"Normalidade")</f>
        <v>Normalidade</v>
      </c>
    </row>
    <row r="1292" spans="1:12" ht="12.75">
      <c r="A1292" s="3" t="str">
        <f ca="1">IFERROR(__xludf.UNSUPPORTED("""COMPUTED_VALUE"""),"856e0a51")</f>
        <v>856e0a51</v>
      </c>
      <c r="B1292" s="4">
        <f ca="1">IFERROR(__xludf.UNSUPPORTED("""COMPUTED_VALUE"""),44937.3761226851)</f>
        <v>44937.376122685098</v>
      </c>
      <c r="C1292" s="7" t="str">
        <f ca="1">IFERROR(__xludf.UNSUPPORTED("""COMPUTED_VALUE"""),"Porto Alegre")</f>
        <v>Porto Alegre</v>
      </c>
      <c r="D1292" s="3" t="str">
        <f ca="1">IFERROR(__xludf.UNSUPPORTED("""COMPUTED_VALUE"""),"🚢 REGULAR")</f>
        <v>🚢 REGULAR</v>
      </c>
      <c r="E1292" s="3" t="str">
        <f ca="1">IFERROR(__xludf.UNSUPPORTED("""COMPUTED_VALUE"""),"🚛 LIBERADO")</f>
        <v>🚛 LIBERADO</v>
      </c>
      <c r="F1292" s="5">
        <f ca="1">IFERROR(__xludf.UNSUPPORTED("""COMPUTED_VALUE"""),0)</f>
        <v>0</v>
      </c>
      <c r="G1292" s="3" t="str">
        <f ca="1">IFERROR(__xludf.UNSUPPORTED("""COMPUTED_VALUE"""),"Normalidade")</f>
        <v>Normalidade</v>
      </c>
      <c r="H1292" s="4">
        <f ca="1">IFERROR(__xludf.UNSUPPORTED("""COMPUTED_VALUE"""),44937.3761226851)</f>
        <v>44937.376122685098</v>
      </c>
      <c r="I1292" s="3">
        <f ca="1">IFERROR(__xludf.UNSUPPORTED("""COMPUTED_VALUE"""),24)</f>
        <v>24</v>
      </c>
      <c r="J1292" s="4">
        <f ca="1">IFERROR(__xludf.UNSUPPORTED("""COMPUTED_VALUE"""),44938.3761226851)</f>
        <v>44938.376122685098</v>
      </c>
      <c r="L1292" s="3" t="str">
        <f ca="1">IFERROR(__xludf.UNSUPPORTED("""COMPUTED_VALUE"""),"Normalidade")</f>
        <v>Normalidade</v>
      </c>
    </row>
    <row r="1293" spans="1:12" ht="12.75">
      <c r="A1293" s="3" t="str">
        <f ca="1">IFERROR(__xludf.UNSUPPORTED("""COMPUTED_VALUE"""),"6080c684")</f>
        <v>6080c684</v>
      </c>
      <c r="B1293" s="4">
        <f ca="1">IFERROR(__xludf.UNSUPPORTED("""COMPUTED_VALUE"""),44942.4387384259)</f>
        <v>44942.438738425903</v>
      </c>
      <c r="C1293" s="7" t="str">
        <f ca="1">IFERROR(__xludf.UNSUPPORTED("""COMPUTED_VALUE"""),"Porto Alegre")</f>
        <v>Porto Alegre</v>
      </c>
      <c r="D1293" s="3" t="str">
        <f ca="1">IFERROR(__xludf.UNSUPPORTED("""COMPUTED_VALUE"""),"🚢 REGULAR")</f>
        <v>🚢 REGULAR</v>
      </c>
      <c r="E1293" s="3" t="str">
        <f ca="1">IFERROR(__xludf.UNSUPPORTED("""COMPUTED_VALUE"""),"🚛 LIBERADO")</f>
        <v>🚛 LIBERADO</v>
      </c>
      <c r="F1293" s="5">
        <f ca="1">IFERROR(__xludf.UNSUPPORTED("""COMPUTED_VALUE"""),0)</f>
        <v>0</v>
      </c>
      <c r="G1293" s="3" t="str">
        <f ca="1">IFERROR(__xludf.UNSUPPORTED("""COMPUTED_VALUE"""),"Normalidade")</f>
        <v>Normalidade</v>
      </c>
      <c r="H1293" s="4">
        <f ca="1">IFERROR(__xludf.UNSUPPORTED("""COMPUTED_VALUE"""),44942.4387384259)</f>
        <v>44942.438738425903</v>
      </c>
      <c r="I1293" s="3">
        <f ca="1">IFERROR(__xludf.UNSUPPORTED("""COMPUTED_VALUE"""),24)</f>
        <v>24</v>
      </c>
      <c r="J1293" s="4">
        <f ca="1">IFERROR(__xludf.UNSUPPORTED("""COMPUTED_VALUE"""),44943.4387384259)</f>
        <v>44943.438738425903</v>
      </c>
      <c r="L1293" s="3" t="str">
        <f ca="1">IFERROR(__xludf.UNSUPPORTED("""COMPUTED_VALUE"""),"Normalidade")</f>
        <v>Normalidade</v>
      </c>
    </row>
    <row r="1294" spans="1:12" ht="12.75">
      <c r="A1294" s="3" t="str">
        <f ca="1">IFERROR(__xludf.UNSUPPORTED("""COMPUTED_VALUE"""),"1700654c")</f>
        <v>1700654c</v>
      </c>
      <c r="B1294" s="4">
        <f ca="1">IFERROR(__xludf.UNSUPPORTED("""COMPUTED_VALUE"""),44943.3840625)</f>
        <v>44943.384062500001</v>
      </c>
      <c r="C1294" s="7" t="str">
        <f ca="1">IFERROR(__xludf.UNSUPPORTED("""COMPUTED_VALUE"""),"Porto Alegre")</f>
        <v>Porto Alegre</v>
      </c>
      <c r="D1294" s="3" t="str">
        <f ca="1">IFERROR(__xludf.UNSUPPORTED("""COMPUTED_VALUE"""),"🚢 REGULAR")</f>
        <v>🚢 REGULAR</v>
      </c>
      <c r="E1294" s="3" t="str">
        <f ca="1">IFERROR(__xludf.UNSUPPORTED("""COMPUTED_VALUE"""),"🚛 LIBERADO")</f>
        <v>🚛 LIBERADO</v>
      </c>
      <c r="F1294" s="5">
        <f ca="1">IFERROR(__xludf.UNSUPPORTED("""COMPUTED_VALUE"""),0)</f>
        <v>0</v>
      </c>
      <c r="G1294" s="3" t="str">
        <f ca="1">IFERROR(__xludf.UNSUPPORTED("""COMPUTED_VALUE"""),"Normalidade")</f>
        <v>Normalidade</v>
      </c>
      <c r="H1294" s="4">
        <f ca="1">IFERROR(__xludf.UNSUPPORTED("""COMPUTED_VALUE"""),44943.3840625)</f>
        <v>44943.384062500001</v>
      </c>
      <c r="I1294" s="3">
        <f ca="1">IFERROR(__xludf.UNSUPPORTED("""COMPUTED_VALUE"""),24)</f>
        <v>24</v>
      </c>
      <c r="J1294" s="4">
        <f ca="1">IFERROR(__xludf.UNSUPPORTED("""COMPUTED_VALUE"""),44944.3840625)</f>
        <v>44944.384062500001</v>
      </c>
      <c r="L1294" s="3" t="str">
        <f ca="1">IFERROR(__xludf.UNSUPPORTED("""COMPUTED_VALUE"""),"Normalidade")</f>
        <v>Normalidade</v>
      </c>
    </row>
    <row r="1295" spans="1:12" ht="12.75">
      <c r="A1295" s="3" t="str">
        <f ca="1">IFERROR(__xludf.UNSUPPORTED("""COMPUTED_VALUE"""),"b0eeb032")</f>
        <v>b0eeb032</v>
      </c>
      <c r="B1295" s="4">
        <f ca="1">IFERROR(__xludf.UNSUPPORTED("""COMPUTED_VALUE"""),44945.4369097222)</f>
        <v>44945.436909722201</v>
      </c>
      <c r="C1295" s="7" t="str">
        <f ca="1">IFERROR(__xludf.UNSUPPORTED("""COMPUTED_VALUE"""),"Porto Alegre")</f>
        <v>Porto Alegre</v>
      </c>
      <c r="D1295" s="3" t="str">
        <f ca="1">IFERROR(__xludf.UNSUPPORTED("""COMPUTED_VALUE"""),"🚢 REGULAR")</f>
        <v>🚢 REGULAR</v>
      </c>
      <c r="E1295" s="3" t="str">
        <f ca="1">IFERROR(__xludf.UNSUPPORTED("""COMPUTED_VALUE"""),"🚛 LIBERADO")</f>
        <v>🚛 LIBERADO</v>
      </c>
      <c r="F1295" s="5">
        <f ca="1">IFERROR(__xludf.UNSUPPORTED("""COMPUTED_VALUE"""),0)</f>
        <v>0</v>
      </c>
      <c r="G1295" s="3" t="str">
        <f ca="1">IFERROR(__xludf.UNSUPPORTED("""COMPUTED_VALUE"""),"Normalidade")</f>
        <v>Normalidade</v>
      </c>
      <c r="H1295" s="4">
        <f ca="1">IFERROR(__xludf.UNSUPPORTED("""COMPUTED_VALUE"""),44945.4369097222)</f>
        <v>44945.436909722201</v>
      </c>
      <c r="I1295" s="3">
        <f ca="1">IFERROR(__xludf.UNSUPPORTED("""COMPUTED_VALUE"""),24)</f>
        <v>24</v>
      </c>
      <c r="J1295" s="4">
        <f ca="1">IFERROR(__xludf.UNSUPPORTED("""COMPUTED_VALUE"""),44946.4369097222)</f>
        <v>44946.436909722201</v>
      </c>
      <c r="L1295" s="3" t="str">
        <f ca="1">IFERROR(__xludf.UNSUPPORTED("""COMPUTED_VALUE"""),"Normalidade")</f>
        <v>Normalidade</v>
      </c>
    </row>
    <row r="1296" spans="1:12" ht="12.75">
      <c r="A1296" s="3" t="str">
        <f ca="1">IFERROR(__xludf.UNSUPPORTED("""COMPUTED_VALUE"""),"f8e10ad5")</f>
        <v>f8e10ad5</v>
      </c>
      <c r="B1296" s="4">
        <f ca="1">IFERROR(__xludf.UNSUPPORTED("""COMPUTED_VALUE"""),44946.397824074)</f>
        <v>44946.397824074003</v>
      </c>
      <c r="C1296" s="7" t="str">
        <f ca="1">IFERROR(__xludf.UNSUPPORTED("""COMPUTED_VALUE"""),"Porto Alegre")</f>
        <v>Porto Alegre</v>
      </c>
      <c r="D1296" s="3" t="str">
        <f ca="1">IFERROR(__xludf.UNSUPPORTED("""COMPUTED_VALUE"""),"🚢 REGULAR")</f>
        <v>🚢 REGULAR</v>
      </c>
      <c r="E1296" s="3" t="str">
        <f ca="1">IFERROR(__xludf.UNSUPPORTED("""COMPUTED_VALUE"""),"🚛 LIBERADO")</f>
        <v>🚛 LIBERADO</v>
      </c>
      <c r="F1296" s="5">
        <f ca="1">IFERROR(__xludf.UNSUPPORTED("""COMPUTED_VALUE"""),0)</f>
        <v>0</v>
      </c>
      <c r="G1296" s="3" t="str">
        <f ca="1">IFERROR(__xludf.UNSUPPORTED("""COMPUTED_VALUE"""),"Normalidade")</f>
        <v>Normalidade</v>
      </c>
      <c r="H1296" s="4">
        <f ca="1">IFERROR(__xludf.UNSUPPORTED("""COMPUTED_VALUE"""),44946.397824074)</f>
        <v>44946.397824074003</v>
      </c>
      <c r="I1296" s="3">
        <f ca="1">IFERROR(__xludf.UNSUPPORTED("""COMPUTED_VALUE"""),24)</f>
        <v>24</v>
      </c>
      <c r="J1296" s="4">
        <f ca="1">IFERROR(__xludf.UNSUPPORTED("""COMPUTED_VALUE"""),44947.397824074)</f>
        <v>44947.397824074003</v>
      </c>
      <c r="L1296" s="3" t="str">
        <f ca="1">IFERROR(__xludf.UNSUPPORTED("""COMPUTED_VALUE"""),"Normalidade")</f>
        <v>Normalidade</v>
      </c>
    </row>
    <row r="1297" spans="1:12" ht="12.75">
      <c r="A1297" s="3" t="str">
        <f ca="1">IFERROR(__xludf.UNSUPPORTED("""COMPUTED_VALUE"""),"881948c8")</f>
        <v>881948c8</v>
      </c>
      <c r="B1297" s="4">
        <f ca="1">IFERROR(__xludf.UNSUPPORTED("""COMPUTED_VALUE"""),44949.3828819444)</f>
        <v>44949.382881944402</v>
      </c>
      <c r="C1297" s="7" t="str">
        <f ca="1">IFERROR(__xludf.UNSUPPORTED("""COMPUTED_VALUE"""),"Porto Alegre")</f>
        <v>Porto Alegre</v>
      </c>
      <c r="D1297" s="3" t="str">
        <f ca="1">IFERROR(__xludf.UNSUPPORTED("""COMPUTED_VALUE"""),"🚢 REGULAR")</f>
        <v>🚢 REGULAR</v>
      </c>
      <c r="E1297" s="3" t="str">
        <f ca="1">IFERROR(__xludf.UNSUPPORTED("""COMPUTED_VALUE"""),"🚛 LIBERADO")</f>
        <v>🚛 LIBERADO</v>
      </c>
      <c r="F1297" s="5">
        <f ca="1">IFERROR(__xludf.UNSUPPORTED("""COMPUTED_VALUE"""),0)</f>
        <v>0</v>
      </c>
      <c r="G1297" s="3" t="str">
        <f ca="1">IFERROR(__xludf.UNSUPPORTED("""COMPUTED_VALUE"""),"Normalidade")</f>
        <v>Normalidade</v>
      </c>
      <c r="H1297" s="4">
        <f ca="1">IFERROR(__xludf.UNSUPPORTED("""COMPUTED_VALUE"""),44949.3828819444)</f>
        <v>44949.382881944402</v>
      </c>
      <c r="I1297" s="3">
        <f ca="1">IFERROR(__xludf.UNSUPPORTED("""COMPUTED_VALUE"""),24)</f>
        <v>24</v>
      </c>
      <c r="J1297" s="4">
        <f ca="1">IFERROR(__xludf.UNSUPPORTED("""COMPUTED_VALUE"""),44950.3828819444)</f>
        <v>44950.382881944402</v>
      </c>
      <c r="L1297" s="3" t="str">
        <f ca="1">IFERROR(__xludf.UNSUPPORTED("""COMPUTED_VALUE"""),"Normalidade")</f>
        <v>Normalidade</v>
      </c>
    </row>
    <row r="1298" spans="1:12" ht="12.75">
      <c r="A1298" s="3" t="str">
        <f ca="1">IFERROR(__xludf.UNSUPPORTED("""COMPUTED_VALUE"""),"18dad722")</f>
        <v>18dad722</v>
      </c>
      <c r="B1298" s="4">
        <f ca="1">IFERROR(__xludf.UNSUPPORTED("""COMPUTED_VALUE"""),44950.3674305555)</f>
        <v>44950.367430555503</v>
      </c>
      <c r="C1298" s="7" t="str">
        <f ca="1">IFERROR(__xludf.UNSUPPORTED("""COMPUTED_VALUE"""),"Porto Alegre")</f>
        <v>Porto Alegre</v>
      </c>
      <c r="D1298" s="3" t="str">
        <f ca="1">IFERROR(__xludf.UNSUPPORTED("""COMPUTED_VALUE"""),"🚢 REGULAR")</f>
        <v>🚢 REGULAR</v>
      </c>
      <c r="E1298" s="3" t="str">
        <f ca="1">IFERROR(__xludf.UNSUPPORTED("""COMPUTED_VALUE"""),"🚛 LIBERADO")</f>
        <v>🚛 LIBERADO</v>
      </c>
      <c r="F1298" s="5">
        <f ca="1">IFERROR(__xludf.UNSUPPORTED("""COMPUTED_VALUE"""),0)</f>
        <v>0</v>
      </c>
      <c r="G1298" s="3" t="str">
        <f ca="1">IFERROR(__xludf.UNSUPPORTED("""COMPUTED_VALUE"""),"Normalidade")</f>
        <v>Normalidade</v>
      </c>
      <c r="H1298" s="4">
        <f ca="1">IFERROR(__xludf.UNSUPPORTED("""COMPUTED_VALUE"""),44950.3674305555)</f>
        <v>44950.367430555503</v>
      </c>
      <c r="I1298" s="3">
        <f ca="1">IFERROR(__xludf.UNSUPPORTED("""COMPUTED_VALUE"""),24)</f>
        <v>24</v>
      </c>
      <c r="J1298" s="4">
        <f ca="1">IFERROR(__xludf.UNSUPPORTED("""COMPUTED_VALUE"""),44951.3674305555)</f>
        <v>44951.367430555503</v>
      </c>
      <c r="L1298" s="3" t="str">
        <f ca="1">IFERROR(__xludf.UNSUPPORTED("""COMPUTED_VALUE"""),"Normalidade")</f>
        <v>Normalidade</v>
      </c>
    </row>
    <row r="1299" spans="1:12" ht="12.75">
      <c r="A1299" s="3" t="str">
        <f ca="1">IFERROR(__xludf.UNSUPPORTED("""COMPUTED_VALUE"""),"b685d168")</f>
        <v>b685d168</v>
      </c>
      <c r="B1299" s="4">
        <f ca="1">IFERROR(__xludf.UNSUPPORTED("""COMPUTED_VALUE"""),44951.3692361111)</f>
        <v>44951.369236111103</v>
      </c>
      <c r="C1299" s="7" t="str">
        <f ca="1">IFERROR(__xludf.UNSUPPORTED("""COMPUTED_VALUE"""),"Porto Alegre")</f>
        <v>Porto Alegre</v>
      </c>
      <c r="D1299" s="3" t="str">
        <f ca="1">IFERROR(__xludf.UNSUPPORTED("""COMPUTED_VALUE"""),"🚢 REGULAR")</f>
        <v>🚢 REGULAR</v>
      </c>
      <c r="E1299" s="3" t="str">
        <f ca="1">IFERROR(__xludf.UNSUPPORTED("""COMPUTED_VALUE"""),"🚛 LIBERADO")</f>
        <v>🚛 LIBERADO</v>
      </c>
      <c r="F1299" s="5">
        <f ca="1">IFERROR(__xludf.UNSUPPORTED("""COMPUTED_VALUE"""),0)</f>
        <v>0</v>
      </c>
      <c r="G1299" s="3" t="str">
        <f ca="1">IFERROR(__xludf.UNSUPPORTED("""COMPUTED_VALUE"""),"Normalidade")</f>
        <v>Normalidade</v>
      </c>
      <c r="H1299" s="4">
        <f ca="1">IFERROR(__xludf.UNSUPPORTED("""COMPUTED_VALUE"""),44951.3692361111)</f>
        <v>44951.369236111103</v>
      </c>
      <c r="I1299" s="3">
        <f ca="1">IFERROR(__xludf.UNSUPPORTED("""COMPUTED_VALUE"""),24)</f>
        <v>24</v>
      </c>
      <c r="J1299" s="4">
        <f ca="1">IFERROR(__xludf.UNSUPPORTED("""COMPUTED_VALUE"""),44952.3692361111)</f>
        <v>44952.369236111103</v>
      </c>
      <c r="L1299" s="3" t="str">
        <f ca="1">IFERROR(__xludf.UNSUPPORTED("""COMPUTED_VALUE"""),"Normalidade")</f>
        <v>Normalidade</v>
      </c>
    </row>
    <row r="1300" spans="1:12" ht="12.75">
      <c r="A1300" s="3" t="str">
        <f ca="1">IFERROR(__xludf.UNSUPPORTED("""COMPUTED_VALUE"""),"84ac9cc5")</f>
        <v>84ac9cc5</v>
      </c>
      <c r="B1300" s="4">
        <f ca="1">IFERROR(__xludf.UNSUPPORTED("""COMPUTED_VALUE"""),44952.3749652777)</f>
        <v>44952.374965277697</v>
      </c>
      <c r="C1300" s="8" t="str">
        <f ca="1">IFERROR(__xludf.UNSUPPORTED("""COMPUTED_VALUE"""),"Porto Alegre")</f>
        <v>Porto Alegre</v>
      </c>
      <c r="D1300" s="3" t="str">
        <f ca="1">IFERROR(__xludf.UNSUPPORTED("""COMPUTED_VALUE"""),"🚢 REGULAR")</f>
        <v>🚢 REGULAR</v>
      </c>
      <c r="E1300" s="3" t="str">
        <f ca="1">IFERROR(__xludf.UNSUPPORTED("""COMPUTED_VALUE"""),"🚛 LIBERADO")</f>
        <v>🚛 LIBERADO</v>
      </c>
      <c r="F1300" s="5">
        <f ca="1">IFERROR(__xludf.UNSUPPORTED("""COMPUTED_VALUE"""),0)</f>
        <v>0</v>
      </c>
      <c r="G1300" s="3" t="str">
        <f ca="1">IFERROR(__xludf.UNSUPPORTED("""COMPUTED_VALUE"""),"Normalidade")</f>
        <v>Normalidade</v>
      </c>
      <c r="H1300" s="4">
        <f ca="1">IFERROR(__xludf.UNSUPPORTED("""COMPUTED_VALUE"""),44952.3749652777)</f>
        <v>44952.374965277697</v>
      </c>
      <c r="I1300" s="3">
        <f ca="1">IFERROR(__xludf.UNSUPPORTED("""COMPUTED_VALUE"""),24)</f>
        <v>24</v>
      </c>
      <c r="J1300" s="4">
        <f ca="1">IFERROR(__xludf.UNSUPPORTED("""COMPUTED_VALUE"""),44953.3749652777)</f>
        <v>44953.374965277697</v>
      </c>
      <c r="L1300" s="3" t="str">
        <f ca="1">IFERROR(__xludf.UNSUPPORTED("""COMPUTED_VALUE"""),"Normalidade")</f>
        <v>Normalidade</v>
      </c>
    </row>
    <row r="1301" spans="1:12" ht="12.75">
      <c r="A1301" s="3" t="str">
        <f ca="1">IFERROR(__xludf.UNSUPPORTED("""COMPUTED_VALUE"""),"11ab2bdd")</f>
        <v>11ab2bdd</v>
      </c>
      <c r="B1301" s="4">
        <f ca="1">IFERROR(__xludf.UNSUPPORTED("""COMPUTED_VALUE"""),44953.3469212962)</f>
        <v>44953.346921296201</v>
      </c>
      <c r="C1301" s="8" t="str">
        <f ca="1">IFERROR(__xludf.UNSUPPORTED("""COMPUTED_VALUE"""),"Porto Alegre")</f>
        <v>Porto Alegre</v>
      </c>
      <c r="D1301" s="3" t="str">
        <f ca="1">IFERROR(__xludf.UNSUPPORTED("""COMPUTED_VALUE"""),"🚢 REGULAR")</f>
        <v>🚢 REGULAR</v>
      </c>
      <c r="E1301" s="3" t="str">
        <f ca="1">IFERROR(__xludf.UNSUPPORTED("""COMPUTED_VALUE"""),"🚛 LIBERADO")</f>
        <v>🚛 LIBERADO</v>
      </c>
      <c r="F1301" s="5">
        <f ca="1">IFERROR(__xludf.UNSUPPORTED("""COMPUTED_VALUE"""),0)</f>
        <v>0</v>
      </c>
      <c r="G1301" s="3" t="str">
        <f ca="1">IFERROR(__xludf.UNSUPPORTED("""COMPUTED_VALUE"""),"Normalidade")</f>
        <v>Normalidade</v>
      </c>
      <c r="H1301" s="4">
        <f ca="1">IFERROR(__xludf.UNSUPPORTED("""COMPUTED_VALUE"""),44953.3469212962)</f>
        <v>44953.346921296201</v>
      </c>
      <c r="I1301" s="3">
        <f ca="1">IFERROR(__xludf.UNSUPPORTED("""COMPUTED_VALUE"""),24)</f>
        <v>24</v>
      </c>
      <c r="J1301" s="4">
        <f ca="1">IFERROR(__xludf.UNSUPPORTED("""COMPUTED_VALUE"""),44954.3469212962)</f>
        <v>44954.346921296201</v>
      </c>
      <c r="L1301" s="3" t="str">
        <f ca="1">IFERROR(__xludf.UNSUPPORTED("""COMPUTED_VALUE"""),"Normalidade")</f>
        <v>Normalidade</v>
      </c>
    </row>
    <row r="1302" spans="1:12" ht="12.75">
      <c r="A1302" s="3" t="str">
        <f ca="1">IFERROR(__xludf.UNSUPPORTED("""COMPUTED_VALUE"""),"eb9bb910")</f>
        <v>eb9bb910</v>
      </c>
      <c r="B1302" s="4">
        <f ca="1">IFERROR(__xludf.UNSUPPORTED("""COMPUTED_VALUE"""),44956.3973611111)</f>
        <v>44956.3973611111</v>
      </c>
      <c r="C1302" s="8" t="str">
        <f ca="1">IFERROR(__xludf.UNSUPPORTED("""COMPUTED_VALUE"""),"Porto Alegre")</f>
        <v>Porto Alegre</v>
      </c>
      <c r="D1302" s="3" t="str">
        <f ca="1">IFERROR(__xludf.UNSUPPORTED("""COMPUTED_VALUE"""),"🚢 REGULAR")</f>
        <v>🚢 REGULAR</v>
      </c>
      <c r="E1302" s="3" t="str">
        <f ca="1">IFERROR(__xludf.UNSUPPORTED("""COMPUTED_VALUE"""),"🚛 LIBERADO")</f>
        <v>🚛 LIBERADO</v>
      </c>
      <c r="F1302" s="5">
        <f ca="1">IFERROR(__xludf.UNSUPPORTED("""COMPUTED_VALUE"""),0)</f>
        <v>0</v>
      </c>
      <c r="G1302" s="3" t="str">
        <f ca="1">IFERROR(__xludf.UNSUPPORTED("""COMPUTED_VALUE"""),"Normalidade")</f>
        <v>Normalidade</v>
      </c>
      <c r="H1302" s="4">
        <f ca="1">IFERROR(__xludf.UNSUPPORTED("""COMPUTED_VALUE"""),44956.3973611111)</f>
        <v>44956.3973611111</v>
      </c>
      <c r="I1302" s="3">
        <f ca="1">IFERROR(__xludf.UNSUPPORTED("""COMPUTED_VALUE"""),24)</f>
        <v>24</v>
      </c>
      <c r="J1302" s="4">
        <f ca="1">IFERROR(__xludf.UNSUPPORTED("""COMPUTED_VALUE"""),44957.3973611111)</f>
        <v>44957.3973611111</v>
      </c>
      <c r="L1302" s="3" t="str">
        <f ca="1">IFERROR(__xludf.UNSUPPORTED("""COMPUTED_VALUE"""),"Normalidade")</f>
        <v>Normalidade</v>
      </c>
    </row>
    <row r="1303" spans="1:12" ht="12.75">
      <c r="A1303" s="3" t="str">
        <f ca="1">IFERROR(__xludf.UNSUPPORTED("""COMPUTED_VALUE"""),"590db14c")</f>
        <v>590db14c</v>
      </c>
      <c r="B1303" s="4">
        <f ca="1">IFERROR(__xludf.UNSUPPORTED("""COMPUTED_VALUE"""),44957.3364236111)</f>
        <v>44957.336423611101</v>
      </c>
      <c r="C1303" s="8" t="str">
        <f ca="1">IFERROR(__xludf.UNSUPPORTED("""COMPUTED_VALUE"""),"Porto Alegre")</f>
        <v>Porto Alegre</v>
      </c>
      <c r="D1303" s="3" t="str">
        <f ca="1">IFERROR(__xludf.UNSUPPORTED("""COMPUTED_VALUE"""),"🚢 REGULAR")</f>
        <v>🚢 REGULAR</v>
      </c>
      <c r="E1303" s="3" t="str">
        <f ca="1">IFERROR(__xludf.UNSUPPORTED("""COMPUTED_VALUE"""),"🚛 LIBERADO")</f>
        <v>🚛 LIBERADO</v>
      </c>
      <c r="F1303" s="5">
        <f ca="1">IFERROR(__xludf.UNSUPPORTED("""COMPUTED_VALUE"""),0)</f>
        <v>0</v>
      </c>
      <c r="G1303" s="3" t="str">
        <f ca="1">IFERROR(__xludf.UNSUPPORTED("""COMPUTED_VALUE"""),"Normalidade")</f>
        <v>Normalidade</v>
      </c>
      <c r="H1303" s="4">
        <f ca="1">IFERROR(__xludf.UNSUPPORTED("""COMPUTED_VALUE"""),44957.3364236111)</f>
        <v>44957.336423611101</v>
      </c>
      <c r="I1303" s="3">
        <f ca="1">IFERROR(__xludf.UNSUPPORTED("""COMPUTED_VALUE"""),24)</f>
        <v>24</v>
      </c>
      <c r="J1303" s="4">
        <f ca="1">IFERROR(__xludf.UNSUPPORTED("""COMPUTED_VALUE"""),44958.3364236111)</f>
        <v>44958.336423611101</v>
      </c>
      <c r="L1303" s="3" t="str">
        <f ca="1">IFERROR(__xludf.UNSUPPORTED("""COMPUTED_VALUE"""),"Normalidade")</f>
        <v>Normalidade</v>
      </c>
    </row>
    <row r="1304" spans="1:12" ht="12.75">
      <c r="A1304" s="3" t="str">
        <f ca="1">IFERROR(__xludf.UNSUPPORTED("""COMPUTED_VALUE"""),"a594c091")</f>
        <v>a594c091</v>
      </c>
      <c r="B1304" s="4">
        <f ca="1">IFERROR(__xludf.UNSUPPORTED("""COMPUTED_VALUE"""),44958.3728703703)</f>
        <v>44958.372870370302</v>
      </c>
      <c r="C1304" s="7" t="str">
        <f ca="1">IFERROR(__xludf.UNSUPPORTED("""COMPUTED_VALUE"""),"Porto Alegre")</f>
        <v>Porto Alegre</v>
      </c>
      <c r="D1304" s="3" t="str">
        <f ca="1">IFERROR(__xludf.UNSUPPORTED("""COMPUTED_VALUE"""),"🚢 REGULAR")</f>
        <v>🚢 REGULAR</v>
      </c>
      <c r="E1304" s="3" t="str">
        <f ca="1">IFERROR(__xludf.UNSUPPORTED("""COMPUTED_VALUE"""),"🚛 LIBERADO")</f>
        <v>🚛 LIBERADO</v>
      </c>
      <c r="F1304" s="5">
        <f ca="1">IFERROR(__xludf.UNSUPPORTED("""COMPUTED_VALUE"""),0)</f>
        <v>0</v>
      </c>
      <c r="G1304" s="3" t="str">
        <f ca="1">IFERROR(__xludf.UNSUPPORTED("""COMPUTED_VALUE"""),"Normalidade")</f>
        <v>Normalidade</v>
      </c>
      <c r="H1304" s="4">
        <f ca="1">IFERROR(__xludf.UNSUPPORTED("""COMPUTED_VALUE"""),44958.3728703703)</f>
        <v>44958.372870370302</v>
      </c>
      <c r="I1304" s="3">
        <f ca="1">IFERROR(__xludf.UNSUPPORTED("""COMPUTED_VALUE"""),24)</f>
        <v>24</v>
      </c>
      <c r="J1304" s="4">
        <f ca="1">IFERROR(__xludf.UNSUPPORTED("""COMPUTED_VALUE"""),44959.3728703703)</f>
        <v>44959.372870370302</v>
      </c>
      <c r="L1304" s="3" t="str">
        <f ca="1">IFERROR(__xludf.UNSUPPORTED("""COMPUTED_VALUE"""),"Normalidade")</f>
        <v>Normalidade</v>
      </c>
    </row>
    <row r="1305" spans="1:12" ht="12.75">
      <c r="A1305" s="3" t="str">
        <f ca="1">IFERROR(__xludf.UNSUPPORTED("""COMPUTED_VALUE"""),"9b7739cc")</f>
        <v>9b7739cc</v>
      </c>
      <c r="B1305" s="4">
        <f ca="1">IFERROR(__xludf.UNSUPPORTED("""COMPUTED_VALUE"""),44959.3595601851)</f>
        <v>44959.359560185098</v>
      </c>
      <c r="C1305" s="7" t="str">
        <f ca="1">IFERROR(__xludf.UNSUPPORTED("""COMPUTED_VALUE"""),"Porto Alegre")</f>
        <v>Porto Alegre</v>
      </c>
      <c r="D1305" s="3" t="str">
        <f ca="1">IFERROR(__xludf.UNSUPPORTED("""COMPUTED_VALUE"""),"🚢 REGULAR")</f>
        <v>🚢 REGULAR</v>
      </c>
      <c r="E1305" s="3" t="str">
        <f ca="1">IFERROR(__xludf.UNSUPPORTED("""COMPUTED_VALUE"""),"🚛 LIBERADO")</f>
        <v>🚛 LIBERADO</v>
      </c>
      <c r="F1305" s="5">
        <f ca="1">IFERROR(__xludf.UNSUPPORTED("""COMPUTED_VALUE"""),0)</f>
        <v>0</v>
      </c>
      <c r="G1305" s="3" t="str">
        <f ca="1">IFERROR(__xludf.UNSUPPORTED("""COMPUTED_VALUE"""),"Normalidade")</f>
        <v>Normalidade</v>
      </c>
      <c r="H1305" s="4">
        <f ca="1">IFERROR(__xludf.UNSUPPORTED("""COMPUTED_VALUE"""),44959.3595601851)</f>
        <v>44959.359560185098</v>
      </c>
      <c r="I1305" s="3">
        <f ca="1">IFERROR(__xludf.UNSUPPORTED("""COMPUTED_VALUE"""),24)</f>
        <v>24</v>
      </c>
      <c r="J1305" s="4">
        <f ca="1">IFERROR(__xludf.UNSUPPORTED("""COMPUTED_VALUE"""),44960.3595601851)</f>
        <v>44960.359560185098</v>
      </c>
      <c r="L1305" s="3" t="str">
        <f ca="1">IFERROR(__xludf.UNSUPPORTED("""COMPUTED_VALUE"""),"Normalidade")</f>
        <v>Normalidade</v>
      </c>
    </row>
    <row r="1306" spans="1:12" ht="12.75">
      <c r="A1306" s="3" t="str">
        <f ca="1">IFERROR(__xludf.UNSUPPORTED("""COMPUTED_VALUE"""),"31e5397b")</f>
        <v>31e5397b</v>
      </c>
      <c r="B1306" s="4">
        <f ca="1">IFERROR(__xludf.UNSUPPORTED("""COMPUTED_VALUE"""),44960.3527314814)</f>
        <v>44960.352731481398</v>
      </c>
      <c r="C1306" s="8" t="str">
        <f ca="1">IFERROR(__xludf.UNSUPPORTED("""COMPUTED_VALUE"""),"Porto Alegre")</f>
        <v>Porto Alegre</v>
      </c>
      <c r="D1306" s="3" t="str">
        <f ca="1">IFERROR(__xludf.UNSUPPORTED("""COMPUTED_VALUE"""),"🚢 REGULAR")</f>
        <v>🚢 REGULAR</v>
      </c>
      <c r="E1306" s="3" t="str">
        <f ca="1">IFERROR(__xludf.UNSUPPORTED("""COMPUTED_VALUE"""),"🚛 LIBERADO")</f>
        <v>🚛 LIBERADO</v>
      </c>
      <c r="F1306" s="5">
        <f ca="1">IFERROR(__xludf.UNSUPPORTED("""COMPUTED_VALUE"""),0)</f>
        <v>0</v>
      </c>
      <c r="G1306" s="3" t="str">
        <f ca="1">IFERROR(__xludf.UNSUPPORTED("""COMPUTED_VALUE"""),"Normalidade")</f>
        <v>Normalidade</v>
      </c>
      <c r="H1306" s="4">
        <f ca="1">IFERROR(__xludf.UNSUPPORTED("""COMPUTED_VALUE"""),44960.3527314814)</f>
        <v>44960.352731481398</v>
      </c>
      <c r="I1306" s="3">
        <f ca="1">IFERROR(__xludf.UNSUPPORTED("""COMPUTED_VALUE"""),24)</f>
        <v>24</v>
      </c>
      <c r="J1306" s="4">
        <f ca="1">IFERROR(__xludf.UNSUPPORTED("""COMPUTED_VALUE"""),44961.3527314814)</f>
        <v>44961.352731481398</v>
      </c>
      <c r="L1306" s="3" t="str">
        <f ca="1">IFERROR(__xludf.UNSUPPORTED("""COMPUTED_VALUE"""),"Normalidade")</f>
        <v>Normalidade</v>
      </c>
    </row>
    <row r="1307" spans="1:12" ht="12.75">
      <c r="A1307" s="3" t="str">
        <f ca="1">IFERROR(__xludf.UNSUPPORTED("""COMPUTED_VALUE"""),"c6524b86")</f>
        <v>c6524b86</v>
      </c>
      <c r="B1307" s="4">
        <f ca="1">IFERROR(__xludf.UNSUPPORTED("""COMPUTED_VALUE"""),44963.3757291666)</f>
        <v>44963.375729166597</v>
      </c>
      <c r="C1307" s="8" t="str">
        <f ca="1">IFERROR(__xludf.UNSUPPORTED("""COMPUTED_VALUE"""),"Porto Alegre")</f>
        <v>Porto Alegre</v>
      </c>
      <c r="D1307" s="3" t="str">
        <f ca="1">IFERROR(__xludf.UNSUPPORTED("""COMPUTED_VALUE"""),"🚢 REGULAR")</f>
        <v>🚢 REGULAR</v>
      </c>
      <c r="E1307" s="3" t="str">
        <f ca="1">IFERROR(__xludf.UNSUPPORTED("""COMPUTED_VALUE"""),"🚛 LIBERADO")</f>
        <v>🚛 LIBERADO</v>
      </c>
      <c r="F1307" s="5">
        <f ca="1">IFERROR(__xludf.UNSUPPORTED("""COMPUTED_VALUE"""),0)</f>
        <v>0</v>
      </c>
      <c r="G1307" s="3" t="str">
        <f ca="1">IFERROR(__xludf.UNSUPPORTED("""COMPUTED_VALUE"""),"Normalidade")</f>
        <v>Normalidade</v>
      </c>
      <c r="H1307" s="4">
        <f ca="1">IFERROR(__xludf.UNSUPPORTED("""COMPUTED_VALUE"""),44963.3757291666)</f>
        <v>44963.375729166597</v>
      </c>
      <c r="I1307" s="3">
        <f ca="1">IFERROR(__xludf.UNSUPPORTED("""COMPUTED_VALUE"""),24)</f>
        <v>24</v>
      </c>
      <c r="J1307" s="4">
        <f ca="1">IFERROR(__xludf.UNSUPPORTED("""COMPUTED_VALUE"""),44964.3757291666)</f>
        <v>44964.375729166597</v>
      </c>
      <c r="L1307" s="3" t="str">
        <f ca="1">IFERROR(__xludf.UNSUPPORTED("""COMPUTED_VALUE"""),"Normalidade")</f>
        <v>Normalidade</v>
      </c>
    </row>
    <row r="1308" spans="1:12" ht="12.75">
      <c r="A1308" s="3" t="str">
        <f ca="1">IFERROR(__xludf.UNSUPPORTED("""COMPUTED_VALUE"""),"d19bfe3d")</f>
        <v>d19bfe3d</v>
      </c>
      <c r="B1308" s="4">
        <f ca="1">IFERROR(__xludf.UNSUPPORTED("""COMPUTED_VALUE"""),44963.3769791666)</f>
        <v>44963.376979166598</v>
      </c>
      <c r="C1308" s="7" t="str">
        <f ca="1">IFERROR(__xludf.UNSUPPORTED("""COMPUTED_VALUE"""),"Porto Alegre")</f>
        <v>Porto Alegre</v>
      </c>
      <c r="D1308" s="3" t="str">
        <f ca="1">IFERROR(__xludf.UNSUPPORTED("""COMPUTED_VALUE"""),"🚢 REGULAR")</f>
        <v>🚢 REGULAR</v>
      </c>
      <c r="E1308" s="3" t="str">
        <f ca="1">IFERROR(__xludf.UNSUPPORTED("""COMPUTED_VALUE"""),"🚛 LIBERADO")</f>
        <v>🚛 LIBERADO</v>
      </c>
      <c r="F1308" s="5">
        <f ca="1">IFERROR(__xludf.UNSUPPORTED("""COMPUTED_VALUE"""),0)</f>
        <v>0</v>
      </c>
      <c r="G1308" s="3" t="str">
        <f ca="1">IFERROR(__xludf.UNSUPPORTED("""COMPUTED_VALUE"""),"Normalidade")</f>
        <v>Normalidade</v>
      </c>
      <c r="H1308" s="4">
        <f ca="1">IFERROR(__xludf.UNSUPPORTED("""COMPUTED_VALUE"""),44963.3769791666)</f>
        <v>44963.376979166598</v>
      </c>
      <c r="I1308" s="3">
        <f ca="1">IFERROR(__xludf.UNSUPPORTED("""COMPUTED_VALUE"""),24)</f>
        <v>24</v>
      </c>
      <c r="J1308" s="4">
        <f ca="1">IFERROR(__xludf.UNSUPPORTED("""COMPUTED_VALUE"""),44964.3769791666)</f>
        <v>44964.376979166598</v>
      </c>
      <c r="L1308" s="3" t="str">
        <f ca="1">IFERROR(__xludf.UNSUPPORTED("""COMPUTED_VALUE"""),"Normalidade")</f>
        <v>Normalidade</v>
      </c>
    </row>
    <row r="1309" spans="1:12" ht="12.75">
      <c r="A1309" s="3" t="str">
        <f ca="1">IFERROR(__xludf.UNSUPPORTED("""COMPUTED_VALUE"""),"567efc7d")</f>
        <v>567efc7d</v>
      </c>
      <c r="B1309" s="4">
        <f ca="1">IFERROR(__xludf.UNSUPPORTED("""COMPUTED_VALUE"""),44964.3691435185)</f>
        <v>44964.369143518503</v>
      </c>
      <c r="C1309" s="7" t="str">
        <f ca="1">IFERROR(__xludf.UNSUPPORTED("""COMPUTED_VALUE"""),"Porto Alegre")</f>
        <v>Porto Alegre</v>
      </c>
      <c r="D1309" s="3" t="str">
        <f ca="1">IFERROR(__xludf.UNSUPPORTED("""COMPUTED_VALUE"""),"🚢 REGULAR")</f>
        <v>🚢 REGULAR</v>
      </c>
      <c r="E1309" s="3" t="str">
        <f ca="1">IFERROR(__xludf.UNSUPPORTED("""COMPUTED_VALUE"""),"🚛 LIBERADO")</f>
        <v>🚛 LIBERADO</v>
      </c>
      <c r="F1309" s="5">
        <f ca="1">IFERROR(__xludf.UNSUPPORTED("""COMPUTED_VALUE"""),0)</f>
        <v>0</v>
      </c>
      <c r="G1309" s="3" t="str">
        <f ca="1">IFERROR(__xludf.UNSUPPORTED("""COMPUTED_VALUE"""),"Normalidade")</f>
        <v>Normalidade</v>
      </c>
      <c r="H1309" s="4">
        <f ca="1">IFERROR(__xludf.UNSUPPORTED("""COMPUTED_VALUE"""),44964.3691435185)</f>
        <v>44964.369143518503</v>
      </c>
      <c r="I1309" s="3">
        <f ca="1">IFERROR(__xludf.UNSUPPORTED("""COMPUTED_VALUE"""),24)</f>
        <v>24</v>
      </c>
      <c r="J1309" s="4">
        <f ca="1">IFERROR(__xludf.UNSUPPORTED("""COMPUTED_VALUE"""),44965.3691435185)</f>
        <v>44965.369143518503</v>
      </c>
      <c r="L1309" s="3" t="str">
        <f ca="1">IFERROR(__xludf.UNSUPPORTED("""COMPUTED_VALUE"""),"Normalidade")</f>
        <v>Normalidade</v>
      </c>
    </row>
    <row r="1310" spans="1:12" ht="12.75">
      <c r="A1310" s="3" t="str">
        <f ca="1">IFERROR(__xludf.UNSUPPORTED("""COMPUTED_VALUE"""),"82fdeae0")</f>
        <v>82fdeae0</v>
      </c>
      <c r="B1310" s="4">
        <f ca="1">IFERROR(__xludf.UNSUPPORTED("""COMPUTED_VALUE"""),44965.3466666666)</f>
        <v>44965.346666666599</v>
      </c>
      <c r="C1310" s="8" t="str">
        <f ca="1">IFERROR(__xludf.UNSUPPORTED("""COMPUTED_VALUE"""),"Porto Alegre")</f>
        <v>Porto Alegre</v>
      </c>
      <c r="D1310" s="3" t="str">
        <f ca="1">IFERROR(__xludf.UNSUPPORTED("""COMPUTED_VALUE"""),"🚢 REGULAR")</f>
        <v>🚢 REGULAR</v>
      </c>
      <c r="E1310" s="3" t="str">
        <f ca="1">IFERROR(__xludf.UNSUPPORTED("""COMPUTED_VALUE"""),"🚛 LIBERADO")</f>
        <v>🚛 LIBERADO</v>
      </c>
      <c r="F1310" s="5">
        <f ca="1">IFERROR(__xludf.UNSUPPORTED("""COMPUTED_VALUE"""),0)</f>
        <v>0</v>
      </c>
      <c r="G1310" s="3" t="str">
        <f ca="1">IFERROR(__xludf.UNSUPPORTED("""COMPUTED_VALUE"""),"Normalidade")</f>
        <v>Normalidade</v>
      </c>
      <c r="H1310" s="4">
        <f ca="1">IFERROR(__xludf.UNSUPPORTED("""COMPUTED_VALUE"""),44965.3466666666)</f>
        <v>44965.346666666599</v>
      </c>
      <c r="I1310" s="3">
        <f ca="1">IFERROR(__xludf.UNSUPPORTED("""COMPUTED_VALUE"""),24)</f>
        <v>24</v>
      </c>
      <c r="J1310" s="4">
        <f ca="1">IFERROR(__xludf.UNSUPPORTED("""COMPUTED_VALUE"""),44966.3466666666)</f>
        <v>44966.346666666599</v>
      </c>
      <c r="L1310" s="3" t="str">
        <f ca="1">IFERROR(__xludf.UNSUPPORTED("""COMPUTED_VALUE"""),"Normalidade")</f>
        <v>Normalidade</v>
      </c>
    </row>
    <row r="1311" spans="1:12" ht="12.75">
      <c r="A1311" s="3" t="str">
        <f ca="1">IFERROR(__xludf.UNSUPPORTED("""COMPUTED_VALUE"""),"5493b301")</f>
        <v>5493b301</v>
      </c>
      <c r="B1311" s="4">
        <f ca="1">IFERROR(__xludf.UNSUPPORTED("""COMPUTED_VALUE"""),44965.3552314814)</f>
        <v>44965.355231481401</v>
      </c>
      <c r="C1311" s="7" t="str">
        <f ca="1">IFERROR(__xludf.UNSUPPORTED("""COMPUTED_VALUE"""),"Porto Alegre")</f>
        <v>Porto Alegre</v>
      </c>
      <c r="D1311" s="3" t="str">
        <f ca="1">IFERROR(__xludf.UNSUPPORTED("""COMPUTED_VALUE"""),"🚢 REGULAR")</f>
        <v>🚢 REGULAR</v>
      </c>
      <c r="E1311" s="3" t="str">
        <f ca="1">IFERROR(__xludf.UNSUPPORTED("""COMPUTED_VALUE"""),"🚛 LIBERADO")</f>
        <v>🚛 LIBERADO</v>
      </c>
      <c r="F1311" s="5">
        <f ca="1">IFERROR(__xludf.UNSUPPORTED("""COMPUTED_VALUE"""),0)</f>
        <v>0</v>
      </c>
      <c r="G1311" s="3" t="str">
        <f ca="1">IFERROR(__xludf.UNSUPPORTED("""COMPUTED_VALUE"""),"Normalidade")</f>
        <v>Normalidade</v>
      </c>
      <c r="H1311" s="4">
        <f ca="1">IFERROR(__xludf.UNSUPPORTED("""COMPUTED_VALUE"""),44965.3552314814)</f>
        <v>44965.355231481401</v>
      </c>
      <c r="I1311" s="3">
        <f ca="1">IFERROR(__xludf.UNSUPPORTED("""COMPUTED_VALUE"""),24)</f>
        <v>24</v>
      </c>
      <c r="J1311" s="4">
        <f ca="1">IFERROR(__xludf.UNSUPPORTED("""COMPUTED_VALUE"""),44966.3552314814)</f>
        <v>44966.355231481401</v>
      </c>
      <c r="L1311" s="3" t="str">
        <f ca="1">IFERROR(__xludf.UNSUPPORTED("""COMPUTED_VALUE"""),"Normalidade")</f>
        <v>Normalidade</v>
      </c>
    </row>
    <row r="1312" spans="1:12" ht="12.75">
      <c r="A1312" s="3" t="str">
        <f ca="1">IFERROR(__xludf.UNSUPPORTED("""COMPUTED_VALUE"""),"fe7f84e6")</f>
        <v>fe7f84e6</v>
      </c>
      <c r="B1312" s="4">
        <f ca="1">IFERROR(__xludf.UNSUPPORTED("""COMPUTED_VALUE"""),44966.3779050925)</f>
        <v>44966.3779050925</v>
      </c>
      <c r="C1312" s="7" t="str">
        <f ca="1">IFERROR(__xludf.UNSUPPORTED("""COMPUTED_VALUE"""),"Porto Alegre")</f>
        <v>Porto Alegre</v>
      </c>
      <c r="D1312" s="3" t="str">
        <f ca="1">IFERROR(__xludf.UNSUPPORTED("""COMPUTED_VALUE"""),"🚢 REGULAR")</f>
        <v>🚢 REGULAR</v>
      </c>
      <c r="E1312" s="3" t="str">
        <f ca="1">IFERROR(__xludf.UNSUPPORTED("""COMPUTED_VALUE"""),"🚛 LIBERADO")</f>
        <v>🚛 LIBERADO</v>
      </c>
      <c r="F1312" s="5">
        <f ca="1">IFERROR(__xludf.UNSUPPORTED("""COMPUTED_VALUE"""),0)</f>
        <v>0</v>
      </c>
      <c r="G1312" s="3" t="str">
        <f ca="1">IFERROR(__xludf.UNSUPPORTED("""COMPUTED_VALUE"""),"Normalidade")</f>
        <v>Normalidade</v>
      </c>
      <c r="H1312" s="4">
        <f ca="1">IFERROR(__xludf.UNSUPPORTED("""COMPUTED_VALUE"""),44966.3779050925)</f>
        <v>44966.3779050925</v>
      </c>
      <c r="I1312" s="3">
        <f ca="1">IFERROR(__xludf.UNSUPPORTED("""COMPUTED_VALUE"""),24)</f>
        <v>24</v>
      </c>
      <c r="J1312" s="4">
        <f ca="1">IFERROR(__xludf.UNSUPPORTED("""COMPUTED_VALUE"""),44967.3779050925)</f>
        <v>44967.3779050925</v>
      </c>
      <c r="L1312" s="3" t="str">
        <f ca="1">IFERROR(__xludf.UNSUPPORTED("""COMPUTED_VALUE"""),"Normalidade")</f>
        <v>Normalidade</v>
      </c>
    </row>
    <row r="1313" spans="1:12" ht="12.75">
      <c r="A1313" s="3" t="str">
        <f ca="1">IFERROR(__xludf.UNSUPPORTED("""COMPUTED_VALUE"""),"2a304b1b")</f>
        <v>2a304b1b</v>
      </c>
      <c r="B1313" s="4">
        <f ca="1">IFERROR(__xludf.UNSUPPORTED("""COMPUTED_VALUE"""),44967.3617824074)</f>
        <v>44967.361782407403</v>
      </c>
      <c r="C1313" s="7" t="str">
        <f ca="1">IFERROR(__xludf.UNSUPPORTED("""COMPUTED_VALUE"""),"Porto Alegre")</f>
        <v>Porto Alegre</v>
      </c>
      <c r="D1313" s="3" t="str">
        <f ca="1">IFERROR(__xludf.UNSUPPORTED("""COMPUTED_VALUE"""),"🚢 REGULAR")</f>
        <v>🚢 REGULAR</v>
      </c>
      <c r="E1313" s="3" t="str">
        <f ca="1">IFERROR(__xludf.UNSUPPORTED("""COMPUTED_VALUE"""),"🚛 LIBERADO")</f>
        <v>🚛 LIBERADO</v>
      </c>
      <c r="F1313" s="5">
        <f ca="1">IFERROR(__xludf.UNSUPPORTED("""COMPUTED_VALUE"""),0)</f>
        <v>0</v>
      </c>
      <c r="G1313" s="3" t="str">
        <f ca="1">IFERROR(__xludf.UNSUPPORTED("""COMPUTED_VALUE"""),"Normalidade")</f>
        <v>Normalidade</v>
      </c>
      <c r="H1313" s="4">
        <f ca="1">IFERROR(__xludf.UNSUPPORTED("""COMPUTED_VALUE"""),44967.3617824074)</f>
        <v>44967.361782407403</v>
      </c>
      <c r="I1313" s="3">
        <f ca="1">IFERROR(__xludf.UNSUPPORTED("""COMPUTED_VALUE"""),24)</f>
        <v>24</v>
      </c>
      <c r="J1313" s="4">
        <f ca="1">IFERROR(__xludf.UNSUPPORTED("""COMPUTED_VALUE"""),44968.3617824074)</f>
        <v>44968.361782407403</v>
      </c>
      <c r="L1313" s="3" t="str">
        <f ca="1">IFERROR(__xludf.UNSUPPORTED("""COMPUTED_VALUE"""),"Normalidade")</f>
        <v>Normalidade</v>
      </c>
    </row>
    <row r="1314" spans="1:12" ht="12.75">
      <c r="A1314" s="3" t="str">
        <f ca="1">IFERROR(__xludf.UNSUPPORTED("""COMPUTED_VALUE"""),"6c0e39ef")</f>
        <v>6c0e39ef</v>
      </c>
      <c r="B1314" s="4">
        <f ca="1">IFERROR(__xludf.UNSUPPORTED("""COMPUTED_VALUE"""),44970.371261574)</f>
        <v>44970.371261574001</v>
      </c>
      <c r="C1314" s="7" t="str">
        <f ca="1">IFERROR(__xludf.UNSUPPORTED("""COMPUTED_VALUE"""),"Porto Alegre")</f>
        <v>Porto Alegre</v>
      </c>
      <c r="D1314" s="3" t="str">
        <f ca="1">IFERROR(__xludf.UNSUPPORTED("""COMPUTED_VALUE"""),"🚢 REGULAR")</f>
        <v>🚢 REGULAR</v>
      </c>
      <c r="E1314" s="3" t="str">
        <f ca="1">IFERROR(__xludf.UNSUPPORTED("""COMPUTED_VALUE"""),"🚛 LIBERADO")</f>
        <v>🚛 LIBERADO</v>
      </c>
      <c r="F1314" s="5">
        <f ca="1">IFERROR(__xludf.UNSUPPORTED("""COMPUTED_VALUE"""),0)</f>
        <v>0</v>
      </c>
      <c r="G1314" s="3" t="str">
        <f ca="1">IFERROR(__xludf.UNSUPPORTED("""COMPUTED_VALUE"""),"Normalidade")</f>
        <v>Normalidade</v>
      </c>
      <c r="H1314" s="4">
        <f ca="1">IFERROR(__xludf.UNSUPPORTED("""COMPUTED_VALUE"""),44970.371261574)</f>
        <v>44970.371261574001</v>
      </c>
      <c r="I1314" s="3">
        <f ca="1">IFERROR(__xludf.UNSUPPORTED("""COMPUTED_VALUE"""),24)</f>
        <v>24</v>
      </c>
      <c r="J1314" s="4">
        <f ca="1">IFERROR(__xludf.UNSUPPORTED("""COMPUTED_VALUE"""),44971.371261574)</f>
        <v>44971.371261574001</v>
      </c>
      <c r="L1314" s="3" t="str">
        <f ca="1">IFERROR(__xludf.UNSUPPORTED("""COMPUTED_VALUE"""),"Normalidade")</f>
        <v>Normalidade</v>
      </c>
    </row>
    <row r="1315" spans="1:12" ht="12.75">
      <c r="A1315" s="3" t="str">
        <f ca="1">IFERROR(__xludf.UNSUPPORTED("""COMPUTED_VALUE"""),"cc38708f")</f>
        <v>cc38708f</v>
      </c>
      <c r="B1315" s="4">
        <f ca="1">IFERROR(__xludf.UNSUPPORTED("""COMPUTED_VALUE"""),44971.3679861111)</f>
        <v>44971.367986111101</v>
      </c>
      <c r="C1315" s="8" t="str">
        <f ca="1">IFERROR(__xludf.UNSUPPORTED("""COMPUTED_VALUE"""),"Porto Alegre")</f>
        <v>Porto Alegre</v>
      </c>
      <c r="D1315" s="3" t="str">
        <f ca="1">IFERROR(__xludf.UNSUPPORTED("""COMPUTED_VALUE"""),"🚢 REGULAR")</f>
        <v>🚢 REGULAR</v>
      </c>
      <c r="E1315" s="3" t="str">
        <f ca="1">IFERROR(__xludf.UNSUPPORTED("""COMPUTED_VALUE"""),"🚛 LIBERADO")</f>
        <v>🚛 LIBERADO</v>
      </c>
      <c r="F1315" s="5">
        <f ca="1">IFERROR(__xludf.UNSUPPORTED("""COMPUTED_VALUE"""),0)</f>
        <v>0</v>
      </c>
      <c r="G1315" s="3" t="str">
        <f ca="1">IFERROR(__xludf.UNSUPPORTED("""COMPUTED_VALUE"""),"Normalidade")</f>
        <v>Normalidade</v>
      </c>
      <c r="H1315" s="4">
        <f ca="1">IFERROR(__xludf.UNSUPPORTED("""COMPUTED_VALUE"""),44971.3679861111)</f>
        <v>44971.367986111101</v>
      </c>
      <c r="I1315" s="3">
        <f ca="1">IFERROR(__xludf.UNSUPPORTED("""COMPUTED_VALUE"""),24)</f>
        <v>24</v>
      </c>
      <c r="J1315" s="4">
        <f ca="1">IFERROR(__xludf.UNSUPPORTED("""COMPUTED_VALUE"""),44972.3679861111)</f>
        <v>44972.367986111101</v>
      </c>
      <c r="L1315" s="3" t="str">
        <f ca="1">IFERROR(__xludf.UNSUPPORTED("""COMPUTED_VALUE"""),"Normalidade")</f>
        <v>Normalidade</v>
      </c>
    </row>
    <row r="1316" spans="1:12" ht="12.75">
      <c r="A1316" s="3" t="str">
        <f ca="1">IFERROR(__xludf.UNSUPPORTED("""COMPUTED_VALUE"""),"915d4bfd")</f>
        <v>915d4bfd</v>
      </c>
      <c r="B1316" s="4">
        <f ca="1">IFERROR(__xludf.UNSUPPORTED("""COMPUTED_VALUE"""),44972.3865509259)</f>
        <v>44972.386550925898</v>
      </c>
      <c r="C1316" s="8" t="str">
        <f ca="1">IFERROR(__xludf.UNSUPPORTED("""COMPUTED_VALUE"""),"Porto Alegre")</f>
        <v>Porto Alegre</v>
      </c>
      <c r="D1316" s="3" t="str">
        <f ca="1">IFERROR(__xludf.UNSUPPORTED("""COMPUTED_VALUE"""),"🚢 REGULAR")</f>
        <v>🚢 REGULAR</v>
      </c>
      <c r="E1316" s="3" t="str">
        <f ca="1">IFERROR(__xludf.UNSUPPORTED("""COMPUTED_VALUE"""),"🚛 LIBERADO")</f>
        <v>🚛 LIBERADO</v>
      </c>
      <c r="F1316" s="5">
        <f ca="1">IFERROR(__xludf.UNSUPPORTED("""COMPUTED_VALUE"""),0)</f>
        <v>0</v>
      </c>
      <c r="G1316" s="3" t="str">
        <f ca="1">IFERROR(__xludf.UNSUPPORTED("""COMPUTED_VALUE"""),"Normalidade")</f>
        <v>Normalidade</v>
      </c>
      <c r="H1316" s="4">
        <f ca="1">IFERROR(__xludf.UNSUPPORTED("""COMPUTED_VALUE"""),44972.3865509259)</f>
        <v>44972.386550925898</v>
      </c>
      <c r="I1316" s="3">
        <f ca="1">IFERROR(__xludf.UNSUPPORTED("""COMPUTED_VALUE"""),24)</f>
        <v>24</v>
      </c>
      <c r="J1316" s="4">
        <f ca="1">IFERROR(__xludf.UNSUPPORTED("""COMPUTED_VALUE"""),44973.3865509259)</f>
        <v>44973.386550925898</v>
      </c>
      <c r="L1316" s="3" t="str">
        <f ca="1">IFERROR(__xludf.UNSUPPORTED("""COMPUTED_VALUE"""),"Normalidade")</f>
        <v>Normalidade</v>
      </c>
    </row>
    <row r="1317" spans="1:12" ht="12.75">
      <c r="A1317" s="3" t="str">
        <f ca="1">IFERROR(__xludf.UNSUPPORTED("""COMPUTED_VALUE"""),"6da4f5bf")</f>
        <v>6da4f5bf</v>
      </c>
      <c r="B1317" s="4">
        <f ca="1">IFERROR(__xludf.UNSUPPORTED("""COMPUTED_VALUE"""),44972.3920138888)</f>
        <v>44972.392013888799</v>
      </c>
      <c r="C1317" s="8" t="str">
        <f ca="1">IFERROR(__xludf.UNSUPPORTED("""COMPUTED_VALUE"""),"Porto Alegre")</f>
        <v>Porto Alegre</v>
      </c>
      <c r="D1317" s="3" t="str">
        <f ca="1">IFERROR(__xludf.UNSUPPORTED("""COMPUTED_VALUE"""),"🚢 REGULAR")</f>
        <v>🚢 REGULAR</v>
      </c>
      <c r="E1317" s="3" t="str">
        <f ca="1">IFERROR(__xludf.UNSUPPORTED("""COMPUTED_VALUE"""),"🚛 LIBERADO")</f>
        <v>🚛 LIBERADO</v>
      </c>
      <c r="F1317" s="5">
        <f ca="1">IFERROR(__xludf.UNSUPPORTED("""COMPUTED_VALUE"""),0)</f>
        <v>0</v>
      </c>
      <c r="G1317" s="3" t="str">
        <f ca="1">IFERROR(__xludf.UNSUPPORTED("""COMPUTED_VALUE"""),"Normalidade")</f>
        <v>Normalidade</v>
      </c>
      <c r="H1317" s="4">
        <f ca="1">IFERROR(__xludf.UNSUPPORTED("""COMPUTED_VALUE"""),44972.3920138888)</f>
        <v>44972.392013888799</v>
      </c>
      <c r="I1317" s="3">
        <f ca="1">IFERROR(__xludf.UNSUPPORTED("""COMPUTED_VALUE"""),24)</f>
        <v>24</v>
      </c>
      <c r="J1317" s="4">
        <f ca="1">IFERROR(__xludf.UNSUPPORTED("""COMPUTED_VALUE"""),44973.3920138888)</f>
        <v>44973.392013888799</v>
      </c>
      <c r="L1317" s="3" t="str">
        <f ca="1">IFERROR(__xludf.UNSUPPORTED("""COMPUTED_VALUE"""),"Normalidade")</f>
        <v>Normalidade</v>
      </c>
    </row>
    <row r="1318" spans="1:12" ht="12.75">
      <c r="A1318" s="3" t="str">
        <f ca="1">IFERROR(__xludf.UNSUPPORTED("""COMPUTED_VALUE"""),"009c24fd")</f>
        <v>009c24fd</v>
      </c>
      <c r="B1318" s="4">
        <f ca="1">IFERROR(__xludf.UNSUPPORTED("""COMPUTED_VALUE"""),44972.397349537)</f>
        <v>44972.397349537001</v>
      </c>
      <c r="C1318" s="7" t="str">
        <f ca="1">IFERROR(__xludf.UNSUPPORTED("""COMPUTED_VALUE"""),"Porto Alegre")</f>
        <v>Porto Alegre</v>
      </c>
      <c r="D1318" s="3" t="str">
        <f ca="1">IFERROR(__xludf.UNSUPPORTED("""COMPUTED_VALUE"""),"🚢 REGULAR")</f>
        <v>🚢 REGULAR</v>
      </c>
      <c r="E1318" s="3" t="str">
        <f ca="1">IFERROR(__xludf.UNSUPPORTED("""COMPUTED_VALUE"""),"🚛 LIBERADO")</f>
        <v>🚛 LIBERADO</v>
      </c>
      <c r="F1318" s="5">
        <f ca="1">IFERROR(__xludf.UNSUPPORTED("""COMPUTED_VALUE"""),0)</f>
        <v>0</v>
      </c>
      <c r="G1318" s="3" t="str">
        <f ca="1">IFERROR(__xludf.UNSUPPORTED("""COMPUTED_VALUE"""),"Normalidade")</f>
        <v>Normalidade</v>
      </c>
      <c r="H1318" s="4">
        <f ca="1">IFERROR(__xludf.UNSUPPORTED("""COMPUTED_VALUE"""),44972.397349537)</f>
        <v>44972.397349537001</v>
      </c>
      <c r="I1318" s="3">
        <f ca="1">IFERROR(__xludf.UNSUPPORTED("""COMPUTED_VALUE"""),24)</f>
        <v>24</v>
      </c>
      <c r="J1318" s="4">
        <f ca="1">IFERROR(__xludf.UNSUPPORTED("""COMPUTED_VALUE"""),44973.397349537)</f>
        <v>44973.397349537001</v>
      </c>
      <c r="L1318" s="3" t="str">
        <f ca="1">IFERROR(__xludf.UNSUPPORTED("""COMPUTED_VALUE"""),"Normalidade")</f>
        <v>Normalidade</v>
      </c>
    </row>
    <row r="1319" spans="1:12" ht="12.75">
      <c r="A1319" s="3" t="str">
        <f ca="1">IFERROR(__xludf.UNSUPPORTED("""COMPUTED_VALUE"""),"73e72ef2")</f>
        <v>73e72ef2</v>
      </c>
      <c r="B1319" s="4">
        <f ca="1">IFERROR(__xludf.UNSUPPORTED("""COMPUTED_VALUE"""),44973.3784259259)</f>
        <v>44973.378425925897</v>
      </c>
      <c r="C1319" s="7" t="str">
        <f ca="1">IFERROR(__xludf.UNSUPPORTED("""COMPUTED_VALUE"""),"Porto Alegre")</f>
        <v>Porto Alegre</v>
      </c>
      <c r="D1319" s="3" t="str">
        <f ca="1">IFERROR(__xludf.UNSUPPORTED("""COMPUTED_VALUE"""),"🚢 REGULAR")</f>
        <v>🚢 REGULAR</v>
      </c>
      <c r="E1319" s="3" t="str">
        <f ca="1">IFERROR(__xludf.UNSUPPORTED("""COMPUTED_VALUE"""),"🚛 LIBERADO")</f>
        <v>🚛 LIBERADO</v>
      </c>
      <c r="F1319" s="5">
        <f ca="1">IFERROR(__xludf.UNSUPPORTED("""COMPUTED_VALUE"""),0)</f>
        <v>0</v>
      </c>
      <c r="G1319" s="3" t="str">
        <f ca="1">IFERROR(__xludf.UNSUPPORTED("""COMPUTED_VALUE"""),"Normalidade")</f>
        <v>Normalidade</v>
      </c>
      <c r="H1319" s="4">
        <f ca="1">IFERROR(__xludf.UNSUPPORTED("""COMPUTED_VALUE"""),44973.3784259259)</f>
        <v>44973.378425925897</v>
      </c>
      <c r="I1319" s="3">
        <f ca="1">IFERROR(__xludf.UNSUPPORTED("""COMPUTED_VALUE"""),24)</f>
        <v>24</v>
      </c>
      <c r="J1319" s="4">
        <f ca="1">IFERROR(__xludf.UNSUPPORTED("""COMPUTED_VALUE"""),44974.3784259259)</f>
        <v>44974.378425925897</v>
      </c>
      <c r="L1319" s="3" t="str">
        <f ca="1">IFERROR(__xludf.UNSUPPORTED("""COMPUTED_VALUE"""),"Normalidade")</f>
        <v>Normalidade</v>
      </c>
    </row>
    <row r="1320" spans="1:12" ht="12.75">
      <c r="A1320" s="3" t="str">
        <f ca="1">IFERROR(__xludf.UNSUPPORTED("""COMPUTED_VALUE"""),"0e9bacd8")</f>
        <v>0e9bacd8</v>
      </c>
      <c r="B1320" s="4">
        <f ca="1">IFERROR(__xludf.UNSUPPORTED("""COMPUTED_VALUE"""),44974.3577314814)</f>
        <v>44974.357731481403</v>
      </c>
      <c r="C1320" s="8" t="str">
        <f ca="1">IFERROR(__xludf.UNSUPPORTED("""COMPUTED_VALUE"""),"Porto Alegre")</f>
        <v>Porto Alegre</v>
      </c>
      <c r="D1320" s="3" t="str">
        <f ca="1">IFERROR(__xludf.UNSUPPORTED("""COMPUTED_VALUE"""),"🚢 REGULAR")</f>
        <v>🚢 REGULAR</v>
      </c>
      <c r="E1320" s="3" t="str">
        <f ca="1">IFERROR(__xludf.UNSUPPORTED("""COMPUTED_VALUE"""),"🚛 LIBERADO")</f>
        <v>🚛 LIBERADO</v>
      </c>
      <c r="F1320" s="5">
        <f ca="1">IFERROR(__xludf.UNSUPPORTED("""COMPUTED_VALUE"""),0)</f>
        <v>0</v>
      </c>
      <c r="G1320" s="3" t="str">
        <f ca="1">IFERROR(__xludf.UNSUPPORTED("""COMPUTED_VALUE"""),"Normalidade")</f>
        <v>Normalidade</v>
      </c>
      <c r="H1320" s="4">
        <f ca="1">IFERROR(__xludf.UNSUPPORTED("""COMPUTED_VALUE"""),44974.3577314814)</f>
        <v>44974.357731481403</v>
      </c>
      <c r="I1320" s="3">
        <f ca="1">IFERROR(__xludf.UNSUPPORTED("""COMPUTED_VALUE"""),24)</f>
        <v>24</v>
      </c>
      <c r="J1320" s="4">
        <f ca="1">IFERROR(__xludf.UNSUPPORTED("""COMPUTED_VALUE"""),44975.3577314814)</f>
        <v>44975.357731481403</v>
      </c>
      <c r="L1320" s="3" t="str">
        <f ca="1">IFERROR(__xludf.UNSUPPORTED("""COMPUTED_VALUE"""),"Normalidade")</f>
        <v>Normalidade</v>
      </c>
    </row>
    <row r="1321" spans="1:12" ht="12.75">
      <c r="A1321" s="3" t="str">
        <f ca="1">IFERROR(__xludf.UNSUPPORTED("""COMPUTED_VALUE"""),"08dd0a64")</f>
        <v>08dd0a64</v>
      </c>
      <c r="B1321" s="4">
        <f ca="1">IFERROR(__xludf.UNSUPPORTED("""COMPUTED_VALUE"""),44980.3810648148)</f>
        <v>44980.381064814799</v>
      </c>
      <c r="C1321" s="8" t="str">
        <f ca="1">IFERROR(__xludf.UNSUPPORTED("""COMPUTED_VALUE"""),"Porto Alegre")</f>
        <v>Porto Alegre</v>
      </c>
      <c r="D1321" s="3" t="str">
        <f ca="1">IFERROR(__xludf.UNSUPPORTED("""COMPUTED_VALUE"""),"🚢 REGULAR")</f>
        <v>🚢 REGULAR</v>
      </c>
      <c r="E1321" s="3" t="str">
        <f ca="1">IFERROR(__xludf.UNSUPPORTED("""COMPUTED_VALUE"""),"🚛 LIBERADO")</f>
        <v>🚛 LIBERADO</v>
      </c>
      <c r="F1321" s="5">
        <f ca="1">IFERROR(__xludf.UNSUPPORTED("""COMPUTED_VALUE"""),0)</f>
        <v>0</v>
      </c>
      <c r="G1321" s="3" t="str">
        <f ca="1">IFERROR(__xludf.UNSUPPORTED("""COMPUTED_VALUE"""),"Normalidade")</f>
        <v>Normalidade</v>
      </c>
      <c r="H1321" s="4">
        <f ca="1">IFERROR(__xludf.UNSUPPORTED("""COMPUTED_VALUE"""),44980.3810648148)</f>
        <v>44980.381064814799</v>
      </c>
      <c r="I1321" s="3">
        <f ca="1">IFERROR(__xludf.UNSUPPORTED("""COMPUTED_VALUE"""),24)</f>
        <v>24</v>
      </c>
      <c r="J1321" s="4">
        <f ca="1">IFERROR(__xludf.UNSUPPORTED("""COMPUTED_VALUE"""),44981.3810648148)</f>
        <v>44981.381064814799</v>
      </c>
      <c r="L1321" s="3" t="str">
        <f ca="1">IFERROR(__xludf.UNSUPPORTED("""COMPUTED_VALUE"""),"Normalidade")</f>
        <v>Normalidade</v>
      </c>
    </row>
    <row r="1322" spans="1:12" ht="12.75">
      <c r="A1322" s="3" t="str">
        <f ca="1">IFERROR(__xludf.UNSUPPORTED("""COMPUTED_VALUE"""),"d4a63839")</f>
        <v>d4a63839</v>
      </c>
      <c r="B1322" s="4">
        <f ca="1">IFERROR(__xludf.UNSUPPORTED("""COMPUTED_VALUE"""),45120.659074074)</f>
        <v>45120.659074073999</v>
      </c>
      <c r="C1322" s="7" t="str">
        <f ca="1">IFERROR(__xludf.UNSUPPORTED("""COMPUTED_VALUE"""),"Porto Alegre")</f>
        <v>Porto Alegre</v>
      </c>
      <c r="D1322" s="3" t="str">
        <f ca="1">IFERROR(__xludf.UNSUPPORTED("""COMPUTED_VALUE"""),"❗️ PARALISADA")</f>
        <v>❗️ PARALISADA</v>
      </c>
      <c r="E1322" s="3" t="str">
        <f ca="1">IFERROR(__xludf.UNSUPPORTED("""COMPUTED_VALUE"""),"🚛 LIBERADO")</f>
        <v>🚛 LIBERADO</v>
      </c>
      <c r="F1322" s="5">
        <f ca="1">IFERROR(__xludf.UNSUPPORTED("""COMPUTED_VALUE"""),0.75)</f>
        <v>0.75</v>
      </c>
      <c r="G1322" s="3" t="str">
        <f ca="1">IFERROR(__xludf.UNSUPPORTED("""COMPUTED_VALUE"""),"Operações portuárias suspensas em função de chuva e vento desde o final do dia 12/07/2023.")</f>
        <v>Operações portuárias suspensas em função de chuva e vento desde o final do dia 12/07/2023.</v>
      </c>
      <c r="H1322" s="4">
        <f ca="1">IFERROR(__xludf.UNSUPPORTED("""COMPUTED_VALUE"""),45120.659074074)</f>
        <v>45120.659074073999</v>
      </c>
      <c r="I1322" s="3">
        <f ca="1">IFERROR(__xludf.UNSUPPORTED("""COMPUTED_VALUE"""),12)</f>
        <v>12</v>
      </c>
      <c r="J1322" s="4">
        <f ca="1">IFERROR(__xludf.UNSUPPORTED("""COMPUTED_VALUE"""),45121.159074074)</f>
        <v>45121.159074073999</v>
      </c>
      <c r="K1322" s="3" t="str">
        <f ca="1">IFERROR(__xludf.UNSUPPORTED("""COMPUTED_VALUE"""),"Portos RS.")</f>
        <v>Portos RS.</v>
      </c>
      <c r="L1322" s="3" t="str">
        <f ca="1">IFERROR(__xludf.UNSUPPORTED("""COMPUTED_VALUE"""),"Crítico")</f>
        <v>Crítico</v>
      </c>
    </row>
    <row r="1323" spans="1:12" ht="12.75">
      <c r="A1323" s="3" t="str">
        <f ca="1">IFERROR(__xludf.UNSUPPORTED("""COMPUTED_VALUE"""),"941071cf")</f>
        <v>941071cf</v>
      </c>
      <c r="B1323" s="4">
        <f ca="1">IFERROR(__xludf.UNSUPPORTED("""COMPUTED_VALUE"""),45121.449375)</f>
        <v>45121.449374999997</v>
      </c>
      <c r="C1323" s="8" t="str">
        <f ca="1">IFERROR(__xludf.UNSUPPORTED("""COMPUTED_VALUE"""),"Porto Alegre")</f>
        <v>Porto Alegre</v>
      </c>
      <c r="D1323" s="3" t="str">
        <f ca="1">IFERROR(__xludf.UNSUPPORTED("""COMPUTED_VALUE"""),"🚢 REGULAR")</f>
        <v>🚢 REGULAR</v>
      </c>
      <c r="E1323" s="3" t="str">
        <f ca="1">IFERROR(__xludf.UNSUPPORTED("""COMPUTED_VALUE"""),"🚛 LIBERADO")</f>
        <v>🚛 LIBERADO</v>
      </c>
      <c r="F1323" s="5">
        <f ca="1">IFERROR(__xludf.UNSUPPORTED("""COMPUTED_VALUE"""),0)</f>
        <v>0</v>
      </c>
      <c r="G1323" s="3" t="str">
        <f ca="1">IFERROR(__xludf.UNSUPPORTED("""COMPUTED_VALUE"""),"Normalidade")</f>
        <v>Normalidade</v>
      </c>
      <c r="H1323" s="4">
        <f ca="1">IFERROR(__xludf.UNSUPPORTED("""COMPUTED_VALUE"""),45121.449375)</f>
        <v>45121.449374999997</v>
      </c>
      <c r="I1323" s="3">
        <f ca="1">IFERROR(__xludf.UNSUPPORTED("""COMPUTED_VALUE"""),24)</f>
        <v>24</v>
      </c>
      <c r="J1323" s="4">
        <f ca="1">IFERROR(__xludf.UNSUPPORTED("""COMPUTED_VALUE"""),45122.449375)</f>
        <v>45122.449374999997</v>
      </c>
      <c r="L1323" s="3" t="str">
        <f ca="1">IFERROR(__xludf.UNSUPPORTED("""COMPUTED_VALUE"""),"Normalidade")</f>
        <v>Normalidade</v>
      </c>
    </row>
    <row r="1324" spans="1:12" ht="12.75">
      <c r="A1324" s="3" t="str">
        <f ca="1">IFERROR(__xludf.UNSUPPORTED("""COMPUTED_VALUE"""),"6b2f745c")</f>
        <v>6b2f745c</v>
      </c>
      <c r="B1324" s="4">
        <f ca="1">IFERROR(__xludf.UNSUPPORTED("""COMPUTED_VALUE"""),45420.4075578703)</f>
        <v>45420.407557870298</v>
      </c>
      <c r="C1324" s="7" t="str">
        <f ca="1">IFERROR(__xludf.UNSUPPORTED("""COMPUTED_VALUE"""),"Porto Alegre")</f>
        <v>Porto Alegre</v>
      </c>
      <c r="D1324" s="3" t="str">
        <f ca="1">IFERROR(__xludf.UNSUPPORTED("""COMPUTED_VALUE"""),"❗️ PARALISADA")</f>
        <v>❗️ PARALISADA</v>
      </c>
      <c r="E1324" s="3" t="str">
        <f ca="1">IFERROR(__xludf.UNSUPPORTED("""COMPUTED_VALUE"""),"⛔️ BLOQUEADO")</f>
        <v>⛔️ BLOQUEADO</v>
      </c>
      <c r="F1324" s="5">
        <f ca="1">IFERROR(__xludf.UNSUPPORTED("""COMPUTED_VALUE"""),1)</f>
        <v>1</v>
      </c>
      <c r="G1324" s="3" t="str">
        <f ca="1">IFERROR(__xludf.UNSUPPORTED("""COMPUTED_VALUE"""),"A Portos RS - Autoridade Portuária dos Portos do Rio Grande do Sul informa que segue monitorando a situação de suas unidades operacionais e mantém suspensas as operações no Porto de Porto Alegre em razão da manutenção do nível do Lago Guaíba acima da cham"&amp;"ada cota de inundação, e no Porto de Pelotas, no sul do estado, o embarque de toras de madeira se mantém suspenso.")</f>
        <v>A Portos RS - Autoridade Portuária dos Portos do Rio Grande do Sul informa que segue monitorando a situação de suas unidades operacionais e mantém suspensas as operações no Porto de Porto Alegre em razão da manutenção do nível do Lago Guaíba acima da chamada cota de inundação, e no Porto de Pelotas, no sul do estado, o embarque de toras de madeira se mantém suspenso.</v>
      </c>
      <c r="H1324" s="4">
        <f ca="1">IFERROR(__xludf.UNSUPPORTED("""COMPUTED_VALUE"""),45420.4075578703)</f>
        <v>45420.407557870298</v>
      </c>
      <c r="I1324" s="3">
        <f ca="1">IFERROR(__xludf.UNSUPPORTED("""COMPUTED_VALUE"""),280)</f>
        <v>280</v>
      </c>
      <c r="J1324" s="4">
        <f ca="1">IFERROR(__xludf.UNSUPPORTED("""COMPUTED_VALUE"""),45432.074224537)</f>
        <v>45432.074224536998</v>
      </c>
      <c r="K1324" s="3" t="str">
        <f ca="1">IFERROR(__xludf.UNSUPPORTED("""COMPUTED_VALUE"""),"Portos RS")</f>
        <v>Portos RS</v>
      </c>
      <c r="L1324" s="3" t="str">
        <f ca="1">IFERROR(__xludf.UNSUPPORTED("""COMPUTED_VALUE"""),"Crítico")</f>
        <v>Crítico</v>
      </c>
    </row>
    <row r="1325" spans="1:12" ht="12.75">
      <c r="A1325" s="3" t="str">
        <f ca="1">IFERROR(__xludf.UNSUPPORTED("""COMPUTED_VALUE"""),"ec1c6df1")</f>
        <v>ec1c6df1</v>
      </c>
      <c r="B1325" s="4">
        <f ca="1">IFERROR(__xludf.UNSUPPORTED("""COMPUTED_VALUE"""),45470.6761342592)</f>
        <v>45470.6761342592</v>
      </c>
      <c r="C1325" s="8" t="str">
        <f ca="1">IFERROR(__xludf.UNSUPPORTED("""COMPUTED_VALUE"""),"Porto Alegre")</f>
        <v>Porto Alegre</v>
      </c>
      <c r="D1325" s="3" t="str">
        <f ca="1">IFERROR(__xludf.UNSUPPORTED("""COMPUTED_VALUE"""),"🚢 REGULAR")</f>
        <v>🚢 REGULAR</v>
      </c>
      <c r="E1325" s="3" t="str">
        <f ca="1">IFERROR(__xludf.UNSUPPORTED("""COMPUTED_VALUE"""),"⚠️ PARCIALMENTE BLOQUEADO")</f>
        <v>⚠️ PARCIALMENTE BLOQUEADO</v>
      </c>
      <c r="F1325" s="5">
        <f ca="1">IFERROR(__xludf.UNSUPPORTED("""COMPUTED_VALUE"""),0.25)</f>
        <v>0.25</v>
      </c>
      <c r="G1325" s="3" t="str">
        <f ca="1">IFERROR(__xludf.UNSUPPORTED("""COMPUTED_VALUE"""),"Com o retorno das águas à condição de normalidade, a Portos RS segue trabalhando para a retomada das operações no Porto de Porto Alegre. O período tem sido de organização da infraestrutura que foi severamente atingida pelas águas, as quais danificaram equ"&amp;"ipamentos de todos os portes e servidores de rede.
A sinalização náutica também foi bastante afetada e durante os últimos dias equipes foram destacadas para promover o reparo, reposicionamento e até mesmo substituição de boias. O esforço conjunto se refl"&amp;"ete na confirmação da primeira operação após dois meses de inatividade, sendo um deles por conta do completo alagamento da unidade.
O navio Nord Mississipi, que chegará a Porto Alegre no dia 30 de junho, desembarcará insumos para a produção de fertilizan"&amp;"tes. A operação acontecerá junto ao Terminal POA02, arrendado à empresa Serra Morena, e a previsão é de que as próximas operações já voltem a ser realizadas no cais público da unidade.
Para a retomada das atividades, a Autoridade Portuária desenvolveu um"&amp;" Plano de Contingência, onde os operadores devem informar o interesse de utilização da área para que a Portos RS promova junto com seus intervenientes as autorizações necessárias, em especial, a Receita Federal do Brasil e a Marinha do Brasil.")</f>
        <v>Com o retorno das águas à condição de normalidade, a Portos RS segue trabalhando para a retomada das operações no Porto de Porto Alegre. O período tem sido de organização da infraestrutura que foi severamente atingida pelas águas, as quais danificaram equipamentos de todos os portes e servidores de rede.
A sinalização náutica também foi bastante afetada e durante os últimos dias equipes foram destacadas para promover o reparo, reposicionamento e até mesmo substituição de boias. O esforço conjunto se reflete na confirmação da primeira operação após dois meses de inatividade, sendo um deles por conta do completo alagamento da unidade.
O navio Nord Mississipi, que chegará a Porto Alegre no dia 30 de junho, desembarcará insumos para a produção de fertilizantes. A operação acontecerá junto ao Terminal POA02, arrendado à empresa Serra Morena, e a previsão é de que as próximas operações já voltem a ser realizadas no cais público da unidade.
Para a retomada das atividades, a Autoridade Portuária desenvolveu um Plano de Contingência, onde os operadores devem informar o interesse de utilização da área para que a Portos RS promova junto com seus intervenientes as autorizações necessárias, em especial, a Receita Federal do Brasil e a Marinha do Brasil.</v>
      </c>
      <c r="H1325" s="4">
        <f ca="1">IFERROR(__xludf.UNSUPPORTED("""COMPUTED_VALUE"""),45432.0416666666)</f>
        <v>45432.041666666599</v>
      </c>
      <c r="I1325" s="3">
        <f ca="1">IFERROR(__xludf.UNSUPPORTED("""COMPUTED_VALUE"""),1000)</f>
        <v>1000</v>
      </c>
      <c r="J1325" s="4">
        <f ca="1">IFERROR(__xludf.UNSUPPORTED("""COMPUTED_VALUE"""),45473.7083333333)</f>
        <v>45473.708333333299</v>
      </c>
      <c r="K1325" s="3" t="str">
        <f ca="1">IFERROR(__xludf.UNSUPPORTED("""COMPUTED_VALUE"""),"Portos RS")</f>
        <v>Portos RS</v>
      </c>
      <c r="L1325" s="3" t="str">
        <f ca="1">IFERROR(__xludf.UNSUPPORTED("""COMPUTED_VALUE"""),"Crítico")</f>
        <v>Crítico</v>
      </c>
    </row>
    <row r="1326" spans="1:12" ht="12.75">
      <c r="A1326" s="3" t="str">
        <f ca="1">IFERROR(__xludf.UNSUPPORTED("""COMPUTED_VALUE"""),"649d4b53")</f>
        <v>649d4b53</v>
      </c>
      <c r="B1326" s="4">
        <f ca="1">IFERROR(__xludf.UNSUPPORTED("""COMPUTED_VALUE"""),45643.5893171296)</f>
        <v>45643.589317129597</v>
      </c>
      <c r="C1326" s="8" t="str">
        <f ca="1">IFERROR(__xludf.UNSUPPORTED("""COMPUTED_VALUE"""),"Porto Alegre")</f>
        <v>Porto Alegre</v>
      </c>
      <c r="D1326" s="3" t="str">
        <f ca="1">IFERROR(__xludf.UNSUPPORTED("""COMPUTED_VALUE"""),"🚢 REGULAR")</f>
        <v>🚢 REGULAR</v>
      </c>
      <c r="E1326" s="3" t="str">
        <f ca="1">IFERROR(__xludf.UNSUPPORTED("""COMPUTED_VALUE"""),"🚛 LIBERADO")</f>
        <v>🚛 LIBERADO</v>
      </c>
      <c r="F1326" s="5">
        <f ca="1">IFERROR(__xludf.UNSUPPORTED("""COMPUTED_VALUE"""),0)</f>
        <v>0</v>
      </c>
      <c r="G1326" s="3" t="str">
        <f ca="1">IFERROR(__xludf.UNSUPPORTED("""COMPUTED_VALUE"""),"Manifestação de TPAs de forma ordeira por estarem sem serviço em decorrência do porto de POA não estar recebendo navios por causa do assoreamento da Lagoa dos Patos.")</f>
        <v>Manifestação de TPAs de forma ordeira por estarem sem serviço em decorrência do porto de POA não estar recebendo navios por causa do assoreamento da Lagoa dos Patos.</v>
      </c>
      <c r="H1326" s="4">
        <f ca="1">IFERROR(__xludf.UNSUPPORTED("""COMPUTED_VALUE"""),45643.3333333333)</f>
        <v>45643.333333333299</v>
      </c>
      <c r="I1326" s="3">
        <f ca="1">IFERROR(__xludf.UNSUPPORTED("""COMPUTED_VALUE"""),4)</f>
        <v>4</v>
      </c>
      <c r="J1326" s="4">
        <f ca="1">IFERROR(__xludf.UNSUPPORTED("""COMPUTED_VALUE"""),45643.5)</f>
        <v>45643.5</v>
      </c>
      <c r="K1326" s="3" t="str">
        <f ca="1">IFERROR(__xludf.UNSUPPORTED("""COMPUTED_VALUE"""),"Guarda Portuária")</f>
        <v>Guarda Portuária</v>
      </c>
      <c r="L1326" s="3" t="str">
        <f ca="1">IFERROR(__xludf.UNSUPPORTED("""COMPUTED_VALUE"""),"Crítico")</f>
        <v>Crítico</v>
      </c>
    </row>
    <row r="1327" spans="1:12" ht="12.75">
      <c r="A1327" s="3" t="str">
        <f ca="1">IFERROR(__xludf.UNSUPPORTED("""COMPUTED_VALUE"""),"12d05246")</f>
        <v>12d05246</v>
      </c>
      <c r="B1327" s="4">
        <f ca="1">IFERROR(__xludf.UNSUPPORTED("""COMPUTED_VALUE"""),44866.3859953703)</f>
        <v>44866.385995370299</v>
      </c>
      <c r="C1327" s="8" t="str">
        <f ca="1">IFERROR(__xludf.UNSUPPORTED("""COMPUTED_VALUE"""),"Porto do Açu")</f>
        <v>Porto do Açu</v>
      </c>
      <c r="D1327" s="3" t="str">
        <f ca="1">IFERROR(__xludf.UNSUPPORTED("""COMPUTED_VALUE"""),"⚠️ COM ATRASOS")</f>
        <v>⚠️ COM ATRASOS</v>
      </c>
      <c r="E1327" s="3" t="str">
        <f ca="1">IFERROR(__xludf.UNSUPPORTED("""COMPUTED_VALUE"""),"⚠️ PARCIALMENTE BLOQUEADO")</f>
        <v>⚠️ PARCIALMENTE BLOQUEADO</v>
      </c>
      <c r="F1327" s="5">
        <f ca="1">IFERROR(__xludf.UNSUPPORTED("""COMPUTED_VALUE"""),0.5)</f>
        <v>0.5</v>
      </c>
      <c r="G1327" s="3" t="str">
        <f ca="1">IFERROR(__xludf.UNSUPPORTED("""COMPUTED_VALUE"""),"Bloqueios diversos em quase todos os acessos")</f>
        <v>Bloqueios diversos em quase todos os acessos</v>
      </c>
      <c r="H1327" s="4">
        <f ca="1">IFERROR(__xludf.UNSUPPORTED("""COMPUTED_VALUE"""),44866)</f>
        <v>44866</v>
      </c>
      <c r="I1327" s="3">
        <f ca="1">IFERROR(__xludf.UNSUPPORTED("""COMPUTED_VALUE"""),18)</f>
        <v>18</v>
      </c>
      <c r="J1327" s="4">
        <f ca="1">IFERROR(__xludf.UNSUPPORTED("""COMPUTED_VALUE"""),44866.75)</f>
        <v>44866.75</v>
      </c>
    </row>
    <row r="1328" spans="1:12" ht="12.75">
      <c r="A1328" s="3" t="str">
        <f ca="1">IFERROR(__xludf.UNSUPPORTED("""COMPUTED_VALUE"""),"c85d356b")</f>
        <v>c85d356b</v>
      </c>
      <c r="B1328" s="4">
        <f ca="1">IFERROR(__xludf.UNSUPPORTED("""COMPUTED_VALUE"""),44866.6350810185)</f>
        <v>44866.635081018503</v>
      </c>
      <c r="C1328" s="7" t="str">
        <f ca="1">IFERROR(__xludf.UNSUPPORTED("""COMPUTED_VALUE"""),"Porto do Açu")</f>
        <v>Porto do Açu</v>
      </c>
      <c r="D1328" s="3" t="str">
        <f ca="1">IFERROR(__xludf.UNSUPPORTED("""COMPUTED_VALUE"""),"🚢 REGULAR")</f>
        <v>🚢 REGULAR</v>
      </c>
      <c r="E1328" s="3" t="str">
        <f ca="1">IFERROR(__xludf.UNSUPPORTED("""COMPUTED_VALUE"""),"🚛 LIBERADO")</f>
        <v>🚛 LIBERADO</v>
      </c>
      <c r="F1328" s="5">
        <f ca="1">IFERROR(__xludf.UNSUPPORTED("""COMPUTED_VALUE"""),0)</f>
        <v>0</v>
      </c>
      <c r="G1328" s="3" t="str">
        <f ca="1">IFERROR(__xludf.UNSUPPORTED("""COMPUTED_VALUE"""),"Situação normalizada após ação da PRF na BR-356")</f>
        <v>Situação normalizada após ação da PRF na BR-356</v>
      </c>
      <c r="H1328" s="4">
        <f ca="1">IFERROR(__xludf.UNSUPPORTED("""COMPUTED_VALUE"""),44866.6350810185)</f>
        <v>44866.635081018503</v>
      </c>
      <c r="I1328" s="3">
        <f ca="1">IFERROR(__xludf.UNSUPPORTED("""COMPUTED_VALUE"""),8)</f>
        <v>8</v>
      </c>
      <c r="J1328" s="4">
        <f ca="1">IFERROR(__xludf.UNSUPPORTED("""COMPUTED_VALUE"""),44866.9684143518)</f>
        <v>44866.968414351802</v>
      </c>
    </row>
    <row r="1329" spans="1:12" ht="12.75">
      <c r="A1329" s="3" t="str">
        <f ca="1">IFERROR(__xludf.UNSUPPORTED("""COMPUTED_VALUE"""),"4157619b")</f>
        <v>4157619b</v>
      </c>
      <c r="B1329" s="4">
        <f ca="1">IFERROR(__xludf.UNSUPPORTED("""COMPUTED_VALUE"""),44868.4209606481)</f>
        <v>44868.420960648102</v>
      </c>
      <c r="C1329" s="8" t="str">
        <f ca="1">IFERROR(__xludf.UNSUPPORTED("""COMPUTED_VALUE"""),"Porto do Açu")</f>
        <v>Porto do Açu</v>
      </c>
      <c r="D1329" s="3" t="str">
        <f ca="1">IFERROR(__xludf.UNSUPPORTED("""COMPUTED_VALUE"""),"🚢 REGULAR")</f>
        <v>🚢 REGULAR</v>
      </c>
      <c r="E1329" s="3" t="str">
        <f ca="1">IFERROR(__xludf.UNSUPPORTED("""COMPUTED_VALUE"""),"🚛 LIBERADO")</f>
        <v>🚛 LIBERADO</v>
      </c>
      <c r="F1329" s="5">
        <f ca="1">IFERROR(__xludf.UNSUPPORTED("""COMPUTED_VALUE"""),0)</f>
        <v>0</v>
      </c>
      <c r="G1329" s="3" t="str">
        <f ca="1">IFERROR(__xludf.UNSUPPORTED("""COMPUTED_VALUE"""),"situação normal")</f>
        <v>situação normal</v>
      </c>
      <c r="H1329" s="4">
        <f ca="1">IFERROR(__xludf.UNSUPPORTED("""COMPUTED_VALUE"""),44868.4209606481)</f>
        <v>44868.420960648102</v>
      </c>
      <c r="I1329" s="3">
        <f ca="1">IFERROR(__xludf.UNSUPPORTED("""COMPUTED_VALUE"""),8)</f>
        <v>8</v>
      </c>
      <c r="J1329" s="4">
        <f ca="1">IFERROR(__xludf.UNSUPPORTED("""COMPUTED_VALUE"""),44868.7542939814)</f>
        <v>44868.754293981401</v>
      </c>
    </row>
    <row r="1330" spans="1:12" ht="12.75">
      <c r="A1330" s="3" t="str">
        <f ca="1">IFERROR(__xludf.UNSUPPORTED("""COMPUTED_VALUE"""),"ca749279")</f>
        <v>ca749279</v>
      </c>
      <c r="B1330" s="4">
        <f ca="1">IFERROR(__xludf.UNSUPPORTED("""COMPUTED_VALUE"""),44869.4492361111)</f>
        <v>44869.449236111097</v>
      </c>
      <c r="C1330" s="8" t="str">
        <f ca="1">IFERROR(__xludf.UNSUPPORTED("""COMPUTED_VALUE"""),"Porto do Açu")</f>
        <v>Porto do Açu</v>
      </c>
      <c r="D1330" s="3" t="str">
        <f ca="1">IFERROR(__xludf.UNSUPPORTED("""COMPUTED_VALUE"""),"🚢 REGULAR")</f>
        <v>🚢 REGULAR</v>
      </c>
      <c r="E1330" s="3" t="str">
        <f ca="1">IFERROR(__xludf.UNSUPPORTED("""COMPUTED_VALUE"""),"🚛 LIBERADO")</f>
        <v>🚛 LIBERADO</v>
      </c>
      <c r="F1330" s="5">
        <f ca="1">IFERROR(__xludf.UNSUPPORTED("""COMPUTED_VALUE"""),0)</f>
        <v>0</v>
      </c>
      <c r="G1330" s="3" t="str">
        <f ca="1">IFERROR(__xludf.UNSUPPORTED("""COMPUTED_VALUE"""),"Situação normal.")</f>
        <v>Situação normal.</v>
      </c>
      <c r="H1330" s="4">
        <f ca="1">IFERROR(__xludf.UNSUPPORTED("""COMPUTED_VALUE"""),44869.4492361111)</f>
        <v>44869.449236111097</v>
      </c>
      <c r="I1330" s="3">
        <f ca="1">IFERROR(__xludf.UNSUPPORTED("""COMPUTED_VALUE"""),24)</f>
        <v>24</v>
      </c>
      <c r="J1330" s="4">
        <f ca="1">IFERROR(__xludf.UNSUPPORTED("""COMPUTED_VALUE"""),44870.4492361111)</f>
        <v>44870.449236111097</v>
      </c>
    </row>
    <row r="1331" spans="1:12" ht="12.75">
      <c r="A1331" s="3" t="str">
        <f ca="1">IFERROR(__xludf.UNSUPPORTED("""COMPUTED_VALUE"""),"3121850d")</f>
        <v>3121850d</v>
      </c>
      <c r="B1331" s="4">
        <f ca="1">IFERROR(__xludf.UNSUPPORTED("""COMPUTED_VALUE"""),44883.6248958333)</f>
        <v>44883.624895833302</v>
      </c>
      <c r="C1331" s="7" t="str">
        <f ca="1">IFERROR(__xludf.UNSUPPORTED("""COMPUTED_VALUE"""),"Porto do Açu")</f>
        <v>Porto do Açu</v>
      </c>
      <c r="D1331" s="3" t="str">
        <f ca="1">IFERROR(__xludf.UNSUPPORTED("""COMPUTED_VALUE"""),"🚢 REGULAR")</f>
        <v>🚢 REGULAR</v>
      </c>
      <c r="E1331" s="3" t="str">
        <f ca="1">IFERROR(__xludf.UNSUPPORTED("""COMPUTED_VALUE"""),"🚛 LIBERADO")</f>
        <v>🚛 LIBERADO</v>
      </c>
      <c r="F1331" s="5">
        <f ca="1">IFERROR(__xludf.UNSUPPORTED("""COMPUTED_VALUE"""),1)</f>
        <v>1</v>
      </c>
      <c r="G1331" s="3" t="str">
        <f ca="1">IFERROR(__xludf.UNSUPPORTED("""COMPUTED_VALUE"""),"Situação normal")</f>
        <v>Situação normal</v>
      </c>
      <c r="H1331" s="4">
        <f ca="1">IFERROR(__xludf.UNSUPPORTED("""COMPUTED_VALUE"""),44883.6248958333)</f>
        <v>44883.624895833302</v>
      </c>
      <c r="I1331" s="3">
        <f ca="1">IFERROR(__xludf.UNSUPPORTED("""COMPUTED_VALUE"""),24)</f>
        <v>24</v>
      </c>
      <c r="J1331" s="4">
        <f ca="1">IFERROR(__xludf.UNSUPPORTED("""COMPUTED_VALUE"""),44884.6248958333)</f>
        <v>44884.624895833302</v>
      </c>
    </row>
    <row r="1332" spans="1:12" ht="12.75">
      <c r="A1332" s="3" t="str">
        <f ca="1">IFERROR(__xludf.UNSUPPORTED("""COMPUTED_VALUE"""),"195305da")</f>
        <v>195305da</v>
      </c>
      <c r="B1332" s="4">
        <f ca="1">IFERROR(__xludf.UNSUPPORTED("""COMPUTED_VALUE"""),44885.4088078703)</f>
        <v>44885.408807870299</v>
      </c>
      <c r="C1332" s="7" t="str">
        <f ca="1">IFERROR(__xludf.UNSUPPORTED("""COMPUTED_VALUE"""),"Porto do Açu")</f>
        <v>Porto do Açu</v>
      </c>
      <c r="D1332" s="3" t="str">
        <f ca="1">IFERROR(__xludf.UNSUPPORTED("""COMPUTED_VALUE"""),"🚢 REGULAR")</f>
        <v>🚢 REGULAR</v>
      </c>
      <c r="E1332" s="3" t="str">
        <f ca="1">IFERROR(__xludf.UNSUPPORTED("""COMPUTED_VALUE"""),"🚛 LIBERADO")</f>
        <v>🚛 LIBERADO</v>
      </c>
      <c r="F1332" s="5">
        <f ca="1">IFERROR(__xludf.UNSUPPORTED("""COMPUTED_VALUE"""),0)</f>
        <v>0</v>
      </c>
      <c r="G1332" s="3" t="str">
        <f ca="1">IFERROR(__xludf.UNSUPPORTED("""COMPUTED_VALUE"""),"Situação Normal")</f>
        <v>Situação Normal</v>
      </c>
      <c r="H1332" s="4">
        <f ca="1">IFERROR(__xludf.UNSUPPORTED("""COMPUTED_VALUE"""),44887.9851967592)</f>
        <v>44887.985196759197</v>
      </c>
      <c r="I1332" s="3">
        <f ca="1">IFERROR(__xludf.UNSUPPORTED("""COMPUTED_VALUE"""),24)</f>
        <v>24</v>
      </c>
      <c r="J1332" s="4">
        <f ca="1">IFERROR(__xludf.UNSUPPORTED("""COMPUTED_VALUE"""),44888.9851967592)</f>
        <v>44888.985196759197</v>
      </c>
    </row>
    <row r="1333" spans="1:12" ht="12.75">
      <c r="A1333" s="3" t="str">
        <f ca="1">IFERROR(__xludf.UNSUPPORTED("""COMPUTED_VALUE"""),"4e78bca0")</f>
        <v>4e78bca0</v>
      </c>
      <c r="B1333" s="4">
        <f ca="1">IFERROR(__xludf.UNSUPPORTED("""COMPUTED_VALUE"""),44890.2510300925)</f>
        <v>44890.251030092499</v>
      </c>
      <c r="C1333" s="8" t="str">
        <f ca="1">IFERROR(__xludf.UNSUPPORTED("""COMPUTED_VALUE"""),"Porto do Açu")</f>
        <v>Porto do Açu</v>
      </c>
      <c r="D1333" s="3" t="str">
        <f ca="1">IFERROR(__xludf.UNSUPPORTED("""COMPUTED_VALUE"""),"🚢 REGULAR")</f>
        <v>🚢 REGULAR</v>
      </c>
      <c r="E1333" s="3" t="str">
        <f ca="1">IFERROR(__xludf.UNSUPPORTED("""COMPUTED_VALUE"""),"🚛 LIBERADO")</f>
        <v>🚛 LIBERADO</v>
      </c>
      <c r="F1333" s="5">
        <f ca="1">IFERROR(__xludf.UNSUPPORTED("""COMPUTED_VALUE"""),0)</f>
        <v>0</v>
      </c>
      <c r="G1333" s="3" t="str">
        <f ca="1">IFERROR(__xludf.UNSUPPORTED("""COMPUTED_VALUE"""),"Situação Normal")</f>
        <v>Situação Normal</v>
      </c>
      <c r="H1333" s="4">
        <f ca="1">IFERROR(__xludf.UNSUPPORTED("""COMPUTED_VALUE"""),44890.2510300925)</f>
        <v>44890.251030092499</v>
      </c>
      <c r="I1333" s="3">
        <f ca="1">IFERROR(__xludf.UNSUPPORTED("""COMPUTED_VALUE"""),24)</f>
        <v>24</v>
      </c>
      <c r="J1333" s="4">
        <f ca="1">IFERROR(__xludf.UNSUPPORTED("""COMPUTED_VALUE"""),44891.2510300925)</f>
        <v>44891.251030092499</v>
      </c>
    </row>
    <row r="1334" spans="1:12" ht="12.75">
      <c r="A1334" s="3" t="str">
        <f ca="1">IFERROR(__xludf.UNSUPPORTED("""COMPUTED_VALUE"""),"970e44c7")</f>
        <v>970e44c7</v>
      </c>
      <c r="B1334" s="4">
        <f ca="1">IFERROR(__xludf.UNSUPPORTED("""COMPUTED_VALUE"""),44893.4039583333)</f>
        <v>44893.4039583333</v>
      </c>
      <c r="C1334" s="7" t="str">
        <f ca="1">IFERROR(__xludf.UNSUPPORTED("""COMPUTED_VALUE"""),"Porto do Açu")</f>
        <v>Porto do Açu</v>
      </c>
      <c r="D1334" s="3" t="str">
        <f ca="1">IFERROR(__xludf.UNSUPPORTED("""COMPUTED_VALUE"""),"🚢 REGULAR")</f>
        <v>🚢 REGULAR</v>
      </c>
      <c r="E1334" s="3" t="str">
        <f ca="1">IFERROR(__xludf.UNSUPPORTED("""COMPUTED_VALUE"""),"🚛 LIBERADO")</f>
        <v>🚛 LIBERADO</v>
      </c>
      <c r="F1334" s="5">
        <f ca="1">IFERROR(__xludf.UNSUPPORTED("""COMPUTED_VALUE"""),0)</f>
        <v>0</v>
      </c>
      <c r="G1334" s="3" t="str">
        <f ca="1">IFERROR(__xludf.UNSUPPORTED("""COMPUTED_VALUE"""),"Situação normal")</f>
        <v>Situação normal</v>
      </c>
      <c r="H1334" s="4">
        <f ca="1">IFERROR(__xludf.UNSUPPORTED("""COMPUTED_VALUE"""),44893.4039583333)</f>
        <v>44893.4039583333</v>
      </c>
      <c r="I1334" s="3">
        <f ca="1">IFERROR(__xludf.UNSUPPORTED("""COMPUTED_VALUE"""),24)</f>
        <v>24</v>
      </c>
      <c r="J1334" s="4">
        <f ca="1">IFERROR(__xludf.UNSUPPORTED("""COMPUTED_VALUE"""),44894.4039583333)</f>
        <v>44894.4039583333</v>
      </c>
    </row>
    <row r="1335" spans="1:12" ht="12.75">
      <c r="A1335" s="3" t="str">
        <f ca="1">IFERROR(__xludf.UNSUPPORTED("""COMPUTED_VALUE"""),"abe1bf30")</f>
        <v>abe1bf30</v>
      </c>
      <c r="B1335" s="4">
        <f ca="1">IFERROR(__xludf.UNSUPPORTED("""COMPUTED_VALUE"""),44894.426261574)</f>
        <v>44894.426261574001</v>
      </c>
      <c r="C1335" s="8" t="str">
        <f ca="1">IFERROR(__xludf.UNSUPPORTED("""COMPUTED_VALUE"""),"Porto do Açu")</f>
        <v>Porto do Açu</v>
      </c>
      <c r="D1335" s="3" t="str">
        <f ca="1">IFERROR(__xludf.UNSUPPORTED("""COMPUTED_VALUE"""),"🚢 REGULAR")</f>
        <v>🚢 REGULAR</v>
      </c>
      <c r="E1335" s="3" t="str">
        <f ca="1">IFERROR(__xludf.UNSUPPORTED("""COMPUTED_VALUE"""),"🚛 LIBERADO")</f>
        <v>🚛 LIBERADO</v>
      </c>
      <c r="F1335" s="5">
        <f ca="1">IFERROR(__xludf.UNSUPPORTED("""COMPUTED_VALUE"""),0)</f>
        <v>0</v>
      </c>
      <c r="G1335" s="3" t="str">
        <f ca="1">IFERROR(__xludf.UNSUPPORTED("""COMPUTED_VALUE"""),"Situação normal")</f>
        <v>Situação normal</v>
      </c>
      <c r="H1335" s="4">
        <f ca="1">IFERROR(__xludf.UNSUPPORTED("""COMPUTED_VALUE"""),44894.426261574)</f>
        <v>44894.426261574001</v>
      </c>
      <c r="I1335" s="3">
        <f ca="1">IFERROR(__xludf.UNSUPPORTED("""COMPUTED_VALUE"""),24)</f>
        <v>24</v>
      </c>
      <c r="J1335" s="4">
        <f ca="1">IFERROR(__xludf.UNSUPPORTED("""COMPUTED_VALUE"""),44895.426261574)</f>
        <v>44895.426261574001</v>
      </c>
    </row>
    <row r="1336" spans="1:12" ht="12.75">
      <c r="A1336" s="3" t="str">
        <f ca="1">IFERROR(__xludf.UNSUPPORTED("""COMPUTED_VALUE"""),"a1de4089")</f>
        <v>a1de4089</v>
      </c>
      <c r="B1336" s="4">
        <f ca="1">IFERROR(__xludf.UNSUPPORTED("""COMPUTED_VALUE"""),44895.3889004629)</f>
        <v>44895.388900462902</v>
      </c>
      <c r="C1336" s="8" t="str">
        <f ca="1">IFERROR(__xludf.UNSUPPORTED("""COMPUTED_VALUE"""),"Porto do Açu")</f>
        <v>Porto do Açu</v>
      </c>
      <c r="D1336" s="3" t="str">
        <f ca="1">IFERROR(__xludf.UNSUPPORTED("""COMPUTED_VALUE"""),"🚢 REGULAR")</f>
        <v>🚢 REGULAR</v>
      </c>
      <c r="E1336" s="3" t="str">
        <f ca="1">IFERROR(__xludf.UNSUPPORTED("""COMPUTED_VALUE"""),"🚛 LIBERADO")</f>
        <v>🚛 LIBERADO</v>
      </c>
      <c r="F1336" s="5">
        <f ca="1">IFERROR(__xludf.UNSUPPORTED("""COMPUTED_VALUE"""),0)</f>
        <v>0</v>
      </c>
      <c r="G1336" s="3" t="str">
        <f ca="1">IFERROR(__xludf.UNSUPPORTED("""COMPUTED_VALUE"""),"Situação normal")</f>
        <v>Situação normal</v>
      </c>
      <c r="H1336" s="4">
        <f ca="1">IFERROR(__xludf.UNSUPPORTED("""COMPUTED_VALUE"""),44896.3472337962)</f>
        <v>44896.347233796201</v>
      </c>
      <c r="I1336" s="3">
        <f ca="1">IFERROR(__xludf.UNSUPPORTED("""COMPUTED_VALUE"""),24)</f>
        <v>24</v>
      </c>
      <c r="J1336" s="4">
        <f ca="1">IFERROR(__xludf.UNSUPPORTED("""COMPUTED_VALUE"""),44897.3472337962)</f>
        <v>44897.347233796201</v>
      </c>
    </row>
    <row r="1337" spans="1:12" ht="12.75">
      <c r="A1337" s="3" t="str">
        <f ca="1">IFERROR(__xludf.UNSUPPORTED("""COMPUTED_VALUE"""),"0cf09347")</f>
        <v>0cf09347</v>
      </c>
      <c r="B1337" s="4">
        <f ca="1">IFERROR(__xludf.UNSUPPORTED("""COMPUTED_VALUE"""),44897.3186226851)</f>
        <v>44897.318622685103</v>
      </c>
      <c r="C1337" s="7" t="str">
        <f ca="1">IFERROR(__xludf.UNSUPPORTED("""COMPUTED_VALUE"""),"Porto do Açu")</f>
        <v>Porto do Açu</v>
      </c>
      <c r="D1337" s="3" t="str">
        <f ca="1">IFERROR(__xludf.UNSUPPORTED("""COMPUTED_VALUE"""),"🚢 REGULAR")</f>
        <v>🚢 REGULAR</v>
      </c>
      <c r="E1337" s="3" t="str">
        <f ca="1">IFERROR(__xludf.UNSUPPORTED("""COMPUTED_VALUE"""),"🚛 LIBERADO")</f>
        <v>🚛 LIBERADO</v>
      </c>
      <c r="F1337" s="5">
        <f ca="1">IFERROR(__xludf.UNSUPPORTED("""COMPUTED_VALUE"""),0)</f>
        <v>0</v>
      </c>
      <c r="G1337" s="3" t="str">
        <f ca="1">IFERROR(__xludf.UNSUPPORTED("""COMPUTED_VALUE"""),"Situação normal")</f>
        <v>Situação normal</v>
      </c>
      <c r="H1337" s="4">
        <f ca="1">IFERROR(__xludf.UNSUPPORTED("""COMPUTED_VALUE"""),44897.3186226851)</f>
        <v>44897.318622685103</v>
      </c>
      <c r="I1337" s="3">
        <f ca="1">IFERROR(__xludf.UNSUPPORTED("""COMPUTED_VALUE"""),24)</f>
        <v>24</v>
      </c>
      <c r="J1337" s="4">
        <f ca="1">IFERROR(__xludf.UNSUPPORTED("""COMPUTED_VALUE"""),44898.3186226851)</f>
        <v>44898.318622685103</v>
      </c>
    </row>
    <row r="1338" spans="1:12" ht="12.75">
      <c r="A1338" s="3" t="str">
        <f ca="1">IFERROR(__xludf.UNSUPPORTED("""COMPUTED_VALUE"""),"ec7ab85d")</f>
        <v>ec7ab85d</v>
      </c>
      <c r="B1338" s="4">
        <f ca="1">IFERROR(__xludf.UNSUPPORTED("""COMPUTED_VALUE"""),44900.4095254629)</f>
        <v>44900.409525462899</v>
      </c>
      <c r="C1338" s="8" t="str">
        <f ca="1">IFERROR(__xludf.UNSUPPORTED("""COMPUTED_VALUE"""),"Porto do Açu")</f>
        <v>Porto do Açu</v>
      </c>
      <c r="D1338" s="3" t="str">
        <f ca="1">IFERROR(__xludf.UNSUPPORTED("""COMPUTED_VALUE"""),"🚢 REGULAR")</f>
        <v>🚢 REGULAR</v>
      </c>
      <c r="E1338" s="3" t="str">
        <f ca="1">IFERROR(__xludf.UNSUPPORTED("""COMPUTED_VALUE"""),"🚛 LIBERADO")</f>
        <v>🚛 LIBERADO</v>
      </c>
      <c r="F1338" s="5">
        <f ca="1">IFERROR(__xludf.UNSUPPORTED("""COMPUTED_VALUE"""),0)</f>
        <v>0</v>
      </c>
      <c r="G1338" s="3" t="str">
        <f ca="1">IFERROR(__xludf.UNSUPPORTED("""COMPUTED_VALUE"""),"Situação normal")</f>
        <v>Situação normal</v>
      </c>
      <c r="H1338" s="4">
        <f ca="1">IFERROR(__xludf.UNSUPPORTED("""COMPUTED_VALUE"""),44900.4095254629)</f>
        <v>44900.409525462899</v>
      </c>
      <c r="I1338" s="3">
        <f ca="1">IFERROR(__xludf.UNSUPPORTED("""COMPUTED_VALUE"""),24)</f>
        <v>24</v>
      </c>
      <c r="J1338" s="4">
        <f ca="1">IFERROR(__xludf.UNSUPPORTED("""COMPUTED_VALUE"""),44901.4095254629)</f>
        <v>44901.409525462899</v>
      </c>
    </row>
    <row r="1339" spans="1:12" ht="12.75">
      <c r="A1339" s="3" t="str">
        <f ca="1">IFERROR(__xludf.UNSUPPORTED("""COMPUTED_VALUE"""),"7fd3c407")</f>
        <v>7fd3c407</v>
      </c>
      <c r="B1339" s="4">
        <f ca="1">IFERROR(__xludf.UNSUPPORTED("""COMPUTED_VALUE"""),44901.4187037037)</f>
        <v>44901.418703703697</v>
      </c>
      <c r="C1339" s="7" t="str">
        <f ca="1">IFERROR(__xludf.UNSUPPORTED("""COMPUTED_VALUE"""),"Porto do Açu")</f>
        <v>Porto do Açu</v>
      </c>
      <c r="D1339" s="3" t="str">
        <f ca="1">IFERROR(__xludf.UNSUPPORTED("""COMPUTED_VALUE"""),"🚢 REGULAR")</f>
        <v>🚢 REGULAR</v>
      </c>
      <c r="E1339" s="3" t="str">
        <f ca="1">IFERROR(__xludf.UNSUPPORTED("""COMPUTED_VALUE"""),"🚛 LIBERADO")</f>
        <v>🚛 LIBERADO</v>
      </c>
      <c r="F1339" s="5">
        <f ca="1">IFERROR(__xludf.UNSUPPORTED("""COMPUTED_VALUE"""),0)</f>
        <v>0</v>
      </c>
      <c r="G1339" s="3" t="str">
        <f ca="1">IFERROR(__xludf.UNSUPPORTED("""COMPUTED_VALUE"""),"Situação Normal")</f>
        <v>Situação Normal</v>
      </c>
      <c r="H1339" s="4">
        <f ca="1">IFERROR(__xludf.UNSUPPORTED("""COMPUTED_VALUE"""),44903.2923148148)</f>
        <v>44903.292314814797</v>
      </c>
      <c r="I1339" s="3">
        <f ca="1">IFERROR(__xludf.UNSUPPORTED("""COMPUTED_VALUE"""),24)</f>
        <v>24</v>
      </c>
      <c r="J1339" s="4">
        <f ca="1">IFERROR(__xludf.UNSUPPORTED("""COMPUTED_VALUE"""),44904.2923148148)</f>
        <v>44904.292314814797</v>
      </c>
    </row>
    <row r="1340" spans="1:12" ht="12.75">
      <c r="A1340" s="3" t="str">
        <f ca="1">IFERROR(__xludf.UNSUPPORTED("""COMPUTED_VALUE"""),"6ad4e156")</f>
        <v>6ad4e156</v>
      </c>
      <c r="B1340" s="4">
        <f ca="1">IFERROR(__xludf.UNSUPPORTED("""COMPUTED_VALUE"""),44907.5083680555)</f>
        <v>44907.508368055504</v>
      </c>
      <c r="C1340" s="8" t="str">
        <f ca="1">IFERROR(__xludf.UNSUPPORTED("""COMPUTED_VALUE"""),"Porto do Açu")</f>
        <v>Porto do Açu</v>
      </c>
      <c r="D1340" s="3" t="str">
        <f ca="1">IFERROR(__xludf.UNSUPPORTED("""COMPUTED_VALUE"""),"🚢 REGULAR")</f>
        <v>🚢 REGULAR</v>
      </c>
      <c r="E1340" s="3" t="str">
        <f ca="1">IFERROR(__xludf.UNSUPPORTED("""COMPUTED_VALUE"""),"🚛 LIBERADO")</f>
        <v>🚛 LIBERADO</v>
      </c>
      <c r="F1340" s="5">
        <f ca="1">IFERROR(__xludf.UNSUPPORTED("""COMPUTED_VALUE"""),0)</f>
        <v>0</v>
      </c>
      <c r="G1340" s="3" t="str">
        <f ca="1">IFERROR(__xludf.UNSUPPORTED("""COMPUTED_VALUE"""),"Situação normal")</f>
        <v>Situação normal</v>
      </c>
      <c r="H1340" s="4">
        <f ca="1">IFERROR(__xludf.UNSUPPORTED("""COMPUTED_VALUE"""),44907.4236111111)</f>
        <v>44907.423611111102</v>
      </c>
      <c r="I1340" s="3">
        <f ca="1">IFERROR(__xludf.UNSUPPORTED("""COMPUTED_VALUE"""),24)</f>
        <v>24</v>
      </c>
      <c r="J1340" s="4">
        <f ca="1">IFERROR(__xludf.UNSUPPORTED("""COMPUTED_VALUE"""),44908.4236111111)</f>
        <v>44908.423611111102</v>
      </c>
    </row>
    <row r="1341" spans="1:12" ht="12.75">
      <c r="A1341" s="3" t="str">
        <f ca="1">IFERROR(__xludf.UNSUPPORTED("""COMPUTED_VALUE"""),"82c118de")</f>
        <v>82c118de</v>
      </c>
      <c r="B1341" s="4">
        <f ca="1">IFERROR(__xludf.UNSUPPORTED("""COMPUTED_VALUE"""),44928.3873263888)</f>
        <v>44928.387326388802</v>
      </c>
      <c r="C1341" s="7" t="str">
        <f ca="1">IFERROR(__xludf.UNSUPPORTED("""COMPUTED_VALUE"""),"Porto do Açu")</f>
        <v>Porto do Açu</v>
      </c>
      <c r="D1341" s="3" t="str">
        <f ca="1">IFERROR(__xludf.UNSUPPORTED("""COMPUTED_VALUE"""),"🚢 REGULAR")</f>
        <v>🚢 REGULAR</v>
      </c>
      <c r="E1341" s="3" t="str">
        <f ca="1">IFERROR(__xludf.UNSUPPORTED("""COMPUTED_VALUE"""),"🚛 LIBERADO")</f>
        <v>🚛 LIBERADO</v>
      </c>
      <c r="F1341" s="5">
        <f ca="1">IFERROR(__xludf.UNSUPPORTED("""COMPUTED_VALUE"""),0)</f>
        <v>0</v>
      </c>
      <c r="G1341" s="3" t="str">
        <f ca="1">IFERROR(__xludf.UNSUPPORTED("""COMPUTED_VALUE"""),"Situação Normal")</f>
        <v>Situação Normal</v>
      </c>
      <c r="H1341" s="4">
        <f ca="1">IFERROR(__xludf.UNSUPPORTED("""COMPUTED_VALUE"""),44928.3873263888)</f>
        <v>44928.387326388802</v>
      </c>
      <c r="I1341" s="3">
        <f ca="1">IFERROR(__xludf.UNSUPPORTED("""COMPUTED_VALUE"""),24)</f>
        <v>24</v>
      </c>
      <c r="J1341" s="4">
        <f ca="1">IFERROR(__xludf.UNSUPPORTED("""COMPUTED_VALUE"""),44929.3873263888)</f>
        <v>44929.387326388802</v>
      </c>
    </row>
    <row r="1342" spans="1:12" ht="12.75">
      <c r="A1342" s="3" t="str">
        <f ca="1">IFERROR(__xludf.UNSUPPORTED("""COMPUTED_VALUE"""),"deee400e")</f>
        <v>deee400e</v>
      </c>
      <c r="B1342" s="4">
        <f ca="1">IFERROR(__xludf.UNSUPPORTED("""COMPUTED_VALUE"""),44935.5008912037)</f>
        <v>44935.500891203701</v>
      </c>
      <c r="C1342" s="7" t="str">
        <f ca="1">IFERROR(__xludf.UNSUPPORTED("""COMPUTED_VALUE"""),"Porto do Açu")</f>
        <v>Porto do Açu</v>
      </c>
      <c r="D1342" s="3" t="str">
        <f ca="1">IFERROR(__xludf.UNSUPPORTED("""COMPUTED_VALUE"""),"🚢 REGULAR")</f>
        <v>🚢 REGULAR</v>
      </c>
      <c r="E1342" s="3" t="str">
        <f ca="1">IFERROR(__xludf.UNSUPPORTED("""COMPUTED_VALUE"""),"🚛 LIBERADO")</f>
        <v>🚛 LIBERADO</v>
      </c>
      <c r="F1342" s="5">
        <f ca="1">IFERROR(__xludf.UNSUPPORTED("""COMPUTED_VALUE"""),0)</f>
        <v>0</v>
      </c>
      <c r="G1342" s="3" t="str">
        <f ca="1">IFERROR(__xludf.UNSUPPORTED("""COMPUTED_VALUE"""),"Normalidade")</f>
        <v>Normalidade</v>
      </c>
      <c r="H1342" s="4">
        <f ca="1">IFERROR(__xludf.UNSUPPORTED("""COMPUTED_VALUE"""),44935.5008912037)</f>
        <v>44935.500891203701</v>
      </c>
      <c r="I1342" s="3">
        <f ca="1">IFERROR(__xludf.UNSUPPORTED("""COMPUTED_VALUE"""),24)</f>
        <v>24</v>
      </c>
      <c r="J1342" s="4">
        <f ca="1">IFERROR(__xludf.UNSUPPORTED("""COMPUTED_VALUE"""),44936.5008912037)</f>
        <v>44936.500891203701</v>
      </c>
      <c r="L1342" s="3" t="str">
        <f ca="1">IFERROR(__xludf.UNSUPPORTED("""COMPUTED_VALUE"""),"Normalidade")</f>
        <v>Normalidade</v>
      </c>
    </row>
    <row r="1343" spans="1:12" ht="12.75">
      <c r="A1343" s="3" t="str">
        <f ca="1">IFERROR(__xludf.UNSUPPORTED("""COMPUTED_VALUE"""),"bac51b6e")</f>
        <v>bac51b6e</v>
      </c>
      <c r="B1343" s="4">
        <f ca="1">IFERROR(__xludf.UNSUPPORTED("""COMPUTED_VALUE"""),45120.6370254629)</f>
        <v>45120.6370254629</v>
      </c>
      <c r="C1343" s="7" t="str">
        <f ca="1">IFERROR(__xludf.UNSUPPORTED("""COMPUTED_VALUE"""),"Porto do Açu")</f>
        <v>Porto do Açu</v>
      </c>
      <c r="D1343" s="3" t="str">
        <f ca="1">IFERROR(__xludf.UNSUPPORTED("""COMPUTED_VALUE"""),"🚢 REGULAR")</f>
        <v>🚢 REGULAR</v>
      </c>
      <c r="E1343" s="3" t="str">
        <f ca="1">IFERROR(__xludf.UNSUPPORTED("""COMPUTED_VALUE"""),"🚛 LIBERADO")</f>
        <v>🚛 LIBERADO</v>
      </c>
      <c r="F1343" s="5">
        <f ca="1">IFERROR(__xludf.UNSUPPORTED("""COMPUTED_VALUE"""),0)</f>
        <v>0</v>
      </c>
      <c r="G1343" s="3" t="str">
        <f ca="1">IFERROR(__xludf.UNSUPPORTED("""COMPUTED_VALUE"""),"Normalidade")</f>
        <v>Normalidade</v>
      </c>
      <c r="H1343" s="4">
        <f ca="1">IFERROR(__xludf.UNSUPPORTED("""COMPUTED_VALUE"""),45120.6370254629)</f>
        <v>45120.6370254629</v>
      </c>
      <c r="I1343" s="3">
        <f ca="1">IFERROR(__xludf.UNSUPPORTED("""COMPUTED_VALUE"""),24)</f>
        <v>24</v>
      </c>
      <c r="J1343" s="4">
        <f ca="1">IFERROR(__xludf.UNSUPPORTED("""COMPUTED_VALUE"""),45121.6370254629)</f>
        <v>45121.6370254629</v>
      </c>
      <c r="L1343" s="3" t="str">
        <f ca="1">IFERROR(__xludf.UNSUPPORTED("""COMPUTED_VALUE"""),"Normalidade")</f>
        <v>Normalidade</v>
      </c>
    </row>
    <row r="1344" spans="1:12" ht="12.75">
      <c r="A1344" s="3" t="str">
        <f ca="1">IFERROR(__xludf.UNSUPPORTED("""COMPUTED_VALUE"""),"7de54f11")</f>
        <v>7de54f11</v>
      </c>
      <c r="B1344" s="4">
        <f ca="1">IFERROR(__xludf.UNSUPPORTED("""COMPUTED_VALUE"""),45197.6256018518)</f>
        <v>45197.625601851803</v>
      </c>
      <c r="C1344" s="8" t="str">
        <f ca="1">IFERROR(__xludf.UNSUPPORTED("""COMPUTED_VALUE"""),"Porto do Açu")</f>
        <v>Porto do Açu</v>
      </c>
      <c r="D1344" s="3" t="str">
        <f ca="1">IFERROR(__xludf.UNSUPPORTED("""COMPUTED_VALUE"""),"⚠️ COM ATRASOS")</f>
        <v>⚠️ COM ATRASOS</v>
      </c>
      <c r="E1344" s="3" t="str">
        <f ca="1">IFERROR(__xludf.UNSUPPORTED("""COMPUTED_VALUE"""),"⛔️ BLOQUEADO")</f>
        <v>⛔️ BLOQUEADO</v>
      </c>
      <c r="F1344" s="5">
        <f ca="1">IFERROR(__xludf.UNSUPPORTED("""COMPUTED_VALUE"""),0.5)</f>
        <v>0.5</v>
      </c>
      <c r="G1344" s="3" t="str">
        <f ca="1">IFERROR(__xludf.UNSUPPORTED("""COMPUTED_VALUE"""),"T1 Barra fechada
T2 Embarque e desembarque em águas abrigadas")</f>
        <v>T1 Barra fechada
T2 Embarque e desembarque em águas abrigadas</v>
      </c>
      <c r="H1344" s="4">
        <f ca="1">IFERROR(__xludf.UNSUPPORTED("""COMPUTED_VALUE"""),45197.6256018518)</f>
        <v>45197.625601851803</v>
      </c>
      <c r="I1344" s="3">
        <f ca="1">IFERROR(__xludf.UNSUPPORTED("""COMPUTED_VALUE"""),24)</f>
        <v>24</v>
      </c>
      <c r="J1344" s="4">
        <f ca="1">IFERROR(__xludf.UNSUPPORTED("""COMPUTED_VALUE"""),45198.6256018518)</f>
        <v>45198.625601851803</v>
      </c>
      <c r="K1344" s="3" t="str">
        <f ca="1">IFERROR(__xludf.UNSUPPORTED("""COMPUTED_VALUE"""),"Capitania dos Portos")</f>
        <v>Capitania dos Portos</v>
      </c>
      <c r="L1344" s="3" t="str">
        <f ca="1">IFERROR(__xludf.UNSUPPORTED("""COMPUTED_VALUE"""),"Crítico")</f>
        <v>Crítico</v>
      </c>
    </row>
    <row r="1345" spans="1:12" ht="12.75">
      <c r="A1345" s="3" t="str">
        <f ca="1">IFERROR(__xludf.UNSUPPORTED("""COMPUTED_VALUE"""),"59cd43d9")</f>
        <v>59cd43d9</v>
      </c>
      <c r="B1345" s="4">
        <f ca="1">IFERROR(__xludf.UNSUPPORTED("""COMPUTED_VALUE"""),45198.325162037)</f>
        <v>45198.325162036999</v>
      </c>
      <c r="C1345" s="7" t="str">
        <f ca="1">IFERROR(__xludf.UNSUPPORTED("""COMPUTED_VALUE"""),"Porto do Açu")</f>
        <v>Porto do Açu</v>
      </c>
      <c r="D1345" s="3" t="str">
        <f ca="1">IFERROR(__xludf.UNSUPPORTED("""COMPUTED_VALUE"""),"🚢 REGULAR")</f>
        <v>🚢 REGULAR</v>
      </c>
      <c r="E1345" s="3" t="str">
        <f ca="1">IFERROR(__xludf.UNSUPPORTED("""COMPUTED_VALUE"""),"🚛 LIBERADO")</f>
        <v>🚛 LIBERADO</v>
      </c>
      <c r="F1345" s="5">
        <f ca="1">IFERROR(__xludf.UNSUPPORTED("""COMPUTED_VALUE"""),0)</f>
        <v>0</v>
      </c>
      <c r="G1345" s="3" t="str">
        <f ca="1">IFERROR(__xludf.UNSUPPORTED("""COMPUTED_VALUE"""),"Normalidade")</f>
        <v>Normalidade</v>
      </c>
      <c r="H1345" s="4">
        <f ca="1">IFERROR(__xludf.UNSUPPORTED("""COMPUTED_VALUE"""),45198.325162037)</f>
        <v>45198.325162036999</v>
      </c>
      <c r="I1345" s="3">
        <f ca="1">IFERROR(__xludf.UNSUPPORTED("""COMPUTED_VALUE"""),24)</f>
        <v>24</v>
      </c>
      <c r="J1345" s="4">
        <f ca="1">IFERROR(__xludf.UNSUPPORTED("""COMPUTED_VALUE"""),45199.325162037)</f>
        <v>45199.325162036999</v>
      </c>
      <c r="L1345" s="3" t="str">
        <f ca="1">IFERROR(__xludf.UNSUPPORTED("""COMPUTED_VALUE"""),"Normalidade")</f>
        <v>Normalidade</v>
      </c>
    </row>
    <row r="1346" spans="1:12" ht="12.75">
      <c r="A1346" s="3" t="str">
        <f ca="1">IFERROR(__xludf.UNSUPPORTED("""COMPUTED_VALUE"""),"3e703e1c")</f>
        <v>3e703e1c</v>
      </c>
      <c r="B1346" s="4">
        <f ca="1">IFERROR(__xludf.UNSUPPORTED("""COMPUTED_VALUE"""),45204.6855671296)</f>
        <v>45204.6855671296</v>
      </c>
      <c r="C1346" s="8" t="str">
        <f ca="1">IFERROR(__xludf.UNSUPPORTED("""COMPUTED_VALUE"""),"Porto do Açu")</f>
        <v>Porto do Açu</v>
      </c>
      <c r="D1346" s="3" t="str">
        <f ca="1">IFERROR(__xludf.UNSUPPORTED("""COMPUTED_VALUE"""),"⚠️ COM ATRASOS")</f>
        <v>⚠️ COM ATRASOS</v>
      </c>
      <c r="E1346" s="3" t="str">
        <f ca="1">IFERROR(__xludf.UNSUPPORTED("""COMPUTED_VALUE"""),"⚠️ PARCIALMENTE BLOQUEADO")</f>
        <v>⚠️ PARCIALMENTE BLOQUEADO</v>
      </c>
      <c r="F1346" s="5">
        <f ca="1">IFERROR(__xludf.UNSUPPORTED("""COMPUTED_VALUE"""),0.5)</f>
        <v>0.5</v>
      </c>
      <c r="G1346" s="3" t="str">
        <f ca="1">IFERROR(__xludf.UNSUPPORTED("""COMPUTED_VALUE"""),"Impraticabilidade total no T1")</f>
        <v>Impraticabilidade total no T1</v>
      </c>
      <c r="H1346" s="4">
        <f ca="1">IFERROR(__xludf.UNSUPPORTED("""COMPUTED_VALUE"""),45204.6855671296)</f>
        <v>45204.6855671296</v>
      </c>
      <c r="I1346" s="3">
        <f ca="1">IFERROR(__xludf.UNSUPPORTED("""COMPUTED_VALUE"""),24)</f>
        <v>24</v>
      </c>
      <c r="J1346" s="4">
        <f ca="1">IFERROR(__xludf.UNSUPPORTED("""COMPUTED_VALUE"""),45205.6855671296)</f>
        <v>45205.6855671296</v>
      </c>
      <c r="K1346" s="3" t="str">
        <f ca="1">IFERROR(__xludf.UNSUPPORTED("""COMPUTED_VALUE"""),"Capitania dos portos")</f>
        <v>Capitania dos portos</v>
      </c>
      <c r="L1346" s="3" t="str">
        <f ca="1">IFERROR(__xludf.UNSUPPORTED("""COMPUTED_VALUE"""),"Crítico")</f>
        <v>Crítico</v>
      </c>
    </row>
    <row r="1347" spans="1:12" ht="12.75">
      <c r="A1347" s="3" t="str">
        <f ca="1">IFERROR(__xludf.UNSUPPORTED("""COMPUTED_VALUE"""),"1fb8e1ee")</f>
        <v>1fb8e1ee</v>
      </c>
      <c r="B1347" s="4">
        <f ca="1">IFERROR(__xludf.UNSUPPORTED("""COMPUTED_VALUE"""),45207.4560069444)</f>
        <v>45207.456006944398</v>
      </c>
      <c r="C1347" s="8" t="str">
        <f ca="1">IFERROR(__xludf.UNSUPPORTED("""COMPUTED_VALUE"""),"Porto do Açu")</f>
        <v>Porto do Açu</v>
      </c>
      <c r="D1347" s="3" t="str">
        <f ca="1">IFERROR(__xludf.UNSUPPORTED("""COMPUTED_VALUE"""),"🚢 REGULAR")</f>
        <v>🚢 REGULAR</v>
      </c>
      <c r="E1347" s="3" t="str">
        <f ca="1">IFERROR(__xludf.UNSUPPORTED("""COMPUTED_VALUE"""),"🚛 LIBERADO")</f>
        <v>🚛 LIBERADO</v>
      </c>
      <c r="F1347" s="5">
        <f ca="1">IFERROR(__xludf.UNSUPPORTED("""COMPUTED_VALUE"""),0)</f>
        <v>0</v>
      </c>
      <c r="G1347" s="3" t="str">
        <f ca="1">IFERROR(__xludf.UNSUPPORTED("""COMPUTED_VALUE"""),"Normalidade")</f>
        <v>Normalidade</v>
      </c>
      <c r="H1347" s="4">
        <f ca="1">IFERROR(__xludf.UNSUPPORTED("""COMPUTED_VALUE"""),45207.4560069444)</f>
        <v>45207.456006944398</v>
      </c>
      <c r="I1347" s="3">
        <f ca="1">IFERROR(__xludf.UNSUPPORTED("""COMPUTED_VALUE"""),24)</f>
        <v>24</v>
      </c>
      <c r="J1347" s="4">
        <f ca="1">IFERROR(__xludf.UNSUPPORTED("""COMPUTED_VALUE"""),45208.4560069444)</f>
        <v>45208.456006944398</v>
      </c>
      <c r="L1347" s="3" t="str">
        <f ca="1">IFERROR(__xludf.UNSUPPORTED("""COMPUTED_VALUE"""),"Normalidade")</f>
        <v>Normalidade</v>
      </c>
    </row>
    <row r="1348" spans="1:12" ht="12.75">
      <c r="A1348" s="3" t="str">
        <f ca="1">IFERROR(__xludf.UNSUPPORTED("""COMPUTED_VALUE"""),"73f72ee8")</f>
        <v>73f72ee8</v>
      </c>
      <c r="B1348" s="4">
        <f ca="1">IFERROR(__xludf.UNSUPPORTED("""COMPUTED_VALUE"""),44866.3462037037)</f>
        <v>44866.346203703702</v>
      </c>
      <c r="C1348" s="7" t="str">
        <f ca="1">IFERROR(__xludf.UNSUPPORTED("""COMPUTED_VALUE"""),"Porto Velho")</f>
        <v>Porto Velho</v>
      </c>
      <c r="D1348" s="3" t="str">
        <f ca="1">IFERROR(__xludf.UNSUPPORTED("""COMPUTED_VALUE"""),"🚢 REGULAR")</f>
        <v>🚢 REGULAR</v>
      </c>
      <c r="E1348" s="3" t="str">
        <f ca="1">IFERROR(__xludf.UNSUPPORTED("""COMPUTED_VALUE"""),"⚠️ PARCIALMENTE BLOQUEADO")</f>
        <v>⚠️ PARCIALMENTE BLOQUEADO</v>
      </c>
      <c r="F1348" s="5">
        <f ca="1">IFERROR(__xludf.UNSUPPORTED("""COMPUTED_VALUE"""),0.5)</f>
        <v>0.5</v>
      </c>
      <c r="G1348" s="3" t="str">
        <f ca="1">IFERROR(__xludf.UNSUPPORTED("""COMPUTED_VALUE"""),"Não há bloqueio direto aos acessos do porto, no entanto, bloqueios parciais nas rodovias federais em locais próximos à cidade de Porto Velho dificultam o acesso dos veículos de carga ao porto, ocasionando redução na operação.")</f>
        <v>Não há bloqueio direto aos acessos do porto, no entanto, bloqueios parciais nas rodovias federais em locais próximos à cidade de Porto Velho dificultam o acesso dos veículos de carga ao porto, ocasionando redução na operação.</v>
      </c>
      <c r="H1348" s="4">
        <f ca="1">IFERROR(__xludf.UNSUPPORTED("""COMPUTED_VALUE"""),44866.3462037037)</f>
        <v>44866.346203703702</v>
      </c>
      <c r="I1348" s="3">
        <f ca="1">IFERROR(__xludf.UNSUPPORTED("""COMPUTED_VALUE"""),24)</f>
        <v>24</v>
      </c>
      <c r="J1348" s="4">
        <f ca="1">IFERROR(__xludf.UNSUPPORTED("""COMPUTED_VALUE"""),44867.3462037037)</f>
        <v>44867.346203703702</v>
      </c>
    </row>
    <row r="1349" spans="1:12" ht="12.75">
      <c r="A1349" s="3" t="str">
        <f ca="1">IFERROR(__xludf.UNSUPPORTED("""COMPUTED_VALUE"""),"192a52a0")</f>
        <v>192a52a0</v>
      </c>
      <c r="B1349" s="4">
        <f ca="1">IFERROR(__xludf.UNSUPPORTED("""COMPUTED_VALUE"""),44868.3534143518)</f>
        <v>44868.353414351797</v>
      </c>
      <c r="C1349" s="8" t="str">
        <f ca="1">IFERROR(__xludf.UNSUPPORTED("""COMPUTED_VALUE"""),"Porto Velho")</f>
        <v>Porto Velho</v>
      </c>
      <c r="D1349" s="3" t="str">
        <f ca="1">IFERROR(__xludf.UNSUPPORTED("""COMPUTED_VALUE"""),"🚢 REGULAR")</f>
        <v>🚢 REGULAR</v>
      </c>
      <c r="E1349" s="3" t="str">
        <f ca="1">IFERROR(__xludf.UNSUPPORTED("""COMPUTED_VALUE"""),"🚛 LIBERADO")</f>
        <v>🚛 LIBERADO</v>
      </c>
      <c r="F1349" s="5">
        <f ca="1">IFERROR(__xludf.UNSUPPORTED("""COMPUTED_VALUE"""),0)</f>
        <v>0</v>
      </c>
      <c r="G1349" s="3" t="str">
        <f ca="1">IFERROR(__xludf.UNSUPPORTED("""COMPUTED_VALUE"""),"Porto operando na normalidade após liberação de pontos de bloqueio nas rodovias federais de rondônia.")</f>
        <v>Porto operando na normalidade após liberação de pontos de bloqueio nas rodovias federais de rondônia.</v>
      </c>
      <c r="H1349" s="4">
        <f ca="1">IFERROR(__xludf.UNSUPPORTED("""COMPUTED_VALUE"""),44868.3534143518)</f>
        <v>44868.353414351797</v>
      </c>
      <c r="I1349" s="3">
        <f ca="1">IFERROR(__xludf.UNSUPPORTED("""COMPUTED_VALUE"""),24)</f>
        <v>24</v>
      </c>
      <c r="J1349" s="4">
        <f ca="1">IFERROR(__xludf.UNSUPPORTED("""COMPUTED_VALUE"""),44869.3534143518)</f>
        <v>44869.353414351797</v>
      </c>
    </row>
    <row r="1350" spans="1:12" ht="12.75">
      <c r="A1350" s="3" t="str">
        <f ca="1">IFERROR(__xludf.UNSUPPORTED("""COMPUTED_VALUE"""),"5798ac4a")</f>
        <v>5798ac4a</v>
      </c>
      <c r="B1350" s="4">
        <f ca="1">IFERROR(__xludf.UNSUPPORTED("""COMPUTED_VALUE"""),44869.3946412037)</f>
        <v>44869.394641203697</v>
      </c>
      <c r="C1350" s="7" t="str">
        <f ca="1">IFERROR(__xludf.UNSUPPORTED("""COMPUTED_VALUE"""),"Porto Velho")</f>
        <v>Porto Velho</v>
      </c>
      <c r="D1350" s="3" t="str">
        <f ca="1">IFERROR(__xludf.UNSUPPORTED("""COMPUTED_VALUE"""),"🚢 REGULAR")</f>
        <v>🚢 REGULAR</v>
      </c>
      <c r="E1350" s="3" t="str">
        <f ca="1">IFERROR(__xludf.UNSUPPORTED("""COMPUTED_VALUE"""),"⚠️ PARCIALMENTE BLOQUEADO")</f>
        <v>⚠️ PARCIALMENTE BLOQUEADO</v>
      </c>
      <c r="F1350" s="5">
        <f ca="1">IFERROR(__xludf.UNSUPPORTED("""COMPUTED_VALUE"""),0)</f>
        <v>0</v>
      </c>
      <c r="G1350" s="3" t="str">
        <f ca="1">IFERROR(__xludf.UNSUPPORTED("""COMPUTED_VALUE"""),"Alguns pontos de bloqueio na rodovia federal BR 364 ainda dificultam a chegada de cargas ao porto.")</f>
        <v>Alguns pontos de bloqueio na rodovia federal BR 364 ainda dificultam a chegada de cargas ao porto.</v>
      </c>
      <c r="H1350" s="4">
        <f ca="1">IFERROR(__xludf.UNSUPPORTED("""COMPUTED_VALUE"""),44869.3946412037)</f>
        <v>44869.394641203697</v>
      </c>
      <c r="I1350" s="3">
        <f ca="1">IFERROR(__xludf.UNSUPPORTED("""COMPUTED_VALUE"""),24)</f>
        <v>24</v>
      </c>
      <c r="J1350" s="4">
        <f ca="1">IFERROR(__xludf.UNSUPPORTED("""COMPUTED_VALUE"""),44870.3946412037)</f>
        <v>44870.394641203697</v>
      </c>
    </row>
    <row r="1351" spans="1:12" ht="12.75">
      <c r="A1351" s="3" t="str">
        <f ca="1">IFERROR(__xludf.UNSUPPORTED("""COMPUTED_VALUE"""),"4e9bd75c")</f>
        <v>4e9bd75c</v>
      </c>
      <c r="B1351" s="4">
        <f ca="1">IFERROR(__xludf.UNSUPPORTED("""COMPUTED_VALUE"""),44870.4418055555)</f>
        <v>44870.4418055555</v>
      </c>
      <c r="C1351" s="8" t="str">
        <f ca="1">IFERROR(__xludf.UNSUPPORTED("""COMPUTED_VALUE"""),"Porto Velho")</f>
        <v>Porto Velho</v>
      </c>
      <c r="D1351" s="3" t="str">
        <f ca="1">IFERROR(__xludf.UNSUPPORTED("""COMPUTED_VALUE"""),"🚢 REGULAR")</f>
        <v>🚢 REGULAR</v>
      </c>
      <c r="E1351" s="3" t="str">
        <f ca="1">IFERROR(__xludf.UNSUPPORTED("""COMPUTED_VALUE"""),"🚛 LIBERADO")</f>
        <v>🚛 LIBERADO</v>
      </c>
      <c r="F1351" s="5">
        <f ca="1">IFERROR(__xludf.UNSUPPORTED("""COMPUTED_VALUE"""),0)</f>
        <v>0</v>
      </c>
      <c r="G1351" s="3" t="str">
        <f ca="1">IFERROR(__xludf.UNSUPPORTED("""COMPUTED_VALUE"""),"Rodovias totalmente liberadas. Tráfego de veículos de carga ocorrendo normalmente.")</f>
        <v>Rodovias totalmente liberadas. Tráfego de veículos de carga ocorrendo normalmente.</v>
      </c>
      <c r="H1351" s="4">
        <f ca="1">IFERROR(__xludf.UNSUPPORTED("""COMPUTED_VALUE"""),44870.4001388888)</f>
        <v>44870.400138888799</v>
      </c>
      <c r="I1351" s="3">
        <f ca="1">IFERROR(__xludf.UNSUPPORTED("""COMPUTED_VALUE"""),24)</f>
        <v>24</v>
      </c>
      <c r="J1351" s="4">
        <f ca="1">IFERROR(__xludf.UNSUPPORTED("""COMPUTED_VALUE"""),44871.4001388888)</f>
        <v>44871.400138888799</v>
      </c>
    </row>
    <row r="1352" spans="1:12" ht="12.75">
      <c r="A1352" s="3" t="str">
        <f ca="1">IFERROR(__xludf.UNSUPPORTED("""COMPUTED_VALUE"""),"8862f39e")</f>
        <v>8862f39e</v>
      </c>
      <c r="B1352" s="4">
        <f ca="1">IFERROR(__xludf.UNSUPPORTED("""COMPUTED_VALUE"""),44873.9305208333)</f>
        <v>44873.930520833303</v>
      </c>
      <c r="C1352" s="8" t="str">
        <f ca="1">IFERROR(__xludf.UNSUPPORTED("""COMPUTED_VALUE"""),"Porto Velho")</f>
        <v>Porto Velho</v>
      </c>
      <c r="D1352" s="3" t="str">
        <f ca="1">IFERROR(__xludf.UNSUPPORTED("""COMPUTED_VALUE"""),"🚢 REGULAR")</f>
        <v>🚢 REGULAR</v>
      </c>
      <c r="E1352" s="3" t="str">
        <f ca="1">IFERROR(__xludf.UNSUPPORTED("""COMPUTED_VALUE"""),"⚠️ PARCIALMENTE BLOQUEADO")</f>
        <v>⚠️ PARCIALMENTE BLOQUEADO</v>
      </c>
      <c r="F1352" s="5">
        <f ca="1">IFERROR(__xludf.UNSUPPORTED("""COMPUTED_VALUE"""),0.5)</f>
        <v>0.5</v>
      </c>
      <c r="G1352" s="3" t="str">
        <f ca="1">IFERROR(__xludf.UNSUPPORTED("""COMPUTED_VALUE"""),"Bloqueios em vários pontos da rodovia federal BR 364 impedem fluxo de veículos de carga, comprometendo as operações no porto público e demais terminais portuários.")</f>
        <v>Bloqueios em vários pontos da rodovia federal BR 364 impedem fluxo de veículos de carga, comprometendo as operações no porto público e demais terminais portuários.</v>
      </c>
      <c r="H1352" s="4">
        <f ca="1">IFERROR(__xludf.UNSUPPORTED("""COMPUTED_VALUE"""),44873.75)</f>
        <v>44873.75</v>
      </c>
      <c r="I1352" s="3">
        <f ca="1">IFERROR(__xludf.UNSUPPORTED("""COMPUTED_VALUE"""),24)</f>
        <v>24</v>
      </c>
      <c r="J1352" s="4">
        <f ca="1">IFERROR(__xludf.UNSUPPORTED("""COMPUTED_VALUE"""),44874.75)</f>
        <v>44874.75</v>
      </c>
    </row>
    <row r="1353" spans="1:12" ht="12.75">
      <c r="A1353" s="3" t="str">
        <f ca="1">IFERROR(__xludf.UNSUPPORTED("""COMPUTED_VALUE"""),"f1c238f4")</f>
        <v>f1c238f4</v>
      </c>
      <c r="B1353" s="4">
        <f ca="1">IFERROR(__xludf.UNSUPPORTED("""COMPUTED_VALUE"""),44874.3685300925)</f>
        <v>44874.368530092499</v>
      </c>
      <c r="C1353" s="8" t="str">
        <f ca="1">IFERROR(__xludf.UNSUPPORTED("""COMPUTED_VALUE"""),"Porto Velho")</f>
        <v>Porto Velho</v>
      </c>
      <c r="D1353" s="3" t="str">
        <f ca="1">IFERROR(__xludf.UNSUPPORTED("""COMPUTED_VALUE"""),"🚢 REGULAR")</f>
        <v>🚢 REGULAR</v>
      </c>
      <c r="E1353" s="3" t="str">
        <f ca="1">IFERROR(__xludf.UNSUPPORTED("""COMPUTED_VALUE"""),"⚠️ PARCIALMENTE BLOQUEADO")</f>
        <v>⚠️ PARCIALMENTE BLOQUEADO</v>
      </c>
      <c r="F1353" s="5">
        <f ca="1">IFERROR(__xludf.UNSUPPORTED("""COMPUTED_VALUE"""),0.25)</f>
        <v>0.25</v>
      </c>
      <c r="G1353" s="3" t="str">
        <f ca="1">IFERROR(__xludf.UNSUPPORTED("""COMPUTED_VALUE"""),"Bloqueio na rodovia federal BR 364, nas proximidades do município de Vilhena/RO, dificulta o fluxo de veículos de carga, reduzindo a demanda das operações no porto público e demais terminais portuários.")</f>
        <v>Bloqueio na rodovia federal BR 364, nas proximidades do município de Vilhena/RO, dificulta o fluxo de veículos de carga, reduzindo a demanda das operações no porto público e demais terminais portuários.</v>
      </c>
      <c r="H1353" s="4">
        <f ca="1">IFERROR(__xludf.UNSUPPORTED("""COMPUTED_VALUE"""),44874.3333333333)</f>
        <v>44874.333333333299</v>
      </c>
      <c r="I1353" s="3">
        <f ca="1">IFERROR(__xludf.UNSUPPORTED("""COMPUTED_VALUE"""),24)</f>
        <v>24</v>
      </c>
      <c r="J1353" s="4">
        <f ca="1">IFERROR(__xludf.UNSUPPORTED("""COMPUTED_VALUE"""),44875.3333333333)</f>
        <v>44875.333333333299</v>
      </c>
    </row>
    <row r="1354" spans="1:12" ht="12.75">
      <c r="A1354" s="3" t="str">
        <f ca="1">IFERROR(__xludf.UNSUPPORTED("""COMPUTED_VALUE"""),"9f5a00d1")</f>
        <v>9f5a00d1</v>
      </c>
      <c r="B1354" s="4">
        <f ca="1">IFERROR(__xludf.UNSUPPORTED("""COMPUTED_VALUE"""),44883.4822337963)</f>
        <v>44883.482233796298</v>
      </c>
      <c r="C1354" s="8" t="str">
        <f ca="1">IFERROR(__xludf.UNSUPPORTED("""COMPUTED_VALUE"""),"Porto Velho")</f>
        <v>Porto Velho</v>
      </c>
      <c r="D1354" s="3" t="str">
        <f ca="1">IFERROR(__xludf.UNSUPPORTED("""COMPUTED_VALUE"""),"⚠️ COM ATRASOS")</f>
        <v>⚠️ COM ATRASOS</v>
      </c>
      <c r="E1354" s="3" t="str">
        <f ca="1">IFERROR(__xludf.UNSUPPORTED("""COMPUTED_VALUE"""),"⚠️ PARCIALMENTE BLOQUEADO")</f>
        <v>⚠️ PARCIALMENTE BLOQUEADO</v>
      </c>
      <c r="F1354" s="5">
        <f ca="1">IFERROR(__xludf.UNSUPPORTED("""COMPUTED_VALUE"""),0.25)</f>
        <v>0.25</v>
      </c>
      <c r="G1354" s="3" t="str">
        <f ca="1">IFERROR(__xludf.UNSUPPORTED("""COMPUTED_VALUE"""),"Enterdições parciais em diversos pontos da rodovia BR364 impedem acesso dos veículos de carga, traduzindo-se em atrasos na operação portuária.")</f>
        <v>Enterdições parciais em diversos pontos da rodovia BR364 impedem acesso dos veículos de carga, traduzindo-se em atrasos na operação portuária.</v>
      </c>
      <c r="H1354" s="4">
        <f ca="1">IFERROR(__xludf.UNSUPPORTED("""COMPUTED_VALUE"""),44883.4822337963)</f>
        <v>44883.482233796298</v>
      </c>
      <c r="I1354" s="3">
        <f ca="1">IFERROR(__xludf.UNSUPPORTED("""COMPUTED_VALUE"""),24)</f>
        <v>24</v>
      </c>
      <c r="J1354" s="4">
        <f ca="1">IFERROR(__xludf.UNSUPPORTED("""COMPUTED_VALUE"""),44884.4822337963)</f>
        <v>44884.482233796298</v>
      </c>
    </row>
    <row r="1355" spans="1:12" ht="12.75">
      <c r="A1355" s="3" t="str">
        <f ca="1">IFERROR(__xludf.UNSUPPORTED("""COMPUTED_VALUE"""),"65c35676")</f>
        <v>65c35676</v>
      </c>
      <c r="B1355" s="4">
        <f ca="1">IFERROR(__xludf.UNSUPPORTED("""COMPUTED_VALUE"""),44884.4447916666)</f>
        <v>44884.444791666603</v>
      </c>
      <c r="C1355" s="8" t="str">
        <f ca="1">IFERROR(__xludf.UNSUPPORTED("""COMPUTED_VALUE"""),"Porto Velho")</f>
        <v>Porto Velho</v>
      </c>
      <c r="D1355" s="3" t="str">
        <f ca="1">IFERROR(__xludf.UNSUPPORTED("""COMPUTED_VALUE"""),"⚠️ COM ATRASOS")</f>
        <v>⚠️ COM ATRASOS</v>
      </c>
      <c r="E1355" s="3" t="str">
        <f ca="1">IFERROR(__xludf.UNSUPPORTED("""COMPUTED_VALUE"""),"⚠️ PARCIALMENTE BLOQUEADO")</f>
        <v>⚠️ PARCIALMENTE BLOQUEADO</v>
      </c>
      <c r="F1355" s="5">
        <f ca="1">IFERROR(__xludf.UNSUPPORTED("""COMPUTED_VALUE"""),0.25)</f>
        <v>0.25</v>
      </c>
      <c r="G1355" s="3" t="str">
        <f ca="1">IFERROR(__xludf.UNSUPPORTED("""COMPUTED_VALUE"""),"Vários pontos de interdição parcial na rodovia federal BR 364. Impedimento de passagem de veículos de carga dificultam acesso aos terminais portuários.")</f>
        <v>Vários pontos de interdição parcial na rodovia federal BR 364. Impedimento de passagem de veículos de carga dificultam acesso aos terminais portuários.</v>
      </c>
      <c r="H1355" s="4">
        <f ca="1">IFERROR(__xludf.UNSUPPORTED("""COMPUTED_VALUE"""),44884.4447916666)</f>
        <v>44884.444791666603</v>
      </c>
      <c r="I1355" s="3">
        <f ca="1">IFERROR(__xludf.UNSUPPORTED("""COMPUTED_VALUE"""),24)</f>
        <v>24</v>
      </c>
      <c r="J1355" s="4">
        <f ca="1">IFERROR(__xludf.UNSUPPORTED("""COMPUTED_VALUE"""),44885.4447916666)</f>
        <v>44885.444791666603</v>
      </c>
    </row>
    <row r="1356" spans="1:12" ht="12.75">
      <c r="A1356" s="3" t="str">
        <f ca="1">IFERROR(__xludf.UNSUPPORTED("""COMPUTED_VALUE"""),"eb8e6173")</f>
        <v>eb8e6173</v>
      </c>
      <c r="B1356" s="4">
        <f ca="1">IFERROR(__xludf.UNSUPPORTED("""COMPUTED_VALUE"""),44886.4362268518)</f>
        <v>44886.436226851802</v>
      </c>
      <c r="C1356" s="8" t="str">
        <f ca="1">IFERROR(__xludf.UNSUPPORTED("""COMPUTED_VALUE"""),"Porto Velho")</f>
        <v>Porto Velho</v>
      </c>
      <c r="D1356" s="3" t="str">
        <f ca="1">IFERROR(__xludf.UNSUPPORTED("""COMPUTED_VALUE"""),"⚠️ COM ATRASOS")</f>
        <v>⚠️ COM ATRASOS</v>
      </c>
      <c r="E1356" s="3" t="str">
        <f ca="1">IFERROR(__xludf.UNSUPPORTED("""COMPUTED_VALUE"""),"⚠️ PARCIALMENTE BLOQUEADO")</f>
        <v>⚠️ PARCIALMENTE BLOQUEADO</v>
      </c>
      <c r="F1356" s="5">
        <f ca="1">IFERROR(__xludf.UNSUPPORTED("""COMPUTED_VALUE"""),1)</f>
        <v>1</v>
      </c>
      <c r="G1356" s="3" t="str">
        <f ca="1">IFERROR(__xludf.UNSUPPORTED("""COMPUTED_VALUE"""),"Vários pontos de bloqueio na rodovia federal BR364 dificultam acesso de veículos de carga aos terminais porrtuários. Criticidade aumentou em razão dos bloqueios já durarem 4 dias, prejudicando operação do porto público.")</f>
        <v>Vários pontos de bloqueio na rodovia federal BR364 dificultam acesso de veículos de carga aos terminais porrtuários. Criticidade aumentou em razão dos bloqueios já durarem 4 dias, prejudicando operação do porto público.</v>
      </c>
      <c r="H1356" s="4">
        <f ca="1">IFERROR(__xludf.UNSUPPORTED("""COMPUTED_VALUE"""),44886.4362268518)</f>
        <v>44886.436226851802</v>
      </c>
      <c r="I1356" s="3">
        <f ca="1">IFERROR(__xludf.UNSUPPORTED("""COMPUTED_VALUE"""),24)</f>
        <v>24</v>
      </c>
      <c r="J1356" s="4">
        <f ca="1">IFERROR(__xludf.UNSUPPORTED("""COMPUTED_VALUE"""),44887.4362268518)</f>
        <v>44887.436226851802</v>
      </c>
    </row>
    <row r="1357" spans="1:12" ht="12.75">
      <c r="A1357" s="3" t="str">
        <f ca="1">IFERROR(__xludf.UNSUPPORTED("""COMPUTED_VALUE"""),"a8c59501")</f>
        <v>a8c59501</v>
      </c>
      <c r="B1357" s="4">
        <f ca="1">IFERROR(__xludf.UNSUPPORTED("""COMPUTED_VALUE"""),44887.320636574)</f>
        <v>44887.320636573997</v>
      </c>
      <c r="C1357" s="7" t="str">
        <f ca="1">IFERROR(__xludf.UNSUPPORTED("""COMPUTED_VALUE"""),"Porto Velho")</f>
        <v>Porto Velho</v>
      </c>
      <c r="D1357" s="3" t="str">
        <f ca="1">IFERROR(__xludf.UNSUPPORTED("""COMPUTED_VALUE"""),"⚠️ COM ATRASOS")</f>
        <v>⚠️ COM ATRASOS</v>
      </c>
      <c r="E1357" s="3" t="str">
        <f ca="1">IFERROR(__xludf.UNSUPPORTED("""COMPUTED_VALUE"""),"⚠️ PARCIALMENTE BLOQUEADO")</f>
        <v>⚠️ PARCIALMENTE BLOQUEADO</v>
      </c>
      <c r="F1357" s="5">
        <f ca="1">IFERROR(__xludf.UNSUPPORTED("""COMPUTED_VALUE"""),0.25)</f>
        <v>0.25</v>
      </c>
      <c r="G1357" s="3" t="str">
        <f ca="1">IFERROR(__xludf.UNSUPPORTED("""COMPUTED_VALUE"""),"Pontos de interdição na rodovia BR364 dificultam acesso de veículos de carga ao porto público.")</f>
        <v>Pontos de interdição na rodovia BR364 dificultam acesso de veículos de carga ao porto público.</v>
      </c>
      <c r="H1357" s="4">
        <f ca="1">IFERROR(__xludf.UNSUPPORTED("""COMPUTED_VALUE"""),44887.320636574)</f>
        <v>44887.320636573997</v>
      </c>
      <c r="I1357" s="3">
        <f ca="1">IFERROR(__xludf.UNSUPPORTED("""COMPUTED_VALUE"""),24)</f>
        <v>24</v>
      </c>
      <c r="J1357" s="4">
        <f ca="1">IFERROR(__xludf.UNSUPPORTED("""COMPUTED_VALUE"""),44888.320636574)</f>
        <v>44888.320636573997</v>
      </c>
    </row>
    <row r="1358" spans="1:12" ht="12.75">
      <c r="A1358" s="3" t="str">
        <f ca="1">IFERROR(__xludf.UNSUPPORTED("""COMPUTED_VALUE"""),"efb2fba0")</f>
        <v>efb2fba0</v>
      </c>
      <c r="B1358" s="4">
        <f ca="1">IFERROR(__xludf.UNSUPPORTED("""COMPUTED_VALUE"""),44888.232199074)</f>
        <v>44888.232199074002</v>
      </c>
      <c r="C1358" s="7" t="str">
        <f ca="1">IFERROR(__xludf.UNSUPPORTED("""COMPUTED_VALUE"""),"Porto Velho")</f>
        <v>Porto Velho</v>
      </c>
      <c r="D1358" s="3" t="str">
        <f ca="1">IFERROR(__xludf.UNSUPPORTED("""COMPUTED_VALUE"""),"⚠️ COM ATRASOS")</f>
        <v>⚠️ COM ATRASOS</v>
      </c>
      <c r="E1358" s="3" t="str">
        <f ca="1">IFERROR(__xludf.UNSUPPORTED("""COMPUTED_VALUE"""),"🚛 LIBERADO")</f>
        <v>🚛 LIBERADO</v>
      </c>
      <c r="F1358" s="5">
        <f ca="1">IFERROR(__xludf.UNSUPPORTED("""COMPUTED_VALUE"""),0)</f>
        <v>0</v>
      </c>
      <c r="G1358" s="3" t="str">
        <f ca="1">IFERROR(__xludf.UNSUPPORTED("""COMPUTED_VALUE"""),"Todas os pontos de bloqueio na rodovia BR 364 foram liberados. Vários veículos de carga que etavam retidos estão agora ocasionando congestonamento de cargas no porto (grande demanda de cargas quee estavam paradas)")</f>
        <v>Todas os pontos de bloqueio na rodovia BR 364 foram liberados. Vários veículos de carga que etavam retidos estão agora ocasionando congestonamento de cargas no porto (grande demanda de cargas quee estavam paradas)</v>
      </c>
      <c r="H1358" s="4">
        <f ca="1">IFERROR(__xludf.UNSUPPORTED("""COMPUTED_VALUE"""),44888.3155324074)</f>
        <v>44888.315532407403</v>
      </c>
      <c r="I1358" s="3">
        <f ca="1">IFERROR(__xludf.UNSUPPORTED("""COMPUTED_VALUE"""),24)</f>
        <v>24</v>
      </c>
      <c r="J1358" s="4">
        <f ca="1">IFERROR(__xludf.UNSUPPORTED("""COMPUTED_VALUE"""),44889.3155324074)</f>
        <v>44889.315532407403</v>
      </c>
    </row>
    <row r="1359" spans="1:12" ht="12.75">
      <c r="A1359" s="3" t="str">
        <f ca="1">IFERROR(__xludf.UNSUPPORTED("""COMPUTED_VALUE"""),"d66759e3")</f>
        <v>d66759e3</v>
      </c>
      <c r="B1359" s="4">
        <f ca="1">IFERROR(__xludf.UNSUPPORTED("""COMPUTED_VALUE"""),44889.3092592592)</f>
        <v>44889.3092592592</v>
      </c>
      <c r="C1359" s="7" t="str">
        <f ca="1">IFERROR(__xludf.UNSUPPORTED("""COMPUTED_VALUE"""),"Porto Velho")</f>
        <v>Porto Velho</v>
      </c>
      <c r="D1359" s="3" t="str">
        <f ca="1">IFERROR(__xludf.UNSUPPORTED("""COMPUTED_VALUE"""),"🚢 REGULAR")</f>
        <v>🚢 REGULAR</v>
      </c>
      <c r="E1359" s="3" t="str">
        <f ca="1">IFERROR(__xludf.UNSUPPORTED("""COMPUTED_VALUE"""),"🚛 LIBERADO")</f>
        <v>🚛 LIBERADO</v>
      </c>
      <c r="F1359" s="5">
        <f ca="1">IFERROR(__xludf.UNSUPPORTED("""COMPUTED_VALUE"""),0)</f>
        <v>0</v>
      </c>
      <c r="G1359" s="3" t="str">
        <f ca="1">IFERROR(__xludf.UNSUPPORTED("""COMPUTED_VALUE"""),"Operação portuária ocorrendo com normalidade")</f>
        <v>Operação portuária ocorrendo com normalidade</v>
      </c>
      <c r="H1359" s="4">
        <f ca="1">IFERROR(__xludf.UNSUPPORTED("""COMPUTED_VALUE"""),44889.3092592592)</f>
        <v>44889.3092592592</v>
      </c>
      <c r="I1359" s="3">
        <f ca="1">IFERROR(__xludf.UNSUPPORTED("""COMPUTED_VALUE"""),24)</f>
        <v>24</v>
      </c>
      <c r="J1359" s="4">
        <f ca="1">IFERROR(__xludf.UNSUPPORTED("""COMPUTED_VALUE"""),44890.3092592592)</f>
        <v>44890.3092592592</v>
      </c>
    </row>
    <row r="1360" spans="1:12" ht="12.75">
      <c r="A1360" s="3" t="str">
        <f ca="1">IFERROR(__xludf.UNSUPPORTED("""COMPUTED_VALUE"""),"7d366799")</f>
        <v>7d366799</v>
      </c>
      <c r="B1360" s="4">
        <f ca="1">IFERROR(__xludf.UNSUPPORTED("""COMPUTED_VALUE"""),44890.5158564814)</f>
        <v>44890.515856481397</v>
      </c>
      <c r="C1360" s="8" t="str">
        <f ca="1">IFERROR(__xludf.UNSUPPORTED("""COMPUTED_VALUE"""),"Porto Velho")</f>
        <v>Porto Velho</v>
      </c>
      <c r="D1360" s="3" t="str">
        <f ca="1">IFERROR(__xludf.UNSUPPORTED("""COMPUTED_VALUE"""),"🚢 REGULAR")</f>
        <v>🚢 REGULAR</v>
      </c>
      <c r="E1360" s="3" t="str">
        <f ca="1">IFERROR(__xludf.UNSUPPORTED("""COMPUTED_VALUE"""),"🚛 LIBERADO")</f>
        <v>🚛 LIBERADO</v>
      </c>
      <c r="F1360" s="5">
        <f ca="1">IFERROR(__xludf.UNSUPPORTED("""COMPUTED_VALUE"""),0)</f>
        <v>0</v>
      </c>
      <c r="G1360" s="3" t="str">
        <f ca="1">IFERROR(__xludf.UNSUPPORTED("""COMPUTED_VALUE"""),"Operação portuária ocorrendo com normalidade.")</f>
        <v>Operação portuária ocorrendo com normalidade.</v>
      </c>
      <c r="H1360" s="4">
        <f ca="1">IFERROR(__xludf.UNSUPPORTED("""COMPUTED_VALUE"""),44890.5158564814)</f>
        <v>44890.515856481397</v>
      </c>
      <c r="I1360" s="3">
        <f ca="1">IFERROR(__xludf.UNSUPPORTED("""COMPUTED_VALUE"""),24)</f>
        <v>24</v>
      </c>
      <c r="J1360" s="4">
        <f ca="1">IFERROR(__xludf.UNSUPPORTED("""COMPUTED_VALUE"""),44891.5158564814)</f>
        <v>44891.515856481397</v>
      </c>
    </row>
    <row r="1361" spans="1:10" ht="12.75">
      <c r="A1361" s="3" t="str">
        <f ca="1">IFERROR(__xludf.UNSUPPORTED("""COMPUTED_VALUE"""),"376e60af")</f>
        <v>376e60af</v>
      </c>
      <c r="B1361" s="4">
        <f ca="1">IFERROR(__xludf.UNSUPPORTED("""COMPUTED_VALUE"""),44891.7385648148)</f>
        <v>44891.738564814797</v>
      </c>
      <c r="C1361" s="7" t="str">
        <f ca="1">IFERROR(__xludf.UNSUPPORTED("""COMPUTED_VALUE"""),"Porto Velho")</f>
        <v>Porto Velho</v>
      </c>
      <c r="D1361" s="3" t="str">
        <f ca="1">IFERROR(__xludf.UNSUPPORTED("""COMPUTED_VALUE"""),"🚢 REGULAR")</f>
        <v>🚢 REGULAR</v>
      </c>
      <c r="E1361" s="3" t="str">
        <f ca="1">IFERROR(__xludf.UNSUPPORTED("""COMPUTED_VALUE"""),"🚛 LIBERADO")</f>
        <v>🚛 LIBERADO</v>
      </c>
      <c r="F1361" s="5">
        <f ca="1">IFERROR(__xludf.UNSUPPORTED("""COMPUTED_VALUE"""),0)</f>
        <v>0</v>
      </c>
      <c r="G1361" s="3" t="str">
        <f ca="1">IFERROR(__xludf.UNSUPPORTED("""COMPUTED_VALUE"""),"Operação portuária ocorrendo com normalidade.")</f>
        <v>Operação portuária ocorrendo com normalidade.</v>
      </c>
      <c r="H1361" s="4">
        <f ca="1">IFERROR(__xludf.UNSUPPORTED("""COMPUTED_VALUE"""),44891.4468981481)</f>
        <v>44891.446898148097</v>
      </c>
      <c r="I1361" s="3">
        <f ca="1">IFERROR(__xludf.UNSUPPORTED("""COMPUTED_VALUE"""),24)</f>
        <v>24</v>
      </c>
      <c r="J1361" s="4">
        <f ca="1">IFERROR(__xludf.UNSUPPORTED("""COMPUTED_VALUE"""),44892.4468981481)</f>
        <v>44892.446898148097</v>
      </c>
    </row>
    <row r="1362" spans="1:10" ht="12.75">
      <c r="A1362" s="3" t="str">
        <f ca="1">IFERROR(__xludf.UNSUPPORTED("""COMPUTED_VALUE"""),"08f87b96")</f>
        <v>08f87b96</v>
      </c>
      <c r="B1362" s="4">
        <f ca="1">IFERROR(__xludf.UNSUPPORTED("""COMPUTED_VALUE"""),44893.4008564813)</f>
        <v>44893.400856481298</v>
      </c>
      <c r="C1362" s="7" t="str">
        <f ca="1">IFERROR(__xludf.UNSUPPORTED("""COMPUTED_VALUE"""),"Porto Velho")</f>
        <v>Porto Velho</v>
      </c>
      <c r="D1362" s="3" t="str">
        <f ca="1">IFERROR(__xludf.UNSUPPORTED("""COMPUTED_VALUE"""),"🚢 REGULAR")</f>
        <v>🚢 REGULAR</v>
      </c>
      <c r="E1362" s="3" t="str">
        <f ca="1">IFERROR(__xludf.UNSUPPORTED("""COMPUTED_VALUE"""),"🚛 LIBERADO")</f>
        <v>🚛 LIBERADO</v>
      </c>
      <c r="F1362" s="5">
        <f ca="1">IFERROR(__xludf.UNSUPPORTED("""COMPUTED_VALUE"""),0)</f>
        <v>0</v>
      </c>
      <c r="G1362" s="3" t="str">
        <f ca="1">IFERROR(__xludf.UNSUPPORTED("""COMPUTED_VALUE"""),"Operação portuária ocorrendo com normalidade")</f>
        <v>Operação portuária ocorrendo com normalidade</v>
      </c>
      <c r="H1362" s="4">
        <f ca="1">IFERROR(__xludf.UNSUPPORTED("""COMPUTED_VALUE"""),44893.4008564813)</f>
        <v>44893.400856481298</v>
      </c>
      <c r="I1362" s="3">
        <f ca="1">IFERROR(__xludf.UNSUPPORTED("""COMPUTED_VALUE"""),24)</f>
        <v>24</v>
      </c>
      <c r="J1362" s="4">
        <f ca="1">IFERROR(__xludf.UNSUPPORTED("""COMPUTED_VALUE"""),44894.4008564813)</f>
        <v>44894.400856481298</v>
      </c>
    </row>
    <row r="1363" spans="1:10" ht="12.75">
      <c r="A1363" s="3" t="str">
        <f ca="1">IFERROR(__xludf.UNSUPPORTED("""COMPUTED_VALUE"""),"43750435")</f>
        <v>43750435</v>
      </c>
      <c r="B1363" s="4">
        <f ca="1">IFERROR(__xludf.UNSUPPORTED("""COMPUTED_VALUE"""),44894.3536574074)</f>
        <v>44894.353657407402</v>
      </c>
      <c r="C1363" s="8" t="str">
        <f ca="1">IFERROR(__xludf.UNSUPPORTED("""COMPUTED_VALUE"""),"Porto Velho")</f>
        <v>Porto Velho</v>
      </c>
      <c r="D1363" s="3" t="str">
        <f ca="1">IFERROR(__xludf.UNSUPPORTED("""COMPUTED_VALUE"""),"🚢 REGULAR")</f>
        <v>🚢 REGULAR</v>
      </c>
      <c r="E1363" s="3" t="str">
        <f ca="1">IFERROR(__xludf.UNSUPPORTED("""COMPUTED_VALUE"""),"🚛 LIBERADO")</f>
        <v>🚛 LIBERADO</v>
      </c>
      <c r="F1363" s="5">
        <f ca="1">IFERROR(__xludf.UNSUPPORTED("""COMPUTED_VALUE"""),0)</f>
        <v>0</v>
      </c>
      <c r="G1363" s="3" t="str">
        <f ca="1">IFERROR(__xludf.UNSUPPORTED("""COMPUTED_VALUE"""),"Operação portuária ocorrendo normalmente")</f>
        <v>Operação portuária ocorrendo normalmente</v>
      </c>
      <c r="H1363" s="4">
        <f ca="1">IFERROR(__xludf.UNSUPPORTED("""COMPUTED_VALUE"""),44894.3536574074)</f>
        <v>44894.353657407402</v>
      </c>
      <c r="I1363" s="3">
        <f ca="1">IFERROR(__xludf.UNSUPPORTED("""COMPUTED_VALUE"""),24)</f>
        <v>24</v>
      </c>
      <c r="J1363" s="4">
        <f ca="1">IFERROR(__xludf.UNSUPPORTED("""COMPUTED_VALUE"""),44895.3536574074)</f>
        <v>44895.353657407402</v>
      </c>
    </row>
    <row r="1364" spans="1:10" ht="12.75">
      <c r="A1364" s="3" t="str">
        <f ca="1">IFERROR(__xludf.UNSUPPORTED("""COMPUTED_VALUE"""),"cbfedb50")</f>
        <v>cbfedb50</v>
      </c>
      <c r="B1364" s="4">
        <f ca="1">IFERROR(__xludf.UNSUPPORTED("""COMPUTED_VALUE"""),44895.5960532407)</f>
        <v>44895.596053240697</v>
      </c>
      <c r="C1364" s="8" t="str">
        <f ca="1">IFERROR(__xludf.UNSUPPORTED("""COMPUTED_VALUE"""),"Porto Velho")</f>
        <v>Porto Velho</v>
      </c>
      <c r="D1364" s="3" t="str">
        <f ca="1">IFERROR(__xludf.UNSUPPORTED("""COMPUTED_VALUE"""),"🚢 REGULAR")</f>
        <v>🚢 REGULAR</v>
      </c>
      <c r="E1364" s="3" t="str">
        <f ca="1">IFERROR(__xludf.UNSUPPORTED("""COMPUTED_VALUE"""),"🚛 LIBERADO")</f>
        <v>🚛 LIBERADO</v>
      </c>
      <c r="F1364" s="5">
        <f ca="1">IFERROR(__xludf.UNSUPPORTED("""COMPUTED_VALUE"""),0)</f>
        <v>0</v>
      </c>
      <c r="G1364" s="3" t="str">
        <f ca="1">IFERROR(__xludf.UNSUPPORTED("""COMPUTED_VALUE"""),"Operação portuária ocorrendo normalmente.")</f>
        <v>Operação portuária ocorrendo normalmente.</v>
      </c>
      <c r="H1364" s="4">
        <f ca="1">IFERROR(__xludf.UNSUPPORTED("""COMPUTED_VALUE"""),44895.3613310185)</f>
        <v>44895.361331018503</v>
      </c>
      <c r="I1364" s="3">
        <f ca="1">IFERROR(__xludf.UNSUPPORTED("""COMPUTED_VALUE"""),24)</f>
        <v>24</v>
      </c>
      <c r="J1364" s="4">
        <f ca="1">IFERROR(__xludf.UNSUPPORTED("""COMPUTED_VALUE"""),44896.3613310185)</f>
        <v>44896.361331018503</v>
      </c>
    </row>
    <row r="1365" spans="1:10" ht="12.75">
      <c r="A1365" s="3" t="str">
        <f ca="1">IFERROR(__xludf.UNSUPPORTED("""COMPUTED_VALUE"""),"519b3771")</f>
        <v>519b3771</v>
      </c>
      <c r="B1365" s="4">
        <f ca="1">IFERROR(__xludf.UNSUPPORTED("""COMPUTED_VALUE"""),44896.3614699074)</f>
        <v>44896.361469907402</v>
      </c>
      <c r="C1365" s="7" t="str">
        <f ca="1">IFERROR(__xludf.UNSUPPORTED("""COMPUTED_VALUE"""),"Porto Velho")</f>
        <v>Porto Velho</v>
      </c>
      <c r="D1365" s="3" t="str">
        <f ca="1">IFERROR(__xludf.UNSUPPORTED("""COMPUTED_VALUE"""),"🚢 REGULAR")</f>
        <v>🚢 REGULAR</v>
      </c>
      <c r="E1365" s="3" t="str">
        <f ca="1">IFERROR(__xludf.UNSUPPORTED("""COMPUTED_VALUE"""),"⚠️ PARCIALMENTE BLOQUEADO")</f>
        <v>⚠️ PARCIALMENTE BLOQUEADO</v>
      </c>
      <c r="F1365" s="5">
        <f ca="1">IFERROR(__xludf.UNSUPPORTED("""COMPUTED_VALUE"""),0)</f>
        <v>0</v>
      </c>
      <c r="G1365" s="3" t="str">
        <f ca="1">IFERROR(__xludf.UNSUPPORTED("""COMPUTED_VALUE"""),"2 pontos de bloqueios parciais na rodovia federal BR 364, dificultam acesso de veículos de carga ao porto.")</f>
        <v>2 pontos de bloqueios parciais na rodovia federal BR 364, dificultam acesso de veículos de carga ao porto.</v>
      </c>
      <c r="H1365" s="4">
        <f ca="1">IFERROR(__xludf.UNSUPPORTED("""COMPUTED_VALUE"""),44896.3614699074)</f>
        <v>44896.361469907402</v>
      </c>
      <c r="I1365" s="3">
        <f ca="1">IFERROR(__xludf.UNSUPPORTED("""COMPUTED_VALUE"""),24)</f>
        <v>24</v>
      </c>
      <c r="J1365" s="4">
        <f ca="1">IFERROR(__xludf.UNSUPPORTED("""COMPUTED_VALUE"""),44897.3614699074)</f>
        <v>44897.361469907402</v>
      </c>
    </row>
    <row r="1366" spans="1:10" ht="12.75">
      <c r="A1366" s="3" t="str">
        <f ca="1">IFERROR(__xludf.UNSUPPORTED("""COMPUTED_VALUE"""),"f52dc5cc")</f>
        <v>f52dc5cc</v>
      </c>
      <c r="B1366" s="4">
        <f ca="1">IFERROR(__xludf.UNSUPPORTED("""COMPUTED_VALUE"""),44898.9382175925)</f>
        <v>44898.938217592498</v>
      </c>
      <c r="C1366" s="8" t="str">
        <f ca="1">IFERROR(__xludf.UNSUPPORTED("""COMPUTED_VALUE"""),"Porto Velho")</f>
        <v>Porto Velho</v>
      </c>
      <c r="D1366" s="3" t="str">
        <f ca="1">IFERROR(__xludf.UNSUPPORTED("""COMPUTED_VALUE"""),"🚢 REGULAR")</f>
        <v>🚢 REGULAR</v>
      </c>
      <c r="E1366" s="3" t="str">
        <f ca="1">IFERROR(__xludf.UNSUPPORTED("""COMPUTED_VALUE"""),"🚛 LIBERADO")</f>
        <v>🚛 LIBERADO</v>
      </c>
      <c r="F1366" s="5">
        <f ca="1">IFERROR(__xludf.UNSUPPORTED("""COMPUTED_VALUE"""),0)</f>
        <v>0</v>
      </c>
      <c r="G1366" s="3" t="str">
        <f ca="1">IFERROR(__xludf.UNSUPPORTED("""COMPUTED_VALUE"""),"operação normal")</f>
        <v>operação normal</v>
      </c>
      <c r="H1366" s="4">
        <f ca="1">IFERROR(__xludf.UNSUPPORTED("""COMPUTED_VALUE"""),44898.5632175925)</f>
        <v>44898.563217592498</v>
      </c>
      <c r="I1366" s="3">
        <f ca="1">IFERROR(__xludf.UNSUPPORTED("""COMPUTED_VALUE"""),24)</f>
        <v>24</v>
      </c>
      <c r="J1366" s="4">
        <f ca="1">IFERROR(__xludf.UNSUPPORTED("""COMPUTED_VALUE"""),44899.5632175925)</f>
        <v>44899.563217592498</v>
      </c>
    </row>
    <row r="1367" spans="1:10" ht="12.75">
      <c r="A1367" s="3" t="str">
        <f ca="1">IFERROR(__xludf.UNSUPPORTED("""COMPUTED_VALUE"""),"7d8fe77a")</f>
        <v>7d8fe77a</v>
      </c>
      <c r="B1367" s="4">
        <f ca="1">IFERROR(__xludf.UNSUPPORTED("""COMPUTED_VALUE"""),44900.369085648)</f>
        <v>44900.369085648003</v>
      </c>
      <c r="C1367" s="7" t="str">
        <f ca="1">IFERROR(__xludf.UNSUPPORTED("""COMPUTED_VALUE"""),"Porto Velho")</f>
        <v>Porto Velho</v>
      </c>
      <c r="D1367" s="3" t="str">
        <f ca="1">IFERROR(__xludf.UNSUPPORTED("""COMPUTED_VALUE"""),"🚢 REGULAR")</f>
        <v>🚢 REGULAR</v>
      </c>
      <c r="E1367" s="3" t="str">
        <f ca="1">IFERROR(__xludf.UNSUPPORTED("""COMPUTED_VALUE"""),"🚛 LIBERADO")</f>
        <v>🚛 LIBERADO</v>
      </c>
      <c r="F1367" s="5">
        <f ca="1">IFERROR(__xludf.UNSUPPORTED("""COMPUTED_VALUE"""),0)</f>
        <v>0</v>
      </c>
      <c r="G1367" s="3" t="str">
        <f ca="1">IFERROR(__xludf.UNSUPPORTED("""COMPUTED_VALUE"""),"Operação portuária ocorrendo com normalidade")</f>
        <v>Operação portuária ocorrendo com normalidade</v>
      </c>
      <c r="H1367" s="4">
        <f ca="1">IFERROR(__xludf.UNSUPPORTED("""COMPUTED_VALUE"""),44900.369085648)</f>
        <v>44900.369085648003</v>
      </c>
      <c r="I1367" s="3">
        <f ca="1">IFERROR(__xludf.UNSUPPORTED("""COMPUTED_VALUE"""),24)</f>
        <v>24</v>
      </c>
      <c r="J1367" s="4">
        <f ca="1">IFERROR(__xludf.UNSUPPORTED("""COMPUTED_VALUE"""),44901.369085648)</f>
        <v>44901.369085648003</v>
      </c>
    </row>
    <row r="1368" spans="1:10" ht="12.75">
      <c r="A1368" s="3" t="str">
        <f ca="1">IFERROR(__xludf.UNSUPPORTED("""COMPUTED_VALUE"""),"4090d755")</f>
        <v>4090d755</v>
      </c>
      <c r="B1368" s="4">
        <f ca="1">IFERROR(__xludf.UNSUPPORTED("""COMPUTED_VALUE"""),44901.6615856481)</f>
        <v>44901.6615856481</v>
      </c>
      <c r="C1368" s="7" t="str">
        <f ca="1">IFERROR(__xludf.UNSUPPORTED("""COMPUTED_VALUE"""),"Porto Velho")</f>
        <v>Porto Velho</v>
      </c>
      <c r="D1368" s="3" t="str">
        <f ca="1">IFERROR(__xludf.UNSUPPORTED("""COMPUTED_VALUE"""),"🚢 REGULAR")</f>
        <v>🚢 REGULAR</v>
      </c>
      <c r="E1368" s="3" t="str">
        <f ca="1">IFERROR(__xludf.UNSUPPORTED("""COMPUTED_VALUE"""),"🚛 LIBERADO")</f>
        <v>🚛 LIBERADO</v>
      </c>
      <c r="F1368" s="5">
        <f ca="1">IFERROR(__xludf.UNSUPPORTED("""COMPUTED_VALUE"""),0)</f>
        <v>0</v>
      </c>
      <c r="G1368" s="3" t="str">
        <f ca="1">IFERROR(__xludf.UNSUPPORTED("""COMPUTED_VALUE"""),"Situação normal")</f>
        <v>Situação normal</v>
      </c>
      <c r="H1368" s="4">
        <f ca="1">IFERROR(__xludf.UNSUPPORTED("""COMPUTED_VALUE"""),44901.4532523148)</f>
        <v>44901.453252314801</v>
      </c>
      <c r="I1368" s="3">
        <f ca="1">IFERROR(__xludf.UNSUPPORTED("""COMPUTED_VALUE"""),24)</f>
        <v>24</v>
      </c>
      <c r="J1368" s="4">
        <f ca="1">IFERROR(__xludf.UNSUPPORTED("""COMPUTED_VALUE"""),44902.4532523148)</f>
        <v>44902.453252314801</v>
      </c>
    </row>
    <row r="1369" spans="1:10" ht="12.75">
      <c r="A1369" s="3" t="str">
        <f ca="1">IFERROR(__xludf.UNSUPPORTED("""COMPUTED_VALUE"""),"afaa60a1")</f>
        <v>afaa60a1</v>
      </c>
      <c r="B1369" s="4">
        <f ca="1">IFERROR(__xludf.UNSUPPORTED("""COMPUTED_VALUE"""),44902.4113888888)</f>
        <v>44902.411388888802</v>
      </c>
      <c r="C1369" s="8" t="str">
        <f ca="1">IFERROR(__xludf.UNSUPPORTED("""COMPUTED_VALUE"""),"Porto Velho")</f>
        <v>Porto Velho</v>
      </c>
      <c r="D1369" s="3" t="str">
        <f ca="1">IFERROR(__xludf.UNSUPPORTED("""COMPUTED_VALUE"""),"🚢 REGULAR")</f>
        <v>🚢 REGULAR</v>
      </c>
      <c r="E1369" s="3" t="str">
        <f ca="1">IFERROR(__xludf.UNSUPPORTED("""COMPUTED_VALUE"""),"🚛 LIBERADO")</f>
        <v>🚛 LIBERADO</v>
      </c>
      <c r="F1369" s="5">
        <f ca="1">IFERROR(__xludf.UNSUPPORTED("""COMPUTED_VALUE"""),0)</f>
        <v>0</v>
      </c>
      <c r="G1369" s="3" t="str">
        <f ca="1">IFERROR(__xludf.UNSUPPORTED("""COMPUTED_VALUE"""),"Operação portuária ocorrendo com normalidade")</f>
        <v>Operação portuária ocorrendo com normalidade</v>
      </c>
      <c r="H1369" s="4">
        <f ca="1">IFERROR(__xludf.UNSUPPORTED("""COMPUTED_VALUE"""),44902.4113888888)</f>
        <v>44902.411388888802</v>
      </c>
      <c r="I1369" s="3">
        <f ca="1">IFERROR(__xludf.UNSUPPORTED("""COMPUTED_VALUE"""),24)</f>
        <v>24</v>
      </c>
      <c r="J1369" s="4">
        <f ca="1">IFERROR(__xludf.UNSUPPORTED("""COMPUTED_VALUE"""),44903.4113888888)</f>
        <v>44903.411388888802</v>
      </c>
    </row>
    <row r="1370" spans="1:10" ht="12.75">
      <c r="A1370" s="3" t="str">
        <f ca="1">IFERROR(__xludf.UNSUPPORTED("""COMPUTED_VALUE"""),"b335e503")</f>
        <v>b335e503</v>
      </c>
      <c r="B1370" s="4">
        <f ca="1">IFERROR(__xludf.UNSUPPORTED("""COMPUTED_VALUE"""),44903.4291782407)</f>
        <v>44903.429178240702</v>
      </c>
      <c r="C1370" s="7" t="str">
        <f ca="1">IFERROR(__xludf.UNSUPPORTED("""COMPUTED_VALUE"""),"Porto Velho")</f>
        <v>Porto Velho</v>
      </c>
      <c r="D1370" s="3" t="str">
        <f ca="1">IFERROR(__xludf.UNSUPPORTED("""COMPUTED_VALUE"""),"🚢 REGULAR")</f>
        <v>🚢 REGULAR</v>
      </c>
      <c r="E1370" s="3" t="str">
        <f ca="1">IFERROR(__xludf.UNSUPPORTED("""COMPUTED_VALUE"""),"🚛 LIBERADO")</f>
        <v>🚛 LIBERADO</v>
      </c>
      <c r="F1370" s="5">
        <f ca="1">IFERROR(__xludf.UNSUPPORTED("""COMPUTED_VALUE"""),0)</f>
        <v>0</v>
      </c>
      <c r="G1370" s="3" t="str">
        <f ca="1">IFERROR(__xludf.UNSUPPORTED("""COMPUTED_VALUE"""),"Operação portuária ocorrendo normalmente")</f>
        <v>Operação portuária ocorrendo normalmente</v>
      </c>
      <c r="H1370" s="4">
        <f ca="1">IFERROR(__xludf.UNSUPPORTED("""COMPUTED_VALUE"""),44903.4291782407)</f>
        <v>44903.429178240702</v>
      </c>
      <c r="I1370" s="3">
        <f ca="1">IFERROR(__xludf.UNSUPPORTED("""COMPUTED_VALUE"""),24)</f>
        <v>24</v>
      </c>
      <c r="J1370" s="4">
        <f ca="1">IFERROR(__xludf.UNSUPPORTED("""COMPUTED_VALUE"""),44904.4291782407)</f>
        <v>44904.429178240702</v>
      </c>
    </row>
    <row r="1371" spans="1:10" ht="12.75">
      <c r="A1371" s="3" t="str">
        <f ca="1">IFERROR(__xludf.UNSUPPORTED("""COMPUTED_VALUE"""),"fd64e8df")</f>
        <v>fd64e8df</v>
      </c>
      <c r="B1371" s="4">
        <f ca="1">IFERROR(__xludf.UNSUPPORTED("""COMPUTED_VALUE"""),44904.3932407407)</f>
        <v>44904.393240740697</v>
      </c>
      <c r="C1371" s="8" t="str">
        <f ca="1">IFERROR(__xludf.UNSUPPORTED("""COMPUTED_VALUE"""),"Porto Velho")</f>
        <v>Porto Velho</v>
      </c>
      <c r="D1371" s="3" t="str">
        <f ca="1">IFERROR(__xludf.UNSUPPORTED("""COMPUTED_VALUE"""),"🚢 REGULAR")</f>
        <v>🚢 REGULAR</v>
      </c>
      <c r="E1371" s="3" t="str">
        <f ca="1">IFERROR(__xludf.UNSUPPORTED("""COMPUTED_VALUE"""),"🚛 LIBERADO")</f>
        <v>🚛 LIBERADO</v>
      </c>
      <c r="F1371" s="5">
        <f ca="1">IFERROR(__xludf.UNSUPPORTED("""COMPUTED_VALUE"""),0)</f>
        <v>0</v>
      </c>
      <c r="G1371" s="3" t="str">
        <f ca="1">IFERROR(__xludf.UNSUPPORTED("""COMPUTED_VALUE"""),"Operação portuária ocorrendo com normalidade")</f>
        <v>Operação portuária ocorrendo com normalidade</v>
      </c>
      <c r="H1371" s="4">
        <f ca="1">IFERROR(__xludf.UNSUPPORTED("""COMPUTED_VALUE"""),44904.3932407407)</f>
        <v>44904.393240740697</v>
      </c>
      <c r="I1371" s="3">
        <f ca="1">IFERROR(__xludf.UNSUPPORTED("""COMPUTED_VALUE"""),1)</f>
        <v>1</v>
      </c>
      <c r="J1371" s="4">
        <f ca="1">IFERROR(__xludf.UNSUPPORTED("""COMPUTED_VALUE"""),44904.4349074074)</f>
        <v>44904.434907407398</v>
      </c>
    </row>
    <row r="1372" spans="1:10" ht="12.75">
      <c r="A1372" s="3" t="str">
        <f ca="1">IFERROR(__xludf.UNSUPPORTED("""COMPUTED_VALUE"""),"563d51d6")</f>
        <v>563d51d6</v>
      </c>
      <c r="B1372" s="4">
        <f ca="1">IFERROR(__xludf.UNSUPPORTED("""COMPUTED_VALUE"""),44907.367349537)</f>
        <v>44907.367349537002</v>
      </c>
      <c r="C1372" s="8" t="str">
        <f ca="1">IFERROR(__xludf.UNSUPPORTED("""COMPUTED_VALUE"""),"Porto Velho")</f>
        <v>Porto Velho</v>
      </c>
      <c r="D1372" s="3" t="str">
        <f ca="1">IFERROR(__xludf.UNSUPPORTED("""COMPUTED_VALUE"""),"🚢 REGULAR")</f>
        <v>🚢 REGULAR</v>
      </c>
      <c r="E1372" s="3" t="str">
        <f ca="1">IFERROR(__xludf.UNSUPPORTED("""COMPUTED_VALUE"""),"⚠️ PARCIALMENTE BLOQUEADO")</f>
        <v>⚠️ PARCIALMENTE BLOQUEADO</v>
      </c>
      <c r="F1372" s="5">
        <f ca="1">IFERROR(__xludf.UNSUPPORTED("""COMPUTED_VALUE"""),0)</f>
        <v>0</v>
      </c>
      <c r="G1372" s="3" t="str">
        <f ca="1">IFERROR(__xludf.UNSUPPORTED("""COMPUTED_VALUE"""),"Pontos de bloqueios na rodovia federal BR 364. No entanto, a operação portuária ocorrendo normalmente.")</f>
        <v>Pontos de bloqueios na rodovia federal BR 364. No entanto, a operação portuária ocorrendo normalmente.</v>
      </c>
      <c r="H1372" s="4">
        <f ca="1">IFERROR(__xludf.UNSUPPORTED("""COMPUTED_VALUE"""),44907.367349537)</f>
        <v>44907.367349537002</v>
      </c>
      <c r="I1372" s="3">
        <f ca="1">IFERROR(__xludf.UNSUPPORTED("""COMPUTED_VALUE"""),24)</f>
        <v>24</v>
      </c>
      <c r="J1372" s="4">
        <f ca="1">IFERROR(__xludf.UNSUPPORTED("""COMPUTED_VALUE"""),44908.367349537)</f>
        <v>44908.367349537002</v>
      </c>
    </row>
    <row r="1373" spans="1:10" ht="12.75">
      <c r="A1373" s="3" t="str">
        <f ca="1">IFERROR(__xludf.UNSUPPORTED("""COMPUTED_VALUE"""),"f7a18f4e")</f>
        <v>f7a18f4e</v>
      </c>
      <c r="B1373" s="4">
        <f ca="1">IFERROR(__xludf.UNSUPPORTED("""COMPUTED_VALUE"""),44908.7292592592)</f>
        <v>44908.729259259198</v>
      </c>
      <c r="C1373" s="7" t="str">
        <f ca="1">IFERROR(__xludf.UNSUPPORTED("""COMPUTED_VALUE"""),"Porto Velho")</f>
        <v>Porto Velho</v>
      </c>
      <c r="D1373" s="3" t="str">
        <f ca="1">IFERROR(__xludf.UNSUPPORTED("""COMPUTED_VALUE"""),"🚢 REGULAR")</f>
        <v>🚢 REGULAR</v>
      </c>
      <c r="E1373" s="3" t="str">
        <f ca="1">IFERROR(__xludf.UNSUPPORTED("""COMPUTED_VALUE"""),"🚛 LIBERADO")</f>
        <v>🚛 LIBERADO</v>
      </c>
      <c r="F1373" s="5">
        <f ca="1">IFERROR(__xludf.UNSUPPORTED("""COMPUTED_VALUE"""),0)</f>
        <v>0</v>
      </c>
      <c r="G1373" s="3" t="str">
        <f ca="1">IFERROR(__xludf.UNSUPPORTED("""COMPUTED_VALUE"""),"Operação ocorrendo com normalidade")</f>
        <v>Operação ocorrendo com normalidade</v>
      </c>
      <c r="H1373" s="4">
        <f ca="1">IFERROR(__xludf.UNSUPPORTED("""COMPUTED_VALUE"""),44908.4792592592)</f>
        <v>44908.479259259198</v>
      </c>
      <c r="I1373" s="3">
        <f ca="1">IFERROR(__xludf.UNSUPPORTED("""COMPUTED_VALUE"""),24)</f>
        <v>24</v>
      </c>
      <c r="J1373" s="4">
        <f ca="1">IFERROR(__xludf.UNSUPPORTED("""COMPUTED_VALUE"""),44909.4792592592)</f>
        <v>44909.479259259198</v>
      </c>
    </row>
    <row r="1374" spans="1:10" ht="12.75">
      <c r="A1374" s="3" t="str">
        <f ca="1">IFERROR(__xludf.UNSUPPORTED("""COMPUTED_VALUE"""),"de81bb40")</f>
        <v>de81bb40</v>
      </c>
      <c r="B1374" s="4">
        <f ca="1">IFERROR(__xludf.UNSUPPORTED("""COMPUTED_VALUE"""),44909.5930555555)</f>
        <v>44909.593055555502</v>
      </c>
      <c r="C1374" s="7" t="str">
        <f ca="1">IFERROR(__xludf.UNSUPPORTED("""COMPUTED_VALUE"""),"Porto Velho")</f>
        <v>Porto Velho</v>
      </c>
      <c r="D1374" s="3" t="str">
        <f ca="1">IFERROR(__xludf.UNSUPPORTED("""COMPUTED_VALUE"""),"🚢 REGULAR")</f>
        <v>🚢 REGULAR</v>
      </c>
      <c r="E1374" s="3" t="str">
        <f ca="1">IFERROR(__xludf.UNSUPPORTED("""COMPUTED_VALUE"""),"🚛 LIBERADO")</f>
        <v>🚛 LIBERADO</v>
      </c>
      <c r="F1374" s="5">
        <f ca="1">IFERROR(__xludf.UNSUPPORTED("""COMPUTED_VALUE"""),0)</f>
        <v>0</v>
      </c>
      <c r="G1374" s="3" t="str">
        <f ca="1">IFERROR(__xludf.UNSUPPORTED("""COMPUTED_VALUE"""),"Operação portuária ocorrendo normalmente")</f>
        <v>Operação portuária ocorrendo normalmente</v>
      </c>
      <c r="H1374" s="4">
        <f ca="1">IFERROR(__xludf.UNSUPPORTED("""COMPUTED_VALUE"""),44909.5930555555)</f>
        <v>44909.593055555502</v>
      </c>
      <c r="I1374" s="3">
        <f ca="1">IFERROR(__xludf.UNSUPPORTED("""COMPUTED_VALUE"""),24)</f>
        <v>24</v>
      </c>
      <c r="J1374" s="4">
        <f ca="1">IFERROR(__xludf.UNSUPPORTED("""COMPUTED_VALUE"""),44910.5930555555)</f>
        <v>44910.593055555502</v>
      </c>
    </row>
    <row r="1375" spans="1:10" ht="12.75">
      <c r="A1375" s="3" t="str">
        <f ca="1">IFERROR(__xludf.UNSUPPORTED("""COMPUTED_VALUE"""),"36a8c3b0")</f>
        <v>36a8c3b0</v>
      </c>
      <c r="B1375" s="4">
        <f ca="1">IFERROR(__xludf.UNSUPPORTED("""COMPUTED_VALUE"""),44923.322662037)</f>
        <v>44923.322662036997</v>
      </c>
      <c r="C1375" s="8" t="str">
        <f ca="1">IFERROR(__xludf.UNSUPPORTED("""COMPUTED_VALUE"""),"Porto Velho")</f>
        <v>Porto Velho</v>
      </c>
      <c r="D1375" s="3" t="str">
        <f ca="1">IFERROR(__xludf.UNSUPPORTED("""COMPUTED_VALUE"""),"🚢 REGULAR")</f>
        <v>🚢 REGULAR</v>
      </c>
      <c r="E1375" s="3" t="str">
        <f ca="1">IFERROR(__xludf.UNSUPPORTED("""COMPUTED_VALUE"""),"🚛 LIBERADO")</f>
        <v>🚛 LIBERADO</v>
      </c>
      <c r="F1375" s="5">
        <f ca="1">IFERROR(__xludf.UNSUPPORTED("""COMPUTED_VALUE"""),0)</f>
        <v>0</v>
      </c>
      <c r="G1375" s="3" t="str">
        <f ca="1">IFERROR(__xludf.UNSUPPORTED("""COMPUTED_VALUE"""),"Operação dentro da normalidade")</f>
        <v>Operação dentro da normalidade</v>
      </c>
      <c r="H1375" s="4">
        <f ca="1">IFERROR(__xludf.UNSUPPORTED("""COMPUTED_VALUE"""),44923.322662037)</f>
        <v>44923.322662036997</v>
      </c>
      <c r="I1375" s="3">
        <f ca="1">IFERROR(__xludf.UNSUPPORTED("""COMPUTED_VALUE"""),24)</f>
        <v>24</v>
      </c>
      <c r="J1375" s="4">
        <f ca="1">IFERROR(__xludf.UNSUPPORTED("""COMPUTED_VALUE"""),44924.322662037)</f>
        <v>44924.322662036997</v>
      </c>
    </row>
    <row r="1376" spans="1:10" ht="12.75">
      <c r="A1376" s="3" t="str">
        <f ca="1">IFERROR(__xludf.UNSUPPORTED("""COMPUTED_VALUE"""),"404eef73")</f>
        <v>404eef73</v>
      </c>
      <c r="B1376" s="4">
        <f ca="1">IFERROR(__xludf.UNSUPPORTED("""COMPUTED_VALUE"""),44935.3897453703)</f>
        <v>44935.389745370303</v>
      </c>
      <c r="C1376" s="7" t="str">
        <f ca="1">IFERROR(__xludf.UNSUPPORTED("""COMPUTED_VALUE"""),"Porto Velho")</f>
        <v>Porto Velho</v>
      </c>
      <c r="D1376" s="3" t="str">
        <f ca="1">IFERROR(__xludf.UNSUPPORTED("""COMPUTED_VALUE"""),"🚢 REGULAR")</f>
        <v>🚢 REGULAR</v>
      </c>
      <c r="E1376" s="3" t="str">
        <f ca="1">IFERROR(__xludf.UNSUPPORTED("""COMPUTED_VALUE"""),"🚛 LIBERADO")</f>
        <v>🚛 LIBERADO</v>
      </c>
      <c r="F1376" s="5">
        <f ca="1">IFERROR(__xludf.UNSUPPORTED("""COMPUTED_VALUE"""),0)</f>
        <v>0</v>
      </c>
      <c r="G1376" s="3" t="str">
        <f ca="1">IFERROR(__xludf.UNSUPPORTED("""COMPUTED_VALUE"""),"Normalidade")</f>
        <v>Normalidade</v>
      </c>
      <c r="H1376" s="4">
        <f ca="1">IFERROR(__xludf.UNSUPPORTED("""COMPUTED_VALUE"""),44935.3897453703)</f>
        <v>44935.389745370303</v>
      </c>
      <c r="I1376" s="3">
        <f ca="1">IFERROR(__xludf.UNSUPPORTED("""COMPUTED_VALUE"""),24)</f>
        <v>24</v>
      </c>
      <c r="J1376" s="4">
        <f ca="1">IFERROR(__xludf.UNSUPPORTED("""COMPUTED_VALUE"""),44936.3897453703)</f>
        <v>44936.389745370303</v>
      </c>
    </row>
    <row r="1377" spans="1:12" ht="12.75">
      <c r="A1377" s="3" t="str">
        <f ca="1">IFERROR(__xludf.UNSUPPORTED("""COMPUTED_VALUE"""),"fd2cace6")</f>
        <v>fd2cace6</v>
      </c>
      <c r="B1377" s="4">
        <f ca="1">IFERROR(__xludf.UNSUPPORTED("""COMPUTED_VALUE"""),44935.5261921296)</f>
        <v>44935.526192129597</v>
      </c>
      <c r="C1377" s="8" t="str">
        <f ca="1">IFERROR(__xludf.UNSUPPORTED("""COMPUTED_VALUE"""),"Porto Velho")</f>
        <v>Porto Velho</v>
      </c>
      <c r="D1377" s="3" t="str">
        <f ca="1">IFERROR(__xludf.UNSUPPORTED("""COMPUTED_VALUE"""),"🚢 REGULAR")</f>
        <v>🚢 REGULAR</v>
      </c>
      <c r="E1377" s="3" t="str">
        <f ca="1">IFERROR(__xludf.UNSUPPORTED("""COMPUTED_VALUE"""),"🚛 LIBERADO")</f>
        <v>🚛 LIBERADO</v>
      </c>
      <c r="F1377" s="5">
        <f ca="1">IFERROR(__xludf.UNSUPPORTED("""COMPUTED_VALUE"""),0)</f>
        <v>0</v>
      </c>
      <c r="G1377" s="3" t="str">
        <f ca="1">IFERROR(__xludf.UNSUPPORTED("""COMPUTED_VALUE"""),"Normalidade")</f>
        <v>Normalidade</v>
      </c>
      <c r="H1377" s="4">
        <f ca="1">IFERROR(__xludf.UNSUPPORTED("""COMPUTED_VALUE"""),44935.5261921296)</f>
        <v>44935.526192129597</v>
      </c>
      <c r="I1377" s="3">
        <f ca="1">IFERROR(__xludf.UNSUPPORTED("""COMPUTED_VALUE"""),24)</f>
        <v>24</v>
      </c>
      <c r="J1377" s="4">
        <f ca="1">IFERROR(__xludf.UNSUPPORTED("""COMPUTED_VALUE"""),44936.5261921296)</f>
        <v>44936.526192129597</v>
      </c>
    </row>
    <row r="1378" spans="1:12" ht="12.75">
      <c r="A1378" s="3" t="str">
        <f ca="1">IFERROR(__xludf.UNSUPPORTED("""COMPUTED_VALUE"""),"fa527392")</f>
        <v>fa527392</v>
      </c>
      <c r="B1378" s="4">
        <f ca="1">IFERROR(__xludf.UNSUPPORTED("""COMPUTED_VALUE"""),44936.3750810185)</f>
        <v>44936.375081018501</v>
      </c>
      <c r="C1378" s="8" t="str">
        <f ca="1">IFERROR(__xludf.UNSUPPORTED("""COMPUTED_VALUE"""),"Porto Velho")</f>
        <v>Porto Velho</v>
      </c>
      <c r="D1378" s="3" t="str">
        <f ca="1">IFERROR(__xludf.UNSUPPORTED("""COMPUTED_VALUE"""),"🚢 REGULAR")</f>
        <v>🚢 REGULAR</v>
      </c>
      <c r="E1378" s="3" t="str">
        <f ca="1">IFERROR(__xludf.UNSUPPORTED("""COMPUTED_VALUE"""),"🚛 LIBERADO")</f>
        <v>🚛 LIBERADO</v>
      </c>
      <c r="F1378" s="5">
        <f ca="1">IFERROR(__xludf.UNSUPPORTED("""COMPUTED_VALUE"""),0)</f>
        <v>0</v>
      </c>
      <c r="G1378" s="3" t="str">
        <f ca="1">IFERROR(__xludf.UNSUPPORTED("""COMPUTED_VALUE"""),"Normalidade")</f>
        <v>Normalidade</v>
      </c>
      <c r="H1378" s="4">
        <f ca="1">IFERROR(__xludf.UNSUPPORTED("""COMPUTED_VALUE"""),44936.3750810185)</f>
        <v>44936.375081018501</v>
      </c>
      <c r="I1378" s="3">
        <f ca="1">IFERROR(__xludf.UNSUPPORTED("""COMPUTED_VALUE"""),24)</f>
        <v>24</v>
      </c>
      <c r="J1378" s="4">
        <f ca="1">IFERROR(__xludf.UNSUPPORTED("""COMPUTED_VALUE"""),44937.3750810185)</f>
        <v>44937.375081018501</v>
      </c>
    </row>
    <row r="1379" spans="1:12" ht="12.75">
      <c r="A1379" s="3" t="str">
        <f ca="1">IFERROR(__xludf.UNSUPPORTED("""COMPUTED_VALUE"""),"251dddc8")</f>
        <v>251dddc8</v>
      </c>
      <c r="B1379" s="4">
        <f ca="1">IFERROR(__xludf.UNSUPPORTED("""COMPUTED_VALUE"""),44938.3217592592)</f>
        <v>44938.321759259197</v>
      </c>
      <c r="C1379" s="7" t="str">
        <f ca="1">IFERROR(__xludf.UNSUPPORTED("""COMPUTED_VALUE"""),"Porto Velho")</f>
        <v>Porto Velho</v>
      </c>
      <c r="D1379" s="3" t="str">
        <f ca="1">IFERROR(__xludf.UNSUPPORTED("""COMPUTED_VALUE"""),"🚢 REGULAR")</f>
        <v>🚢 REGULAR</v>
      </c>
      <c r="E1379" s="3" t="str">
        <f ca="1">IFERROR(__xludf.UNSUPPORTED("""COMPUTED_VALUE"""),"🚛 LIBERADO")</f>
        <v>🚛 LIBERADO</v>
      </c>
      <c r="F1379" s="5">
        <f ca="1">IFERROR(__xludf.UNSUPPORTED("""COMPUTED_VALUE"""),0)</f>
        <v>0</v>
      </c>
      <c r="G1379" s="3" t="str">
        <f ca="1">IFERROR(__xludf.UNSUPPORTED("""COMPUTED_VALUE"""),"Normalidade")</f>
        <v>Normalidade</v>
      </c>
      <c r="H1379" s="4">
        <f ca="1">IFERROR(__xludf.UNSUPPORTED("""COMPUTED_VALUE"""),44938.3217592592)</f>
        <v>44938.321759259197</v>
      </c>
      <c r="I1379" s="3">
        <f ca="1">IFERROR(__xludf.UNSUPPORTED("""COMPUTED_VALUE"""),24)</f>
        <v>24</v>
      </c>
      <c r="J1379" s="4">
        <f ca="1">IFERROR(__xludf.UNSUPPORTED("""COMPUTED_VALUE"""),44939.3217592592)</f>
        <v>44939.321759259197</v>
      </c>
    </row>
    <row r="1380" spans="1:12" ht="12.75">
      <c r="A1380" s="3" t="str">
        <f ca="1">IFERROR(__xludf.UNSUPPORTED("""COMPUTED_VALUE"""),"d422acbd")</f>
        <v>d422acbd</v>
      </c>
      <c r="B1380" s="4">
        <f ca="1">IFERROR(__xludf.UNSUPPORTED("""COMPUTED_VALUE"""),45121.3359375)</f>
        <v>45121.3359375</v>
      </c>
      <c r="C1380" s="8" t="str">
        <f ca="1">IFERROR(__xludf.UNSUPPORTED("""COMPUTED_VALUE"""),"Porto Velho")</f>
        <v>Porto Velho</v>
      </c>
      <c r="D1380" s="3" t="str">
        <f ca="1">IFERROR(__xludf.UNSUPPORTED("""COMPUTED_VALUE"""),"🚢 REGULAR")</f>
        <v>🚢 REGULAR</v>
      </c>
      <c r="E1380" s="3" t="str">
        <f ca="1">IFERROR(__xludf.UNSUPPORTED("""COMPUTED_VALUE"""),"🚛 LIBERADO")</f>
        <v>🚛 LIBERADO</v>
      </c>
      <c r="F1380" s="5">
        <f ca="1">IFERROR(__xludf.UNSUPPORTED("""COMPUTED_VALUE"""),0)</f>
        <v>0</v>
      </c>
      <c r="G1380" s="3" t="str">
        <f ca="1">IFERROR(__xludf.UNSUPPORTED("""COMPUTED_VALUE"""),"Normalidade")</f>
        <v>Normalidade</v>
      </c>
      <c r="H1380" s="4">
        <f ca="1">IFERROR(__xludf.UNSUPPORTED("""COMPUTED_VALUE"""),45121.3359375)</f>
        <v>45121.3359375</v>
      </c>
      <c r="I1380" s="3">
        <f ca="1">IFERROR(__xludf.UNSUPPORTED("""COMPUTED_VALUE"""),24)</f>
        <v>24</v>
      </c>
      <c r="J1380" s="4">
        <f ca="1">IFERROR(__xludf.UNSUPPORTED("""COMPUTED_VALUE"""),45122.3359375)</f>
        <v>45122.3359375</v>
      </c>
    </row>
    <row r="1381" spans="1:12" ht="12.75">
      <c r="A1381" s="3" t="str">
        <f ca="1">IFERROR(__xludf.UNSUPPORTED("""COMPUTED_VALUE"""),"6bb7e01c")</f>
        <v>6bb7e01c</v>
      </c>
      <c r="B1381" s="4">
        <f ca="1">IFERROR(__xludf.UNSUPPORTED("""COMPUTED_VALUE"""),45141.3221643518)</f>
        <v>45141.322164351797</v>
      </c>
      <c r="C1381" s="7" t="str">
        <f ca="1">IFERROR(__xludf.UNSUPPORTED("""COMPUTED_VALUE"""),"Porto Velho")</f>
        <v>Porto Velho</v>
      </c>
      <c r="D1381" s="3" t="str">
        <f ca="1">IFERROR(__xludf.UNSUPPORTED("""COMPUTED_VALUE"""),"🚢 REGULAR")</f>
        <v>🚢 REGULAR</v>
      </c>
      <c r="E1381" s="3" t="str">
        <f ca="1">IFERROR(__xludf.UNSUPPORTED("""COMPUTED_VALUE"""),"🚛 LIBERADO")</f>
        <v>🚛 LIBERADO</v>
      </c>
      <c r="F1381" s="5">
        <f ca="1">IFERROR(__xludf.UNSUPPORTED("""COMPUTED_VALUE"""),0)</f>
        <v>0</v>
      </c>
      <c r="G1381" s="3" t="str">
        <f ca="1">IFERROR(__xludf.UNSUPPORTED("""COMPUTED_VALUE"""),"Normalidade")</f>
        <v>Normalidade</v>
      </c>
      <c r="H1381" s="4">
        <f ca="1">IFERROR(__xludf.UNSUPPORTED("""COMPUTED_VALUE"""),45141.3221643518)</f>
        <v>45141.322164351797</v>
      </c>
      <c r="I1381" s="3">
        <f ca="1">IFERROR(__xludf.UNSUPPORTED("""COMPUTED_VALUE"""),24)</f>
        <v>24</v>
      </c>
      <c r="J1381" s="4">
        <f ca="1">IFERROR(__xludf.UNSUPPORTED("""COMPUTED_VALUE"""),45142.3221643518)</f>
        <v>45142.322164351797</v>
      </c>
      <c r="L1381" s="3" t="str">
        <f ca="1">IFERROR(__xludf.UNSUPPORTED("""COMPUTED_VALUE"""),"Normalidade")</f>
        <v>Normalidade</v>
      </c>
    </row>
    <row r="1382" spans="1:12" ht="12.75">
      <c r="A1382" s="3" t="str">
        <f ca="1">IFERROR(__xludf.UNSUPPORTED("""COMPUTED_VALUE"""),"0dc3c219")</f>
        <v>0dc3c219</v>
      </c>
      <c r="B1382" s="4">
        <f ca="1">IFERROR(__xludf.UNSUPPORTED("""COMPUTED_VALUE"""),45400.3536111111)</f>
        <v>45400.353611111103</v>
      </c>
      <c r="C1382" s="8" t="str">
        <f ca="1">IFERROR(__xludf.UNSUPPORTED("""COMPUTED_VALUE"""),"Porto Velho")</f>
        <v>Porto Velho</v>
      </c>
      <c r="D1382" s="3" t="str">
        <f ca="1">IFERROR(__xludf.UNSUPPORTED("""COMPUTED_VALUE"""),"🚢 REGULAR")</f>
        <v>🚢 REGULAR</v>
      </c>
      <c r="E1382" s="3" t="str">
        <f ca="1">IFERROR(__xludf.UNSUPPORTED("""COMPUTED_VALUE"""),"🚛 LIBERADO")</f>
        <v>🚛 LIBERADO</v>
      </c>
      <c r="F1382" s="5">
        <f ca="1">IFERROR(__xludf.UNSUPPORTED("""COMPUTED_VALUE"""),0)</f>
        <v>0</v>
      </c>
      <c r="G1382" s="3" t="str">
        <f ca="1">IFERROR(__xludf.UNSUPPORTED("""COMPUTED_VALUE"""),"Normalidade")</f>
        <v>Normalidade</v>
      </c>
      <c r="H1382" s="4">
        <f ca="1">IFERROR(__xludf.UNSUPPORTED("""COMPUTED_VALUE"""),45400.3536111111)</f>
        <v>45400.353611111103</v>
      </c>
      <c r="I1382" s="3">
        <f ca="1">IFERROR(__xludf.UNSUPPORTED("""COMPUTED_VALUE"""),24)</f>
        <v>24</v>
      </c>
      <c r="J1382" s="4">
        <f ca="1">IFERROR(__xludf.UNSUPPORTED("""COMPUTED_VALUE"""),45401.3536111111)</f>
        <v>45401.353611111103</v>
      </c>
      <c r="L1382" s="3" t="str">
        <f ca="1">IFERROR(__xludf.UNSUPPORTED("""COMPUTED_VALUE"""),"Normalidade")</f>
        <v>Normalidade</v>
      </c>
    </row>
    <row r="1383" spans="1:12" ht="12.75">
      <c r="A1383" s="3" t="str">
        <f ca="1">IFERROR(__xludf.UNSUPPORTED("""COMPUTED_VALUE"""),"MAjpubhO")</f>
        <v>MAjpubhO</v>
      </c>
      <c r="B1383" s="4">
        <f ca="1">IFERROR(__xludf.UNSUPPORTED("""COMPUTED_VALUE"""),44589.5)</f>
        <v>44589.5</v>
      </c>
      <c r="C1383" s="8" t="str">
        <f ca="1">IFERROR(__xludf.UNSUPPORTED("""COMPUTED_VALUE"""),"Recife")</f>
        <v>Recife</v>
      </c>
      <c r="D1383" s="3" t="str">
        <f ca="1">IFERROR(__xludf.UNSUPPORTED("""COMPUTED_VALUE"""),"🚢 REGULAR")</f>
        <v>🚢 REGULAR</v>
      </c>
      <c r="E1383" s="3" t="str">
        <f ca="1">IFERROR(__xludf.UNSUPPORTED("""COMPUTED_VALUE"""),"🚛 LIBERADO")</f>
        <v>🚛 LIBERADO</v>
      </c>
      <c r="F1383" s="5">
        <f ca="1">IFERROR(__xludf.UNSUPPORTED("""COMPUTED_VALUE"""),0)</f>
        <v>0</v>
      </c>
      <c r="G1383" s="3" t="str">
        <f ca="1">IFERROR(__xludf.UNSUPPORTED("""COMPUTED_VALUE"""),"Sem alterações.")</f>
        <v>Sem alterações.</v>
      </c>
      <c r="H1383" s="4">
        <f ca="1">IFERROR(__xludf.UNSUPPORTED("""COMPUTED_VALUE"""),44589.5756944444)</f>
        <v>44589.5756944444</v>
      </c>
      <c r="I1383" s="3">
        <f ca="1">IFERROR(__xludf.UNSUPPORTED("""COMPUTED_VALUE"""),3)</f>
        <v>3</v>
      </c>
      <c r="J1383" s="4">
        <f ca="1">IFERROR(__xludf.UNSUPPORTED("""COMPUTED_VALUE"""),44589.7006944444)</f>
        <v>44589.7006944444</v>
      </c>
    </row>
    <row r="1384" spans="1:12" ht="12.75">
      <c r="A1384" s="3" t="str">
        <f ca="1">IFERROR(__xludf.UNSUPPORTED("""COMPUTED_VALUE"""),"cce60d59")</f>
        <v>cce60d59</v>
      </c>
      <c r="B1384" s="4">
        <f ca="1">IFERROR(__xludf.UNSUPPORTED("""COMPUTED_VALUE"""),44866.371886574)</f>
        <v>44866.371886574001</v>
      </c>
      <c r="C1384" s="7" t="str">
        <f ca="1">IFERROR(__xludf.UNSUPPORTED("""COMPUTED_VALUE"""),"Recife")</f>
        <v>Recife</v>
      </c>
      <c r="D1384" s="3" t="str">
        <f ca="1">IFERROR(__xludf.UNSUPPORTED("""COMPUTED_VALUE"""),"🚢 REGULAR")</f>
        <v>🚢 REGULAR</v>
      </c>
      <c r="E1384" s="3" t="str">
        <f ca="1">IFERROR(__xludf.UNSUPPORTED("""COMPUTED_VALUE"""),"🚛 LIBERADO")</f>
        <v>🚛 LIBERADO</v>
      </c>
      <c r="F1384" s="5">
        <f ca="1">IFERROR(__xludf.UNSUPPORTED("""COMPUTED_VALUE"""),0)</f>
        <v>0</v>
      </c>
      <c r="G1384" s="3" t="str">
        <f ca="1">IFERROR(__xludf.UNSUPPORTED("""COMPUTED_VALUE"""),"situação normal")</f>
        <v>situação normal</v>
      </c>
      <c r="H1384" s="4">
        <f ca="1">IFERROR(__xludf.UNSUPPORTED("""COMPUTED_VALUE"""),44866.371886574)</f>
        <v>44866.371886574001</v>
      </c>
      <c r="I1384" s="3">
        <f ca="1">IFERROR(__xludf.UNSUPPORTED("""COMPUTED_VALUE"""),8)</f>
        <v>8</v>
      </c>
      <c r="J1384" s="4">
        <f ca="1">IFERROR(__xludf.UNSUPPORTED("""COMPUTED_VALUE"""),44866.7052199074)</f>
        <v>44866.705219907402</v>
      </c>
    </row>
    <row r="1385" spans="1:12" ht="12.75">
      <c r="A1385" s="3" t="str">
        <f ca="1">IFERROR(__xludf.UNSUPPORTED("""COMPUTED_VALUE"""),"c72e6a02")</f>
        <v>c72e6a02</v>
      </c>
      <c r="B1385" s="4">
        <f ca="1">IFERROR(__xludf.UNSUPPORTED("""COMPUTED_VALUE"""),44868.3861342592)</f>
        <v>44868.386134259199</v>
      </c>
      <c r="C1385" s="7" t="str">
        <f ca="1">IFERROR(__xludf.UNSUPPORTED("""COMPUTED_VALUE"""),"Recife")</f>
        <v>Recife</v>
      </c>
      <c r="D1385" s="3" t="str">
        <f ca="1">IFERROR(__xludf.UNSUPPORTED("""COMPUTED_VALUE"""),"🚢 REGULAR")</f>
        <v>🚢 REGULAR</v>
      </c>
      <c r="E1385" s="3" t="str">
        <f ca="1">IFERROR(__xludf.UNSUPPORTED("""COMPUTED_VALUE"""),"🚛 LIBERADO")</f>
        <v>🚛 LIBERADO</v>
      </c>
      <c r="F1385" s="5">
        <f ca="1">IFERROR(__xludf.UNSUPPORTED("""COMPUTED_VALUE"""),0)</f>
        <v>0</v>
      </c>
      <c r="G1385" s="3" t="str">
        <f ca="1">IFERROR(__xludf.UNSUPPORTED("""COMPUTED_VALUE"""),"Situação normal")</f>
        <v>Situação normal</v>
      </c>
      <c r="H1385" s="4">
        <f ca="1">IFERROR(__xludf.UNSUPPORTED("""COMPUTED_VALUE"""),44868.3861342592)</f>
        <v>44868.386134259199</v>
      </c>
      <c r="I1385" s="3">
        <f ca="1">IFERROR(__xludf.UNSUPPORTED("""COMPUTED_VALUE"""),1)</f>
        <v>1</v>
      </c>
      <c r="J1385" s="4">
        <f ca="1">IFERROR(__xludf.UNSUPPORTED("""COMPUTED_VALUE"""),44868.4278009259)</f>
        <v>44868.4278009259</v>
      </c>
    </row>
    <row r="1386" spans="1:12" ht="12.75">
      <c r="A1386" s="3" t="str">
        <f ca="1">IFERROR(__xludf.UNSUPPORTED("""COMPUTED_VALUE"""),"4e8aa957")</f>
        <v>4e8aa957</v>
      </c>
      <c r="B1386" s="4">
        <f ca="1">IFERROR(__xludf.UNSUPPORTED("""COMPUTED_VALUE"""),44869.4093981481)</f>
        <v>44869.409398148098</v>
      </c>
      <c r="C1386" s="8" t="str">
        <f ca="1">IFERROR(__xludf.UNSUPPORTED("""COMPUTED_VALUE"""),"Recife")</f>
        <v>Recife</v>
      </c>
      <c r="D1386" s="3" t="str">
        <f ca="1">IFERROR(__xludf.UNSUPPORTED("""COMPUTED_VALUE"""),"🚢 REGULAR")</f>
        <v>🚢 REGULAR</v>
      </c>
      <c r="E1386" s="3" t="str">
        <f ca="1">IFERROR(__xludf.UNSUPPORTED("""COMPUTED_VALUE"""),"🚛 LIBERADO")</f>
        <v>🚛 LIBERADO</v>
      </c>
      <c r="F1386" s="5">
        <f ca="1">IFERROR(__xludf.UNSUPPORTED("""COMPUTED_VALUE"""),0)</f>
        <v>0</v>
      </c>
      <c r="G1386" s="3" t="str">
        <f ca="1">IFERROR(__xludf.UNSUPPORTED("""COMPUTED_VALUE"""),"Normal")</f>
        <v>Normal</v>
      </c>
      <c r="H1386" s="4">
        <f ca="1">IFERROR(__xludf.UNSUPPORTED("""COMPUTED_VALUE"""),44869.4093981481)</f>
        <v>44869.409398148098</v>
      </c>
      <c r="I1386" s="3">
        <f ca="1">IFERROR(__xludf.UNSUPPORTED("""COMPUTED_VALUE"""),1)</f>
        <v>1</v>
      </c>
      <c r="J1386" s="4">
        <f ca="1">IFERROR(__xludf.UNSUPPORTED("""COMPUTED_VALUE"""),44869.4510648148)</f>
        <v>44869.451064814799</v>
      </c>
    </row>
    <row r="1387" spans="1:12" ht="12.75">
      <c r="A1387" s="3" t="str">
        <f ca="1">IFERROR(__xludf.UNSUPPORTED("""COMPUTED_VALUE"""),"16aa37f4")</f>
        <v>16aa37f4</v>
      </c>
      <c r="B1387" s="4">
        <f ca="1">IFERROR(__xludf.UNSUPPORTED("""COMPUTED_VALUE"""),44870.403449074)</f>
        <v>44870.403449074001</v>
      </c>
      <c r="C1387" s="8" t="str">
        <f ca="1">IFERROR(__xludf.UNSUPPORTED("""COMPUTED_VALUE"""),"Recife")</f>
        <v>Recife</v>
      </c>
      <c r="D1387" s="3" t="str">
        <f ca="1">IFERROR(__xludf.UNSUPPORTED("""COMPUTED_VALUE"""),"🚢 REGULAR")</f>
        <v>🚢 REGULAR</v>
      </c>
      <c r="E1387" s="3" t="str">
        <f ca="1">IFERROR(__xludf.UNSUPPORTED("""COMPUTED_VALUE"""),"🚛 LIBERADO")</f>
        <v>🚛 LIBERADO</v>
      </c>
      <c r="F1387" s="5">
        <f ca="1">IFERROR(__xludf.UNSUPPORTED("""COMPUTED_VALUE"""),0)</f>
        <v>0</v>
      </c>
      <c r="G1387" s="3" t="str">
        <f ca="1">IFERROR(__xludf.UNSUPPORTED("""COMPUTED_VALUE"""),"Normal")</f>
        <v>Normal</v>
      </c>
      <c r="H1387" s="4">
        <f ca="1">IFERROR(__xludf.UNSUPPORTED("""COMPUTED_VALUE"""),44870.403449074)</f>
        <v>44870.403449074001</v>
      </c>
      <c r="I1387" s="3">
        <f ca="1">IFERROR(__xludf.UNSUPPORTED("""COMPUTED_VALUE"""),1)</f>
        <v>1</v>
      </c>
      <c r="J1387" s="4">
        <f ca="1">IFERROR(__xludf.UNSUPPORTED("""COMPUTED_VALUE"""),44870.4451157407)</f>
        <v>44870.445115740702</v>
      </c>
    </row>
    <row r="1388" spans="1:12" ht="12.75">
      <c r="A1388" s="3" t="str">
        <f ca="1">IFERROR(__xludf.UNSUPPORTED("""COMPUTED_VALUE"""),"3111cc00")</f>
        <v>3111cc00</v>
      </c>
      <c r="B1388" s="4">
        <f ca="1">IFERROR(__xludf.UNSUPPORTED("""COMPUTED_VALUE"""),44871.418761574)</f>
        <v>44871.418761574001</v>
      </c>
      <c r="C1388" s="8" t="str">
        <f ca="1">IFERROR(__xludf.UNSUPPORTED("""COMPUTED_VALUE"""),"Recife")</f>
        <v>Recife</v>
      </c>
      <c r="D1388" s="3" t="str">
        <f ca="1">IFERROR(__xludf.UNSUPPORTED("""COMPUTED_VALUE"""),"🚢 REGULAR")</f>
        <v>🚢 REGULAR</v>
      </c>
      <c r="E1388" s="3" t="str">
        <f ca="1">IFERROR(__xludf.UNSUPPORTED("""COMPUTED_VALUE"""),"🚛 LIBERADO")</f>
        <v>🚛 LIBERADO</v>
      </c>
      <c r="F1388" s="5">
        <f ca="1">IFERROR(__xludf.UNSUPPORTED("""COMPUTED_VALUE"""),0)</f>
        <v>0</v>
      </c>
      <c r="G1388" s="3" t="str">
        <f ca="1">IFERROR(__xludf.UNSUPPORTED("""COMPUTED_VALUE"""),"Normal")</f>
        <v>Normal</v>
      </c>
      <c r="H1388" s="4">
        <f ca="1">IFERROR(__xludf.UNSUPPORTED("""COMPUTED_VALUE"""),44871.418761574)</f>
        <v>44871.418761574001</v>
      </c>
      <c r="I1388" s="3">
        <f ca="1">IFERROR(__xludf.UNSUPPORTED("""COMPUTED_VALUE"""),1)</f>
        <v>1</v>
      </c>
      <c r="J1388" s="4">
        <f ca="1">IFERROR(__xludf.UNSUPPORTED("""COMPUTED_VALUE"""),44871.4604282407)</f>
        <v>44871.460428240702</v>
      </c>
    </row>
    <row r="1389" spans="1:12" ht="12.75">
      <c r="A1389" s="3" t="str">
        <f ca="1">IFERROR(__xludf.UNSUPPORTED("""COMPUTED_VALUE"""),"29cd1dd5")</f>
        <v>29cd1dd5</v>
      </c>
      <c r="B1389" s="4">
        <f ca="1">IFERROR(__xludf.UNSUPPORTED("""COMPUTED_VALUE"""),44872.5365162037)</f>
        <v>44872.536516203698</v>
      </c>
      <c r="C1389" s="7" t="str">
        <f ca="1">IFERROR(__xludf.UNSUPPORTED("""COMPUTED_VALUE"""),"Recife")</f>
        <v>Recife</v>
      </c>
      <c r="D1389" s="3" t="str">
        <f ca="1">IFERROR(__xludf.UNSUPPORTED("""COMPUTED_VALUE"""),"🚢 REGULAR")</f>
        <v>🚢 REGULAR</v>
      </c>
      <c r="E1389" s="3" t="str">
        <f ca="1">IFERROR(__xludf.UNSUPPORTED("""COMPUTED_VALUE"""),"🚛 LIBERADO")</f>
        <v>🚛 LIBERADO</v>
      </c>
      <c r="F1389" s="5">
        <f ca="1">IFERROR(__xludf.UNSUPPORTED("""COMPUTED_VALUE"""),0)</f>
        <v>0</v>
      </c>
      <c r="G1389" s="3" t="str">
        <f ca="1">IFERROR(__xludf.UNSUPPORTED("""COMPUTED_VALUE"""),"Normal")</f>
        <v>Normal</v>
      </c>
      <c r="H1389" s="4">
        <f ca="1">IFERROR(__xludf.UNSUPPORTED("""COMPUTED_VALUE"""),44872.5365162037)</f>
        <v>44872.536516203698</v>
      </c>
      <c r="I1389" s="3">
        <f ca="1">IFERROR(__xludf.UNSUPPORTED("""COMPUTED_VALUE"""),1)</f>
        <v>1</v>
      </c>
      <c r="J1389" s="4">
        <f ca="1">IFERROR(__xludf.UNSUPPORTED("""COMPUTED_VALUE"""),44872.5781828703)</f>
        <v>44872.578182870297</v>
      </c>
    </row>
    <row r="1390" spans="1:12" ht="12.75">
      <c r="A1390" s="3" t="str">
        <f ca="1">IFERROR(__xludf.UNSUPPORTED("""COMPUTED_VALUE"""),"38e1813f")</f>
        <v>38e1813f</v>
      </c>
      <c r="B1390" s="4">
        <f ca="1">IFERROR(__xludf.UNSUPPORTED("""COMPUTED_VALUE"""),44874.6334143518)</f>
        <v>44874.633414351803</v>
      </c>
      <c r="C1390" s="7" t="str">
        <f ca="1">IFERROR(__xludf.UNSUPPORTED("""COMPUTED_VALUE"""),"Recife")</f>
        <v>Recife</v>
      </c>
      <c r="D1390" s="3" t="str">
        <f ca="1">IFERROR(__xludf.UNSUPPORTED("""COMPUTED_VALUE"""),"🚢 REGULAR")</f>
        <v>🚢 REGULAR</v>
      </c>
      <c r="E1390" s="3" t="str">
        <f ca="1">IFERROR(__xludf.UNSUPPORTED("""COMPUTED_VALUE"""),"🚛 LIBERADO")</f>
        <v>🚛 LIBERADO</v>
      </c>
      <c r="F1390" s="5">
        <f ca="1">IFERROR(__xludf.UNSUPPORTED("""COMPUTED_VALUE"""),0)</f>
        <v>0</v>
      </c>
      <c r="G1390" s="3" t="str">
        <f ca="1">IFERROR(__xludf.UNSUPPORTED("""COMPUTED_VALUE"""),"Normal")</f>
        <v>Normal</v>
      </c>
      <c r="H1390" s="4">
        <f ca="1">IFERROR(__xludf.UNSUPPORTED("""COMPUTED_VALUE"""),44874.6334143518)</f>
        <v>44874.633414351803</v>
      </c>
      <c r="I1390" s="3">
        <f ca="1">IFERROR(__xludf.UNSUPPORTED("""COMPUTED_VALUE"""),1)</f>
        <v>1</v>
      </c>
      <c r="J1390" s="4">
        <f ca="1">IFERROR(__xludf.UNSUPPORTED("""COMPUTED_VALUE"""),44874.6750810185)</f>
        <v>44874.675081018497</v>
      </c>
    </row>
    <row r="1391" spans="1:12" ht="12.75">
      <c r="A1391" s="3" t="str">
        <f ca="1">IFERROR(__xludf.UNSUPPORTED("""COMPUTED_VALUE"""),"b08c8665")</f>
        <v>b08c8665</v>
      </c>
      <c r="B1391" s="4">
        <f ca="1">IFERROR(__xludf.UNSUPPORTED("""COMPUTED_VALUE"""),44874.6336574074)</f>
        <v>44874.633657407401</v>
      </c>
      <c r="C1391" s="8" t="str">
        <f ca="1">IFERROR(__xludf.UNSUPPORTED("""COMPUTED_VALUE"""),"Recife")</f>
        <v>Recife</v>
      </c>
      <c r="D1391" s="3" t="str">
        <f ca="1">IFERROR(__xludf.UNSUPPORTED("""COMPUTED_VALUE"""),"🚢 REGULAR")</f>
        <v>🚢 REGULAR</v>
      </c>
      <c r="E1391" s="3" t="str">
        <f ca="1">IFERROR(__xludf.UNSUPPORTED("""COMPUTED_VALUE"""),"🚛 LIBERADO")</f>
        <v>🚛 LIBERADO</v>
      </c>
      <c r="F1391" s="5">
        <f ca="1">IFERROR(__xludf.UNSUPPORTED("""COMPUTED_VALUE"""),0)</f>
        <v>0</v>
      </c>
      <c r="G1391" s="3" t="str">
        <f ca="1">IFERROR(__xludf.UNSUPPORTED("""COMPUTED_VALUE"""),"Normal")</f>
        <v>Normal</v>
      </c>
      <c r="H1391" s="4">
        <f ca="1">IFERROR(__xludf.UNSUPPORTED("""COMPUTED_VALUE"""),44874.6336574074)</f>
        <v>44874.633657407401</v>
      </c>
      <c r="I1391" s="3">
        <f ca="1">IFERROR(__xludf.UNSUPPORTED("""COMPUTED_VALUE"""),1)</f>
        <v>1</v>
      </c>
      <c r="J1391" s="4">
        <f ca="1">IFERROR(__xludf.UNSUPPORTED("""COMPUTED_VALUE"""),44874.675324074)</f>
        <v>44874.675324074</v>
      </c>
    </row>
    <row r="1392" spans="1:12" ht="12.75">
      <c r="A1392" s="3" t="str">
        <f ca="1">IFERROR(__xludf.UNSUPPORTED("""COMPUTED_VALUE"""),"9c1f499c")</f>
        <v>9c1f499c</v>
      </c>
      <c r="B1392" s="4">
        <f ca="1">IFERROR(__xludf.UNSUPPORTED("""COMPUTED_VALUE"""),44875.6410763888)</f>
        <v>44875.641076388798</v>
      </c>
      <c r="C1392" s="8" t="str">
        <f ca="1">IFERROR(__xludf.UNSUPPORTED("""COMPUTED_VALUE"""),"Recife")</f>
        <v>Recife</v>
      </c>
      <c r="D1392" s="3" t="str">
        <f ca="1">IFERROR(__xludf.UNSUPPORTED("""COMPUTED_VALUE"""),"🚢 REGULAR")</f>
        <v>🚢 REGULAR</v>
      </c>
      <c r="E1392" s="3" t="str">
        <f ca="1">IFERROR(__xludf.UNSUPPORTED("""COMPUTED_VALUE"""),"🚛 LIBERADO")</f>
        <v>🚛 LIBERADO</v>
      </c>
      <c r="F1392" s="5">
        <f ca="1">IFERROR(__xludf.UNSUPPORTED("""COMPUTED_VALUE"""),0)</f>
        <v>0</v>
      </c>
      <c r="G1392" s="3" t="str">
        <f ca="1">IFERROR(__xludf.UNSUPPORTED("""COMPUTED_VALUE"""),"Normal")</f>
        <v>Normal</v>
      </c>
      <c r="H1392" s="4">
        <f ca="1">IFERROR(__xludf.UNSUPPORTED("""COMPUTED_VALUE"""),44875.6410763888)</f>
        <v>44875.641076388798</v>
      </c>
      <c r="I1392" s="3">
        <f ca="1">IFERROR(__xludf.UNSUPPORTED("""COMPUTED_VALUE"""),1)</f>
        <v>1</v>
      </c>
      <c r="J1392" s="4">
        <f ca="1">IFERROR(__xludf.UNSUPPORTED("""COMPUTED_VALUE"""),44875.6827430555)</f>
        <v>44875.682743055499</v>
      </c>
    </row>
    <row r="1393" spans="1:10" ht="12.75">
      <c r="A1393" s="3" t="str">
        <f ca="1">IFERROR(__xludf.UNSUPPORTED("""COMPUTED_VALUE"""),"70b87bd4")</f>
        <v>70b87bd4</v>
      </c>
      <c r="B1393" s="4">
        <f ca="1">IFERROR(__xludf.UNSUPPORTED("""COMPUTED_VALUE"""),44878.6683796296)</f>
        <v>44878.668379629598</v>
      </c>
      <c r="C1393" s="8" t="str">
        <f ca="1">IFERROR(__xludf.UNSUPPORTED("""COMPUTED_VALUE"""),"Recife")</f>
        <v>Recife</v>
      </c>
      <c r="D1393" s="3" t="str">
        <f ca="1">IFERROR(__xludf.UNSUPPORTED("""COMPUTED_VALUE"""),"🚢 REGULAR")</f>
        <v>🚢 REGULAR</v>
      </c>
      <c r="E1393" s="3" t="str">
        <f ca="1">IFERROR(__xludf.UNSUPPORTED("""COMPUTED_VALUE"""),"🚛 LIBERADO")</f>
        <v>🚛 LIBERADO</v>
      </c>
      <c r="F1393" s="5">
        <f ca="1">IFERROR(__xludf.UNSUPPORTED("""COMPUTED_VALUE"""),0)</f>
        <v>0</v>
      </c>
      <c r="G1393" s="3" t="str">
        <f ca="1">IFERROR(__xludf.UNSUPPORTED("""COMPUTED_VALUE"""),"Normal")</f>
        <v>Normal</v>
      </c>
      <c r="H1393" s="4">
        <f ca="1">IFERROR(__xludf.UNSUPPORTED("""COMPUTED_VALUE"""),44878.6683796296)</f>
        <v>44878.668379629598</v>
      </c>
      <c r="I1393" s="3">
        <f ca="1">IFERROR(__xludf.UNSUPPORTED("""COMPUTED_VALUE"""),1)</f>
        <v>1</v>
      </c>
      <c r="J1393" s="4">
        <f ca="1">IFERROR(__xludf.UNSUPPORTED("""COMPUTED_VALUE"""),44878.7100462963)</f>
        <v>44878.710046296299</v>
      </c>
    </row>
    <row r="1394" spans="1:10" ht="12.75">
      <c r="A1394" s="3" t="str">
        <f ca="1">IFERROR(__xludf.UNSUPPORTED("""COMPUTED_VALUE"""),"c9986336")</f>
        <v>c9986336</v>
      </c>
      <c r="B1394" s="4">
        <f ca="1">IFERROR(__xludf.UNSUPPORTED("""COMPUTED_VALUE"""),44879.3632638888)</f>
        <v>44879.363263888801</v>
      </c>
      <c r="C1394" s="8" t="str">
        <f ca="1">IFERROR(__xludf.UNSUPPORTED("""COMPUTED_VALUE"""),"Recife")</f>
        <v>Recife</v>
      </c>
      <c r="D1394" s="3" t="str">
        <f ca="1">IFERROR(__xludf.UNSUPPORTED("""COMPUTED_VALUE"""),"🚢 REGULAR")</f>
        <v>🚢 REGULAR</v>
      </c>
      <c r="E1394" s="3" t="str">
        <f ca="1">IFERROR(__xludf.UNSUPPORTED("""COMPUTED_VALUE"""),"🚛 LIBERADO")</f>
        <v>🚛 LIBERADO</v>
      </c>
      <c r="F1394" s="5">
        <f ca="1">IFERROR(__xludf.UNSUPPORTED("""COMPUTED_VALUE"""),0)</f>
        <v>0</v>
      </c>
      <c r="G1394" s="3" t="str">
        <f ca="1">IFERROR(__xludf.UNSUPPORTED("""COMPUTED_VALUE"""),"Normal")</f>
        <v>Normal</v>
      </c>
      <c r="H1394" s="4">
        <f ca="1">IFERROR(__xludf.UNSUPPORTED("""COMPUTED_VALUE"""),44879.3632638888)</f>
        <v>44879.363263888801</v>
      </c>
      <c r="I1394" s="3">
        <f ca="1">IFERROR(__xludf.UNSUPPORTED("""COMPUTED_VALUE"""),1)</f>
        <v>1</v>
      </c>
      <c r="J1394" s="4">
        <f ca="1">IFERROR(__xludf.UNSUPPORTED("""COMPUTED_VALUE"""),44879.4049305555)</f>
        <v>44879.404930555502</v>
      </c>
    </row>
    <row r="1395" spans="1:10" ht="12.75">
      <c r="A1395" s="3" t="str">
        <f ca="1">IFERROR(__xludf.UNSUPPORTED("""COMPUTED_VALUE"""),"12edf4a3")</f>
        <v>12edf4a3</v>
      </c>
      <c r="B1395" s="4">
        <f ca="1">IFERROR(__xludf.UNSUPPORTED("""COMPUTED_VALUE"""),44880.3537962962)</f>
        <v>44880.3537962962</v>
      </c>
      <c r="C1395" s="8" t="str">
        <f ca="1">IFERROR(__xludf.UNSUPPORTED("""COMPUTED_VALUE"""),"Recife")</f>
        <v>Recife</v>
      </c>
      <c r="D1395" s="3" t="str">
        <f ca="1">IFERROR(__xludf.UNSUPPORTED("""COMPUTED_VALUE"""),"🚢 REGULAR")</f>
        <v>🚢 REGULAR</v>
      </c>
      <c r="E1395" s="3" t="str">
        <f ca="1">IFERROR(__xludf.UNSUPPORTED("""COMPUTED_VALUE"""),"🚛 LIBERADO")</f>
        <v>🚛 LIBERADO</v>
      </c>
      <c r="F1395" s="5">
        <f ca="1">IFERROR(__xludf.UNSUPPORTED("""COMPUTED_VALUE"""),0)</f>
        <v>0</v>
      </c>
      <c r="G1395" s="3" t="str">
        <f ca="1">IFERROR(__xludf.UNSUPPORTED("""COMPUTED_VALUE"""),"Normal")</f>
        <v>Normal</v>
      </c>
      <c r="H1395" s="4">
        <f ca="1">IFERROR(__xludf.UNSUPPORTED("""COMPUTED_VALUE"""),44880.3537962962)</f>
        <v>44880.3537962962</v>
      </c>
      <c r="I1395" s="3">
        <f ca="1">IFERROR(__xludf.UNSUPPORTED("""COMPUTED_VALUE"""),1)</f>
        <v>1</v>
      </c>
      <c r="J1395" s="4">
        <f ca="1">IFERROR(__xludf.UNSUPPORTED("""COMPUTED_VALUE"""),44880.3954629629)</f>
        <v>44880.395462962901</v>
      </c>
    </row>
    <row r="1396" spans="1:10" ht="12.75">
      <c r="A1396" s="3" t="str">
        <f ca="1">IFERROR(__xludf.UNSUPPORTED("""COMPUTED_VALUE"""),"ef51e82d")</f>
        <v>ef51e82d</v>
      </c>
      <c r="B1396" s="4">
        <f ca="1">IFERROR(__xludf.UNSUPPORTED("""COMPUTED_VALUE"""),44881.7362152777)</f>
        <v>44881.736215277699</v>
      </c>
      <c r="C1396" s="7" t="str">
        <f ca="1">IFERROR(__xludf.UNSUPPORTED("""COMPUTED_VALUE"""),"Recife")</f>
        <v>Recife</v>
      </c>
      <c r="D1396" s="3" t="str">
        <f ca="1">IFERROR(__xludf.UNSUPPORTED("""COMPUTED_VALUE"""),"🚢 REGULAR")</f>
        <v>🚢 REGULAR</v>
      </c>
      <c r="E1396" s="3" t="str">
        <f ca="1">IFERROR(__xludf.UNSUPPORTED("""COMPUTED_VALUE"""),"🚛 LIBERADO")</f>
        <v>🚛 LIBERADO</v>
      </c>
      <c r="F1396" s="5">
        <f ca="1">IFERROR(__xludf.UNSUPPORTED("""COMPUTED_VALUE"""),0)</f>
        <v>0</v>
      </c>
      <c r="G1396" s="3" t="str">
        <f ca="1">IFERROR(__xludf.UNSUPPORTED("""COMPUTED_VALUE"""),"Normal")</f>
        <v>Normal</v>
      </c>
      <c r="H1396" s="4">
        <f ca="1">IFERROR(__xludf.UNSUPPORTED("""COMPUTED_VALUE"""),44881.7362152777)</f>
        <v>44881.736215277699</v>
      </c>
      <c r="I1396" s="3">
        <f ca="1">IFERROR(__xludf.UNSUPPORTED("""COMPUTED_VALUE"""),1)</f>
        <v>1</v>
      </c>
      <c r="J1396" s="4">
        <f ca="1">IFERROR(__xludf.UNSUPPORTED("""COMPUTED_VALUE"""),44881.7778819444)</f>
        <v>44881.777881944399</v>
      </c>
    </row>
    <row r="1397" spans="1:10" ht="12.75">
      <c r="A1397" s="3" t="str">
        <f ca="1">IFERROR(__xludf.UNSUPPORTED("""COMPUTED_VALUE"""),"30a204df")</f>
        <v>30a204df</v>
      </c>
      <c r="B1397" s="4">
        <f ca="1">IFERROR(__xludf.UNSUPPORTED("""COMPUTED_VALUE"""),44883.3448842592)</f>
        <v>44883.344884259197</v>
      </c>
      <c r="C1397" s="7" t="str">
        <f ca="1">IFERROR(__xludf.UNSUPPORTED("""COMPUTED_VALUE"""),"Recife")</f>
        <v>Recife</v>
      </c>
      <c r="D1397" s="3" t="str">
        <f ca="1">IFERROR(__xludf.UNSUPPORTED("""COMPUTED_VALUE"""),"🚢 REGULAR")</f>
        <v>🚢 REGULAR</v>
      </c>
      <c r="E1397" s="3" t="str">
        <f ca="1">IFERROR(__xludf.UNSUPPORTED("""COMPUTED_VALUE"""),"🚛 LIBERADO")</f>
        <v>🚛 LIBERADO</v>
      </c>
      <c r="F1397" s="5">
        <f ca="1">IFERROR(__xludf.UNSUPPORTED("""COMPUTED_VALUE"""),0)</f>
        <v>0</v>
      </c>
      <c r="G1397" s="3" t="str">
        <f ca="1">IFERROR(__xludf.UNSUPPORTED("""COMPUTED_VALUE"""),"Normal")</f>
        <v>Normal</v>
      </c>
      <c r="H1397" s="4">
        <f ca="1">IFERROR(__xludf.UNSUPPORTED("""COMPUTED_VALUE"""),44883.3448842592)</f>
        <v>44883.344884259197</v>
      </c>
      <c r="I1397" s="3">
        <f ca="1">IFERROR(__xludf.UNSUPPORTED("""COMPUTED_VALUE"""),1)</f>
        <v>1</v>
      </c>
      <c r="J1397" s="4">
        <f ca="1">IFERROR(__xludf.UNSUPPORTED("""COMPUTED_VALUE"""),44883.3865509259)</f>
        <v>44883.386550925898</v>
      </c>
    </row>
    <row r="1398" spans="1:10" ht="12.75">
      <c r="A1398" s="3" t="str">
        <f ca="1">IFERROR(__xludf.UNSUPPORTED("""COMPUTED_VALUE"""),"8782da51")</f>
        <v>8782da51</v>
      </c>
      <c r="B1398" s="4">
        <f ca="1">IFERROR(__xludf.UNSUPPORTED("""COMPUTED_VALUE"""),44886.3579629629)</f>
        <v>44886.357962962902</v>
      </c>
      <c r="C1398" s="8" t="str">
        <f ca="1">IFERROR(__xludf.UNSUPPORTED("""COMPUTED_VALUE"""),"Recife")</f>
        <v>Recife</v>
      </c>
      <c r="D1398" s="3" t="str">
        <f ca="1">IFERROR(__xludf.UNSUPPORTED("""COMPUTED_VALUE"""),"🚢 REGULAR")</f>
        <v>🚢 REGULAR</v>
      </c>
      <c r="E1398" s="3" t="str">
        <f ca="1">IFERROR(__xludf.UNSUPPORTED("""COMPUTED_VALUE"""),"🚛 LIBERADO")</f>
        <v>🚛 LIBERADO</v>
      </c>
      <c r="F1398" s="5">
        <f ca="1">IFERROR(__xludf.UNSUPPORTED("""COMPUTED_VALUE"""),0)</f>
        <v>0</v>
      </c>
      <c r="G1398" s="3" t="str">
        <f ca="1">IFERROR(__xludf.UNSUPPORTED("""COMPUTED_VALUE"""),"Normal")</f>
        <v>Normal</v>
      </c>
      <c r="H1398" s="4">
        <f ca="1">IFERROR(__xludf.UNSUPPORTED("""COMPUTED_VALUE"""),44886.3579629629)</f>
        <v>44886.357962962902</v>
      </c>
      <c r="I1398" s="3">
        <f ca="1">IFERROR(__xludf.UNSUPPORTED("""COMPUTED_VALUE"""),1)</f>
        <v>1</v>
      </c>
      <c r="J1398" s="4">
        <f ca="1">IFERROR(__xludf.UNSUPPORTED("""COMPUTED_VALUE"""),44886.3996296296)</f>
        <v>44886.399629629603</v>
      </c>
    </row>
    <row r="1399" spans="1:10" ht="12.75">
      <c r="A1399" s="3" t="str">
        <f ca="1">IFERROR(__xludf.UNSUPPORTED("""COMPUTED_VALUE"""),"7ded0ccd")</f>
        <v>7ded0ccd</v>
      </c>
      <c r="B1399" s="4">
        <f ca="1">IFERROR(__xludf.UNSUPPORTED("""COMPUTED_VALUE"""),44887.3484722222)</f>
        <v>44887.348472222198</v>
      </c>
      <c r="C1399" s="7" t="str">
        <f ca="1">IFERROR(__xludf.UNSUPPORTED("""COMPUTED_VALUE"""),"Recife")</f>
        <v>Recife</v>
      </c>
      <c r="D1399" s="3" t="str">
        <f ca="1">IFERROR(__xludf.UNSUPPORTED("""COMPUTED_VALUE"""),"🚢 REGULAR")</f>
        <v>🚢 REGULAR</v>
      </c>
      <c r="E1399" s="3" t="str">
        <f ca="1">IFERROR(__xludf.UNSUPPORTED("""COMPUTED_VALUE"""),"🚛 LIBERADO")</f>
        <v>🚛 LIBERADO</v>
      </c>
      <c r="F1399" s="5">
        <f ca="1">IFERROR(__xludf.UNSUPPORTED("""COMPUTED_VALUE"""),0)</f>
        <v>0</v>
      </c>
      <c r="G1399" s="3" t="str">
        <f ca="1">IFERROR(__xludf.UNSUPPORTED("""COMPUTED_VALUE"""),"Normal")</f>
        <v>Normal</v>
      </c>
      <c r="H1399" s="4">
        <f ca="1">IFERROR(__xludf.UNSUPPORTED("""COMPUTED_VALUE"""),44887.3484722222)</f>
        <v>44887.348472222198</v>
      </c>
      <c r="I1399" s="3">
        <f ca="1">IFERROR(__xludf.UNSUPPORTED("""COMPUTED_VALUE"""),1)</f>
        <v>1</v>
      </c>
      <c r="J1399" s="4">
        <f ca="1">IFERROR(__xludf.UNSUPPORTED("""COMPUTED_VALUE"""),44887.3901388888)</f>
        <v>44887.390138888797</v>
      </c>
    </row>
    <row r="1400" spans="1:10" ht="12.75">
      <c r="A1400" s="3" t="str">
        <f ca="1">IFERROR(__xludf.UNSUPPORTED("""COMPUTED_VALUE"""),"595cad2c")</f>
        <v>595cad2c</v>
      </c>
      <c r="B1400" s="4">
        <f ca="1">IFERROR(__xludf.UNSUPPORTED("""COMPUTED_VALUE"""),44888.2452199074)</f>
        <v>44888.245219907403</v>
      </c>
      <c r="C1400" s="8" t="str">
        <f ca="1">IFERROR(__xludf.UNSUPPORTED("""COMPUTED_VALUE"""),"Recife")</f>
        <v>Recife</v>
      </c>
      <c r="D1400" s="3" t="str">
        <f ca="1">IFERROR(__xludf.UNSUPPORTED("""COMPUTED_VALUE"""),"🚢 REGULAR")</f>
        <v>🚢 REGULAR</v>
      </c>
      <c r="E1400" s="3" t="str">
        <f ca="1">IFERROR(__xludf.UNSUPPORTED("""COMPUTED_VALUE"""),"🚛 LIBERADO")</f>
        <v>🚛 LIBERADO</v>
      </c>
      <c r="F1400" s="5">
        <f ca="1">IFERROR(__xludf.UNSUPPORTED("""COMPUTED_VALUE"""),0)</f>
        <v>0</v>
      </c>
      <c r="G1400" s="3" t="str">
        <f ca="1">IFERROR(__xludf.UNSUPPORTED("""COMPUTED_VALUE"""),"Normal")</f>
        <v>Normal</v>
      </c>
      <c r="H1400" s="4">
        <f ca="1">IFERROR(__xludf.UNSUPPORTED("""COMPUTED_VALUE"""),44888.2452199074)</f>
        <v>44888.245219907403</v>
      </c>
      <c r="I1400" s="3">
        <f ca="1">IFERROR(__xludf.UNSUPPORTED("""COMPUTED_VALUE"""),1)</f>
        <v>1</v>
      </c>
      <c r="J1400" s="4">
        <f ca="1">IFERROR(__xludf.UNSUPPORTED("""COMPUTED_VALUE"""),44888.286886574)</f>
        <v>44888.286886574002</v>
      </c>
    </row>
    <row r="1401" spans="1:10" ht="12.75">
      <c r="A1401" s="3" t="str">
        <f ca="1">IFERROR(__xludf.UNSUPPORTED("""COMPUTED_VALUE"""),"ce204e61")</f>
        <v>ce204e61</v>
      </c>
      <c r="B1401" s="4">
        <f ca="1">IFERROR(__xludf.UNSUPPORTED("""COMPUTED_VALUE"""),44889.2675347222)</f>
        <v>44889.267534722203</v>
      </c>
      <c r="C1401" s="8" t="str">
        <f ca="1">IFERROR(__xludf.UNSUPPORTED("""COMPUTED_VALUE"""),"Recife")</f>
        <v>Recife</v>
      </c>
      <c r="D1401" s="3" t="str">
        <f ca="1">IFERROR(__xludf.UNSUPPORTED("""COMPUTED_VALUE"""),"🚢 REGULAR")</f>
        <v>🚢 REGULAR</v>
      </c>
      <c r="E1401" s="3" t="str">
        <f ca="1">IFERROR(__xludf.UNSUPPORTED("""COMPUTED_VALUE"""),"🚛 LIBERADO")</f>
        <v>🚛 LIBERADO</v>
      </c>
      <c r="F1401" s="5">
        <f ca="1">IFERROR(__xludf.UNSUPPORTED("""COMPUTED_VALUE"""),0)</f>
        <v>0</v>
      </c>
      <c r="G1401" s="3" t="str">
        <f ca="1">IFERROR(__xludf.UNSUPPORTED("""COMPUTED_VALUE"""),"Normal")</f>
        <v>Normal</v>
      </c>
      <c r="H1401" s="4">
        <f ca="1">IFERROR(__xludf.UNSUPPORTED("""COMPUTED_VALUE"""),44889.2675347222)</f>
        <v>44889.267534722203</v>
      </c>
      <c r="I1401" s="3">
        <f ca="1">IFERROR(__xludf.UNSUPPORTED("""COMPUTED_VALUE"""),1)</f>
        <v>1</v>
      </c>
      <c r="J1401" s="4">
        <f ca="1">IFERROR(__xludf.UNSUPPORTED("""COMPUTED_VALUE"""),44889.3092013888)</f>
        <v>44889.309201388802</v>
      </c>
    </row>
    <row r="1402" spans="1:10" ht="12.75">
      <c r="A1402" s="3" t="str">
        <f ca="1">IFERROR(__xludf.UNSUPPORTED("""COMPUTED_VALUE"""),"d5fb69bd")</f>
        <v>d5fb69bd</v>
      </c>
      <c r="B1402" s="4">
        <f ca="1">IFERROR(__xludf.UNSUPPORTED("""COMPUTED_VALUE"""),44890.2625578703)</f>
        <v>44890.262557870301</v>
      </c>
      <c r="C1402" s="8" t="str">
        <f ca="1">IFERROR(__xludf.UNSUPPORTED("""COMPUTED_VALUE"""),"Recife")</f>
        <v>Recife</v>
      </c>
      <c r="D1402" s="3" t="str">
        <f ca="1">IFERROR(__xludf.UNSUPPORTED("""COMPUTED_VALUE"""),"🚢 REGULAR")</f>
        <v>🚢 REGULAR</v>
      </c>
      <c r="E1402" s="3" t="str">
        <f ca="1">IFERROR(__xludf.UNSUPPORTED("""COMPUTED_VALUE"""),"🚛 LIBERADO")</f>
        <v>🚛 LIBERADO</v>
      </c>
      <c r="F1402" s="5">
        <f ca="1">IFERROR(__xludf.UNSUPPORTED("""COMPUTED_VALUE"""),0)</f>
        <v>0</v>
      </c>
      <c r="G1402" s="3" t="str">
        <f ca="1">IFERROR(__xludf.UNSUPPORTED("""COMPUTED_VALUE"""),"Normal")</f>
        <v>Normal</v>
      </c>
      <c r="H1402" s="4">
        <f ca="1">IFERROR(__xludf.UNSUPPORTED("""COMPUTED_VALUE"""),44890.2625578703)</f>
        <v>44890.262557870301</v>
      </c>
      <c r="I1402" s="3">
        <f ca="1">IFERROR(__xludf.UNSUPPORTED("""COMPUTED_VALUE"""),1)</f>
        <v>1</v>
      </c>
      <c r="J1402" s="4">
        <f ca="1">IFERROR(__xludf.UNSUPPORTED("""COMPUTED_VALUE"""),44890.304224537)</f>
        <v>44890.304224537002</v>
      </c>
    </row>
    <row r="1403" spans="1:10" ht="12.75">
      <c r="A1403" s="3" t="str">
        <f ca="1">IFERROR(__xludf.UNSUPPORTED("""COMPUTED_VALUE"""),"6e64b027")</f>
        <v>6e64b027</v>
      </c>
      <c r="B1403" s="4">
        <f ca="1">IFERROR(__xludf.UNSUPPORTED("""COMPUTED_VALUE"""),44891.2614467592)</f>
        <v>44891.261446759199</v>
      </c>
      <c r="C1403" s="7" t="str">
        <f ca="1">IFERROR(__xludf.UNSUPPORTED("""COMPUTED_VALUE"""),"Recife")</f>
        <v>Recife</v>
      </c>
      <c r="D1403" s="3" t="str">
        <f ca="1">IFERROR(__xludf.UNSUPPORTED("""COMPUTED_VALUE"""),"🚢 REGULAR")</f>
        <v>🚢 REGULAR</v>
      </c>
      <c r="E1403" s="3" t="str">
        <f ca="1">IFERROR(__xludf.UNSUPPORTED("""COMPUTED_VALUE"""),"🚛 LIBERADO")</f>
        <v>🚛 LIBERADO</v>
      </c>
      <c r="F1403" s="5">
        <f ca="1">IFERROR(__xludf.UNSUPPORTED("""COMPUTED_VALUE"""),0)</f>
        <v>0</v>
      </c>
      <c r="G1403" s="3" t="str">
        <f ca="1">IFERROR(__xludf.UNSUPPORTED("""COMPUTED_VALUE"""),"Normal")</f>
        <v>Normal</v>
      </c>
      <c r="H1403" s="4">
        <f ca="1">IFERROR(__xludf.UNSUPPORTED("""COMPUTED_VALUE"""),44891.2614467592)</f>
        <v>44891.261446759199</v>
      </c>
      <c r="I1403" s="3">
        <f ca="1">IFERROR(__xludf.UNSUPPORTED("""COMPUTED_VALUE"""),1)</f>
        <v>1</v>
      </c>
      <c r="J1403" s="4">
        <f ca="1">IFERROR(__xludf.UNSUPPORTED("""COMPUTED_VALUE"""),44891.3031134259)</f>
        <v>44891.3031134259</v>
      </c>
    </row>
    <row r="1404" spans="1:10" ht="12.75">
      <c r="A1404" s="3" t="str">
        <f ca="1">IFERROR(__xludf.UNSUPPORTED("""COMPUTED_VALUE"""),"de2d6e08")</f>
        <v>de2d6e08</v>
      </c>
      <c r="B1404" s="4">
        <f ca="1">IFERROR(__xludf.UNSUPPORTED("""COMPUTED_VALUE"""),44892.3407060184)</f>
        <v>44892.340706018404</v>
      </c>
      <c r="C1404" s="7" t="str">
        <f ca="1">IFERROR(__xludf.UNSUPPORTED("""COMPUTED_VALUE"""),"Recife")</f>
        <v>Recife</v>
      </c>
      <c r="D1404" s="3" t="str">
        <f ca="1">IFERROR(__xludf.UNSUPPORTED("""COMPUTED_VALUE"""),"🚢 REGULAR")</f>
        <v>🚢 REGULAR</v>
      </c>
      <c r="E1404" s="3" t="str">
        <f ca="1">IFERROR(__xludf.UNSUPPORTED("""COMPUTED_VALUE"""),"🚛 LIBERADO")</f>
        <v>🚛 LIBERADO</v>
      </c>
      <c r="F1404" s="5">
        <f ca="1">IFERROR(__xludf.UNSUPPORTED("""COMPUTED_VALUE"""),0)</f>
        <v>0</v>
      </c>
      <c r="G1404" s="3" t="str">
        <f ca="1">IFERROR(__xludf.UNSUPPORTED("""COMPUTED_VALUE"""),"Normal")</f>
        <v>Normal</v>
      </c>
      <c r="H1404" s="4">
        <f ca="1">IFERROR(__xludf.UNSUPPORTED("""COMPUTED_VALUE"""),44892.3407060184)</f>
        <v>44892.340706018404</v>
      </c>
      <c r="I1404" s="3">
        <f ca="1">IFERROR(__xludf.UNSUPPORTED("""COMPUTED_VALUE"""),1)</f>
        <v>1</v>
      </c>
      <c r="J1404" s="4">
        <f ca="1">IFERROR(__xludf.UNSUPPORTED("""COMPUTED_VALUE"""),44892.3823726851)</f>
        <v>44892.382372685097</v>
      </c>
    </row>
    <row r="1405" spans="1:10" ht="12.75">
      <c r="A1405" s="3" t="str">
        <f ca="1">IFERROR(__xludf.UNSUPPORTED("""COMPUTED_VALUE"""),"757a6a20")</f>
        <v>757a6a20</v>
      </c>
      <c r="B1405" s="4">
        <f ca="1">IFERROR(__xludf.UNSUPPORTED("""COMPUTED_VALUE"""),44893.3391666666)</f>
        <v>44893.339166666599</v>
      </c>
      <c r="C1405" s="8" t="str">
        <f ca="1">IFERROR(__xludf.UNSUPPORTED("""COMPUTED_VALUE"""),"Recife")</f>
        <v>Recife</v>
      </c>
      <c r="D1405" s="3" t="str">
        <f ca="1">IFERROR(__xludf.UNSUPPORTED("""COMPUTED_VALUE"""),"🚢 REGULAR")</f>
        <v>🚢 REGULAR</v>
      </c>
      <c r="E1405" s="3" t="str">
        <f ca="1">IFERROR(__xludf.UNSUPPORTED("""COMPUTED_VALUE"""),"🚛 LIBERADO")</f>
        <v>🚛 LIBERADO</v>
      </c>
      <c r="F1405" s="5">
        <f ca="1">IFERROR(__xludf.UNSUPPORTED("""COMPUTED_VALUE"""),0)</f>
        <v>0</v>
      </c>
      <c r="G1405" s="3" t="str">
        <f ca="1">IFERROR(__xludf.UNSUPPORTED("""COMPUTED_VALUE"""),"Normal")</f>
        <v>Normal</v>
      </c>
      <c r="H1405" s="4">
        <f ca="1">IFERROR(__xludf.UNSUPPORTED("""COMPUTED_VALUE"""),44893.3391666666)</f>
        <v>44893.339166666599</v>
      </c>
      <c r="I1405" s="3">
        <f ca="1">IFERROR(__xludf.UNSUPPORTED("""COMPUTED_VALUE"""),1)</f>
        <v>1</v>
      </c>
      <c r="J1405" s="4">
        <f ca="1">IFERROR(__xludf.UNSUPPORTED("""COMPUTED_VALUE"""),44893.3808333333)</f>
        <v>44893.3808333333</v>
      </c>
    </row>
    <row r="1406" spans="1:10" ht="12.75">
      <c r="A1406" s="3" t="str">
        <f ca="1">IFERROR(__xludf.UNSUPPORTED("""COMPUTED_VALUE"""),"3b98293e")</f>
        <v>3b98293e</v>
      </c>
      <c r="B1406" s="4">
        <f ca="1">IFERROR(__xludf.UNSUPPORTED("""COMPUTED_VALUE"""),44894.394074074)</f>
        <v>44894.394074074</v>
      </c>
      <c r="C1406" s="8" t="str">
        <f ca="1">IFERROR(__xludf.UNSUPPORTED("""COMPUTED_VALUE"""),"Recife")</f>
        <v>Recife</v>
      </c>
      <c r="D1406" s="3" t="str">
        <f ca="1">IFERROR(__xludf.UNSUPPORTED("""COMPUTED_VALUE"""),"🚢 REGULAR")</f>
        <v>🚢 REGULAR</v>
      </c>
      <c r="E1406" s="3" t="str">
        <f ca="1">IFERROR(__xludf.UNSUPPORTED("""COMPUTED_VALUE"""),"🚛 LIBERADO")</f>
        <v>🚛 LIBERADO</v>
      </c>
      <c r="F1406" s="5">
        <f ca="1">IFERROR(__xludf.UNSUPPORTED("""COMPUTED_VALUE"""),0)</f>
        <v>0</v>
      </c>
      <c r="G1406" s="3" t="str">
        <f ca="1">IFERROR(__xludf.UNSUPPORTED("""COMPUTED_VALUE"""),"Normal")</f>
        <v>Normal</v>
      </c>
      <c r="H1406" s="4">
        <f ca="1">IFERROR(__xludf.UNSUPPORTED("""COMPUTED_VALUE"""),44894.394074074)</f>
        <v>44894.394074074</v>
      </c>
      <c r="I1406" s="3">
        <f ca="1">IFERROR(__xludf.UNSUPPORTED("""COMPUTED_VALUE"""),1)</f>
        <v>1</v>
      </c>
      <c r="J1406" s="4">
        <f ca="1">IFERROR(__xludf.UNSUPPORTED("""COMPUTED_VALUE"""),44894.4357407407)</f>
        <v>44894.435740740701</v>
      </c>
    </row>
    <row r="1407" spans="1:10" ht="12.75">
      <c r="A1407" s="3" t="str">
        <f ca="1">IFERROR(__xludf.UNSUPPORTED("""COMPUTED_VALUE"""),"e97ad34d")</f>
        <v>e97ad34d</v>
      </c>
      <c r="B1407" s="4">
        <f ca="1">IFERROR(__xludf.UNSUPPORTED("""COMPUTED_VALUE"""),44895.3331944444)</f>
        <v>44895.3331944444</v>
      </c>
      <c r="C1407" s="7" t="str">
        <f ca="1">IFERROR(__xludf.UNSUPPORTED("""COMPUTED_VALUE"""),"Recife")</f>
        <v>Recife</v>
      </c>
      <c r="D1407" s="3" t="str">
        <f ca="1">IFERROR(__xludf.UNSUPPORTED("""COMPUTED_VALUE"""),"🚢 REGULAR")</f>
        <v>🚢 REGULAR</v>
      </c>
      <c r="E1407" s="3" t="str">
        <f ca="1">IFERROR(__xludf.UNSUPPORTED("""COMPUTED_VALUE"""),"🚛 LIBERADO")</f>
        <v>🚛 LIBERADO</v>
      </c>
      <c r="F1407" s="5">
        <f ca="1">IFERROR(__xludf.UNSUPPORTED("""COMPUTED_VALUE"""),0)</f>
        <v>0</v>
      </c>
      <c r="G1407" s="3" t="str">
        <f ca="1">IFERROR(__xludf.UNSUPPORTED("""COMPUTED_VALUE"""),"Normal")</f>
        <v>Normal</v>
      </c>
      <c r="H1407" s="4">
        <f ca="1">IFERROR(__xludf.UNSUPPORTED("""COMPUTED_VALUE"""),44895.3331944444)</f>
        <v>44895.3331944444</v>
      </c>
      <c r="I1407" s="3">
        <f ca="1">IFERROR(__xludf.UNSUPPORTED("""COMPUTED_VALUE"""),1)</f>
        <v>1</v>
      </c>
      <c r="J1407" s="4">
        <f ca="1">IFERROR(__xludf.UNSUPPORTED("""COMPUTED_VALUE"""),44895.3748611111)</f>
        <v>44895.3748611111</v>
      </c>
    </row>
    <row r="1408" spans="1:10" ht="12.75">
      <c r="A1408" s="3" t="str">
        <f ca="1">IFERROR(__xludf.UNSUPPORTED("""COMPUTED_VALUE"""),"41849542")</f>
        <v>41849542</v>
      </c>
      <c r="B1408" s="4">
        <f ca="1">IFERROR(__xludf.UNSUPPORTED("""COMPUTED_VALUE"""),44896.3609606481)</f>
        <v>44896.360960648097</v>
      </c>
      <c r="C1408" s="8" t="str">
        <f ca="1">IFERROR(__xludf.UNSUPPORTED("""COMPUTED_VALUE"""),"Recife")</f>
        <v>Recife</v>
      </c>
      <c r="D1408" s="3" t="str">
        <f ca="1">IFERROR(__xludf.UNSUPPORTED("""COMPUTED_VALUE"""),"🚢 REGULAR")</f>
        <v>🚢 REGULAR</v>
      </c>
      <c r="E1408" s="3" t="str">
        <f ca="1">IFERROR(__xludf.UNSUPPORTED("""COMPUTED_VALUE"""),"🚛 LIBERADO")</f>
        <v>🚛 LIBERADO</v>
      </c>
      <c r="F1408" s="5">
        <f ca="1">IFERROR(__xludf.UNSUPPORTED("""COMPUTED_VALUE"""),0)</f>
        <v>0</v>
      </c>
      <c r="G1408" s="3" t="str">
        <f ca="1">IFERROR(__xludf.UNSUPPORTED("""COMPUTED_VALUE"""),"Normal")</f>
        <v>Normal</v>
      </c>
      <c r="H1408" s="4">
        <f ca="1">IFERROR(__xludf.UNSUPPORTED("""COMPUTED_VALUE"""),44896.3609606481)</f>
        <v>44896.360960648097</v>
      </c>
      <c r="I1408" s="3">
        <f ca="1">IFERROR(__xludf.UNSUPPORTED("""COMPUTED_VALUE"""),1)</f>
        <v>1</v>
      </c>
      <c r="J1408" s="4">
        <f ca="1">IFERROR(__xludf.UNSUPPORTED("""COMPUTED_VALUE"""),44896.4026273148)</f>
        <v>44896.402627314797</v>
      </c>
    </row>
    <row r="1409" spans="1:10" ht="12.75">
      <c r="A1409" s="3" t="str">
        <f ca="1">IFERROR(__xludf.UNSUPPORTED("""COMPUTED_VALUE"""),"c4509801")</f>
        <v>c4509801</v>
      </c>
      <c r="B1409" s="4">
        <f ca="1">IFERROR(__xludf.UNSUPPORTED("""COMPUTED_VALUE"""),44897.3593171296)</f>
        <v>44897.359317129602</v>
      </c>
      <c r="C1409" s="8" t="str">
        <f ca="1">IFERROR(__xludf.UNSUPPORTED("""COMPUTED_VALUE"""),"Recife")</f>
        <v>Recife</v>
      </c>
      <c r="D1409" s="3" t="str">
        <f ca="1">IFERROR(__xludf.UNSUPPORTED("""COMPUTED_VALUE"""),"🚢 REGULAR")</f>
        <v>🚢 REGULAR</v>
      </c>
      <c r="E1409" s="3" t="str">
        <f ca="1">IFERROR(__xludf.UNSUPPORTED("""COMPUTED_VALUE"""),"🚛 LIBERADO")</f>
        <v>🚛 LIBERADO</v>
      </c>
      <c r="F1409" s="5">
        <f ca="1">IFERROR(__xludf.UNSUPPORTED("""COMPUTED_VALUE"""),0)</f>
        <v>0</v>
      </c>
      <c r="G1409" s="3" t="str">
        <f ca="1">IFERROR(__xludf.UNSUPPORTED("""COMPUTED_VALUE"""),"Normal")</f>
        <v>Normal</v>
      </c>
      <c r="H1409" s="4">
        <f ca="1">IFERROR(__xludf.UNSUPPORTED("""COMPUTED_VALUE"""),44897.3593171296)</f>
        <v>44897.359317129602</v>
      </c>
      <c r="I1409" s="3">
        <f ca="1">IFERROR(__xludf.UNSUPPORTED("""COMPUTED_VALUE"""),1)</f>
        <v>1</v>
      </c>
      <c r="J1409" s="4">
        <f ca="1">IFERROR(__xludf.UNSUPPORTED("""COMPUTED_VALUE"""),44897.4009837962)</f>
        <v>44897.4009837962</v>
      </c>
    </row>
    <row r="1410" spans="1:10" ht="12.75">
      <c r="A1410" s="3" t="str">
        <f ca="1">IFERROR(__xludf.UNSUPPORTED("""COMPUTED_VALUE"""),"7ccc44ee")</f>
        <v>7ccc44ee</v>
      </c>
      <c r="B1410" s="4">
        <f ca="1">IFERROR(__xludf.UNSUPPORTED("""COMPUTED_VALUE"""),44900.389375)</f>
        <v>44900.389374999999</v>
      </c>
      <c r="C1410" s="8" t="str">
        <f ca="1">IFERROR(__xludf.UNSUPPORTED("""COMPUTED_VALUE"""),"Recife")</f>
        <v>Recife</v>
      </c>
      <c r="D1410" s="3" t="str">
        <f ca="1">IFERROR(__xludf.UNSUPPORTED("""COMPUTED_VALUE"""),"🚢 REGULAR")</f>
        <v>🚢 REGULAR</v>
      </c>
      <c r="E1410" s="3" t="str">
        <f ca="1">IFERROR(__xludf.UNSUPPORTED("""COMPUTED_VALUE"""),"🚛 LIBERADO")</f>
        <v>🚛 LIBERADO</v>
      </c>
      <c r="F1410" s="5">
        <f ca="1">IFERROR(__xludf.UNSUPPORTED("""COMPUTED_VALUE"""),0)</f>
        <v>0</v>
      </c>
      <c r="G1410" s="3" t="str">
        <f ca="1">IFERROR(__xludf.UNSUPPORTED("""COMPUTED_VALUE"""),"Normal")</f>
        <v>Normal</v>
      </c>
      <c r="H1410" s="4">
        <f ca="1">IFERROR(__xludf.UNSUPPORTED("""COMPUTED_VALUE"""),44900.389375)</f>
        <v>44900.389374999999</v>
      </c>
      <c r="I1410" s="3">
        <f ca="1">IFERROR(__xludf.UNSUPPORTED("""COMPUTED_VALUE"""),1)</f>
        <v>1</v>
      </c>
      <c r="J1410" s="4">
        <f ca="1">IFERROR(__xludf.UNSUPPORTED("""COMPUTED_VALUE"""),44900.4310416666)</f>
        <v>44900.431041666598</v>
      </c>
    </row>
    <row r="1411" spans="1:10" ht="12.75">
      <c r="A1411" s="3" t="str">
        <f ca="1">IFERROR(__xludf.UNSUPPORTED("""COMPUTED_VALUE"""),"b5184d18")</f>
        <v>b5184d18</v>
      </c>
      <c r="B1411" s="4">
        <f ca="1">IFERROR(__xludf.UNSUPPORTED("""COMPUTED_VALUE"""),44901.375324074)</f>
        <v>44901.375324073997</v>
      </c>
      <c r="C1411" s="7" t="str">
        <f ca="1">IFERROR(__xludf.UNSUPPORTED("""COMPUTED_VALUE"""),"Recife")</f>
        <v>Recife</v>
      </c>
      <c r="D1411" s="3" t="str">
        <f ca="1">IFERROR(__xludf.UNSUPPORTED("""COMPUTED_VALUE"""),"🚢 REGULAR")</f>
        <v>🚢 REGULAR</v>
      </c>
      <c r="E1411" s="3" t="str">
        <f ca="1">IFERROR(__xludf.UNSUPPORTED("""COMPUTED_VALUE"""),"🚛 LIBERADO")</f>
        <v>🚛 LIBERADO</v>
      </c>
      <c r="F1411" s="5">
        <f ca="1">IFERROR(__xludf.UNSUPPORTED("""COMPUTED_VALUE"""),0)</f>
        <v>0</v>
      </c>
      <c r="G1411" s="3" t="str">
        <f ca="1">IFERROR(__xludf.UNSUPPORTED("""COMPUTED_VALUE"""),"Normal")</f>
        <v>Normal</v>
      </c>
      <c r="H1411" s="4">
        <f ca="1">IFERROR(__xludf.UNSUPPORTED("""COMPUTED_VALUE"""),44901.375324074)</f>
        <v>44901.375324073997</v>
      </c>
      <c r="I1411" s="3">
        <f ca="1">IFERROR(__xludf.UNSUPPORTED("""COMPUTED_VALUE"""),1)</f>
        <v>1</v>
      </c>
      <c r="J1411" s="4">
        <f ca="1">IFERROR(__xludf.UNSUPPORTED("""COMPUTED_VALUE"""),44901.4169907407)</f>
        <v>44901.416990740698</v>
      </c>
    </row>
    <row r="1412" spans="1:10" ht="12.75">
      <c r="A1412" s="3" t="str">
        <f ca="1">IFERROR(__xludf.UNSUPPORTED("""COMPUTED_VALUE"""),"9e04f142")</f>
        <v>9e04f142</v>
      </c>
      <c r="B1412" s="4">
        <f ca="1">IFERROR(__xludf.UNSUPPORTED("""COMPUTED_VALUE"""),44902.326875)</f>
        <v>44902.326874999999</v>
      </c>
      <c r="C1412" s="7" t="str">
        <f ca="1">IFERROR(__xludf.UNSUPPORTED("""COMPUTED_VALUE"""),"Recife")</f>
        <v>Recife</v>
      </c>
      <c r="D1412" s="3" t="str">
        <f ca="1">IFERROR(__xludf.UNSUPPORTED("""COMPUTED_VALUE"""),"🚢 REGULAR")</f>
        <v>🚢 REGULAR</v>
      </c>
      <c r="E1412" s="3" t="str">
        <f ca="1">IFERROR(__xludf.UNSUPPORTED("""COMPUTED_VALUE"""),"🚛 LIBERADO")</f>
        <v>🚛 LIBERADO</v>
      </c>
      <c r="F1412" s="5">
        <f ca="1">IFERROR(__xludf.UNSUPPORTED("""COMPUTED_VALUE"""),0)</f>
        <v>0</v>
      </c>
      <c r="G1412" s="3" t="str">
        <f ca="1">IFERROR(__xludf.UNSUPPORTED("""COMPUTED_VALUE"""),"Normal")</f>
        <v>Normal</v>
      </c>
      <c r="H1412" s="4">
        <f ca="1">IFERROR(__xludf.UNSUPPORTED("""COMPUTED_VALUE"""),44902.326875)</f>
        <v>44902.326874999999</v>
      </c>
      <c r="I1412" s="3">
        <f ca="1">IFERROR(__xludf.UNSUPPORTED("""COMPUTED_VALUE"""),1)</f>
        <v>1</v>
      </c>
      <c r="J1412" s="4">
        <f ca="1">IFERROR(__xludf.UNSUPPORTED("""COMPUTED_VALUE"""),44902.3685416666)</f>
        <v>44902.368541666598</v>
      </c>
    </row>
    <row r="1413" spans="1:10" ht="12.75">
      <c r="A1413" s="3" t="str">
        <f ca="1">IFERROR(__xludf.UNSUPPORTED("""COMPUTED_VALUE"""),"f9c5e8c1")</f>
        <v>f9c5e8c1</v>
      </c>
      <c r="B1413" s="4">
        <f ca="1">IFERROR(__xludf.UNSUPPORTED("""COMPUTED_VALUE"""),44903.3227199074)</f>
        <v>44903.322719907403</v>
      </c>
      <c r="C1413" s="8" t="str">
        <f ca="1">IFERROR(__xludf.UNSUPPORTED("""COMPUTED_VALUE"""),"Recife")</f>
        <v>Recife</v>
      </c>
      <c r="D1413" s="3" t="str">
        <f ca="1">IFERROR(__xludf.UNSUPPORTED("""COMPUTED_VALUE"""),"🚢 REGULAR")</f>
        <v>🚢 REGULAR</v>
      </c>
      <c r="E1413" s="3" t="str">
        <f ca="1">IFERROR(__xludf.UNSUPPORTED("""COMPUTED_VALUE"""),"🚛 LIBERADO")</f>
        <v>🚛 LIBERADO</v>
      </c>
      <c r="F1413" s="5">
        <f ca="1">IFERROR(__xludf.UNSUPPORTED("""COMPUTED_VALUE"""),0)</f>
        <v>0</v>
      </c>
      <c r="G1413" s="3" t="str">
        <f ca="1">IFERROR(__xludf.UNSUPPORTED("""COMPUTED_VALUE"""),"Normal")</f>
        <v>Normal</v>
      </c>
      <c r="H1413" s="4">
        <f ca="1">IFERROR(__xludf.UNSUPPORTED("""COMPUTED_VALUE"""),44903.3227199074)</f>
        <v>44903.322719907403</v>
      </c>
      <c r="I1413" s="3">
        <f ca="1">IFERROR(__xludf.UNSUPPORTED("""COMPUTED_VALUE"""),1)</f>
        <v>1</v>
      </c>
      <c r="J1413" s="4">
        <f ca="1">IFERROR(__xludf.UNSUPPORTED("""COMPUTED_VALUE"""),44903.364386574)</f>
        <v>44903.364386574001</v>
      </c>
    </row>
    <row r="1414" spans="1:10" ht="12.75">
      <c r="A1414" s="3" t="str">
        <f ca="1">IFERROR(__xludf.UNSUPPORTED("""COMPUTED_VALUE"""),"68a56b8f")</f>
        <v>68a56b8f</v>
      </c>
      <c r="B1414" s="4">
        <f ca="1">IFERROR(__xludf.UNSUPPORTED("""COMPUTED_VALUE"""),44904.3693981481)</f>
        <v>44904.369398148097</v>
      </c>
      <c r="C1414" s="8" t="str">
        <f ca="1">IFERROR(__xludf.UNSUPPORTED("""COMPUTED_VALUE"""),"Recife")</f>
        <v>Recife</v>
      </c>
      <c r="D1414" s="3" t="str">
        <f ca="1">IFERROR(__xludf.UNSUPPORTED("""COMPUTED_VALUE"""),"🚢 REGULAR")</f>
        <v>🚢 REGULAR</v>
      </c>
      <c r="E1414" s="3" t="str">
        <f ca="1">IFERROR(__xludf.UNSUPPORTED("""COMPUTED_VALUE"""),"🚛 LIBERADO")</f>
        <v>🚛 LIBERADO</v>
      </c>
      <c r="F1414" s="5">
        <f ca="1">IFERROR(__xludf.UNSUPPORTED("""COMPUTED_VALUE"""),0)</f>
        <v>0</v>
      </c>
      <c r="G1414" s="3" t="str">
        <f ca="1">IFERROR(__xludf.UNSUPPORTED("""COMPUTED_VALUE"""),"Normal")</f>
        <v>Normal</v>
      </c>
      <c r="H1414" s="4">
        <f ca="1">IFERROR(__xludf.UNSUPPORTED("""COMPUTED_VALUE"""),44904.3693981481)</f>
        <v>44904.369398148097</v>
      </c>
      <c r="I1414" s="3">
        <f ca="1">IFERROR(__xludf.UNSUPPORTED("""COMPUTED_VALUE"""),1)</f>
        <v>1</v>
      </c>
      <c r="J1414" s="4">
        <f ca="1">IFERROR(__xludf.UNSUPPORTED("""COMPUTED_VALUE"""),44904.4110648148)</f>
        <v>44904.411064814798</v>
      </c>
    </row>
    <row r="1415" spans="1:10" ht="12.75">
      <c r="A1415" s="3" t="str">
        <f ca="1">IFERROR(__xludf.UNSUPPORTED("""COMPUTED_VALUE"""),"fa31a333")</f>
        <v>fa31a333</v>
      </c>
      <c r="B1415" s="4">
        <f ca="1">IFERROR(__xludf.UNSUPPORTED("""COMPUTED_VALUE"""),44907.3870138888)</f>
        <v>44907.387013888801</v>
      </c>
      <c r="C1415" s="7" t="str">
        <f ca="1">IFERROR(__xludf.UNSUPPORTED("""COMPUTED_VALUE"""),"Recife")</f>
        <v>Recife</v>
      </c>
      <c r="D1415" s="3" t="str">
        <f ca="1">IFERROR(__xludf.UNSUPPORTED("""COMPUTED_VALUE"""),"🚢 REGULAR")</f>
        <v>🚢 REGULAR</v>
      </c>
      <c r="E1415" s="3" t="str">
        <f ca="1">IFERROR(__xludf.UNSUPPORTED("""COMPUTED_VALUE"""),"🚛 LIBERADO")</f>
        <v>🚛 LIBERADO</v>
      </c>
      <c r="F1415" s="5">
        <f ca="1">IFERROR(__xludf.UNSUPPORTED("""COMPUTED_VALUE"""),0)</f>
        <v>0</v>
      </c>
      <c r="G1415" s="3" t="str">
        <f ca="1">IFERROR(__xludf.UNSUPPORTED("""COMPUTED_VALUE"""),"Normal")</f>
        <v>Normal</v>
      </c>
      <c r="H1415" s="4">
        <f ca="1">IFERROR(__xludf.UNSUPPORTED("""COMPUTED_VALUE"""),44907.3870138888)</f>
        <v>44907.387013888801</v>
      </c>
      <c r="I1415" s="3">
        <f ca="1">IFERROR(__xludf.UNSUPPORTED("""COMPUTED_VALUE"""),1)</f>
        <v>1</v>
      </c>
      <c r="J1415" s="4">
        <f ca="1">IFERROR(__xludf.UNSUPPORTED("""COMPUTED_VALUE"""),44907.4286805555)</f>
        <v>44907.428680555502</v>
      </c>
    </row>
    <row r="1416" spans="1:10" ht="12.75">
      <c r="A1416" s="3" t="str">
        <f ca="1">IFERROR(__xludf.UNSUPPORTED("""COMPUTED_VALUE"""),"1fca6291")</f>
        <v>1fca6291</v>
      </c>
      <c r="B1416" s="4">
        <f ca="1">IFERROR(__xludf.UNSUPPORTED("""COMPUTED_VALUE"""),44908.3668981481)</f>
        <v>44908.366898148102</v>
      </c>
      <c r="C1416" s="8" t="str">
        <f ca="1">IFERROR(__xludf.UNSUPPORTED("""COMPUTED_VALUE"""),"Recife")</f>
        <v>Recife</v>
      </c>
      <c r="D1416" s="3" t="str">
        <f ca="1">IFERROR(__xludf.UNSUPPORTED("""COMPUTED_VALUE"""),"🚢 REGULAR")</f>
        <v>🚢 REGULAR</v>
      </c>
      <c r="E1416" s="3" t="str">
        <f ca="1">IFERROR(__xludf.UNSUPPORTED("""COMPUTED_VALUE"""),"🚛 LIBERADO")</f>
        <v>🚛 LIBERADO</v>
      </c>
      <c r="F1416" s="5">
        <f ca="1">IFERROR(__xludf.UNSUPPORTED("""COMPUTED_VALUE"""),0)</f>
        <v>0</v>
      </c>
      <c r="G1416" s="3" t="str">
        <f ca="1">IFERROR(__xludf.UNSUPPORTED("""COMPUTED_VALUE"""),"Normal")</f>
        <v>Normal</v>
      </c>
      <c r="H1416" s="4">
        <f ca="1">IFERROR(__xludf.UNSUPPORTED("""COMPUTED_VALUE"""),44908.3668981481)</f>
        <v>44908.366898148102</v>
      </c>
      <c r="I1416" s="3">
        <f ca="1">IFERROR(__xludf.UNSUPPORTED("""COMPUTED_VALUE"""),1)</f>
        <v>1</v>
      </c>
      <c r="J1416" s="4">
        <f ca="1">IFERROR(__xludf.UNSUPPORTED("""COMPUTED_VALUE"""),44908.4085648148)</f>
        <v>44908.408564814803</v>
      </c>
    </row>
    <row r="1417" spans="1:10" ht="12.75">
      <c r="A1417" s="3" t="str">
        <f ca="1">IFERROR(__xludf.UNSUPPORTED("""COMPUTED_VALUE"""),"80195acf")</f>
        <v>80195acf</v>
      </c>
      <c r="B1417" s="4">
        <f ca="1">IFERROR(__xludf.UNSUPPORTED("""COMPUTED_VALUE"""),44909.3725462963)</f>
        <v>44909.372546296298</v>
      </c>
      <c r="C1417" s="8" t="str">
        <f ca="1">IFERROR(__xludf.UNSUPPORTED("""COMPUTED_VALUE"""),"Recife")</f>
        <v>Recife</v>
      </c>
      <c r="D1417" s="3" t="str">
        <f ca="1">IFERROR(__xludf.UNSUPPORTED("""COMPUTED_VALUE"""),"🚢 REGULAR")</f>
        <v>🚢 REGULAR</v>
      </c>
      <c r="E1417" s="3" t="str">
        <f ca="1">IFERROR(__xludf.UNSUPPORTED("""COMPUTED_VALUE"""),"🚛 LIBERADO")</f>
        <v>🚛 LIBERADO</v>
      </c>
      <c r="F1417" s="5">
        <f ca="1">IFERROR(__xludf.UNSUPPORTED("""COMPUTED_VALUE"""),0)</f>
        <v>0</v>
      </c>
      <c r="G1417" s="3" t="str">
        <f ca="1">IFERROR(__xludf.UNSUPPORTED("""COMPUTED_VALUE"""),"Normal")</f>
        <v>Normal</v>
      </c>
      <c r="H1417" s="4">
        <f ca="1">IFERROR(__xludf.UNSUPPORTED("""COMPUTED_VALUE"""),44909.3725462963)</f>
        <v>44909.372546296298</v>
      </c>
      <c r="I1417" s="3">
        <f ca="1">IFERROR(__xludf.UNSUPPORTED("""COMPUTED_VALUE"""),1)</f>
        <v>1</v>
      </c>
      <c r="J1417" s="4">
        <f ca="1">IFERROR(__xludf.UNSUPPORTED("""COMPUTED_VALUE"""),44909.4142129629)</f>
        <v>44909.414212962904</v>
      </c>
    </row>
    <row r="1418" spans="1:10" ht="12.75">
      <c r="A1418" s="3" t="str">
        <f ca="1">IFERROR(__xludf.UNSUPPORTED("""COMPUTED_VALUE"""),"e0cd2884")</f>
        <v>e0cd2884</v>
      </c>
      <c r="B1418" s="4">
        <f ca="1">IFERROR(__xludf.UNSUPPORTED("""COMPUTED_VALUE"""),44910.3524537037)</f>
        <v>44910.352453703701</v>
      </c>
      <c r="C1418" s="8" t="str">
        <f ca="1">IFERROR(__xludf.UNSUPPORTED("""COMPUTED_VALUE"""),"Recife")</f>
        <v>Recife</v>
      </c>
      <c r="D1418" s="3" t="str">
        <f ca="1">IFERROR(__xludf.UNSUPPORTED("""COMPUTED_VALUE"""),"🚢 REGULAR")</f>
        <v>🚢 REGULAR</v>
      </c>
      <c r="E1418" s="3" t="str">
        <f ca="1">IFERROR(__xludf.UNSUPPORTED("""COMPUTED_VALUE"""),"🚛 LIBERADO")</f>
        <v>🚛 LIBERADO</v>
      </c>
      <c r="F1418" s="5">
        <f ca="1">IFERROR(__xludf.UNSUPPORTED("""COMPUTED_VALUE"""),0)</f>
        <v>0</v>
      </c>
      <c r="G1418" s="3" t="str">
        <f ca="1">IFERROR(__xludf.UNSUPPORTED("""COMPUTED_VALUE"""),"Normal")</f>
        <v>Normal</v>
      </c>
      <c r="H1418" s="4">
        <f ca="1">IFERROR(__xludf.UNSUPPORTED("""COMPUTED_VALUE"""),44910.3524537037)</f>
        <v>44910.352453703701</v>
      </c>
      <c r="I1418" s="3">
        <f ca="1">IFERROR(__xludf.UNSUPPORTED("""COMPUTED_VALUE"""),1)</f>
        <v>1</v>
      </c>
      <c r="J1418" s="4">
        <f ca="1">IFERROR(__xludf.UNSUPPORTED("""COMPUTED_VALUE"""),44910.3941203703)</f>
        <v>44910.3941203703</v>
      </c>
    </row>
    <row r="1419" spans="1:10" ht="12.75">
      <c r="A1419" s="3" t="str">
        <f ca="1">IFERROR(__xludf.UNSUPPORTED("""COMPUTED_VALUE"""),"8dec8648")</f>
        <v>8dec8648</v>
      </c>
      <c r="B1419" s="4">
        <f ca="1">IFERROR(__xludf.UNSUPPORTED("""COMPUTED_VALUE"""),44911.3627083333)</f>
        <v>44911.362708333298</v>
      </c>
      <c r="C1419" s="7" t="str">
        <f ca="1">IFERROR(__xludf.UNSUPPORTED("""COMPUTED_VALUE"""),"Recife")</f>
        <v>Recife</v>
      </c>
      <c r="D1419" s="3" t="str">
        <f ca="1">IFERROR(__xludf.UNSUPPORTED("""COMPUTED_VALUE"""),"🚢 REGULAR")</f>
        <v>🚢 REGULAR</v>
      </c>
      <c r="E1419" s="3" t="str">
        <f ca="1">IFERROR(__xludf.UNSUPPORTED("""COMPUTED_VALUE"""),"🚛 LIBERADO")</f>
        <v>🚛 LIBERADO</v>
      </c>
      <c r="F1419" s="5">
        <f ca="1">IFERROR(__xludf.UNSUPPORTED("""COMPUTED_VALUE"""),0)</f>
        <v>0</v>
      </c>
      <c r="G1419" s="3" t="str">
        <f ca="1">IFERROR(__xludf.UNSUPPORTED("""COMPUTED_VALUE"""),"Normal")</f>
        <v>Normal</v>
      </c>
      <c r="H1419" s="4">
        <f ca="1">IFERROR(__xludf.UNSUPPORTED("""COMPUTED_VALUE"""),44911.3627083333)</f>
        <v>44911.362708333298</v>
      </c>
      <c r="I1419" s="3">
        <f ca="1">IFERROR(__xludf.UNSUPPORTED("""COMPUTED_VALUE"""),1)</f>
        <v>1</v>
      </c>
      <c r="J1419" s="4">
        <f ca="1">IFERROR(__xludf.UNSUPPORTED("""COMPUTED_VALUE"""),44911.404375)</f>
        <v>44911.404374999998</v>
      </c>
    </row>
    <row r="1420" spans="1:10" ht="12.75">
      <c r="A1420" s="3" t="str">
        <f ca="1">IFERROR(__xludf.UNSUPPORTED("""COMPUTED_VALUE"""),"fe70655f")</f>
        <v>fe70655f</v>
      </c>
      <c r="B1420" s="4">
        <f ca="1">IFERROR(__xludf.UNSUPPORTED("""COMPUTED_VALUE"""),44912.6118171296)</f>
        <v>44912.611817129597</v>
      </c>
      <c r="C1420" s="8" t="str">
        <f ca="1">IFERROR(__xludf.UNSUPPORTED("""COMPUTED_VALUE"""),"Recife")</f>
        <v>Recife</v>
      </c>
      <c r="D1420" s="3" t="str">
        <f ca="1">IFERROR(__xludf.UNSUPPORTED("""COMPUTED_VALUE"""),"🚢 REGULAR")</f>
        <v>🚢 REGULAR</v>
      </c>
      <c r="E1420" s="3" t="str">
        <f ca="1">IFERROR(__xludf.UNSUPPORTED("""COMPUTED_VALUE"""),"🚛 LIBERADO")</f>
        <v>🚛 LIBERADO</v>
      </c>
      <c r="F1420" s="5">
        <f ca="1">IFERROR(__xludf.UNSUPPORTED("""COMPUTED_VALUE"""),0)</f>
        <v>0</v>
      </c>
      <c r="G1420" s="3" t="str">
        <f ca="1">IFERROR(__xludf.UNSUPPORTED("""COMPUTED_VALUE"""),"Normal")</f>
        <v>Normal</v>
      </c>
      <c r="H1420" s="4">
        <f ca="1">IFERROR(__xludf.UNSUPPORTED("""COMPUTED_VALUE"""),44912.6118171296)</f>
        <v>44912.611817129597</v>
      </c>
      <c r="I1420" s="3">
        <f ca="1">IFERROR(__xludf.UNSUPPORTED("""COMPUTED_VALUE"""),1)</f>
        <v>1</v>
      </c>
      <c r="J1420" s="4">
        <f ca="1">IFERROR(__xludf.UNSUPPORTED("""COMPUTED_VALUE"""),44912.6534837963)</f>
        <v>44912.653483796297</v>
      </c>
    </row>
    <row r="1421" spans="1:10" ht="12.75">
      <c r="A1421" s="3" t="str">
        <f ca="1">IFERROR(__xludf.UNSUPPORTED("""COMPUTED_VALUE"""),"ebee90e8")</f>
        <v>ebee90e8</v>
      </c>
      <c r="B1421" s="4">
        <f ca="1">IFERROR(__xludf.UNSUPPORTED("""COMPUTED_VALUE"""),44913.3691898148)</f>
        <v>44913.369189814803</v>
      </c>
      <c r="C1421" s="7" t="str">
        <f ca="1">IFERROR(__xludf.UNSUPPORTED("""COMPUTED_VALUE"""),"Recife")</f>
        <v>Recife</v>
      </c>
      <c r="D1421" s="3" t="str">
        <f ca="1">IFERROR(__xludf.UNSUPPORTED("""COMPUTED_VALUE"""),"🚢 REGULAR")</f>
        <v>🚢 REGULAR</v>
      </c>
      <c r="E1421" s="3" t="str">
        <f ca="1">IFERROR(__xludf.UNSUPPORTED("""COMPUTED_VALUE"""),"🚛 LIBERADO")</f>
        <v>🚛 LIBERADO</v>
      </c>
      <c r="F1421" s="5">
        <f ca="1">IFERROR(__xludf.UNSUPPORTED("""COMPUTED_VALUE"""),0)</f>
        <v>0</v>
      </c>
      <c r="G1421" s="3" t="str">
        <f ca="1">IFERROR(__xludf.UNSUPPORTED("""COMPUTED_VALUE"""),"Normal")</f>
        <v>Normal</v>
      </c>
      <c r="H1421" s="4">
        <f ca="1">IFERROR(__xludf.UNSUPPORTED("""COMPUTED_VALUE"""),44913.3691898148)</f>
        <v>44913.369189814803</v>
      </c>
      <c r="I1421" s="3">
        <f ca="1">IFERROR(__xludf.UNSUPPORTED("""COMPUTED_VALUE"""),1)</f>
        <v>1</v>
      </c>
      <c r="J1421" s="4">
        <f ca="1">IFERROR(__xludf.UNSUPPORTED("""COMPUTED_VALUE"""),44913.4108564814)</f>
        <v>44913.410856481401</v>
      </c>
    </row>
    <row r="1422" spans="1:10" ht="12.75">
      <c r="A1422" s="3" t="str">
        <f ca="1">IFERROR(__xludf.UNSUPPORTED("""COMPUTED_VALUE"""),"1979aab8")</f>
        <v>1979aab8</v>
      </c>
      <c r="B1422" s="4">
        <f ca="1">IFERROR(__xludf.UNSUPPORTED("""COMPUTED_VALUE"""),44914.3451504629)</f>
        <v>44914.345150462897</v>
      </c>
      <c r="C1422" s="8" t="str">
        <f ca="1">IFERROR(__xludf.UNSUPPORTED("""COMPUTED_VALUE"""),"Recife")</f>
        <v>Recife</v>
      </c>
      <c r="D1422" s="3" t="str">
        <f ca="1">IFERROR(__xludf.UNSUPPORTED("""COMPUTED_VALUE"""),"🚢 REGULAR")</f>
        <v>🚢 REGULAR</v>
      </c>
      <c r="E1422" s="3" t="str">
        <f ca="1">IFERROR(__xludf.UNSUPPORTED("""COMPUTED_VALUE"""),"🚛 LIBERADO")</f>
        <v>🚛 LIBERADO</v>
      </c>
      <c r="F1422" s="5">
        <f ca="1">IFERROR(__xludf.UNSUPPORTED("""COMPUTED_VALUE"""),0)</f>
        <v>0</v>
      </c>
      <c r="G1422" s="3" t="str">
        <f ca="1">IFERROR(__xludf.UNSUPPORTED("""COMPUTED_VALUE"""),"Normal")</f>
        <v>Normal</v>
      </c>
      <c r="H1422" s="4">
        <f ca="1">IFERROR(__xludf.UNSUPPORTED("""COMPUTED_VALUE"""),44914.3451504629)</f>
        <v>44914.345150462897</v>
      </c>
      <c r="I1422" s="3">
        <f ca="1">IFERROR(__xludf.UNSUPPORTED("""COMPUTED_VALUE"""),1)</f>
        <v>1</v>
      </c>
      <c r="J1422" s="4">
        <f ca="1">IFERROR(__xludf.UNSUPPORTED("""COMPUTED_VALUE"""),44914.3868171296)</f>
        <v>44914.386817129598</v>
      </c>
    </row>
    <row r="1423" spans="1:10" ht="12.75">
      <c r="A1423" s="3" t="str">
        <f ca="1">IFERROR(__xludf.UNSUPPORTED("""COMPUTED_VALUE"""),"9a33ad18")</f>
        <v>9a33ad18</v>
      </c>
      <c r="B1423" s="4">
        <f ca="1">IFERROR(__xludf.UNSUPPORTED("""COMPUTED_VALUE"""),44915.2686689814)</f>
        <v>44915.2686689814</v>
      </c>
      <c r="C1423" s="8" t="str">
        <f ca="1">IFERROR(__xludf.UNSUPPORTED("""COMPUTED_VALUE"""),"Recife")</f>
        <v>Recife</v>
      </c>
      <c r="D1423" s="3" t="str">
        <f ca="1">IFERROR(__xludf.UNSUPPORTED("""COMPUTED_VALUE"""),"🚢 REGULAR")</f>
        <v>🚢 REGULAR</v>
      </c>
      <c r="E1423" s="3" t="str">
        <f ca="1">IFERROR(__xludf.UNSUPPORTED("""COMPUTED_VALUE"""),"🚛 LIBERADO")</f>
        <v>🚛 LIBERADO</v>
      </c>
      <c r="F1423" s="5">
        <f ca="1">IFERROR(__xludf.UNSUPPORTED("""COMPUTED_VALUE"""),0)</f>
        <v>0</v>
      </c>
      <c r="G1423" s="3" t="str">
        <f ca="1">IFERROR(__xludf.UNSUPPORTED("""COMPUTED_VALUE"""),"Normal")</f>
        <v>Normal</v>
      </c>
      <c r="H1423" s="4">
        <f ca="1">IFERROR(__xludf.UNSUPPORTED("""COMPUTED_VALUE"""),44915.2686689814)</f>
        <v>44915.2686689814</v>
      </c>
      <c r="I1423" s="3">
        <f ca="1">IFERROR(__xludf.UNSUPPORTED("""COMPUTED_VALUE"""),1)</f>
        <v>1</v>
      </c>
      <c r="J1423" s="4">
        <f ca="1">IFERROR(__xludf.UNSUPPORTED("""COMPUTED_VALUE"""),44915.3103356481)</f>
        <v>44915.310335648101</v>
      </c>
    </row>
    <row r="1424" spans="1:10" ht="12.75">
      <c r="A1424" s="3" t="str">
        <f ca="1">IFERROR(__xludf.UNSUPPORTED("""COMPUTED_VALUE"""),"5ee859e4")</f>
        <v>5ee859e4</v>
      </c>
      <c r="B1424" s="4">
        <f ca="1">IFERROR(__xludf.UNSUPPORTED("""COMPUTED_VALUE"""),44916.3704861111)</f>
        <v>44916.370486111096</v>
      </c>
      <c r="C1424" s="8" t="str">
        <f ca="1">IFERROR(__xludf.UNSUPPORTED("""COMPUTED_VALUE"""),"Recife")</f>
        <v>Recife</v>
      </c>
      <c r="D1424" s="3" t="str">
        <f ca="1">IFERROR(__xludf.UNSUPPORTED("""COMPUTED_VALUE"""),"🚢 REGULAR")</f>
        <v>🚢 REGULAR</v>
      </c>
      <c r="E1424" s="3" t="str">
        <f ca="1">IFERROR(__xludf.UNSUPPORTED("""COMPUTED_VALUE"""),"🚛 LIBERADO")</f>
        <v>🚛 LIBERADO</v>
      </c>
      <c r="F1424" s="5">
        <f ca="1">IFERROR(__xludf.UNSUPPORTED("""COMPUTED_VALUE"""),0)</f>
        <v>0</v>
      </c>
      <c r="G1424" s="3" t="str">
        <f ca="1">IFERROR(__xludf.UNSUPPORTED("""COMPUTED_VALUE"""),"Normal")</f>
        <v>Normal</v>
      </c>
      <c r="H1424" s="4">
        <f ca="1">IFERROR(__xludf.UNSUPPORTED("""COMPUTED_VALUE"""),44916.3704861111)</f>
        <v>44916.370486111096</v>
      </c>
      <c r="I1424" s="3">
        <f ca="1">IFERROR(__xludf.UNSUPPORTED("""COMPUTED_VALUE"""),1)</f>
        <v>1</v>
      </c>
      <c r="J1424" s="4">
        <f ca="1">IFERROR(__xludf.UNSUPPORTED("""COMPUTED_VALUE"""),44916.4121527777)</f>
        <v>44916.412152777702</v>
      </c>
    </row>
    <row r="1425" spans="1:12" ht="12.75">
      <c r="A1425" s="3" t="str">
        <f ca="1">IFERROR(__xludf.UNSUPPORTED("""COMPUTED_VALUE"""),"067daf0a")</f>
        <v>067daf0a</v>
      </c>
      <c r="B1425" s="4">
        <f ca="1">IFERROR(__xludf.UNSUPPORTED("""COMPUTED_VALUE"""),44918.3835300925)</f>
        <v>44918.383530092498</v>
      </c>
      <c r="C1425" s="7" t="str">
        <f ca="1">IFERROR(__xludf.UNSUPPORTED("""COMPUTED_VALUE"""),"Recife")</f>
        <v>Recife</v>
      </c>
      <c r="D1425" s="3" t="str">
        <f ca="1">IFERROR(__xludf.UNSUPPORTED("""COMPUTED_VALUE"""),"🚢 REGULAR")</f>
        <v>🚢 REGULAR</v>
      </c>
      <c r="E1425" s="3" t="str">
        <f ca="1">IFERROR(__xludf.UNSUPPORTED("""COMPUTED_VALUE"""),"🚛 LIBERADO")</f>
        <v>🚛 LIBERADO</v>
      </c>
      <c r="F1425" s="5">
        <f ca="1">IFERROR(__xludf.UNSUPPORTED("""COMPUTED_VALUE"""),0)</f>
        <v>0</v>
      </c>
      <c r="G1425" s="3" t="str">
        <f ca="1">IFERROR(__xludf.UNSUPPORTED("""COMPUTED_VALUE"""),"Normal")</f>
        <v>Normal</v>
      </c>
      <c r="H1425" s="4">
        <f ca="1">IFERROR(__xludf.UNSUPPORTED("""COMPUTED_VALUE"""),44918.3835300925)</f>
        <v>44918.383530092498</v>
      </c>
      <c r="I1425" s="3">
        <f ca="1">IFERROR(__xludf.UNSUPPORTED("""COMPUTED_VALUE"""),1)</f>
        <v>1</v>
      </c>
      <c r="J1425" s="4">
        <f ca="1">IFERROR(__xludf.UNSUPPORTED("""COMPUTED_VALUE"""),44918.4251967592)</f>
        <v>44918.425196759199</v>
      </c>
    </row>
    <row r="1426" spans="1:12" ht="12.75">
      <c r="A1426" s="3" t="str">
        <f ca="1">IFERROR(__xludf.UNSUPPORTED("""COMPUTED_VALUE"""),"72d712f7")</f>
        <v>72d712f7</v>
      </c>
      <c r="B1426" s="4">
        <f ca="1">IFERROR(__xludf.UNSUPPORTED("""COMPUTED_VALUE"""),44919.5387962963)</f>
        <v>44919.5387962963</v>
      </c>
      <c r="C1426" s="8" t="str">
        <f ca="1">IFERROR(__xludf.UNSUPPORTED("""COMPUTED_VALUE"""),"Recife")</f>
        <v>Recife</v>
      </c>
      <c r="D1426" s="3" t="str">
        <f ca="1">IFERROR(__xludf.UNSUPPORTED("""COMPUTED_VALUE"""),"🚢 REGULAR")</f>
        <v>🚢 REGULAR</v>
      </c>
      <c r="E1426" s="3" t="str">
        <f ca="1">IFERROR(__xludf.UNSUPPORTED("""COMPUTED_VALUE"""),"🚛 LIBERADO")</f>
        <v>🚛 LIBERADO</v>
      </c>
      <c r="F1426" s="5">
        <f ca="1">IFERROR(__xludf.UNSUPPORTED("""COMPUTED_VALUE"""),0)</f>
        <v>0</v>
      </c>
      <c r="G1426" s="3" t="str">
        <f ca="1">IFERROR(__xludf.UNSUPPORTED("""COMPUTED_VALUE"""),"Normal")</f>
        <v>Normal</v>
      </c>
      <c r="H1426" s="4">
        <f ca="1">IFERROR(__xludf.UNSUPPORTED("""COMPUTED_VALUE"""),44919.5387962963)</f>
        <v>44919.5387962963</v>
      </c>
      <c r="I1426" s="3">
        <f ca="1">IFERROR(__xludf.UNSUPPORTED("""COMPUTED_VALUE"""),1)</f>
        <v>1</v>
      </c>
      <c r="J1426" s="4">
        <f ca="1">IFERROR(__xludf.UNSUPPORTED("""COMPUTED_VALUE"""),44919.5804629629)</f>
        <v>44919.580462962898</v>
      </c>
    </row>
    <row r="1427" spans="1:12" ht="12.75">
      <c r="A1427" s="3" t="str">
        <f ca="1">IFERROR(__xludf.UNSUPPORTED("""COMPUTED_VALUE"""),"d20329ba")</f>
        <v>d20329ba</v>
      </c>
      <c r="B1427" s="4">
        <f ca="1">IFERROR(__xludf.UNSUPPORTED("""COMPUTED_VALUE"""),44920.604224537)</f>
        <v>44920.604224536997</v>
      </c>
      <c r="C1427" s="7" t="str">
        <f ca="1">IFERROR(__xludf.UNSUPPORTED("""COMPUTED_VALUE"""),"Recife")</f>
        <v>Recife</v>
      </c>
      <c r="D1427" s="3" t="str">
        <f ca="1">IFERROR(__xludf.UNSUPPORTED("""COMPUTED_VALUE"""),"🚢 REGULAR")</f>
        <v>🚢 REGULAR</v>
      </c>
      <c r="E1427" s="3" t="str">
        <f ca="1">IFERROR(__xludf.UNSUPPORTED("""COMPUTED_VALUE"""),"🚛 LIBERADO")</f>
        <v>🚛 LIBERADO</v>
      </c>
      <c r="F1427" s="5">
        <f ca="1">IFERROR(__xludf.UNSUPPORTED("""COMPUTED_VALUE"""),0)</f>
        <v>0</v>
      </c>
      <c r="G1427" s="3" t="str">
        <f ca="1">IFERROR(__xludf.UNSUPPORTED("""COMPUTED_VALUE"""),"Normal")</f>
        <v>Normal</v>
      </c>
      <c r="H1427" s="4">
        <f ca="1">IFERROR(__xludf.UNSUPPORTED("""COMPUTED_VALUE"""),44920.604224537)</f>
        <v>44920.604224536997</v>
      </c>
      <c r="I1427" s="3">
        <f ca="1">IFERROR(__xludf.UNSUPPORTED("""COMPUTED_VALUE"""),1)</f>
        <v>1</v>
      </c>
      <c r="J1427" s="4">
        <f ca="1">IFERROR(__xludf.UNSUPPORTED("""COMPUTED_VALUE"""),44920.6458912037)</f>
        <v>44920.645891203698</v>
      </c>
    </row>
    <row r="1428" spans="1:12" ht="12.75">
      <c r="A1428" s="3" t="str">
        <f ca="1">IFERROR(__xludf.UNSUPPORTED("""COMPUTED_VALUE"""),"ff588cd7")</f>
        <v>ff588cd7</v>
      </c>
      <c r="B1428" s="4">
        <f ca="1">IFERROR(__xludf.UNSUPPORTED("""COMPUTED_VALUE"""),44921.6117361111)</f>
        <v>44921.611736111103</v>
      </c>
      <c r="C1428" s="8" t="str">
        <f ca="1">IFERROR(__xludf.UNSUPPORTED("""COMPUTED_VALUE"""),"Recife")</f>
        <v>Recife</v>
      </c>
      <c r="D1428" s="3" t="str">
        <f ca="1">IFERROR(__xludf.UNSUPPORTED("""COMPUTED_VALUE"""),"🚢 REGULAR")</f>
        <v>🚢 REGULAR</v>
      </c>
      <c r="E1428" s="3" t="str">
        <f ca="1">IFERROR(__xludf.UNSUPPORTED("""COMPUTED_VALUE"""),"🚛 LIBERADO")</f>
        <v>🚛 LIBERADO</v>
      </c>
      <c r="F1428" s="5">
        <f ca="1">IFERROR(__xludf.UNSUPPORTED("""COMPUTED_VALUE"""),0)</f>
        <v>0</v>
      </c>
      <c r="G1428" s="3" t="str">
        <f ca="1">IFERROR(__xludf.UNSUPPORTED("""COMPUTED_VALUE"""),"Normal")</f>
        <v>Normal</v>
      </c>
      <c r="H1428" s="4">
        <f ca="1">IFERROR(__xludf.UNSUPPORTED("""COMPUTED_VALUE"""),44921.6117361111)</f>
        <v>44921.611736111103</v>
      </c>
      <c r="I1428" s="3">
        <f ca="1">IFERROR(__xludf.UNSUPPORTED("""COMPUTED_VALUE"""),1)</f>
        <v>1</v>
      </c>
      <c r="J1428" s="4">
        <f ca="1">IFERROR(__xludf.UNSUPPORTED("""COMPUTED_VALUE"""),44921.6534027777)</f>
        <v>44921.653402777702</v>
      </c>
    </row>
    <row r="1429" spans="1:12" ht="12.75">
      <c r="A1429" s="3" t="str">
        <f ca="1">IFERROR(__xludf.UNSUPPORTED("""COMPUTED_VALUE"""),"ce88c5d8")</f>
        <v>ce88c5d8</v>
      </c>
      <c r="B1429" s="4">
        <f ca="1">IFERROR(__xludf.UNSUPPORTED("""COMPUTED_VALUE"""),44922.3328125)</f>
        <v>44922.332812499997</v>
      </c>
      <c r="C1429" s="8" t="str">
        <f ca="1">IFERROR(__xludf.UNSUPPORTED("""COMPUTED_VALUE"""),"Recife")</f>
        <v>Recife</v>
      </c>
      <c r="D1429" s="3" t="str">
        <f ca="1">IFERROR(__xludf.UNSUPPORTED("""COMPUTED_VALUE"""),"🚢 REGULAR")</f>
        <v>🚢 REGULAR</v>
      </c>
      <c r="E1429" s="3" t="str">
        <f ca="1">IFERROR(__xludf.UNSUPPORTED("""COMPUTED_VALUE"""),"🚛 LIBERADO")</f>
        <v>🚛 LIBERADO</v>
      </c>
      <c r="F1429" s="5">
        <f ca="1">IFERROR(__xludf.UNSUPPORTED("""COMPUTED_VALUE"""),0)</f>
        <v>0</v>
      </c>
      <c r="G1429" s="3" t="str">
        <f ca="1">IFERROR(__xludf.UNSUPPORTED("""COMPUTED_VALUE"""),"Normal")</f>
        <v>Normal</v>
      </c>
      <c r="H1429" s="4">
        <f ca="1">IFERROR(__xludf.UNSUPPORTED("""COMPUTED_VALUE"""),44922.3328125)</f>
        <v>44922.332812499997</v>
      </c>
      <c r="I1429" s="3">
        <f ca="1">IFERROR(__xludf.UNSUPPORTED("""COMPUTED_VALUE"""),1)</f>
        <v>1</v>
      </c>
      <c r="J1429" s="4">
        <f ca="1">IFERROR(__xludf.UNSUPPORTED("""COMPUTED_VALUE"""),44922.3744791666)</f>
        <v>44922.374479166603</v>
      </c>
    </row>
    <row r="1430" spans="1:12" ht="12.75">
      <c r="A1430" s="3" t="str">
        <f ca="1">IFERROR(__xludf.UNSUPPORTED("""COMPUTED_VALUE"""),"203b319e")</f>
        <v>203b319e</v>
      </c>
      <c r="B1430" s="4">
        <f ca="1">IFERROR(__xludf.UNSUPPORTED("""COMPUTED_VALUE"""),44923.3804166666)</f>
        <v>44923.380416666601</v>
      </c>
      <c r="C1430" s="7" t="str">
        <f ca="1">IFERROR(__xludf.UNSUPPORTED("""COMPUTED_VALUE"""),"Recife")</f>
        <v>Recife</v>
      </c>
      <c r="D1430" s="3" t="str">
        <f ca="1">IFERROR(__xludf.UNSUPPORTED("""COMPUTED_VALUE"""),"🚢 REGULAR")</f>
        <v>🚢 REGULAR</v>
      </c>
      <c r="E1430" s="3" t="str">
        <f ca="1">IFERROR(__xludf.UNSUPPORTED("""COMPUTED_VALUE"""),"🚛 LIBERADO")</f>
        <v>🚛 LIBERADO</v>
      </c>
      <c r="F1430" s="5">
        <f ca="1">IFERROR(__xludf.UNSUPPORTED("""COMPUTED_VALUE"""),0)</f>
        <v>0</v>
      </c>
      <c r="G1430" s="3" t="str">
        <f ca="1">IFERROR(__xludf.UNSUPPORTED("""COMPUTED_VALUE"""),"Normal")</f>
        <v>Normal</v>
      </c>
      <c r="H1430" s="4">
        <f ca="1">IFERROR(__xludf.UNSUPPORTED("""COMPUTED_VALUE"""),44923.3804166666)</f>
        <v>44923.380416666601</v>
      </c>
      <c r="I1430" s="3">
        <f ca="1">IFERROR(__xludf.UNSUPPORTED("""COMPUTED_VALUE"""),1)</f>
        <v>1</v>
      </c>
      <c r="J1430" s="4">
        <f ca="1">IFERROR(__xludf.UNSUPPORTED("""COMPUTED_VALUE"""),44923.4220833333)</f>
        <v>44923.422083333302</v>
      </c>
    </row>
    <row r="1431" spans="1:12" ht="12.75">
      <c r="A1431" s="3" t="str">
        <f ca="1">IFERROR(__xludf.UNSUPPORTED("""COMPUTED_VALUE"""),"6dee6d96")</f>
        <v>6dee6d96</v>
      </c>
      <c r="B1431" s="4">
        <f ca="1">IFERROR(__xludf.UNSUPPORTED("""COMPUTED_VALUE"""),44924.3985763888)</f>
        <v>44924.398576388798</v>
      </c>
      <c r="C1431" s="8" t="str">
        <f ca="1">IFERROR(__xludf.UNSUPPORTED("""COMPUTED_VALUE"""),"Recife")</f>
        <v>Recife</v>
      </c>
      <c r="D1431" s="3" t="str">
        <f ca="1">IFERROR(__xludf.UNSUPPORTED("""COMPUTED_VALUE"""),"🚢 REGULAR")</f>
        <v>🚢 REGULAR</v>
      </c>
      <c r="E1431" s="3" t="str">
        <f ca="1">IFERROR(__xludf.UNSUPPORTED("""COMPUTED_VALUE"""),"🚛 LIBERADO")</f>
        <v>🚛 LIBERADO</v>
      </c>
      <c r="F1431" s="5">
        <f ca="1">IFERROR(__xludf.UNSUPPORTED("""COMPUTED_VALUE"""),0)</f>
        <v>0</v>
      </c>
      <c r="G1431" s="3" t="str">
        <f ca="1">IFERROR(__xludf.UNSUPPORTED("""COMPUTED_VALUE"""),"Normal")</f>
        <v>Normal</v>
      </c>
      <c r="H1431" s="4">
        <f ca="1">IFERROR(__xludf.UNSUPPORTED("""COMPUTED_VALUE"""),44924.3985763888)</f>
        <v>44924.398576388798</v>
      </c>
      <c r="I1431" s="3">
        <f ca="1">IFERROR(__xludf.UNSUPPORTED("""COMPUTED_VALUE"""),1)</f>
        <v>1</v>
      </c>
      <c r="J1431" s="4">
        <f ca="1">IFERROR(__xludf.UNSUPPORTED("""COMPUTED_VALUE"""),44924.4402430555)</f>
        <v>44924.440243055498</v>
      </c>
    </row>
    <row r="1432" spans="1:12" ht="12.75">
      <c r="A1432" s="3" t="str">
        <f ca="1">IFERROR(__xludf.UNSUPPORTED("""COMPUTED_VALUE"""),"06d0c0e7")</f>
        <v>06d0c0e7</v>
      </c>
      <c r="B1432" s="4">
        <f ca="1">IFERROR(__xludf.UNSUPPORTED("""COMPUTED_VALUE"""),44925.3872222222)</f>
        <v>44925.387222222198</v>
      </c>
      <c r="C1432" s="8" t="str">
        <f ca="1">IFERROR(__xludf.UNSUPPORTED("""COMPUTED_VALUE"""),"Recife")</f>
        <v>Recife</v>
      </c>
      <c r="D1432" s="3" t="str">
        <f ca="1">IFERROR(__xludf.UNSUPPORTED("""COMPUTED_VALUE"""),"🚢 REGULAR")</f>
        <v>🚢 REGULAR</v>
      </c>
      <c r="E1432" s="3" t="str">
        <f ca="1">IFERROR(__xludf.UNSUPPORTED("""COMPUTED_VALUE"""),"🚛 LIBERADO")</f>
        <v>🚛 LIBERADO</v>
      </c>
      <c r="F1432" s="5">
        <f ca="1">IFERROR(__xludf.UNSUPPORTED("""COMPUTED_VALUE"""),0)</f>
        <v>0</v>
      </c>
      <c r="G1432" s="3" t="str">
        <f ca="1">IFERROR(__xludf.UNSUPPORTED("""COMPUTED_VALUE"""),"Normal")</f>
        <v>Normal</v>
      </c>
      <c r="H1432" s="4">
        <f ca="1">IFERROR(__xludf.UNSUPPORTED("""COMPUTED_VALUE"""),44925.3872222222)</f>
        <v>44925.387222222198</v>
      </c>
      <c r="I1432" s="3">
        <f ca="1">IFERROR(__xludf.UNSUPPORTED("""COMPUTED_VALUE"""),1)</f>
        <v>1</v>
      </c>
      <c r="J1432" s="4">
        <f ca="1">IFERROR(__xludf.UNSUPPORTED("""COMPUTED_VALUE"""),44925.4288888887)</f>
        <v>44925.428888888702</v>
      </c>
    </row>
    <row r="1433" spans="1:12" ht="12.75">
      <c r="A1433" s="3" t="str">
        <f ca="1">IFERROR(__xludf.UNSUPPORTED("""COMPUTED_VALUE"""),"82ce7c3a")</f>
        <v>82ce7c3a</v>
      </c>
      <c r="B1433" s="4">
        <f ca="1">IFERROR(__xludf.UNSUPPORTED("""COMPUTED_VALUE"""),44927.3275810185)</f>
        <v>44927.3275810185</v>
      </c>
      <c r="C1433" s="7" t="str">
        <f ca="1">IFERROR(__xludf.UNSUPPORTED("""COMPUTED_VALUE"""),"Recife")</f>
        <v>Recife</v>
      </c>
      <c r="D1433" s="3" t="str">
        <f ca="1">IFERROR(__xludf.UNSUPPORTED("""COMPUTED_VALUE"""),"🚢 REGULAR")</f>
        <v>🚢 REGULAR</v>
      </c>
      <c r="E1433" s="3" t="str">
        <f ca="1">IFERROR(__xludf.UNSUPPORTED("""COMPUTED_VALUE"""),"🚛 LIBERADO")</f>
        <v>🚛 LIBERADO</v>
      </c>
      <c r="F1433" s="5">
        <f ca="1">IFERROR(__xludf.UNSUPPORTED("""COMPUTED_VALUE"""),0)</f>
        <v>0</v>
      </c>
      <c r="G1433" s="3" t="str">
        <f ca="1">IFERROR(__xludf.UNSUPPORTED("""COMPUTED_VALUE"""),"Normal")</f>
        <v>Normal</v>
      </c>
      <c r="H1433" s="4">
        <f ca="1">IFERROR(__xludf.UNSUPPORTED("""COMPUTED_VALUE"""),44927.3275810185)</f>
        <v>44927.3275810185</v>
      </c>
      <c r="I1433" s="3">
        <f ca="1">IFERROR(__xludf.UNSUPPORTED("""COMPUTED_VALUE"""),1)</f>
        <v>1</v>
      </c>
      <c r="J1433" s="4">
        <f ca="1">IFERROR(__xludf.UNSUPPORTED("""COMPUTED_VALUE"""),44927.3692476851)</f>
        <v>44927.369247685099</v>
      </c>
    </row>
    <row r="1434" spans="1:12" ht="12.75">
      <c r="A1434" s="3" t="str">
        <f ca="1">IFERROR(__xludf.UNSUPPORTED("""COMPUTED_VALUE"""),"7ef9ad63")</f>
        <v>7ef9ad63</v>
      </c>
      <c r="B1434" s="4">
        <f ca="1">IFERROR(__xludf.UNSUPPORTED("""COMPUTED_VALUE"""),44928.3683333333)</f>
        <v>44928.368333333303</v>
      </c>
      <c r="C1434" s="7" t="str">
        <f ca="1">IFERROR(__xludf.UNSUPPORTED("""COMPUTED_VALUE"""),"Recife")</f>
        <v>Recife</v>
      </c>
      <c r="D1434" s="3" t="str">
        <f ca="1">IFERROR(__xludf.UNSUPPORTED("""COMPUTED_VALUE"""),"🚢 REGULAR")</f>
        <v>🚢 REGULAR</v>
      </c>
      <c r="E1434" s="3" t="str">
        <f ca="1">IFERROR(__xludf.UNSUPPORTED("""COMPUTED_VALUE"""),"🚛 LIBERADO")</f>
        <v>🚛 LIBERADO</v>
      </c>
      <c r="F1434" s="5">
        <f ca="1">IFERROR(__xludf.UNSUPPORTED("""COMPUTED_VALUE"""),0)</f>
        <v>0</v>
      </c>
      <c r="G1434" s="3" t="str">
        <f ca="1">IFERROR(__xludf.UNSUPPORTED("""COMPUTED_VALUE"""),"Normal")</f>
        <v>Normal</v>
      </c>
      <c r="H1434" s="4">
        <f ca="1">IFERROR(__xludf.UNSUPPORTED("""COMPUTED_VALUE"""),44928.3683333333)</f>
        <v>44928.368333333303</v>
      </c>
      <c r="I1434" s="3">
        <f ca="1">IFERROR(__xludf.UNSUPPORTED("""COMPUTED_VALUE"""),1)</f>
        <v>1</v>
      </c>
      <c r="J1434" s="4">
        <f ca="1">IFERROR(__xludf.UNSUPPORTED("""COMPUTED_VALUE"""),44928.41)</f>
        <v>44928.41</v>
      </c>
    </row>
    <row r="1435" spans="1:12" ht="12.75">
      <c r="A1435" s="3" t="str">
        <f ca="1">IFERROR(__xludf.UNSUPPORTED("""COMPUTED_VALUE"""),"f969b65c")</f>
        <v>f969b65c</v>
      </c>
      <c r="B1435" s="4">
        <f ca="1">IFERROR(__xludf.UNSUPPORTED("""COMPUTED_VALUE"""),44929.3515277777)</f>
        <v>44929.351527777697</v>
      </c>
      <c r="C1435" s="7" t="str">
        <f ca="1">IFERROR(__xludf.UNSUPPORTED("""COMPUTED_VALUE"""),"Recife")</f>
        <v>Recife</v>
      </c>
      <c r="D1435" s="3" t="str">
        <f ca="1">IFERROR(__xludf.UNSUPPORTED("""COMPUTED_VALUE"""),"🚢 REGULAR")</f>
        <v>🚢 REGULAR</v>
      </c>
      <c r="E1435" s="3" t="str">
        <f ca="1">IFERROR(__xludf.UNSUPPORTED("""COMPUTED_VALUE"""),"🚛 LIBERADO")</f>
        <v>🚛 LIBERADO</v>
      </c>
      <c r="F1435" s="5">
        <f ca="1">IFERROR(__xludf.UNSUPPORTED("""COMPUTED_VALUE"""),0)</f>
        <v>0</v>
      </c>
      <c r="G1435" s="3" t="str">
        <f ca="1">IFERROR(__xludf.UNSUPPORTED("""COMPUTED_VALUE"""),"Normal")</f>
        <v>Normal</v>
      </c>
      <c r="H1435" s="4">
        <f ca="1">IFERROR(__xludf.UNSUPPORTED("""COMPUTED_VALUE"""),44929.3515277777)</f>
        <v>44929.351527777697</v>
      </c>
      <c r="I1435" s="3">
        <f ca="1">IFERROR(__xludf.UNSUPPORTED("""COMPUTED_VALUE"""),1)</f>
        <v>1</v>
      </c>
      <c r="J1435" s="4">
        <f ca="1">IFERROR(__xludf.UNSUPPORTED("""COMPUTED_VALUE"""),44929.3931944444)</f>
        <v>44929.393194444398</v>
      </c>
    </row>
    <row r="1436" spans="1:12" ht="12.75">
      <c r="A1436" s="3" t="str">
        <f ca="1">IFERROR(__xludf.UNSUPPORTED("""COMPUTED_VALUE"""),"7740ae01")</f>
        <v>7740ae01</v>
      </c>
      <c r="B1436" s="4">
        <f ca="1">IFERROR(__xludf.UNSUPPORTED("""COMPUTED_VALUE"""),44930.3548726851)</f>
        <v>44930.3548726851</v>
      </c>
      <c r="C1436" s="7" t="str">
        <f ca="1">IFERROR(__xludf.UNSUPPORTED("""COMPUTED_VALUE"""),"Recife")</f>
        <v>Recife</v>
      </c>
      <c r="D1436" s="3" t="str">
        <f ca="1">IFERROR(__xludf.UNSUPPORTED("""COMPUTED_VALUE"""),"🚢 REGULAR")</f>
        <v>🚢 REGULAR</v>
      </c>
      <c r="E1436" s="3" t="str">
        <f ca="1">IFERROR(__xludf.UNSUPPORTED("""COMPUTED_VALUE"""),"🚛 LIBERADO")</f>
        <v>🚛 LIBERADO</v>
      </c>
      <c r="F1436" s="5">
        <f ca="1">IFERROR(__xludf.UNSUPPORTED("""COMPUTED_VALUE"""),0)</f>
        <v>0</v>
      </c>
      <c r="G1436" s="3" t="str">
        <f ca="1">IFERROR(__xludf.UNSUPPORTED("""COMPUTED_VALUE"""),"Normal")</f>
        <v>Normal</v>
      </c>
      <c r="H1436" s="4">
        <f ca="1">IFERROR(__xludf.UNSUPPORTED("""COMPUTED_VALUE"""),44930.3548726851)</f>
        <v>44930.3548726851</v>
      </c>
      <c r="I1436" s="3">
        <f ca="1">IFERROR(__xludf.UNSUPPORTED("""COMPUTED_VALUE"""),1)</f>
        <v>1</v>
      </c>
      <c r="J1436" s="4">
        <f ca="1">IFERROR(__xludf.UNSUPPORTED("""COMPUTED_VALUE"""),44930.3965393518)</f>
        <v>44930.396539351801</v>
      </c>
    </row>
    <row r="1437" spans="1:12" ht="12.75">
      <c r="A1437" s="3" t="str">
        <f ca="1">IFERROR(__xludf.UNSUPPORTED("""COMPUTED_VALUE"""),"ae4f3acb")</f>
        <v>ae4f3acb</v>
      </c>
      <c r="B1437" s="4">
        <f ca="1">IFERROR(__xludf.UNSUPPORTED("""COMPUTED_VALUE"""),44931.3485069444)</f>
        <v>44931.3485069444</v>
      </c>
      <c r="C1437" s="7" t="str">
        <f ca="1">IFERROR(__xludf.UNSUPPORTED("""COMPUTED_VALUE"""),"Recife")</f>
        <v>Recife</v>
      </c>
      <c r="D1437" s="3" t="str">
        <f ca="1">IFERROR(__xludf.UNSUPPORTED("""COMPUTED_VALUE"""),"🚢 REGULAR")</f>
        <v>🚢 REGULAR</v>
      </c>
      <c r="E1437" s="3" t="str">
        <f ca="1">IFERROR(__xludf.UNSUPPORTED("""COMPUTED_VALUE"""),"🚛 LIBERADO")</f>
        <v>🚛 LIBERADO</v>
      </c>
      <c r="F1437" s="5">
        <f ca="1">IFERROR(__xludf.UNSUPPORTED("""COMPUTED_VALUE"""),0)</f>
        <v>0</v>
      </c>
      <c r="G1437" s="3" t="str">
        <f ca="1">IFERROR(__xludf.UNSUPPORTED("""COMPUTED_VALUE"""),"Normalidade")</f>
        <v>Normalidade</v>
      </c>
      <c r="H1437" s="4">
        <f ca="1">IFERROR(__xludf.UNSUPPORTED("""COMPUTED_VALUE"""),44931.3485069444)</f>
        <v>44931.3485069444</v>
      </c>
      <c r="I1437" s="3">
        <f ca="1">IFERROR(__xludf.UNSUPPORTED("""COMPUTED_VALUE"""),24)</f>
        <v>24</v>
      </c>
      <c r="J1437" s="4">
        <f ca="1">IFERROR(__xludf.UNSUPPORTED("""COMPUTED_VALUE"""),44932.3485069444)</f>
        <v>44932.3485069444</v>
      </c>
    </row>
    <row r="1438" spans="1:12" ht="12.75">
      <c r="A1438" s="3" t="str">
        <f ca="1">IFERROR(__xludf.UNSUPPORTED("""COMPUTED_VALUE"""),"fb0aa5e5")</f>
        <v>fb0aa5e5</v>
      </c>
      <c r="B1438" s="4">
        <f ca="1">IFERROR(__xludf.UNSUPPORTED("""COMPUTED_VALUE"""),44932.5241782407)</f>
        <v>44932.524178240703</v>
      </c>
      <c r="C1438" s="7" t="str">
        <f ca="1">IFERROR(__xludf.UNSUPPORTED("""COMPUTED_VALUE"""),"Recife")</f>
        <v>Recife</v>
      </c>
      <c r="D1438" s="3" t="str">
        <f ca="1">IFERROR(__xludf.UNSUPPORTED("""COMPUTED_VALUE"""),"🚢 REGULAR")</f>
        <v>🚢 REGULAR</v>
      </c>
      <c r="E1438" s="3" t="str">
        <f ca="1">IFERROR(__xludf.UNSUPPORTED("""COMPUTED_VALUE"""),"🚛 LIBERADO")</f>
        <v>🚛 LIBERADO</v>
      </c>
      <c r="F1438" s="5">
        <f ca="1">IFERROR(__xludf.UNSUPPORTED("""COMPUTED_VALUE"""),0)</f>
        <v>0</v>
      </c>
      <c r="G1438" s="3" t="str">
        <f ca="1">IFERROR(__xludf.UNSUPPORTED("""COMPUTED_VALUE"""),"Normalidade")</f>
        <v>Normalidade</v>
      </c>
      <c r="H1438" s="4">
        <f ca="1">IFERROR(__xludf.UNSUPPORTED("""COMPUTED_VALUE"""),44932.5241782407)</f>
        <v>44932.524178240703</v>
      </c>
      <c r="I1438" s="3">
        <f ca="1">IFERROR(__xludf.UNSUPPORTED("""COMPUTED_VALUE"""),24)</f>
        <v>24</v>
      </c>
      <c r="J1438" s="4">
        <f ca="1">IFERROR(__xludf.UNSUPPORTED("""COMPUTED_VALUE"""),44933.5241782407)</f>
        <v>44933.524178240703</v>
      </c>
      <c r="L1438" s="3" t="str">
        <f ca="1">IFERROR(__xludf.UNSUPPORTED("""COMPUTED_VALUE"""),"Normalidade")</f>
        <v>Normalidade</v>
      </c>
    </row>
    <row r="1439" spans="1:12" ht="12.75">
      <c r="A1439" s="3" t="str">
        <f ca="1">IFERROR(__xludf.UNSUPPORTED("""COMPUTED_VALUE"""),"dadf9f10")</f>
        <v>dadf9f10</v>
      </c>
      <c r="B1439" s="4">
        <f ca="1">IFERROR(__xludf.UNSUPPORTED("""COMPUTED_VALUE"""),44933.4899189814)</f>
        <v>44933.489918981402</v>
      </c>
      <c r="C1439" s="8" t="str">
        <f ca="1">IFERROR(__xludf.UNSUPPORTED("""COMPUTED_VALUE"""),"Recife")</f>
        <v>Recife</v>
      </c>
      <c r="D1439" s="3" t="str">
        <f ca="1">IFERROR(__xludf.UNSUPPORTED("""COMPUTED_VALUE"""),"🚢 REGULAR")</f>
        <v>🚢 REGULAR</v>
      </c>
      <c r="E1439" s="3" t="str">
        <f ca="1">IFERROR(__xludf.UNSUPPORTED("""COMPUTED_VALUE"""),"🚛 LIBERADO")</f>
        <v>🚛 LIBERADO</v>
      </c>
      <c r="F1439" s="5">
        <f ca="1">IFERROR(__xludf.UNSUPPORTED("""COMPUTED_VALUE"""),0)</f>
        <v>0</v>
      </c>
      <c r="G1439" s="3" t="str">
        <f ca="1">IFERROR(__xludf.UNSUPPORTED("""COMPUTED_VALUE"""),"Normalidade")</f>
        <v>Normalidade</v>
      </c>
      <c r="H1439" s="4">
        <f ca="1">IFERROR(__xludf.UNSUPPORTED("""COMPUTED_VALUE"""),44933.4899189814)</f>
        <v>44933.489918981402</v>
      </c>
      <c r="I1439" s="3">
        <f ca="1">IFERROR(__xludf.UNSUPPORTED("""COMPUTED_VALUE"""),24)</f>
        <v>24</v>
      </c>
      <c r="J1439" s="4">
        <f ca="1">IFERROR(__xludf.UNSUPPORTED("""COMPUTED_VALUE"""),44934.4899189814)</f>
        <v>44934.489918981402</v>
      </c>
      <c r="L1439" s="3" t="str">
        <f ca="1">IFERROR(__xludf.UNSUPPORTED("""COMPUTED_VALUE"""),"Normalidade")</f>
        <v>Normalidade</v>
      </c>
    </row>
    <row r="1440" spans="1:12" ht="12.75">
      <c r="A1440" s="3" t="str">
        <f ca="1">IFERROR(__xludf.UNSUPPORTED("""COMPUTED_VALUE"""),"1a2ea79a")</f>
        <v>1a2ea79a</v>
      </c>
      <c r="B1440" s="4">
        <f ca="1">IFERROR(__xludf.UNSUPPORTED("""COMPUTED_VALUE"""),44934.4304398148)</f>
        <v>44934.430439814802</v>
      </c>
      <c r="C1440" s="8" t="str">
        <f ca="1">IFERROR(__xludf.UNSUPPORTED("""COMPUTED_VALUE"""),"Recife")</f>
        <v>Recife</v>
      </c>
      <c r="D1440" s="3" t="str">
        <f ca="1">IFERROR(__xludf.UNSUPPORTED("""COMPUTED_VALUE"""),"🚢 REGULAR")</f>
        <v>🚢 REGULAR</v>
      </c>
      <c r="E1440" s="3" t="str">
        <f ca="1">IFERROR(__xludf.UNSUPPORTED("""COMPUTED_VALUE"""),"🚛 LIBERADO")</f>
        <v>🚛 LIBERADO</v>
      </c>
      <c r="F1440" s="5">
        <f ca="1">IFERROR(__xludf.UNSUPPORTED("""COMPUTED_VALUE"""),0)</f>
        <v>0</v>
      </c>
      <c r="G1440" s="3" t="str">
        <f ca="1">IFERROR(__xludf.UNSUPPORTED("""COMPUTED_VALUE"""),"Normalidade")</f>
        <v>Normalidade</v>
      </c>
      <c r="H1440" s="4">
        <f ca="1">IFERROR(__xludf.UNSUPPORTED("""COMPUTED_VALUE"""),44934.4304398148)</f>
        <v>44934.430439814802</v>
      </c>
      <c r="I1440" s="3">
        <f ca="1">IFERROR(__xludf.UNSUPPORTED("""COMPUTED_VALUE"""),24)</f>
        <v>24</v>
      </c>
      <c r="J1440" s="4">
        <f ca="1">IFERROR(__xludf.UNSUPPORTED("""COMPUTED_VALUE"""),44935.4304398148)</f>
        <v>44935.430439814802</v>
      </c>
      <c r="L1440" s="3" t="str">
        <f ca="1">IFERROR(__xludf.UNSUPPORTED("""COMPUTED_VALUE"""),"Normalidade")</f>
        <v>Normalidade</v>
      </c>
    </row>
    <row r="1441" spans="1:12" ht="12.75">
      <c r="A1441" s="3" t="str">
        <f ca="1">IFERROR(__xludf.UNSUPPORTED("""COMPUTED_VALUE"""),"53649201")</f>
        <v>53649201</v>
      </c>
      <c r="B1441" s="4">
        <f ca="1">IFERROR(__xludf.UNSUPPORTED("""COMPUTED_VALUE"""),44935.3486458333)</f>
        <v>44935.348645833299</v>
      </c>
      <c r="C1441" s="8" t="str">
        <f ca="1">IFERROR(__xludf.UNSUPPORTED("""COMPUTED_VALUE"""),"Recife")</f>
        <v>Recife</v>
      </c>
      <c r="D1441" s="3" t="str">
        <f ca="1">IFERROR(__xludf.UNSUPPORTED("""COMPUTED_VALUE"""),"🚢 REGULAR")</f>
        <v>🚢 REGULAR</v>
      </c>
      <c r="E1441" s="3" t="str">
        <f ca="1">IFERROR(__xludf.UNSUPPORTED("""COMPUTED_VALUE"""),"🚛 LIBERADO")</f>
        <v>🚛 LIBERADO</v>
      </c>
      <c r="F1441" s="5">
        <f ca="1">IFERROR(__xludf.UNSUPPORTED("""COMPUTED_VALUE"""),0)</f>
        <v>0</v>
      </c>
      <c r="G1441" s="3" t="str">
        <f ca="1">IFERROR(__xludf.UNSUPPORTED("""COMPUTED_VALUE"""),"Normalidade")</f>
        <v>Normalidade</v>
      </c>
      <c r="H1441" s="4">
        <f ca="1">IFERROR(__xludf.UNSUPPORTED("""COMPUTED_VALUE"""),44935.3486458333)</f>
        <v>44935.348645833299</v>
      </c>
      <c r="I1441" s="3">
        <f ca="1">IFERROR(__xludf.UNSUPPORTED("""COMPUTED_VALUE"""),24)</f>
        <v>24</v>
      </c>
      <c r="J1441" s="4">
        <f ca="1">IFERROR(__xludf.UNSUPPORTED("""COMPUTED_VALUE"""),44936.3486458333)</f>
        <v>44936.348645833299</v>
      </c>
      <c r="L1441" s="3" t="str">
        <f ca="1">IFERROR(__xludf.UNSUPPORTED("""COMPUTED_VALUE"""),"Normalidade")</f>
        <v>Normalidade</v>
      </c>
    </row>
    <row r="1442" spans="1:12" ht="12.75">
      <c r="A1442" s="3" t="str">
        <f ca="1">IFERROR(__xludf.UNSUPPORTED("""COMPUTED_VALUE"""),"02bfba03")</f>
        <v>02bfba03</v>
      </c>
      <c r="B1442" s="4">
        <f ca="1">IFERROR(__xludf.UNSUPPORTED("""COMPUTED_VALUE"""),44936.3587384259)</f>
        <v>44936.358738425901</v>
      </c>
      <c r="C1442" s="7" t="str">
        <f ca="1">IFERROR(__xludf.UNSUPPORTED("""COMPUTED_VALUE"""),"Recife")</f>
        <v>Recife</v>
      </c>
      <c r="D1442" s="3" t="str">
        <f ca="1">IFERROR(__xludf.UNSUPPORTED("""COMPUTED_VALUE"""),"🚢 REGULAR")</f>
        <v>🚢 REGULAR</v>
      </c>
      <c r="E1442" s="3" t="str">
        <f ca="1">IFERROR(__xludf.UNSUPPORTED("""COMPUTED_VALUE"""),"🚛 LIBERADO")</f>
        <v>🚛 LIBERADO</v>
      </c>
      <c r="F1442" s="5">
        <f ca="1">IFERROR(__xludf.UNSUPPORTED("""COMPUTED_VALUE"""),0)</f>
        <v>0</v>
      </c>
      <c r="G1442" s="3" t="str">
        <f ca="1">IFERROR(__xludf.UNSUPPORTED("""COMPUTED_VALUE"""),"Normalidade")</f>
        <v>Normalidade</v>
      </c>
      <c r="H1442" s="4">
        <f ca="1">IFERROR(__xludf.UNSUPPORTED("""COMPUTED_VALUE"""),44936.3587384259)</f>
        <v>44936.358738425901</v>
      </c>
      <c r="I1442" s="3">
        <f ca="1">IFERROR(__xludf.UNSUPPORTED("""COMPUTED_VALUE"""),24)</f>
        <v>24</v>
      </c>
      <c r="J1442" s="4">
        <f ca="1">IFERROR(__xludf.UNSUPPORTED("""COMPUTED_VALUE"""),44937.3587384259)</f>
        <v>44937.358738425901</v>
      </c>
      <c r="L1442" s="3" t="str">
        <f ca="1">IFERROR(__xludf.UNSUPPORTED("""COMPUTED_VALUE"""),"Normalidade")</f>
        <v>Normalidade</v>
      </c>
    </row>
    <row r="1443" spans="1:12" ht="12.75">
      <c r="A1443" s="3" t="str">
        <f ca="1">IFERROR(__xludf.UNSUPPORTED("""COMPUTED_VALUE"""),"aaff235c")</f>
        <v>aaff235c</v>
      </c>
      <c r="B1443" s="4">
        <f ca="1">IFERROR(__xludf.UNSUPPORTED("""COMPUTED_VALUE"""),44937.3411226851)</f>
        <v>44937.341122685102</v>
      </c>
      <c r="C1443" s="7" t="str">
        <f ca="1">IFERROR(__xludf.UNSUPPORTED("""COMPUTED_VALUE"""),"Recife")</f>
        <v>Recife</v>
      </c>
      <c r="D1443" s="3" t="str">
        <f ca="1">IFERROR(__xludf.UNSUPPORTED("""COMPUTED_VALUE"""),"🚢 REGULAR")</f>
        <v>🚢 REGULAR</v>
      </c>
      <c r="E1443" s="3" t="str">
        <f ca="1">IFERROR(__xludf.UNSUPPORTED("""COMPUTED_VALUE"""),"🚛 LIBERADO")</f>
        <v>🚛 LIBERADO</v>
      </c>
      <c r="F1443" s="5">
        <f ca="1">IFERROR(__xludf.UNSUPPORTED("""COMPUTED_VALUE"""),0)</f>
        <v>0</v>
      </c>
      <c r="G1443" s="3" t="str">
        <f ca="1">IFERROR(__xludf.UNSUPPORTED("""COMPUTED_VALUE"""),"Normalidade")</f>
        <v>Normalidade</v>
      </c>
      <c r="H1443" s="4">
        <f ca="1">IFERROR(__xludf.UNSUPPORTED("""COMPUTED_VALUE"""),44937.3411226851)</f>
        <v>44937.341122685102</v>
      </c>
      <c r="I1443" s="3">
        <f ca="1">IFERROR(__xludf.UNSUPPORTED("""COMPUTED_VALUE"""),24)</f>
        <v>24</v>
      </c>
      <c r="J1443" s="4">
        <f ca="1">IFERROR(__xludf.UNSUPPORTED("""COMPUTED_VALUE"""),44938.3411226851)</f>
        <v>44938.341122685102</v>
      </c>
      <c r="L1443" s="3" t="str">
        <f ca="1">IFERROR(__xludf.UNSUPPORTED("""COMPUTED_VALUE"""),"Normalidade")</f>
        <v>Normalidade</v>
      </c>
    </row>
    <row r="1444" spans="1:12" ht="12.75">
      <c r="A1444" s="3" t="str">
        <f ca="1">IFERROR(__xludf.UNSUPPORTED("""COMPUTED_VALUE"""),"b56cc388")</f>
        <v>b56cc388</v>
      </c>
      <c r="B1444" s="4">
        <f ca="1">IFERROR(__xludf.UNSUPPORTED("""COMPUTED_VALUE"""),44939.2914467592)</f>
        <v>44939.291446759198</v>
      </c>
      <c r="C1444" s="8" t="str">
        <f ca="1">IFERROR(__xludf.UNSUPPORTED("""COMPUTED_VALUE"""),"Recife")</f>
        <v>Recife</v>
      </c>
      <c r="D1444" s="3" t="str">
        <f ca="1">IFERROR(__xludf.UNSUPPORTED("""COMPUTED_VALUE"""),"🚢 REGULAR")</f>
        <v>🚢 REGULAR</v>
      </c>
      <c r="E1444" s="3" t="str">
        <f ca="1">IFERROR(__xludf.UNSUPPORTED("""COMPUTED_VALUE"""),"🚛 LIBERADO")</f>
        <v>🚛 LIBERADO</v>
      </c>
      <c r="F1444" s="5">
        <f ca="1">IFERROR(__xludf.UNSUPPORTED("""COMPUTED_VALUE"""),0)</f>
        <v>0</v>
      </c>
      <c r="G1444" s="3" t="str">
        <f ca="1">IFERROR(__xludf.UNSUPPORTED("""COMPUTED_VALUE"""),"Normalidade")</f>
        <v>Normalidade</v>
      </c>
      <c r="H1444" s="4">
        <f ca="1">IFERROR(__xludf.UNSUPPORTED("""COMPUTED_VALUE"""),44939.2914467592)</f>
        <v>44939.291446759198</v>
      </c>
      <c r="I1444" s="3">
        <f ca="1">IFERROR(__xludf.UNSUPPORTED("""COMPUTED_VALUE"""),24)</f>
        <v>24</v>
      </c>
      <c r="J1444" s="4">
        <f ca="1">IFERROR(__xludf.UNSUPPORTED("""COMPUTED_VALUE"""),44940.2914467592)</f>
        <v>44940.291446759198</v>
      </c>
      <c r="L1444" s="3" t="str">
        <f ca="1">IFERROR(__xludf.UNSUPPORTED("""COMPUTED_VALUE"""),"Normalidade")</f>
        <v>Normalidade</v>
      </c>
    </row>
    <row r="1445" spans="1:12" ht="12.75">
      <c r="A1445" s="3" t="str">
        <f ca="1">IFERROR(__xludf.UNSUPPORTED("""COMPUTED_VALUE"""),"bf1385dc")</f>
        <v>bf1385dc</v>
      </c>
      <c r="B1445" s="4">
        <f ca="1">IFERROR(__xludf.UNSUPPORTED("""COMPUTED_VALUE"""),44940.4093518518)</f>
        <v>44940.409351851798</v>
      </c>
      <c r="C1445" s="8" t="str">
        <f ca="1">IFERROR(__xludf.UNSUPPORTED("""COMPUTED_VALUE"""),"Recife")</f>
        <v>Recife</v>
      </c>
      <c r="D1445" s="3" t="str">
        <f ca="1">IFERROR(__xludf.UNSUPPORTED("""COMPUTED_VALUE"""),"🚢 REGULAR")</f>
        <v>🚢 REGULAR</v>
      </c>
      <c r="E1445" s="3" t="str">
        <f ca="1">IFERROR(__xludf.UNSUPPORTED("""COMPUTED_VALUE"""),"🚛 LIBERADO")</f>
        <v>🚛 LIBERADO</v>
      </c>
      <c r="F1445" s="5">
        <f ca="1">IFERROR(__xludf.UNSUPPORTED("""COMPUTED_VALUE"""),0)</f>
        <v>0</v>
      </c>
      <c r="G1445" s="3" t="str">
        <f ca="1">IFERROR(__xludf.UNSUPPORTED("""COMPUTED_VALUE"""),"Normalidade")</f>
        <v>Normalidade</v>
      </c>
      <c r="H1445" s="4">
        <f ca="1">IFERROR(__xludf.UNSUPPORTED("""COMPUTED_VALUE"""),44940.4093518518)</f>
        <v>44940.409351851798</v>
      </c>
      <c r="I1445" s="3">
        <f ca="1">IFERROR(__xludf.UNSUPPORTED("""COMPUTED_VALUE"""),24)</f>
        <v>24</v>
      </c>
      <c r="J1445" s="4">
        <f ca="1">IFERROR(__xludf.UNSUPPORTED("""COMPUTED_VALUE"""),44941.4093518518)</f>
        <v>44941.409351851798</v>
      </c>
      <c r="L1445" s="3" t="str">
        <f ca="1">IFERROR(__xludf.UNSUPPORTED("""COMPUTED_VALUE"""),"Normalidade")</f>
        <v>Normalidade</v>
      </c>
    </row>
    <row r="1446" spans="1:12" ht="12.75">
      <c r="A1446" s="3" t="str">
        <f ca="1">IFERROR(__xludf.UNSUPPORTED("""COMPUTED_VALUE"""),"d1482cad")</f>
        <v>d1482cad</v>
      </c>
      <c r="B1446" s="4">
        <f ca="1">IFERROR(__xludf.UNSUPPORTED("""COMPUTED_VALUE"""),44941.7244444444)</f>
        <v>44941.7244444444</v>
      </c>
      <c r="C1446" s="8" t="str">
        <f ca="1">IFERROR(__xludf.UNSUPPORTED("""COMPUTED_VALUE"""),"Recife")</f>
        <v>Recife</v>
      </c>
      <c r="D1446" s="3" t="str">
        <f ca="1">IFERROR(__xludf.UNSUPPORTED("""COMPUTED_VALUE"""),"🚢 REGULAR")</f>
        <v>🚢 REGULAR</v>
      </c>
      <c r="E1446" s="3" t="str">
        <f ca="1">IFERROR(__xludf.UNSUPPORTED("""COMPUTED_VALUE"""),"🚛 LIBERADO")</f>
        <v>🚛 LIBERADO</v>
      </c>
      <c r="F1446" s="5">
        <f ca="1">IFERROR(__xludf.UNSUPPORTED("""COMPUTED_VALUE"""),0)</f>
        <v>0</v>
      </c>
      <c r="G1446" s="3" t="str">
        <f ca="1">IFERROR(__xludf.UNSUPPORTED("""COMPUTED_VALUE"""),"Normalidade")</f>
        <v>Normalidade</v>
      </c>
      <c r="H1446" s="4">
        <f ca="1">IFERROR(__xludf.UNSUPPORTED("""COMPUTED_VALUE"""),44941.7244444444)</f>
        <v>44941.7244444444</v>
      </c>
      <c r="I1446" s="3">
        <f ca="1">IFERROR(__xludf.UNSUPPORTED("""COMPUTED_VALUE"""),24)</f>
        <v>24</v>
      </c>
      <c r="J1446" s="4">
        <f ca="1">IFERROR(__xludf.UNSUPPORTED("""COMPUTED_VALUE"""),44942.7244444444)</f>
        <v>44942.7244444444</v>
      </c>
      <c r="L1446" s="3" t="str">
        <f ca="1">IFERROR(__xludf.UNSUPPORTED("""COMPUTED_VALUE"""),"Normalidade")</f>
        <v>Normalidade</v>
      </c>
    </row>
    <row r="1447" spans="1:12" ht="12.75">
      <c r="A1447" s="3" t="str">
        <f ca="1">IFERROR(__xludf.UNSUPPORTED("""COMPUTED_VALUE"""),"72773eb8")</f>
        <v>72773eb8</v>
      </c>
      <c r="B1447" s="4">
        <f ca="1">IFERROR(__xludf.UNSUPPORTED("""COMPUTED_VALUE"""),44942.5848263888)</f>
        <v>44942.584826388797</v>
      </c>
      <c r="C1447" s="7" t="str">
        <f ca="1">IFERROR(__xludf.UNSUPPORTED("""COMPUTED_VALUE"""),"Recife")</f>
        <v>Recife</v>
      </c>
      <c r="D1447" s="3" t="str">
        <f ca="1">IFERROR(__xludf.UNSUPPORTED("""COMPUTED_VALUE"""),"🚢 REGULAR")</f>
        <v>🚢 REGULAR</v>
      </c>
      <c r="E1447" s="3" t="str">
        <f ca="1">IFERROR(__xludf.UNSUPPORTED("""COMPUTED_VALUE"""),"🚛 LIBERADO")</f>
        <v>🚛 LIBERADO</v>
      </c>
      <c r="F1447" s="5">
        <f ca="1">IFERROR(__xludf.UNSUPPORTED("""COMPUTED_VALUE"""),0)</f>
        <v>0</v>
      </c>
      <c r="G1447" s="3" t="str">
        <f ca="1">IFERROR(__xludf.UNSUPPORTED("""COMPUTED_VALUE"""),"Normalidade")</f>
        <v>Normalidade</v>
      </c>
      <c r="H1447" s="4">
        <f ca="1">IFERROR(__xludf.UNSUPPORTED("""COMPUTED_VALUE"""),44942.5848263888)</f>
        <v>44942.584826388797</v>
      </c>
      <c r="I1447" s="3">
        <f ca="1">IFERROR(__xludf.UNSUPPORTED("""COMPUTED_VALUE"""),24)</f>
        <v>24</v>
      </c>
      <c r="J1447" s="4">
        <f ca="1">IFERROR(__xludf.UNSUPPORTED("""COMPUTED_VALUE"""),44943.5848263888)</f>
        <v>44943.584826388797</v>
      </c>
      <c r="L1447" s="3" t="str">
        <f ca="1">IFERROR(__xludf.UNSUPPORTED("""COMPUTED_VALUE"""),"Normalidade")</f>
        <v>Normalidade</v>
      </c>
    </row>
    <row r="1448" spans="1:12" ht="12.75">
      <c r="A1448" s="3" t="str">
        <f ca="1">IFERROR(__xludf.UNSUPPORTED("""COMPUTED_VALUE"""),"bde4bbfe")</f>
        <v>bde4bbfe</v>
      </c>
      <c r="B1448" s="4">
        <f ca="1">IFERROR(__xludf.UNSUPPORTED("""COMPUTED_VALUE"""),44943.3618402777)</f>
        <v>44943.361840277699</v>
      </c>
      <c r="C1448" s="7" t="str">
        <f ca="1">IFERROR(__xludf.UNSUPPORTED("""COMPUTED_VALUE"""),"Recife")</f>
        <v>Recife</v>
      </c>
      <c r="D1448" s="3" t="str">
        <f ca="1">IFERROR(__xludf.UNSUPPORTED("""COMPUTED_VALUE"""),"🚢 REGULAR")</f>
        <v>🚢 REGULAR</v>
      </c>
      <c r="E1448" s="3" t="str">
        <f ca="1">IFERROR(__xludf.UNSUPPORTED("""COMPUTED_VALUE"""),"🚛 LIBERADO")</f>
        <v>🚛 LIBERADO</v>
      </c>
      <c r="F1448" s="5">
        <f ca="1">IFERROR(__xludf.UNSUPPORTED("""COMPUTED_VALUE"""),0)</f>
        <v>0</v>
      </c>
      <c r="G1448" s="3" t="str">
        <f ca="1">IFERROR(__xludf.UNSUPPORTED("""COMPUTED_VALUE"""),"Normalidade")</f>
        <v>Normalidade</v>
      </c>
      <c r="H1448" s="4">
        <f ca="1">IFERROR(__xludf.UNSUPPORTED("""COMPUTED_VALUE"""),44943.3618402777)</f>
        <v>44943.361840277699</v>
      </c>
      <c r="I1448" s="3">
        <f ca="1">IFERROR(__xludf.UNSUPPORTED("""COMPUTED_VALUE"""),24)</f>
        <v>24</v>
      </c>
      <c r="J1448" s="4">
        <f ca="1">IFERROR(__xludf.UNSUPPORTED("""COMPUTED_VALUE"""),44944.3618402777)</f>
        <v>44944.361840277699</v>
      </c>
      <c r="L1448" s="3" t="str">
        <f ca="1">IFERROR(__xludf.UNSUPPORTED("""COMPUTED_VALUE"""),"Normalidade")</f>
        <v>Normalidade</v>
      </c>
    </row>
    <row r="1449" spans="1:12" ht="12.75">
      <c r="A1449" s="3" t="str">
        <f ca="1">IFERROR(__xludf.UNSUPPORTED("""COMPUTED_VALUE"""),"2e23f80a")</f>
        <v>2e23f80a</v>
      </c>
      <c r="B1449" s="4">
        <f ca="1">IFERROR(__xludf.UNSUPPORTED("""COMPUTED_VALUE"""),44945.3589814814)</f>
        <v>44945.358981481397</v>
      </c>
      <c r="C1449" s="8" t="str">
        <f ca="1">IFERROR(__xludf.UNSUPPORTED("""COMPUTED_VALUE"""),"Recife")</f>
        <v>Recife</v>
      </c>
      <c r="D1449" s="3" t="str">
        <f ca="1">IFERROR(__xludf.UNSUPPORTED("""COMPUTED_VALUE"""),"🚢 REGULAR")</f>
        <v>🚢 REGULAR</v>
      </c>
      <c r="E1449" s="3" t="str">
        <f ca="1">IFERROR(__xludf.UNSUPPORTED("""COMPUTED_VALUE"""),"🚛 LIBERADO")</f>
        <v>🚛 LIBERADO</v>
      </c>
      <c r="F1449" s="5">
        <f ca="1">IFERROR(__xludf.UNSUPPORTED("""COMPUTED_VALUE"""),0)</f>
        <v>0</v>
      </c>
      <c r="G1449" s="3" t="str">
        <f ca="1">IFERROR(__xludf.UNSUPPORTED("""COMPUTED_VALUE"""),"Normalidade")</f>
        <v>Normalidade</v>
      </c>
      <c r="H1449" s="4">
        <f ca="1">IFERROR(__xludf.UNSUPPORTED("""COMPUTED_VALUE"""),44945.3589814814)</f>
        <v>44945.358981481397</v>
      </c>
      <c r="I1449" s="3">
        <f ca="1">IFERROR(__xludf.UNSUPPORTED("""COMPUTED_VALUE"""),24)</f>
        <v>24</v>
      </c>
      <c r="J1449" s="4">
        <f ca="1">IFERROR(__xludf.UNSUPPORTED("""COMPUTED_VALUE"""),44946.3589814814)</f>
        <v>44946.358981481397</v>
      </c>
      <c r="L1449" s="3" t="str">
        <f ca="1">IFERROR(__xludf.UNSUPPORTED("""COMPUTED_VALUE"""),"Normalidade")</f>
        <v>Normalidade</v>
      </c>
    </row>
    <row r="1450" spans="1:12" ht="12.75">
      <c r="A1450" s="3" t="str">
        <f ca="1">IFERROR(__xludf.UNSUPPORTED("""COMPUTED_VALUE"""),"5903f0b5")</f>
        <v>5903f0b5</v>
      </c>
      <c r="B1450" s="4">
        <f ca="1">IFERROR(__xludf.UNSUPPORTED("""COMPUTED_VALUE"""),44947.3741782407)</f>
        <v>44947.374178240701</v>
      </c>
      <c r="C1450" s="7" t="str">
        <f ca="1">IFERROR(__xludf.UNSUPPORTED("""COMPUTED_VALUE"""),"Recife")</f>
        <v>Recife</v>
      </c>
      <c r="D1450" s="3" t="str">
        <f ca="1">IFERROR(__xludf.UNSUPPORTED("""COMPUTED_VALUE"""),"🚢 REGULAR")</f>
        <v>🚢 REGULAR</v>
      </c>
      <c r="E1450" s="3" t="str">
        <f ca="1">IFERROR(__xludf.UNSUPPORTED("""COMPUTED_VALUE"""),"🚛 LIBERADO")</f>
        <v>🚛 LIBERADO</v>
      </c>
      <c r="F1450" s="5">
        <f ca="1">IFERROR(__xludf.UNSUPPORTED("""COMPUTED_VALUE"""),0)</f>
        <v>0</v>
      </c>
      <c r="G1450" s="3" t="str">
        <f ca="1">IFERROR(__xludf.UNSUPPORTED("""COMPUTED_VALUE"""),"Normalidade")</f>
        <v>Normalidade</v>
      </c>
      <c r="H1450" s="4">
        <f ca="1">IFERROR(__xludf.UNSUPPORTED("""COMPUTED_VALUE"""),44947.3741782407)</f>
        <v>44947.374178240701</v>
      </c>
      <c r="I1450" s="3">
        <f ca="1">IFERROR(__xludf.UNSUPPORTED("""COMPUTED_VALUE"""),24)</f>
        <v>24</v>
      </c>
      <c r="J1450" s="4">
        <f ca="1">IFERROR(__xludf.UNSUPPORTED("""COMPUTED_VALUE"""),44948.3741782407)</f>
        <v>44948.374178240701</v>
      </c>
    </row>
    <row r="1451" spans="1:12" ht="12.75">
      <c r="A1451" s="3" t="str">
        <f ca="1">IFERROR(__xludf.UNSUPPORTED("""COMPUTED_VALUE"""),"f63c821c")</f>
        <v>f63c821c</v>
      </c>
      <c r="B1451" s="4">
        <f ca="1">IFERROR(__xludf.UNSUPPORTED("""COMPUTED_VALUE"""),44947.3774884259)</f>
        <v>44947.377488425896</v>
      </c>
      <c r="C1451" s="8" t="str">
        <f ca="1">IFERROR(__xludf.UNSUPPORTED("""COMPUTED_VALUE"""),"Recife")</f>
        <v>Recife</v>
      </c>
      <c r="D1451" s="3" t="str">
        <f ca="1">IFERROR(__xludf.UNSUPPORTED("""COMPUTED_VALUE"""),"🚢 REGULAR")</f>
        <v>🚢 REGULAR</v>
      </c>
      <c r="E1451" s="3" t="str">
        <f ca="1">IFERROR(__xludf.UNSUPPORTED("""COMPUTED_VALUE"""),"🚛 LIBERADO")</f>
        <v>🚛 LIBERADO</v>
      </c>
      <c r="F1451" s="5">
        <f ca="1">IFERROR(__xludf.UNSUPPORTED("""COMPUTED_VALUE"""),0)</f>
        <v>0</v>
      </c>
      <c r="G1451" s="3" t="str">
        <f ca="1">IFERROR(__xludf.UNSUPPORTED("""COMPUTED_VALUE"""),"Normalidade")</f>
        <v>Normalidade</v>
      </c>
      <c r="H1451" s="4">
        <f ca="1">IFERROR(__xludf.UNSUPPORTED("""COMPUTED_VALUE"""),44947.3774884259)</f>
        <v>44947.377488425896</v>
      </c>
      <c r="I1451" s="3">
        <f ca="1">IFERROR(__xludf.UNSUPPORTED("""COMPUTED_VALUE"""),24)</f>
        <v>24</v>
      </c>
      <c r="J1451" s="4">
        <f ca="1">IFERROR(__xludf.UNSUPPORTED("""COMPUTED_VALUE"""),44948.3774884259)</f>
        <v>44948.377488425896</v>
      </c>
    </row>
    <row r="1452" spans="1:12" ht="12.75">
      <c r="A1452" s="3" t="str">
        <f ca="1">IFERROR(__xludf.UNSUPPORTED("""COMPUTED_VALUE"""),"d6a4a479")</f>
        <v>d6a4a479</v>
      </c>
      <c r="B1452" s="4">
        <f ca="1">IFERROR(__xludf.UNSUPPORTED("""COMPUTED_VALUE"""),44948.3539930555)</f>
        <v>44948.353993055498</v>
      </c>
      <c r="C1452" s="7" t="str">
        <f ca="1">IFERROR(__xludf.UNSUPPORTED("""COMPUTED_VALUE"""),"Recife")</f>
        <v>Recife</v>
      </c>
      <c r="D1452" s="3" t="str">
        <f ca="1">IFERROR(__xludf.UNSUPPORTED("""COMPUTED_VALUE"""),"🚢 REGULAR")</f>
        <v>🚢 REGULAR</v>
      </c>
      <c r="E1452" s="3" t="str">
        <f ca="1">IFERROR(__xludf.UNSUPPORTED("""COMPUTED_VALUE"""),"🚛 LIBERADO")</f>
        <v>🚛 LIBERADO</v>
      </c>
      <c r="F1452" s="5">
        <f ca="1">IFERROR(__xludf.UNSUPPORTED("""COMPUTED_VALUE"""),0)</f>
        <v>0</v>
      </c>
      <c r="G1452" s="3" t="str">
        <f ca="1">IFERROR(__xludf.UNSUPPORTED("""COMPUTED_VALUE"""),"Normalidade")</f>
        <v>Normalidade</v>
      </c>
      <c r="H1452" s="4">
        <f ca="1">IFERROR(__xludf.UNSUPPORTED("""COMPUTED_VALUE"""),44948.3539930555)</f>
        <v>44948.353993055498</v>
      </c>
      <c r="I1452" s="3">
        <f ca="1">IFERROR(__xludf.UNSUPPORTED("""COMPUTED_VALUE"""),24)</f>
        <v>24</v>
      </c>
      <c r="J1452" s="4">
        <f ca="1">IFERROR(__xludf.UNSUPPORTED("""COMPUTED_VALUE"""),44949.3539930555)</f>
        <v>44949.353993055498</v>
      </c>
      <c r="L1452" s="3" t="str">
        <f ca="1">IFERROR(__xludf.UNSUPPORTED("""COMPUTED_VALUE"""),"Normalidade")</f>
        <v>Normalidade</v>
      </c>
    </row>
    <row r="1453" spans="1:12" ht="12.75">
      <c r="A1453" s="3" t="str">
        <f ca="1">IFERROR(__xludf.UNSUPPORTED("""COMPUTED_VALUE"""),"aaf0d938")</f>
        <v>aaf0d938</v>
      </c>
      <c r="B1453" s="4">
        <f ca="1">IFERROR(__xludf.UNSUPPORTED("""COMPUTED_VALUE"""),44949.3704976851)</f>
        <v>44949.3704976851</v>
      </c>
      <c r="C1453" s="8" t="str">
        <f ca="1">IFERROR(__xludf.UNSUPPORTED("""COMPUTED_VALUE"""),"Recife")</f>
        <v>Recife</v>
      </c>
      <c r="D1453" s="3" t="str">
        <f ca="1">IFERROR(__xludf.UNSUPPORTED("""COMPUTED_VALUE"""),"🚢 REGULAR")</f>
        <v>🚢 REGULAR</v>
      </c>
      <c r="E1453" s="3" t="str">
        <f ca="1">IFERROR(__xludf.UNSUPPORTED("""COMPUTED_VALUE"""),"🚛 LIBERADO")</f>
        <v>🚛 LIBERADO</v>
      </c>
      <c r="F1453" s="5">
        <f ca="1">IFERROR(__xludf.UNSUPPORTED("""COMPUTED_VALUE"""),0)</f>
        <v>0</v>
      </c>
      <c r="G1453" s="3" t="str">
        <f ca="1">IFERROR(__xludf.UNSUPPORTED("""COMPUTED_VALUE"""),"Normalidade")</f>
        <v>Normalidade</v>
      </c>
      <c r="H1453" s="4">
        <f ca="1">IFERROR(__xludf.UNSUPPORTED("""COMPUTED_VALUE"""),44949.3704976851)</f>
        <v>44949.3704976851</v>
      </c>
      <c r="I1453" s="3">
        <f ca="1">IFERROR(__xludf.UNSUPPORTED("""COMPUTED_VALUE"""),24)</f>
        <v>24</v>
      </c>
      <c r="J1453" s="4">
        <f ca="1">IFERROR(__xludf.UNSUPPORTED("""COMPUTED_VALUE"""),44950.3704976851)</f>
        <v>44950.3704976851</v>
      </c>
    </row>
    <row r="1454" spans="1:12" ht="12.75">
      <c r="A1454" s="3" t="str">
        <f ca="1">IFERROR(__xludf.UNSUPPORTED("""COMPUTED_VALUE"""),"9e6bb9b1")</f>
        <v>9e6bb9b1</v>
      </c>
      <c r="B1454" s="4">
        <f ca="1">IFERROR(__xludf.UNSUPPORTED("""COMPUTED_VALUE"""),44952.4020254629)</f>
        <v>44952.402025462899</v>
      </c>
      <c r="C1454" s="7" t="str">
        <f ca="1">IFERROR(__xludf.UNSUPPORTED("""COMPUTED_VALUE"""),"Recife")</f>
        <v>Recife</v>
      </c>
      <c r="D1454" s="3" t="str">
        <f ca="1">IFERROR(__xludf.UNSUPPORTED("""COMPUTED_VALUE"""),"🚢 REGULAR")</f>
        <v>🚢 REGULAR</v>
      </c>
      <c r="E1454" s="3" t="str">
        <f ca="1">IFERROR(__xludf.UNSUPPORTED("""COMPUTED_VALUE"""),"🚛 LIBERADO")</f>
        <v>🚛 LIBERADO</v>
      </c>
      <c r="F1454" s="5">
        <f ca="1">IFERROR(__xludf.UNSUPPORTED("""COMPUTED_VALUE"""),0)</f>
        <v>0</v>
      </c>
      <c r="G1454" s="3" t="str">
        <f ca="1">IFERROR(__xludf.UNSUPPORTED("""COMPUTED_VALUE"""),"Normalidade")</f>
        <v>Normalidade</v>
      </c>
      <c r="H1454" s="4">
        <f ca="1">IFERROR(__xludf.UNSUPPORTED("""COMPUTED_VALUE"""),44952.4020254629)</f>
        <v>44952.402025462899</v>
      </c>
      <c r="I1454" s="3">
        <f ca="1">IFERROR(__xludf.UNSUPPORTED("""COMPUTED_VALUE"""),24)</f>
        <v>24</v>
      </c>
      <c r="J1454" s="4">
        <f ca="1">IFERROR(__xludf.UNSUPPORTED("""COMPUTED_VALUE"""),44953.4020254629)</f>
        <v>44953.402025462899</v>
      </c>
      <c r="L1454" s="3" t="str">
        <f ca="1">IFERROR(__xludf.UNSUPPORTED("""COMPUTED_VALUE"""),"Normalidade")</f>
        <v>Normalidade</v>
      </c>
    </row>
    <row r="1455" spans="1:12" ht="12.75">
      <c r="A1455" s="3" t="str">
        <f ca="1">IFERROR(__xludf.UNSUPPORTED("""COMPUTED_VALUE"""),"4986779f")</f>
        <v>4986779f</v>
      </c>
      <c r="B1455" s="4">
        <f ca="1">IFERROR(__xludf.UNSUPPORTED("""COMPUTED_VALUE"""),44953.3703587962)</f>
        <v>44953.370358796201</v>
      </c>
      <c r="C1455" s="7" t="str">
        <f ca="1">IFERROR(__xludf.UNSUPPORTED("""COMPUTED_VALUE"""),"Recife")</f>
        <v>Recife</v>
      </c>
      <c r="D1455" s="3" t="str">
        <f ca="1">IFERROR(__xludf.UNSUPPORTED("""COMPUTED_VALUE"""),"🚢 REGULAR")</f>
        <v>🚢 REGULAR</v>
      </c>
      <c r="E1455" s="3" t="str">
        <f ca="1">IFERROR(__xludf.UNSUPPORTED("""COMPUTED_VALUE"""),"🚛 LIBERADO")</f>
        <v>🚛 LIBERADO</v>
      </c>
      <c r="F1455" s="5">
        <f ca="1">IFERROR(__xludf.UNSUPPORTED("""COMPUTED_VALUE"""),0)</f>
        <v>0</v>
      </c>
      <c r="G1455" s="3" t="str">
        <f ca="1">IFERROR(__xludf.UNSUPPORTED("""COMPUTED_VALUE"""),"Normalidade")</f>
        <v>Normalidade</v>
      </c>
      <c r="H1455" s="4">
        <f ca="1">IFERROR(__xludf.UNSUPPORTED("""COMPUTED_VALUE"""),44953.3703587962)</f>
        <v>44953.370358796201</v>
      </c>
      <c r="I1455" s="3">
        <f ca="1">IFERROR(__xludf.UNSUPPORTED("""COMPUTED_VALUE"""),24)</f>
        <v>24</v>
      </c>
      <c r="J1455" s="4">
        <f ca="1">IFERROR(__xludf.UNSUPPORTED("""COMPUTED_VALUE"""),44954.3703587962)</f>
        <v>44954.370358796201</v>
      </c>
    </row>
    <row r="1456" spans="1:12" ht="12.75">
      <c r="A1456" s="3" t="str">
        <f ca="1">IFERROR(__xludf.UNSUPPORTED("""COMPUTED_VALUE"""),"419ee1c6")</f>
        <v>419ee1c6</v>
      </c>
      <c r="B1456" s="4">
        <f ca="1">IFERROR(__xludf.UNSUPPORTED("""COMPUTED_VALUE"""),44954.3728009259)</f>
        <v>44954.372800925899</v>
      </c>
      <c r="C1456" s="7" t="str">
        <f ca="1">IFERROR(__xludf.UNSUPPORTED("""COMPUTED_VALUE"""),"Recife")</f>
        <v>Recife</v>
      </c>
      <c r="D1456" s="3" t="str">
        <f ca="1">IFERROR(__xludf.UNSUPPORTED("""COMPUTED_VALUE"""),"🚢 REGULAR")</f>
        <v>🚢 REGULAR</v>
      </c>
      <c r="E1456" s="3" t="str">
        <f ca="1">IFERROR(__xludf.UNSUPPORTED("""COMPUTED_VALUE"""),"🚛 LIBERADO")</f>
        <v>🚛 LIBERADO</v>
      </c>
      <c r="F1456" s="5">
        <f ca="1">IFERROR(__xludf.UNSUPPORTED("""COMPUTED_VALUE"""),0)</f>
        <v>0</v>
      </c>
      <c r="G1456" s="3" t="str">
        <f ca="1">IFERROR(__xludf.UNSUPPORTED("""COMPUTED_VALUE"""),"Normalidade")</f>
        <v>Normalidade</v>
      </c>
      <c r="H1456" s="4">
        <f ca="1">IFERROR(__xludf.UNSUPPORTED("""COMPUTED_VALUE"""),44954.3728009259)</f>
        <v>44954.372800925899</v>
      </c>
      <c r="I1456" s="3">
        <f ca="1">IFERROR(__xludf.UNSUPPORTED("""COMPUTED_VALUE"""),24)</f>
        <v>24</v>
      </c>
      <c r="J1456" s="4">
        <f ca="1">IFERROR(__xludf.UNSUPPORTED("""COMPUTED_VALUE"""),44955.3728009259)</f>
        <v>44955.372800925899</v>
      </c>
    </row>
    <row r="1457" spans="1:12" ht="12.75">
      <c r="A1457" s="3" t="str">
        <f ca="1">IFERROR(__xludf.UNSUPPORTED("""COMPUTED_VALUE"""),"37851c29")</f>
        <v>37851c29</v>
      </c>
      <c r="B1457" s="4">
        <f ca="1">IFERROR(__xludf.UNSUPPORTED("""COMPUTED_VALUE"""),44955.3870138888)</f>
        <v>44955.387013888801</v>
      </c>
      <c r="C1457" s="7" t="str">
        <f ca="1">IFERROR(__xludf.UNSUPPORTED("""COMPUTED_VALUE"""),"Recife")</f>
        <v>Recife</v>
      </c>
      <c r="D1457" s="3" t="str">
        <f ca="1">IFERROR(__xludf.UNSUPPORTED("""COMPUTED_VALUE"""),"🚢 REGULAR")</f>
        <v>🚢 REGULAR</v>
      </c>
      <c r="E1457" s="3" t="str">
        <f ca="1">IFERROR(__xludf.UNSUPPORTED("""COMPUTED_VALUE"""),"🚛 LIBERADO")</f>
        <v>🚛 LIBERADO</v>
      </c>
      <c r="F1457" s="5">
        <f ca="1">IFERROR(__xludf.UNSUPPORTED("""COMPUTED_VALUE"""),0)</f>
        <v>0</v>
      </c>
      <c r="G1457" s="3" t="str">
        <f ca="1">IFERROR(__xludf.UNSUPPORTED("""COMPUTED_VALUE"""),"Normalidade")</f>
        <v>Normalidade</v>
      </c>
      <c r="H1457" s="4">
        <f ca="1">IFERROR(__xludf.UNSUPPORTED("""COMPUTED_VALUE"""),44955.3870138888)</f>
        <v>44955.387013888801</v>
      </c>
      <c r="I1457" s="3">
        <f ca="1">IFERROR(__xludf.UNSUPPORTED("""COMPUTED_VALUE"""),24)</f>
        <v>24</v>
      </c>
      <c r="J1457" s="4">
        <f ca="1">IFERROR(__xludf.UNSUPPORTED("""COMPUTED_VALUE"""),44956.3870138888)</f>
        <v>44956.387013888801</v>
      </c>
      <c r="L1457" s="3" t="str">
        <f ca="1">IFERROR(__xludf.UNSUPPORTED("""COMPUTED_VALUE"""),"Normalidade")</f>
        <v>Normalidade</v>
      </c>
    </row>
    <row r="1458" spans="1:12" ht="12.75">
      <c r="A1458" s="3" t="str">
        <f ca="1">IFERROR(__xludf.UNSUPPORTED("""COMPUTED_VALUE"""),"1cb20023")</f>
        <v>1cb20023</v>
      </c>
      <c r="B1458" s="4">
        <f ca="1">IFERROR(__xludf.UNSUPPORTED("""COMPUTED_VALUE"""),44956.3453356481)</f>
        <v>44956.345335648097</v>
      </c>
      <c r="C1458" s="7" t="str">
        <f ca="1">IFERROR(__xludf.UNSUPPORTED("""COMPUTED_VALUE"""),"Recife")</f>
        <v>Recife</v>
      </c>
      <c r="D1458" s="3" t="str">
        <f ca="1">IFERROR(__xludf.UNSUPPORTED("""COMPUTED_VALUE"""),"🚢 REGULAR")</f>
        <v>🚢 REGULAR</v>
      </c>
      <c r="E1458" s="3" t="str">
        <f ca="1">IFERROR(__xludf.UNSUPPORTED("""COMPUTED_VALUE"""),"🚛 LIBERADO")</f>
        <v>🚛 LIBERADO</v>
      </c>
      <c r="F1458" s="5">
        <f ca="1">IFERROR(__xludf.UNSUPPORTED("""COMPUTED_VALUE"""),0)</f>
        <v>0</v>
      </c>
      <c r="G1458" s="3" t="str">
        <f ca="1">IFERROR(__xludf.UNSUPPORTED("""COMPUTED_VALUE"""),"Normalidade")</f>
        <v>Normalidade</v>
      </c>
      <c r="H1458" s="4">
        <f ca="1">IFERROR(__xludf.UNSUPPORTED("""COMPUTED_VALUE"""),44956.3453356481)</f>
        <v>44956.345335648097</v>
      </c>
      <c r="I1458" s="3">
        <f ca="1">IFERROR(__xludf.UNSUPPORTED("""COMPUTED_VALUE"""),24)</f>
        <v>24</v>
      </c>
      <c r="J1458" s="4">
        <f ca="1">IFERROR(__xludf.UNSUPPORTED("""COMPUTED_VALUE"""),44957.3453356481)</f>
        <v>44957.345335648097</v>
      </c>
    </row>
    <row r="1459" spans="1:12" ht="12.75">
      <c r="A1459" s="3" t="str">
        <f ca="1">IFERROR(__xludf.UNSUPPORTED("""COMPUTED_VALUE"""),"68fb9aef")</f>
        <v>68fb9aef</v>
      </c>
      <c r="B1459" s="4">
        <f ca="1">IFERROR(__xludf.UNSUPPORTED("""COMPUTED_VALUE"""),44957.3980671296)</f>
        <v>44957.398067129601</v>
      </c>
      <c r="C1459" s="7" t="str">
        <f ca="1">IFERROR(__xludf.UNSUPPORTED("""COMPUTED_VALUE"""),"Recife")</f>
        <v>Recife</v>
      </c>
      <c r="D1459" s="3" t="str">
        <f ca="1">IFERROR(__xludf.UNSUPPORTED("""COMPUTED_VALUE"""),"🚢 REGULAR")</f>
        <v>🚢 REGULAR</v>
      </c>
      <c r="E1459" s="3" t="str">
        <f ca="1">IFERROR(__xludf.UNSUPPORTED("""COMPUTED_VALUE"""),"🚛 LIBERADO")</f>
        <v>🚛 LIBERADO</v>
      </c>
      <c r="F1459" s="5">
        <f ca="1">IFERROR(__xludf.UNSUPPORTED("""COMPUTED_VALUE"""),0)</f>
        <v>0</v>
      </c>
      <c r="G1459" s="3" t="str">
        <f ca="1">IFERROR(__xludf.UNSUPPORTED("""COMPUTED_VALUE"""),"Normalidade")</f>
        <v>Normalidade</v>
      </c>
      <c r="H1459" s="4">
        <f ca="1">IFERROR(__xludf.UNSUPPORTED("""COMPUTED_VALUE"""),44957.3980671296)</f>
        <v>44957.398067129601</v>
      </c>
      <c r="I1459" s="3">
        <f ca="1">IFERROR(__xludf.UNSUPPORTED("""COMPUTED_VALUE"""),24)</f>
        <v>24</v>
      </c>
      <c r="J1459" s="4">
        <f ca="1">IFERROR(__xludf.UNSUPPORTED("""COMPUTED_VALUE"""),44958.3980671296)</f>
        <v>44958.398067129601</v>
      </c>
      <c r="L1459" s="3" t="str">
        <f ca="1">IFERROR(__xludf.UNSUPPORTED("""COMPUTED_VALUE"""),"Normalidade")</f>
        <v>Normalidade</v>
      </c>
    </row>
    <row r="1460" spans="1:12" ht="12.75">
      <c r="A1460" s="3" t="str">
        <f ca="1">IFERROR(__xludf.UNSUPPORTED("""COMPUTED_VALUE"""),"e9fe6607")</f>
        <v>e9fe6607</v>
      </c>
      <c r="B1460" s="4">
        <f ca="1">IFERROR(__xludf.UNSUPPORTED("""COMPUTED_VALUE"""),44958.4574189814)</f>
        <v>44958.457418981401</v>
      </c>
      <c r="C1460" s="7" t="str">
        <f ca="1">IFERROR(__xludf.UNSUPPORTED("""COMPUTED_VALUE"""),"Recife")</f>
        <v>Recife</v>
      </c>
      <c r="D1460" s="3" t="str">
        <f ca="1">IFERROR(__xludf.UNSUPPORTED("""COMPUTED_VALUE"""),"🚢 REGULAR")</f>
        <v>🚢 REGULAR</v>
      </c>
      <c r="E1460" s="3" t="str">
        <f ca="1">IFERROR(__xludf.UNSUPPORTED("""COMPUTED_VALUE"""),"🚛 LIBERADO")</f>
        <v>🚛 LIBERADO</v>
      </c>
      <c r="F1460" s="5">
        <f ca="1">IFERROR(__xludf.UNSUPPORTED("""COMPUTED_VALUE"""),0)</f>
        <v>0</v>
      </c>
      <c r="G1460" s="3" t="str">
        <f ca="1">IFERROR(__xludf.UNSUPPORTED("""COMPUTED_VALUE"""),"Normalidade")</f>
        <v>Normalidade</v>
      </c>
      <c r="H1460" s="4">
        <f ca="1">IFERROR(__xludf.UNSUPPORTED("""COMPUTED_VALUE"""),44958.4574189814)</f>
        <v>44958.457418981401</v>
      </c>
      <c r="I1460" s="3">
        <f ca="1">IFERROR(__xludf.UNSUPPORTED("""COMPUTED_VALUE"""),24)</f>
        <v>24</v>
      </c>
      <c r="J1460" s="4">
        <f ca="1">IFERROR(__xludf.UNSUPPORTED("""COMPUTED_VALUE"""),44959.4574189814)</f>
        <v>44959.457418981401</v>
      </c>
      <c r="L1460" s="3" t="str">
        <f ca="1">IFERROR(__xludf.UNSUPPORTED("""COMPUTED_VALUE"""),"Normalidade")</f>
        <v>Normalidade</v>
      </c>
    </row>
    <row r="1461" spans="1:12" ht="12.75">
      <c r="A1461" s="3" t="str">
        <f ca="1">IFERROR(__xludf.UNSUPPORTED("""COMPUTED_VALUE"""),"3a3ba7c2")</f>
        <v>3a3ba7c2</v>
      </c>
      <c r="B1461" s="4">
        <f ca="1">IFERROR(__xludf.UNSUPPORTED("""COMPUTED_VALUE"""),44958.461574074)</f>
        <v>44958.461574073997</v>
      </c>
      <c r="C1461" s="8" t="str">
        <f ca="1">IFERROR(__xludf.UNSUPPORTED("""COMPUTED_VALUE"""),"Recife")</f>
        <v>Recife</v>
      </c>
      <c r="D1461" s="3" t="str">
        <f ca="1">IFERROR(__xludf.UNSUPPORTED("""COMPUTED_VALUE"""),"🚢 REGULAR")</f>
        <v>🚢 REGULAR</v>
      </c>
      <c r="E1461" s="3" t="str">
        <f ca="1">IFERROR(__xludf.UNSUPPORTED("""COMPUTED_VALUE"""),"🚛 LIBERADO")</f>
        <v>🚛 LIBERADO</v>
      </c>
      <c r="F1461" s="5">
        <f ca="1">IFERROR(__xludf.UNSUPPORTED("""COMPUTED_VALUE"""),0)</f>
        <v>0</v>
      </c>
      <c r="G1461" s="3" t="str">
        <f ca="1">IFERROR(__xludf.UNSUPPORTED("""COMPUTED_VALUE"""),"Normalidade")</f>
        <v>Normalidade</v>
      </c>
      <c r="H1461" s="4">
        <f ca="1">IFERROR(__xludf.UNSUPPORTED("""COMPUTED_VALUE"""),44958.461574074)</f>
        <v>44958.461574073997</v>
      </c>
      <c r="I1461" s="3">
        <f ca="1">IFERROR(__xludf.UNSUPPORTED("""COMPUTED_VALUE"""),24)</f>
        <v>24</v>
      </c>
      <c r="J1461" s="4">
        <f ca="1">IFERROR(__xludf.UNSUPPORTED("""COMPUTED_VALUE"""),44959.461574074)</f>
        <v>44959.461574073997</v>
      </c>
    </row>
    <row r="1462" spans="1:12" ht="12.75">
      <c r="A1462" s="3" t="str">
        <f ca="1">IFERROR(__xludf.UNSUPPORTED("""COMPUTED_VALUE"""),"d7314df5")</f>
        <v>d7314df5</v>
      </c>
      <c r="B1462" s="4">
        <f ca="1">IFERROR(__xludf.UNSUPPORTED("""COMPUTED_VALUE"""),44958.4621527777)</f>
        <v>44958.462152777698</v>
      </c>
      <c r="C1462" s="7" t="str">
        <f ca="1">IFERROR(__xludf.UNSUPPORTED("""COMPUTED_VALUE"""),"Recife")</f>
        <v>Recife</v>
      </c>
      <c r="D1462" s="3" t="str">
        <f ca="1">IFERROR(__xludf.UNSUPPORTED("""COMPUTED_VALUE"""),"🚢 REGULAR")</f>
        <v>🚢 REGULAR</v>
      </c>
      <c r="E1462" s="3" t="str">
        <f ca="1">IFERROR(__xludf.UNSUPPORTED("""COMPUTED_VALUE"""),"🚛 LIBERADO")</f>
        <v>🚛 LIBERADO</v>
      </c>
      <c r="F1462" s="5">
        <f ca="1">IFERROR(__xludf.UNSUPPORTED("""COMPUTED_VALUE"""),0)</f>
        <v>0</v>
      </c>
      <c r="G1462" s="3" t="str">
        <f ca="1">IFERROR(__xludf.UNSUPPORTED("""COMPUTED_VALUE"""),"Normalidade")</f>
        <v>Normalidade</v>
      </c>
      <c r="H1462" s="4">
        <f ca="1">IFERROR(__xludf.UNSUPPORTED("""COMPUTED_VALUE"""),44958.4621527777)</f>
        <v>44958.462152777698</v>
      </c>
      <c r="I1462" s="3">
        <f ca="1">IFERROR(__xludf.UNSUPPORTED("""COMPUTED_VALUE"""),24)</f>
        <v>24</v>
      </c>
      <c r="J1462" s="4">
        <f ca="1">IFERROR(__xludf.UNSUPPORTED("""COMPUTED_VALUE"""),44959.4621527777)</f>
        <v>44959.462152777698</v>
      </c>
      <c r="L1462" s="3" t="str">
        <f ca="1">IFERROR(__xludf.UNSUPPORTED("""COMPUTED_VALUE"""),"Normalidade")</f>
        <v>Normalidade</v>
      </c>
    </row>
    <row r="1463" spans="1:12" ht="12.75">
      <c r="A1463" s="3" t="str">
        <f ca="1">IFERROR(__xludf.UNSUPPORTED("""COMPUTED_VALUE"""),"5ca7b6d2")</f>
        <v>5ca7b6d2</v>
      </c>
      <c r="B1463" s="4">
        <f ca="1">IFERROR(__xludf.UNSUPPORTED("""COMPUTED_VALUE"""),44960.4361226851)</f>
        <v>44960.436122685103</v>
      </c>
      <c r="C1463" s="7" t="str">
        <f ca="1">IFERROR(__xludf.UNSUPPORTED("""COMPUTED_VALUE"""),"Recife")</f>
        <v>Recife</v>
      </c>
      <c r="D1463" s="3" t="str">
        <f ca="1">IFERROR(__xludf.UNSUPPORTED("""COMPUTED_VALUE"""),"🚢 REGULAR")</f>
        <v>🚢 REGULAR</v>
      </c>
      <c r="E1463" s="3" t="str">
        <f ca="1">IFERROR(__xludf.UNSUPPORTED("""COMPUTED_VALUE"""),"🚛 LIBERADO")</f>
        <v>🚛 LIBERADO</v>
      </c>
      <c r="F1463" s="5">
        <f ca="1">IFERROR(__xludf.UNSUPPORTED("""COMPUTED_VALUE"""),0)</f>
        <v>0</v>
      </c>
      <c r="G1463" s="3" t="str">
        <f ca="1">IFERROR(__xludf.UNSUPPORTED("""COMPUTED_VALUE"""),"Normalidade")</f>
        <v>Normalidade</v>
      </c>
      <c r="H1463" s="4">
        <f ca="1">IFERROR(__xludf.UNSUPPORTED("""COMPUTED_VALUE"""),44960.4361226851)</f>
        <v>44960.436122685103</v>
      </c>
      <c r="I1463" s="3">
        <f ca="1">IFERROR(__xludf.UNSUPPORTED("""COMPUTED_VALUE"""),24)</f>
        <v>24</v>
      </c>
      <c r="J1463" s="4">
        <f ca="1">IFERROR(__xludf.UNSUPPORTED("""COMPUTED_VALUE"""),44961.4361226851)</f>
        <v>44961.436122685103</v>
      </c>
      <c r="L1463" s="3" t="str">
        <f ca="1">IFERROR(__xludf.UNSUPPORTED("""COMPUTED_VALUE"""),"Normalidade")</f>
        <v>Normalidade</v>
      </c>
    </row>
    <row r="1464" spans="1:12" ht="12.75">
      <c r="A1464" s="3" t="str">
        <f ca="1">IFERROR(__xludf.UNSUPPORTED("""COMPUTED_VALUE"""),"ac9b7819")</f>
        <v>ac9b7819</v>
      </c>
      <c r="B1464" s="4">
        <f ca="1">IFERROR(__xludf.UNSUPPORTED("""COMPUTED_VALUE"""),44961.3762037037)</f>
        <v>44961.376203703701</v>
      </c>
      <c r="C1464" s="7" t="str">
        <f ca="1">IFERROR(__xludf.UNSUPPORTED("""COMPUTED_VALUE"""),"Recife")</f>
        <v>Recife</v>
      </c>
      <c r="D1464" s="3" t="str">
        <f ca="1">IFERROR(__xludf.UNSUPPORTED("""COMPUTED_VALUE"""),"🚢 REGULAR")</f>
        <v>🚢 REGULAR</v>
      </c>
      <c r="E1464" s="3" t="str">
        <f ca="1">IFERROR(__xludf.UNSUPPORTED("""COMPUTED_VALUE"""),"🚛 LIBERADO")</f>
        <v>🚛 LIBERADO</v>
      </c>
      <c r="F1464" s="5">
        <f ca="1">IFERROR(__xludf.UNSUPPORTED("""COMPUTED_VALUE"""),0)</f>
        <v>0</v>
      </c>
      <c r="G1464" s="3" t="str">
        <f ca="1">IFERROR(__xludf.UNSUPPORTED("""COMPUTED_VALUE"""),"Normalidade")</f>
        <v>Normalidade</v>
      </c>
      <c r="H1464" s="4">
        <f ca="1">IFERROR(__xludf.UNSUPPORTED("""COMPUTED_VALUE"""),44961.3762037037)</f>
        <v>44961.376203703701</v>
      </c>
      <c r="I1464" s="3">
        <f ca="1">IFERROR(__xludf.UNSUPPORTED("""COMPUTED_VALUE"""),24)</f>
        <v>24</v>
      </c>
      <c r="J1464" s="4">
        <f ca="1">IFERROR(__xludf.UNSUPPORTED("""COMPUTED_VALUE"""),44962.3762037037)</f>
        <v>44962.376203703701</v>
      </c>
      <c r="L1464" s="3" t="str">
        <f ca="1">IFERROR(__xludf.UNSUPPORTED("""COMPUTED_VALUE"""),"Normalidade")</f>
        <v>Normalidade</v>
      </c>
    </row>
    <row r="1465" spans="1:12" ht="12.75">
      <c r="A1465" s="3" t="str">
        <f ca="1">IFERROR(__xludf.UNSUPPORTED("""COMPUTED_VALUE"""),"7866db43")</f>
        <v>7866db43</v>
      </c>
      <c r="B1465" s="4">
        <f ca="1">IFERROR(__xludf.UNSUPPORTED("""COMPUTED_VALUE"""),44961.3780092592)</f>
        <v>44961.378009259199</v>
      </c>
      <c r="C1465" s="8" t="str">
        <f ca="1">IFERROR(__xludf.UNSUPPORTED("""COMPUTED_VALUE"""),"Recife")</f>
        <v>Recife</v>
      </c>
      <c r="D1465" s="3" t="str">
        <f ca="1">IFERROR(__xludf.UNSUPPORTED("""COMPUTED_VALUE"""),"🚢 REGULAR")</f>
        <v>🚢 REGULAR</v>
      </c>
      <c r="E1465" s="3" t="str">
        <f ca="1">IFERROR(__xludf.UNSUPPORTED("""COMPUTED_VALUE"""),"🚛 LIBERADO")</f>
        <v>🚛 LIBERADO</v>
      </c>
      <c r="F1465" s="5">
        <f ca="1">IFERROR(__xludf.UNSUPPORTED("""COMPUTED_VALUE"""),0)</f>
        <v>0</v>
      </c>
      <c r="G1465" s="3" t="str">
        <f ca="1">IFERROR(__xludf.UNSUPPORTED("""COMPUTED_VALUE"""),"Normalidade")</f>
        <v>Normalidade</v>
      </c>
      <c r="H1465" s="4">
        <f ca="1">IFERROR(__xludf.UNSUPPORTED("""COMPUTED_VALUE"""),44961.3780092592)</f>
        <v>44961.378009259199</v>
      </c>
      <c r="I1465" s="3">
        <f ca="1">IFERROR(__xludf.UNSUPPORTED("""COMPUTED_VALUE"""),24)</f>
        <v>24</v>
      </c>
      <c r="J1465" s="4">
        <f ca="1">IFERROR(__xludf.UNSUPPORTED("""COMPUTED_VALUE"""),44962.3780092592)</f>
        <v>44962.378009259199</v>
      </c>
      <c r="L1465" s="3" t="str">
        <f ca="1">IFERROR(__xludf.UNSUPPORTED("""COMPUTED_VALUE"""),"Normalidade")</f>
        <v>Normalidade</v>
      </c>
    </row>
    <row r="1466" spans="1:12" ht="12.75">
      <c r="A1466" s="3" t="str">
        <f ca="1">IFERROR(__xludf.UNSUPPORTED("""COMPUTED_VALUE"""),"bdd141de")</f>
        <v>bdd141de</v>
      </c>
      <c r="B1466" s="4">
        <f ca="1">IFERROR(__xludf.UNSUPPORTED("""COMPUTED_VALUE"""),44961.3807523148)</f>
        <v>44961.380752314799</v>
      </c>
      <c r="C1466" s="7" t="str">
        <f ca="1">IFERROR(__xludf.UNSUPPORTED("""COMPUTED_VALUE"""),"Recife")</f>
        <v>Recife</v>
      </c>
      <c r="D1466" s="3" t="str">
        <f ca="1">IFERROR(__xludf.UNSUPPORTED("""COMPUTED_VALUE"""),"🚢 REGULAR")</f>
        <v>🚢 REGULAR</v>
      </c>
      <c r="E1466" s="3" t="str">
        <f ca="1">IFERROR(__xludf.UNSUPPORTED("""COMPUTED_VALUE"""),"🚛 LIBERADO")</f>
        <v>🚛 LIBERADO</v>
      </c>
      <c r="F1466" s="5">
        <f ca="1">IFERROR(__xludf.UNSUPPORTED("""COMPUTED_VALUE"""),0)</f>
        <v>0</v>
      </c>
      <c r="G1466" s="3" t="str">
        <f ca="1">IFERROR(__xludf.UNSUPPORTED("""COMPUTED_VALUE"""),"Normalidade")</f>
        <v>Normalidade</v>
      </c>
      <c r="H1466" s="4">
        <f ca="1">IFERROR(__xludf.UNSUPPORTED("""COMPUTED_VALUE"""),44961.3807523148)</f>
        <v>44961.380752314799</v>
      </c>
      <c r="I1466" s="3">
        <f ca="1">IFERROR(__xludf.UNSUPPORTED("""COMPUTED_VALUE"""),24)</f>
        <v>24</v>
      </c>
      <c r="J1466" s="4">
        <f ca="1">IFERROR(__xludf.UNSUPPORTED("""COMPUTED_VALUE"""),44962.3807523148)</f>
        <v>44962.380752314799</v>
      </c>
      <c r="L1466" s="3" t="str">
        <f ca="1">IFERROR(__xludf.UNSUPPORTED("""COMPUTED_VALUE"""),"Normalidade")</f>
        <v>Normalidade</v>
      </c>
    </row>
    <row r="1467" spans="1:12" ht="12.75">
      <c r="A1467" s="3" t="str">
        <f ca="1">IFERROR(__xludf.UNSUPPORTED("""COMPUTED_VALUE"""),"60560fa7")</f>
        <v>60560fa7</v>
      </c>
      <c r="B1467" s="4">
        <f ca="1">IFERROR(__xludf.UNSUPPORTED("""COMPUTED_VALUE"""),44963.3766203703)</f>
        <v>44963.376620370298</v>
      </c>
      <c r="C1467" s="8" t="str">
        <f ca="1">IFERROR(__xludf.UNSUPPORTED("""COMPUTED_VALUE"""),"Recife")</f>
        <v>Recife</v>
      </c>
      <c r="D1467" s="3" t="str">
        <f ca="1">IFERROR(__xludf.UNSUPPORTED("""COMPUTED_VALUE"""),"🚢 REGULAR")</f>
        <v>🚢 REGULAR</v>
      </c>
      <c r="E1467" s="3" t="str">
        <f ca="1">IFERROR(__xludf.UNSUPPORTED("""COMPUTED_VALUE"""),"🚛 LIBERADO")</f>
        <v>🚛 LIBERADO</v>
      </c>
      <c r="F1467" s="5">
        <f ca="1">IFERROR(__xludf.UNSUPPORTED("""COMPUTED_VALUE"""),0)</f>
        <v>0</v>
      </c>
      <c r="G1467" s="3" t="str">
        <f ca="1">IFERROR(__xludf.UNSUPPORTED("""COMPUTED_VALUE"""),"Normalidade")</f>
        <v>Normalidade</v>
      </c>
      <c r="H1467" s="4">
        <f ca="1">IFERROR(__xludf.UNSUPPORTED("""COMPUTED_VALUE"""),44963.3766203703)</f>
        <v>44963.376620370298</v>
      </c>
      <c r="I1467" s="3">
        <f ca="1">IFERROR(__xludf.UNSUPPORTED("""COMPUTED_VALUE"""),24)</f>
        <v>24</v>
      </c>
      <c r="J1467" s="4">
        <f ca="1">IFERROR(__xludf.UNSUPPORTED("""COMPUTED_VALUE"""),44964.3766203703)</f>
        <v>44964.376620370298</v>
      </c>
    </row>
    <row r="1468" spans="1:12" ht="12.75">
      <c r="A1468" s="3" t="str">
        <f ca="1">IFERROR(__xludf.UNSUPPORTED("""COMPUTED_VALUE"""),"bc2c5d4d")</f>
        <v>bc2c5d4d</v>
      </c>
      <c r="B1468" s="4">
        <f ca="1">IFERROR(__xludf.UNSUPPORTED("""COMPUTED_VALUE"""),44964.3257060185)</f>
        <v>44964.325706018499</v>
      </c>
      <c r="C1468" s="8" t="str">
        <f ca="1">IFERROR(__xludf.UNSUPPORTED("""COMPUTED_VALUE"""),"Recife")</f>
        <v>Recife</v>
      </c>
      <c r="D1468" s="3" t="str">
        <f ca="1">IFERROR(__xludf.UNSUPPORTED("""COMPUTED_VALUE"""),"🚢 REGULAR")</f>
        <v>🚢 REGULAR</v>
      </c>
      <c r="E1468" s="3" t="str">
        <f ca="1">IFERROR(__xludf.UNSUPPORTED("""COMPUTED_VALUE"""),"🚛 LIBERADO")</f>
        <v>🚛 LIBERADO</v>
      </c>
      <c r="F1468" s="5">
        <f ca="1">IFERROR(__xludf.UNSUPPORTED("""COMPUTED_VALUE"""),0)</f>
        <v>0</v>
      </c>
      <c r="G1468" s="3" t="str">
        <f ca="1">IFERROR(__xludf.UNSUPPORTED("""COMPUTED_VALUE"""),"Normalidade")</f>
        <v>Normalidade</v>
      </c>
      <c r="H1468" s="4">
        <f ca="1">IFERROR(__xludf.UNSUPPORTED("""COMPUTED_VALUE"""),44964.3257060185)</f>
        <v>44964.325706018499</v>
      </c>
      <c r="I1468" s="3">
        <f ca="1">IFERROR(__xludf.UNSUPPORTED("""COMPUTED_VALUE"""),24)</f>
        <v>24</v>
      </c>
      <c r="J1468" s="4">
        <f ca="1">IFERROR(__xludf.UNSUPPORTED("""COMPUTED_VALUE"""),44965.3257060185)</f>
        <v>44965.325706018499</v>
      </c>
      <c r="L1468" s="3" t="str">
        <f ca="1">IFERROR(__xludf.UNSUPPORTED("""COMPUTED_VALUE"""),"Normalidade")</f>
        <v>Normalidade</v>
      </c>
    </row>
    <row r="1469" spans="1:12" ht="12.75">
      <c r="A1469" s="3" t="str">
        <f ca="1">IFERROR(__xludf.UNSUPPORTED("""COMPUTED_VALUE"""),"f281693f")</f>
        <v>f281693f</v>
      </c>
      <c r="B1469" s="4">
        <f ca="1">IFERROR(__xludf.UNSUPPORTED("""COMPUTED_VALUE"""),44964.3276273148)</f>
        <v>44964.3276273148</v>
      </c>
      <c r="C1469" s="7" t="str">
        <f ca="1">IFERROR(__xludf.UNSUPPORTED("""COMPUTED_VALUE"""),"Recife")</f>
        <v>Recife</v>
      </c>
      <c r="D1469" s="3" t="str">
        <f ca="1">IFERROR(__xludf.UNSUPPORTED("""COMPUTED_VALUE"""),"🚢 REGULAR")</f>
        <v>🚢 REGULAR</v>
      </c>
      <c r="E1469" s="3" t="str">
        <f ca="1">IFERROR(__xludf.UNSUPPORTED("""COMPUTED_VALUE"""),"🚛 LIBERADO")</f>
        <v>🚛 LIBERADO</v>
      </c>
      <c r="F1469" s="5">
        <f ca="1">IFERROR(__xludf.UNSUPPORTED("""COMPUTED_VALUE"""),0)</f>
        <v>0</v>
      </c>
      <c r="G1469" s="3" t="str">
        <f ca="1">IFERROR(__xludf.UNSUPPORTED("""COMPUTED_VALUE"""),"Normalidade")</f>
        <v>Normalidade</v>
      </c>
      <c r="H1469" s="4">
        <f ca="1">IFERROR(__xludf.UNSUPPORTED("""COMPUTED_VALUE"""),44964.3276273148)</f>
        <v>44964.3276273148</v>
      </c>
      <c r="I1469" s="3">
        <f ca="1">IFERROR(__xludf.UNSUPPORTED("""COMPUTED_VALUE"""),24)</f>
        <v>24</v>
      </c>
      <c r="J1469" s="4">
        <f ca="1">IFERROR(__xludf.UNSUPPORTED("""COMPUTED_VALUE"""),44965.3276273148)</f>
        <v>44965.3276273148</v>
      </c>
      <c r="L1469" s="3" t="str">
        <f ca="1">IFERROR(__xludf.UNSUPPORTED("""COMPUTED_VALUE"""),"Normalidade")</f>
        <v>Normalidade</v>
      </c>
    </row>
    <row r="1470" spans="1:12" ht="12.75">
      <c r="A1470" s="3" t="str">
        <f ca="1">IFERROR(__xludf.UNSUPPORTED("""COMPUTED_VALUE"""),"0899432a")</f>
        <v>0899432a</v>
      </c>
      <c r="B1470" s="4">
        <f ca="1">IFERROR(__xludf.UNSUPPORTED("""COMPUTED_VALUE"""),44965.3545486111)</f>
        <v>44965.354548611103</v>
      </c>
      <c r="C1470" s="8" t="str">
        <f ca="1">IFERROR(__xludf.UNSUPPORTED("""COMPUTED_VALUE"""),"Recife")</f>
        <v>Recife</v>
      </c>
      <c r="D1470" s="3" t="str">
        <f ca="1">IFERROR(__xludf.UNSUPPORTED("""COMPUTED_VALUE"""),"🚢 REGULAR")</f>
        <v>🚢 REGULAR</v>
      </c>
      <c r="E1470" s="3" t="str">
        <f ca="1">IFERROR(__xludf.UNSUPPORTED("""COMPUTED_VALUE"""),"🚛 LIBERADO")</f>
        <v>🚛 LIBERADO</v>
      </c>
      <c r="F1470" s="5">
        <f ca="1">IFERROR(__xludf.UNSUPPORTED("""COMPUTED_VALUE"""),0)</f>
        <v>0</v>
      </c>
      <c r="G1470" s="3" t="str">
        <f ca="1">IFERROR(__xludf.UNSUPPORTED("""COMPUTED_VALUE"""),"Normalidade")</f>
        <v>Normalidade</v>
      </c>
      <c r="H1470" s="4">
        <f ca="1">IFERROR(__xludf.UNSUPPORTED("""COMPUTED_VALUE"""),44965.3545486111)</f>
        <v>44965.354548611103</v>
      </c>
      <c r="I1470" s="3">
        <f ca="1">IFERROR(__xludf.UNSUPPORTED("""COMPUTED_VALUE"""),24)</f>
        <v>24</v>
      </c>
      <c r="J1470" s="4">
        <f ca="1">IFERROR(__xludf.UNSUPPORTED("""COMPUTED_VALUE"""),44966.3545486111)</f>
        <v>44966.354548611103</v>
      </c>
      <c r="L1470" s="3" t="str">
        <f ca="1">IFERROR(__xludf.UNSUPPORTED("""COMPUTED_VALUE"""),"Normalidade")</f>
        <v>Normalidade</v>
      </c>
    </row>
    <row r="1471" spans="1:12" ht="12.75">
      <c r="A1471" s="3" t="str">
        <f ca="1">IFERROR(__xludf.UNSUPPORTED("""COMPUTED_VALUE"""),"20ad06a4")</f>
        <v>20ad06a4</v>
      </c>
      <c r="B1471" s="4">
        <f ca="1">IFERROR(__xludf.UNSUPPORTED("""COMPUTED_VALUE"""),44965.3602199074)</f>
        <v>44965.360219907401</v>
      </c>
      <c r="C1471" s="7" t="str">
        <f ca="1">IFERROR(__xludf.UNSUPPORTED("""COMPUTED_VALUE"""),"Recife")</f>
        <v>Recife</v>
      </c>
      <c r="D1471" s="3" t="str">
        <f ca="1">IFERROR(__xludf.UNSUPPORTED("""COMPUTED_VALUE"""),"🚢 REGULAR")</f>
        <v>🚢 REGULAR</v>
      </c>
      <c r="E1471" s="3" t="str">
        <f ca="1">IFERROR(__xludf.UNSUPPORTED("""COMPUTED_VALUE"""),"🚛 LIBERADO")</f>
        <v>🚛 LIBERADO</v>
      </c>
      <c r="F1471" s="5">
        <f ca="1">IFERROR(__xludf.UNSUPPORTED("""COMPUTED_VALUE"""),0)</f>
        <v>0</v>
      </c>
      <c r="G1471" s="3" t="str">
        <f ca="1">IFERROR(__xludf.UNSUPPORTED("""COMPUTED_VALUE"""),"Normalidade")</f>
        <v>Normalidade</v>
      </c>
      <c r="H1471" s="4">
        <f ca="1">IFERROR(__xludf.UNSUPPORTED("""COMPUTED_VALUE"""),44965.3602199074)</f>
        <v>44965.360219907401</v>
      </c>
      <c r="I1471" s="3">
        <f ca="1">IFERROR(__xludf.UNSUPPORTED("""COMPUTED_VALUE"""),24)</f>
        <v>24</v>
      </c>
      <c r="J1471" s="4">
        <f ca="1">IFERROR(__xludf.UNSUPPORTED("""COMPUTED_VALUE"""),44966.3602199074)</f>
        <v>44966.360219907401</v>
      </c>
      <c r="L1471" s="3" t="str">
        <f ca="1">IFERROR(__xludf.UNSUPPORTED("""COMPUTED_VALUE"""),"Normalidade")</f>
        <v>Normalidade</v>
      </c>
    </row>
    <row r="1472" spans="1:12" ht="12.75">
      <c r="A1472" s="3" t="str">
        <f ca="1">IFERROR(__xludf.UNSUPPORTED("""COMPUTED_VALUE"""),"e7a11baf")</f>
        <v>e7a11baf</v>
      </c>
      <c r="B1472" s="4">
        <f ca="1">IFERROR(__xludf.UNSUPPORTED("""COMPUTED_VALUE"""),44966.3799768518)</f>
        <v>44966.3799768518</v>
      </c>
      <c r="C1472" s="7" t="str">
        <f ca="1">IFERROR(__xludf.UNSUPPORTED("""COMPUTED_VALUE"""),"Recife")</f>
        <v>Recife</v>
      </c>
      <c r="D1472" s="3" t="str">
        <f ca="1">IFERROR(__xludf.UNSUPPORTED("""COMPUTED_VALUE"""),"🚢 REGULAR")</f>
        <v>🚢 REGULAR</v>
      </c>
      <c r="E1472" s="3" t="str">
        <f ca="1">IFERROR(__xludf.UNSUPPORTED("""COMPUTED_VALUE"""),"🚛 LIBERADO")</f>
        <v>🚛 LIBERADO</v>
      </c>
      <c r="F1472" s="5">
        <f ca="1">IFERROR(__xludf.UNSUPPORTED("""COMPUTED_VALUE"""),0)</f>
        <v>0</v>
      </c>
      <c r="G1472" s="3" t="str">
        <f ca="1">IFERROR(__xludf.UNSUPPORTED("""COMPUTED_VALUE"""),"Normalidade")</f>
        <v>Normalidade</v>
      </c>
      <c r="H1472" s="4">
        <f ca="1">IFERROR(__xludf.UNSUPPORTED("""COMPUTED_VALUE"""),44966.3799768518)</f>
        <v>44966.3799768518</v>
      </c>
      <c r="I1472" s="3">
        <f ca="1">IFERROR(__xludf.UNSUPPORTED("""COMPUTED_VALUE"""),24)</f>
        <v>24</v>
      </c>
      <c r="J1472" s="4">
        <f ca="1">IFERROR(__xludf.UNSUPPORTED("""COMPUTED_VALUE"""),44967.3799768518)</f>
        <v>44967.3799768518</v>
      </c>
      <c r="L1472" s="3" t="str">
        <f ca="1">IFERROR(__xludf.UNSUPPORTED("""COMPUTED_VALUE"""),"Normalidade")</f>
        <v>Normalidade</v>
      </c>
    </row>
    <row r="1473" spans="1:12" ht="12.75">
      <c r="A1473" s="3" t="str">
        <f ca="1">IFERROR(__xludf.UNSUPPORTED("""COMPUTED_VALUE"""),"c72edce5")</f>
        <v>c72edce5</v>
      </c>
      <c r="B1473" s="4">
        <f ca="1">IFERROR(__xludf.UNSUPPORTED("""COMPUTED_VALUE"""),44967.358761574)</f>
        <v>44967.358761574003</v>
      </c>
      <c r="C1473" s="7" t="str">
        <f ca="1">IFERROR(__xludf.UNSUPPORTED("""COMPUTED_VALUE"""),"Recife")</f>
        <v>Recife</v>
      </c>
      <c r="D1473" s="3" t="str">
        <f ca="1">IFERROR(__xludf.UNSUPPORTED("""COMPUTED_VALUE"""),"🚢 REGULAR")</f>
        <v>🚢 REGULAR</v>
      </c>
      <c r="E1473" s="3" t="str">
        <f ca="1">IFERROR(__xludf.UNSUPPORTED("""COMPUTED_VALUE"""),"🚛 LIBERADO")</f>
        <v>🚛 LIBERADO</v>
      </c>
      <c r="F1473" s="5">
        <f ca="1">IFERROR(__xludf.UNSUPPORTED("""COMPUTED_VALUE"""),0)</f>
        <v>0</v>
      </c>
      <c r="G1473" s="3" t="str">
        <f ca="1">IFERROR(__xludf.UNSUPPORTED("""COMPUTED_VALUE"""),"Normalidade")</f>
        <v>Normalidade</v>
      </c>
      <c r="H1473" s="4">
        <f ca="1">IFERROR(__xludf.UNSUPPORTED("""COMPUTED_VALUE"""),44967.358761574)</f>
        <v>44967.358761574003</v>
      </c>
      <c r="I1473" s="3">
        <f ca="1">IFERROR(__xludf.UNSUPPORTED("""COMPUTED_VALUE"""),24)</f>
        <v>24</v>
      </c>
      <c r="J1473" s="4">
        <f ca="1">IFERROR(__xludf.UNSUPPORTED("""COMPUTED_VALUE"""),44968.358761574)</f>
        <v>44968.358761574003</v>
      </c>
    </row>
    <row r="1474" spans="1:12" ht="12.75">
      <c r="A1474" s="3" t="str">
        <f ca="1">IFERROR(__xludf.UNSUPPORTED("""COMPUTED_VALUE"""),"4c6bd507")</f>
        <v>4c6bd507</v>
      </c>
      <c r="B1474" s="4">
        <f ca="1">IFERROR(__xludf.UNSUPPORTED("""COMPUTED_VALUE"""),44968.3752662037)</f>
        <v>44968.3752662037</v>
      </c>
      <c r="C1474" s="7" t="str">
        <f ca="1">IFERROR(__xludf.UNSUPPORTED("""COMPUTED_VALUE"""),"Recife")</f>
        <v>Recife</v>
      </c>
      <c r="D1474" s="3" t="str">
        <f ca="1">IFERROR(__xludf.UNSUPPORTED("""COMPUTED_VALUE"""),"🚢 REGULAR")</f>
        <v>🚢 REGULAR</v>
      </c>
      <c r="E1474" s="3" t="str">
        <f ca="1">IFERROR(__xludf.UNSUPPORTED("""COMPUTED_VALUE"""),"🚛 LIBERADO")</f>
        <v>🚛 LIBERADO</v>
      </c>
      <c r="F1474" s="5">
        <f ca="1">IFERROR(__xludf.UNSUPPORTED("""COMPUTED_VALUE"""),0)</f>
        <v>0</v>
      </c>
      <c r="G1474" s="3" t="str">
        <f ca="1">IFERROR(__xludf.UNSUPPORTED("""COMPUTED_VALUE"""),"Normalidade")</f>
        <v>Normalidade</v>
      </c>
      <c r="H1474" s="4">
        <f ca="1">IFERROR(__xludf.UNSUPPORTED("""COMPUTED_VALUE"""),44968.3752662037)</f>
        <v>44968.3752662037</v>
      </c>
      <c r="I1474" s="3">
        <f ca="1">IFERROR(__xludf.UNSUPPORTED("""COMPUTED_VALUE"""),24)</f>
        <v>24</v>
      </c>
      <c r="J1474" s="4">
        <f ca="1">IFERROR(__xludf.UNSUPPORTED("""COMPUTED_VALUE"""),44969.3752662037)</f>
        <v>44969.3752662037</v>
      </c>
    </row>
    <row r="1475" spans="1:12" ht="12.75">
      <c r="A1475" s="3" t="str">
        <f ca="1">IFERROR(__xludf.UNSUPPORTED("""COMPUTED_VALUE"""),"d547e471")</f>
        <v>d547e471</v>
      </c>
      <c r="B1475" s="4">
        <f ca="1">IFERROR(__xludf.UNSUPPORTED("""COMPUTED_VALUE"""),44969.3920601851)</f>
        <v>44969.392060185099</v>
      </c>
      <c r="C1475" s="7" t="str">
        <f ca="1">IFERROR(__xludf.UNSUPPORTED("""COMPUTED_VALUE"""),"Recife")</f>
        <v>Recife</v>
      </c>
      <c r="D1475" s="3" t="str">
        <f ca="1">IFERROR(__xludf.UNSUPPORTED("""COMPUTED_VALUE"""),"🚢 REGULAR")</f>
        <v>🚢 REGULAR</v>
      </c>
      <c r="E1475" s="3" t="str">
        <f ca="1">IFERROR(__xludf.UNSUPPORTED("""COMPUTED_VALUE"""),"🚛 LIBERADO")</f>
        <v>🚛 LIBERADO</v>
      </c>
      <c r="F1475" s="5">
        <f ca="1">IFERROR(__xludf.UNSUPPORTED("""COMPUTED_VALUE"""),0)</f>
        <v>0</v>
      </c>
      <c r="G1475" s="3" t="str">
        <f ca="1">IFERROR(__xludf.UNSUPPORTED("""COMPUTED_VALUE"""),"Normalidade")</f>
        <v>Normalidade</v>
      </c>
      <c r="H1475" s="4">
        <f ca="1">IFERROR(__xludf.UNSUPPORTED("""COMPUTED_VALUE"""),44969.3920601851)</f>
        <v>44969.392060185099</v>
      </c>
      <c r="I1475" s="3">
        <f ca="1">IFERROR(__xludf.UNSUPPORTED("""COMPUTED_VALUE"""),24)</f>
        <v>24</v>
      </c>
      <c r="J1475" s="4">
        <f ca="1">IFERROR(__xludf.UNSUPPORTED("""COMPUTED_VALUE"""),44970.3920601851)</f>
        <v>44970.392060185099</v>
      </c>
    </row>
    <row r="1476" spans="1:12" ht="12.75">
      <c r="A1476" s="3" t="str">
        <f ca="1">IFERROR(__xludf.UNSUPPORTED("""COMPUTED_VALUE"""),"b4f3e8f0")</f>
        <v>b4f3e8f0</v>
      </c>
      <c r="B1476" s="4">
        <f ca="1">IFERROR(__xludf.UNSUPPORTED("""COMPUTED_VALUE"""),44970.4477546296)</f>
        <v>44970.447754629597</v>
      </c>
      <c r="C1476" s="7" t="str">
        <f ca="1">IFERROR(__xludf.UNSUPPORTED("""COMPUTED_VALUE"""),"Recife")</f>
        <v>Recife</v>
      </c>
      <c r="D1476" s="3" t="str">
        <f ca="1">IFERROR(__xludf.UNSUPPORTED("""COMPUTED_VALUE"""),"🚢 REGULAR")</f>
        <v>🚢 REGULAR</v>
      </c>
      <c r="E1476" s="3" t="str">
        <f ca="1">IFERROR(__xludf.UNSUPPORTED("""COMPUTED_VALUE"""),"🚛 LIBERADO")</f>
        <v>🚛 LIBERADO</v>
      </c>
      <c r="F1476" s="5">
        <f ca="1">IFERROR(__xludf.UNSUPPORTED("""COMPUTED_VALUE"""),0)</f>
        <v>0</v>
      </c>
      <c r="G1476" s="3" t="str">
        <f ca="1">IFERROR(__xludf.UNSUPPORTED("""COMPUTED_VALUE"""),"Normalidade")</f>
        <v>Normalidade</v>
      </c>
      <c r="H1476" s="4">
        <f ca="1">IFERROR(__xludf.UNSUPPORTED("""COMPUTED_VALUE"""),44970.4477546296)</f>
        <v>44970.447754629597</v>
      </c>
      <c r="I1476" s="3">
        <f ca="1">IFERROR(__xludf.UNSUPPORTED("""COMPUTED_VALUE"""),24)</f>
        <v>24</v>
      </c>
      <c r="J1476" s="4">
        <f ca="1">IFERROR(__xludf.UNSUPPORTED("""COMPUTED_VALUE"""),44971.4477546296)</f>
        <v>44971.447754629597</v>
      </c>
      <c r="L1476" s="3" t="str">
        <f ca="1">IFERROR(__xludf.UNSUPPORTED("""COMPUTED_VALUE"""),"Normalidade")</f>
        <v>Normalidade</v>
      </c>
    </row>
    <row r="1477" spans="1:12" ht="12.75">
      <c r="A1477" s="3" t="str">
        <f ca="1">IFERROR(__xludf.UNSUPPORTED("""COMPUTED_VALUE"""),"9b89cb10")</f>
        <v>9b89cb10</v>
      </c>
      <c r="B1477" s="4">
        <f ca="1">IFERROR(__xludf.UNSUPPORTED("""COMPUTED_VALUE"""),44971.3845833333)</f>
        <v>44971.384583333303</v>
      </c>
      <c r="C1477" s="7" t="str">
        <f ca="1">IFERROR(__xludf.UNSUPPORTED("""COMPUTED_VALUE"""),"Recife")</f>
        <v>Recife</v>
      </c>
      <c r="D1477" s="3" t="str">
        <f ca="1">IFERROR(__xludf.UNSUPPORTED("""COMPUTED_VALUE"""),"🚢 REGULAR")</f>
        <v>🚢 REGULAR</v>
      </c>
      <c r="E1477" s="3" t="str">
        <f ca="1">IFERROR(__xludf.UNSUPPORTED("""COMPUTED_VALUE"""),"🚛 LIBERADO")</f>
        <v>🚛 LIBERADO</v>
      </c>
      <c r="F1477" s="5">
        <f ca="1">IFERROR(__xludf.UNSUPPORTED("""COMPUTED_VALUE"""),0)</f>
        <v>0</v>
      </c>
      <c r="G1477" s="3" t="str">
        <f ca="1">IFERROR(__xludf.UNSUPPORTED("""COMPUTED_VALUE"""),"Normalidade")</f>
        <v>Normalidade</v>
      </c>
      <c r="H1477" s="4">
        <f ca="1">IFERROR(__xludf.UNSUPPORTED("""COMPUTED_VALUE"""),44971.3845833333)</f>
        <v>44971.384583333303</v>
      </c>
      <c r="I1477" s="3">
        <f ca="1">IFERROR(__xludf.UNSUPPORTED("""COMPUTED_VALUE"""),24)</f>
        <v>24</v>
      </c>
      <c r="J1477" s="4">
        <f ca="1">IFERROR(__xludf.UNSUPPORTED("""COMPUTED_VALUE"""),44972.3845833333)</f>
        <v>44972.384583333303</v>
      </c>
      <c r="L1477" s="3" t="str">
        <f ca="1">IFERROR(__xludf.UNSUPPORTED("""COMPUTED_VALUE"""),"Normalidade")</f>
        <v>Normalidade</v>
      </c>
    </row>
    <row r="1478" spans="1:12" ht="12.75">
      <c r="A1478" s="3" t="str">
        <f ca="1">IFERROR(__xludf.UNSUPPORTED("""COMPUTED_VALUE"""),"a4910995")</f>
        <v>a4910995</v>
      </c>
      <c r="B1478" s="4">
        <f ca="1">IFERROR(__xludf.UNSUPPORTED("""COMPUTED_VALUE"""),44973.3269444444)</f>
        <v>44973.326944444401</v>
      </c>
      <c r="C1478" s="7" t="str">
        <f ca="1">IFERROR(__xludf.UNSUPPORTED("""COMPUTED_VALUE"""),"Recife")</f>
        <v>Recife</v>
      </c>
      <c r="D1478" s="3" t="str">
        <f ca="1">IFERROR(__xludf.UNSUPPORTED("""COMPUTED_VALUE"""),"🚢 REGULAR")</f>
        <v>🚢 REGULAR</v>
      </c>
      <c r="E1478" s="3" t="str">
        <f ca="1">IFERROR(__xludf.UNSUPPORTED("""COMPUTED_VALUE"""),"🚛 LIBERADO")</f>
        <v>🚛 LIBERADO</v>
      </c>
      <c r="F1478" s="5">
        <f ca="1">IFERROR(__xludf.UNSUPPORTED("""COMPUTED_VALUE"""),0)</f>
        <v>0</v>
      </c>
      <c r="G1478" s="3" t="str">
        <f ca="1">IFERROR(__xludf.UNSUPPORTED("""COMPUTED_VALUE"""),"Normalidade")</f>
        <v>Normalidade</v>
      </c>
      <c r="H1478" s="4">
        <f ca="1">IFERROR(__xludf.UNSUPPORTED("""COMPUTED_VALUE"""),44973.3269444444)</f>
        <v>44973.326944444401</v>
      </c>
      <c r="I1478" s="3">
        <f ca="1">IFERROR(__xludf.UNSUPPORTED("""COMPUTED_VALUE"""),24)</f>
        <v>24</v>
      </c>
      <c r="J1478" s="4">
        <f ca="1">IFERROR(__xludf.UNSUPPORTED("""COMPUTED_VALUE"""),44974.3269444444)</f>
        <v>44974.326944444401</v>
      </c>
    </row>
    <row r="1479" spans="1:12" ht="12.75">
      <c r="A1479" s="3" t="str">
        <f ca="1">IFERROR(__xludf.UNSUPPORTED("""COMPUTED_VALUE"""),"589f850c")</f>
        <v>589f850c</v>
      </c>
      <c r="B1479" s="4">
        <f ca="1">IFERROR(__xludf.UNSUPPORTED("""COMPUTED_VALUE"""),44974.352974537)</f>
        <v>44974.352974537003</v>
      </c>
      <c r="C1479" s="8" t="str">
        <f ca="1">IFERROR(__xludf.UNSUPPORTED("""COMPUTED_VALUE"""),"Recife")</f>
        <v>Recife</v>
      </c>
      <c r="D1479" s="3" t="str">
        <f ca="1">IFERROR(__xludf.UNSUPPORTED("""COMPUTED_VALUE"""),"🚢 REGULAR")</f>
        <v>🚢 REGULAR</v>
      </c>
      <c r="E1479" s="3" t="str">
        <f ca="1">IFERROR(__xludf.UNSUPPORTED("""COMPUTED_VALUE"""),"🚛 LIBERADO")</f>
        <v>🚛 LIBERADO</v>
      </c>
      <c r="F1479" s="5">
        <f ca="1">IFERROR(__xludf.UNSUPPORTED("""COMPUTED_VALUE"""),0)</f>
        <v>0</v>
      </c>
      <c r="G1479" s="3" t="str">
        <f ca="1">IFERROR(__xludf.UNSUPPORTED("""COMPUTED_VALUE"""),"Normalidade")</f>
        <v>Normalidade</v>
      </c>
      <c r="H1479" s="4">
        <f ca="1">IFERROR(__xludf.UNSUPPORTED("""COMPUTED_VALUE"""),44974.352974537)</f>
        <v>44974.352974537003</v>
      </c>
      <c r="I1479" s="3">
        <f ca="1">IFERROR(__xludf.UNSUPPORTED("""COMPUTED_VALUE"""),24)</f>
        <v>24</v>
      </c>
      <c r="J1479" s="4">
        <f ca="1">IFERROR(__xludf.UNSUPPORTED("""COMPUTED_VALUE"""),44975.352974537)</f>
        <v>44975.352974537003</v>
      </c>
    </row>
    <row r="1480" spans="1:12" ht="12.75">
      <c r="A1480" s="3" t="str">
        <f ca="1">IFERROR(__xludf.UNSUPPORTED("""COMPUTED_VALUE"""),"a84b1e2c")</f>
        <v>a84b1e2c</v>
      </c>
      <c r="B1480" s="4">
        <f ca="1">IFERROR(__xludf.UNSUPPORTED("""COMPUTED_VALUE"""),44975.3639583333)</f>
        <v>44975.363958333299</v>
      </c>
      <c r="C1480" s="7" t="str">
        <f ca="1">IFERROR(__xludf.UNSUPPORTED("""COMPUTED_VALUE"""),"Recife")</f>
        <v>Recife</v>
      </c>
      <c r="D1480" s="3" t="str">
        <f ca="1">IFERROR(__xludf.UNSUPPORTED("""COMPUTED_VALUE"""),"🚢 REGULAR")</f>
        <v>🚢 REGULAR</v>
      </c>
      <c r="E1480" s="3" t="str">
        <f ca="1">IFERROR(__xludf.UNSUPPORTED("""COMPUTED_VALUE"""),"🚛 LIBERADO")</f>
        <v>🚛 LIBERADO</v>
      </c>
      <c r="F1480" s="5">
        <f ca="1">IFERROR(__xludf.UNSUPPORTED("""COMPUTED_VALUE"""),0)</f>
        <v>0</v>
      </c>
      <c r="G1480" s="3" t="str">
        <f ca="1">IFERROR(__xludf.UNSUPPORTED("""COMPUTED_VALUE"""),"Normalidade")</f>
        <v>Normalidade</v>
      </c>
      <c r="H1480" s="4">
        <f ca="1">IFERROR(__xludf.UNSUPPORTED("""COMPUTED_VALUE"""),44975.3639583333)</f>
        <v>44975.363958333299</v>
      </c>
      <c r="I1480" s="3">
        <f ca="1">IFERROR(__xludf.UNSUPPORTED("""COMPUTED_VALUE"""),24)</f>
        <v>24</v>
      </c>
      <c r="J1480" s="4">
        <f ca="1">IFERROR(__xludf.UNSUPPORTED("""COMPUTED_VALUE"""),44976.3639583333)</f>
        <v>44976.363958333299</v>
      </c>
      <c r="L1480" s="3" t="str">
        <f ca="1">IFERROR(__xludf.UNSUPPORTED("""COMPUTED_VALUE"""),"Normalidade")</f>
        <v>Normalidade</v>
      </c>
    </row>
    <row r="1481" spans="1:12" ht="12.75">
      <c r="A1481" s="3" t="str">
        <f ca="1">IFERROR(__xludf.UNSUPPORTED("""COMPUTED_VALUE"""),"7de8e305")</f>
        <v>7de8e305</v>
      </c>
      <c r="B1481" s="4">
        <f ca="1">IFERROR(__xludf.UNSUPPORTED("""COMPUTED_VALUE"""),44976.3391550925)</f>
        <v>44976.339155092501</v>
      </c>
      <c r="C1481" s="8" t="str">
        <f ca="1">IFERROR(__xludf.UNSUPPORTED("""COMPUTED_VALUE"""),"Recife")</f>
        <v>Recife</v>
      </c>
      <c r="D1481" s="3" t="str">
        <f ca="1">IFERROR(__xludf.UNSUPPORTED("""COMPUTED_VALUE"""),"🚢 REGULAR")</f>
        <v>🚢 REGULAR</v>
      </c>
      <c r="E1481" s="3" t="str">
        <f ca="1">IFERROR(__xludf.UNSUPPORTED("""COMPUTED_VALUE"""),"🚛 LIBERADO")</f>
        <v>🚛 LIBERADO</v>
      </c>
      <c r="F1481" s="5">
        <f ca="1">IFERROR(__xludf.UNSUPPORTED("""COMPUTED_VALUE"""),0)</f>
        <v>0</v>
      </c>
      <c r="G1481" s="3" t="str">
        <f ca="1">IFERROR(__xludf.UNSUPPORTED("""COMPUTED_VALUE"""),"Normalidade")</f>
        <v>Normalidade</v>
      </c>
      <c r="H1481" s="4">
        <f ca="1">IFERROR(__xludf.UNSUPPORTED("""COMPUTED_VALUE"""),44976.3391550925)</f>
        <v>44976.339155092501</v>
      </c>
      <c r="I1481" s="3">
        <f ca="1">IFERROR(__xludf.UNSUPPORTED("""COMPUTED_VALUE"""),24)</f>
        <v>24</v>
      </c>
      <c r="J1481" s="4">
        <f ca="1">IFERROR(__xludf.UNSUPPORTED("""COMPUTED_VALUE"""),44977.3391550925)</f>
        <v>44977.339155092501</v>
      </c>
      <c r="L1481" s="3" t="str">
        <f ca="1">IFERROR(__xludf.UNSUPPORTED("""COMPUTED_VALUE"""),"Normalidade")</f>
        <v>Normalidade</v>
      </c>
    </row>
    <row r="1482" spans="1:12" ht="12.75">
      <c r="A1482" s="3" t="str">
        <f ca="1">IFERROR(__xludf.UNSUPPORTED("""COMPUTED_VALUE"""),"7c5dc349")</f>
        <v>7c5dc349</v>
      </c>
      <c r="B1482" s="4">
        <f ca="1">IFERROR(__xludf.UNSUPPORTED("""COMPUTED_VALUE"""),44978.407037037)</f>
        <v>44978.407037037003</v>
      </c>
      <c r="C1482" s="7" t="str">
        <f ca="1">IFERROR(__xludf.UNSUPPORTED("""COMPUTED_VALUE"""),"Recife")</f>
        <v>Recife</v>
      </c>
      <c r="D1482" s="3" t="str">
        <f ca="1">IFERROR(__xludf.UNSUPPORTED("""COMPUTED_VALUE"""),"🚢 REGULAR")</f>
        <v>🚢 REGULAR</v>
      </c>
      <c r="E1482" s="3" t="str">
        <f ca="1">IFERROR(__xludf.UNSUPPORTED("""COMPUTED_VALUE"""),"🚛 LIBERADO")</f>
        <v>🚛 LIBERADO</v>
      </c>
      <c r="F1482" s="5">
        <f ca="1">IFERROR(__xludf.UNSUPPORTED("""COMPUTED_VALUE"""),0)</f>
        <v>0</v>
      </c>
      <c r="G1482" s="3" t="str">
        <f ca="1">IFERROR(__xludf.UNSUPPORTED("""COMPUTED_VALUE"""),"Normalidade")</f>
        <v>Normalidade</v>
      </c>
      <c r="H1482" s="4">
        <f ca="1">IFERROR(__xludf.UNSUPPORTED("""COMPUTED_VALUE"""),44978.407037037)</f>
        <v>44978.407037037003</v>
      </c>
      <c r="I1482" s="3">
        <f ca="1">IFERROR(__xludf.UNSUPPORTED("""COMPUTED_VALUE"""),24)</f>
        <v>24</v>
      </c>
      <c r="J1482" s="4">
        <f ca="1">IFERROR(__xludf.UNSUPPORTED("""COMPUTED_VALUE"""),44979.407037037)</f>
        <v>44979.407037037003</v>
      </c>
      <c r="L1482" s="3" t="str">
        <f ca="1">IFERROR(__xludf.UNSUPPORTED("""COMPUTED_VALUE"""),"Normalidade")</f>
        <v>Normalidade</v>
      </c>
    </row>
    <row r="1483" spans="1:12" ht="12.75">
      <c r="A1483" s="3" t="str">
        <f ca="1">IFERROR(__xludf.UNSUPPORTED("""COMPUTED_VALUE"""),"ace99cbf")</f>
        <v>ace99cbf</v>
      </c>
      <c r="B1483" s="4">
        <f ca="1">IFERROR(__xludf.UNSUPPORTED("""COMPUTED_VALUE"""),44979.470949074)</f>
        <v>44979.470949073999</v>
      </c>
      <c r="C1483" s="8" t="str">
        <f ca="1">IFERROR(__xludf.UNSUPPORTED("""COMPUTED_VALUE"""),"Recife")</f>
        <v>Recife</v>
      </c>
      <c r="D1483" s="3" t="str">
        <f ca="1">IFERROR(__xludf.UNSUPPORTED("""COMPUTED_VALUE"""),"🚢 REGULAR")</f>
        <v>🚢 REGULAR</v>
      </c>
      <c r="E1483" s="3" t="str">
        <f ca="1">IFERROR(__xludf.UNSUPPORTED("""COMPUTED_VALUE"""),"🚛 LIBERADO")</f>
        <v>🚛 LIBERADO</v>
      </c>
      <c r="F1483" s="5">
        <f ca="1">IFERROR(__xludf.UNSUPPORTED("""COMPUTED_VALUE"""),0)</f>
        <v>0</v>
      </c>
      <c r="G1483" s="3" t="str">
        <f ca="1">IFERROR(__xludf.UNSUPPORTED("""COMPUTED_VALUE"""),"Normalidade")</f>
        <v>Normalidade</v>
      </c>
      <c r="H1483" s="4">
        <f ca="1">IFERROR(__xludf.UNSUPPORTED("""COMPUTED_VALUE"""),44979.470949074)</f>
        <v>44979.470949073999</v>
      </c>
      <c r="I1483" s="3">
        <f ca="1">IFERROR(__xludf.UNSUPPORTED("""COMPUTED_VALUE"""),24)</f>
        <v>24</v>
      </c>
      <c r="J1483" s="4">
        <f ca="1">IFERROR(__xludf.UNSUPPORTED("""COMPUTED_VALUE"""),44980.470949074)</f>
        <v>44980.470949073999</v>
      </c>
      <c r="L1483" s="3" t="str">
        <f ca="1">IFERROR(__xludf.UNSUPPORTED("""COMPUTED_VALUE"""),"Normalidade")</f>
        <v>Normalidade</v>
      </c>
    </row>
    <row r="1484" spans="1:12" ht="12.75">
      <c r="A1484" s="3" t="str">
        <f ca="1">IFERROR(__xludf.UNSUPPORTED("""COMPUTED_VALUE"""),"6be8b999")</f>
        <v>6be8b999</v>
      </c>
      <c r="B1484" s="4">
        <f ca="1">IFERROR(__xludf.UNSUPPORTED("""COMPUTED_VALUE"""),44982.3519328703)</f>
        <v>44982.351932870297</v>
      </c>
      <c r="C1484" s="8" t="str">
        <f ca="1">IFERROR(__xludf.UNSUPPORTED("""COMPUTED_VALUE"""),"Recife")</f>
        <v>Recife</v>
      </c>
      <c r="D1484" s="3" t="str">
        <f ca="1">IFERROR(__xludf.UNSUPPORTED("""COMPUTED_VALUE"""),"🚢 REGULAR")</f>
        <v>🚢 REGULAR</v>
      </c>
      <c r="E1484" s="3" t="str">
        <f ca="1">IFERROR(__xludf.UNSUPPORTED("""COMPUTED_VALUE"""),"🚛 LIBERADO")</f>
        <v>🚛 LIBERADO</v>
      </c>
      <c r="F1484" s="5">
        <f ca="1">IFERROR(__xludf.UNSUPPORTED("""COMPUTED_VALUE"""),0)</f>
        <v>0</v>
      </c>
      <c r="G1484" s="3" t="str">
        <f ca="1">IFERROR(__xludf.UNSUPPORTED("""COMPUTED_VALUE"""),"Normalidade")</f>
        <v>Normalidade</v>
      </c>
      <c r="H1484" s="4">
        <f ca="1">IFERROR(__xludf.UNSUPPORTED("""COMPUTED_VALUE"""),44982.3519328703)</f>
        <v>44982.351932870297</v>
      </c>
      <c r="I1484" s="3">
        <f ca="1">IFERROR(__xludf.UNSUPPORTED("""COMPUTED_VALUE"""),24)</f>
        <v>24</v>
      </c>
      <c r="J1484" s="4">
        <f ca="1">IFERROR(__xludf.UNSUPPORTED("""COMPUTED_VALUE"""),44983.3519328703)</f>
        <v>44983.351932870297</v>
      </c>
    </row>
    <row r="1485" spans="1:12" ht="12.75">
      <c r="A1485" s="3" t="str">
        <f ca="1">IFERROR(__xludf.UNSUPPORTED("""COMPUTED_VALUE"""),"8ed77e88")</f>
        <v>8ed77e88</v>
      </c>
      <c r="B1485" s="4">
        <f ca="1">IFERROR(__xludf.UNSUPPORTED("""COMPUTED_VALUE"""),44983.3409953703)</f>
        <v>44983.340995370301</v>
      </c>
      <c r="C1485" s="8" t="str">
        <f ca="1">IFERROR(__xludf.UNSUPPORTED("""COMPUTED_VALUE"""),"Recife")</f>
        <v>Recife</v>
      </c>
      <c r="D1485" s="3" t="str">
        <f ca="1">IFERROR(__xludf.UNSUPPORTED("""COMPUTED_VALUE"""),"🚢 REGULAR")</f>
        <v>🚢 REGULAR</v>
      </c>
      <c r="E1485" s="3" t="str">
        <f ca="1">IFERROR(__xludf.UNSUPPORTED("""COMPUTED_VALUE"""),"🚛 LIBERADO")</f>
        <v>🚛 LIBERADO</v>
      </c>
      <c r="F1485" s="5">
        <f ca="1">IFERROR(__xludf.UNSUPPORTED("""COMPUTED_VALUE"""),0)</f>
        <v>0</v>
      </c>
      <c r="G1485" s="3" t="str">
        <f ca="1">IFERROR(__xludf.UNSUPPORTED("""COMPUTED_VALUE"""),"Normalidade")</f>
        <v>Normalidade</v>
      </c>
      <c r="H1485" s="4">
        <f ca="1">IFERROR(__xludf.UNSUPPORTED("""COMPUTED_VALUE"""),44983.3409953703)</f>
        <v>44983.340995370301</v>
      </c>
      <c r="I1485" s="3">
        <f ca="1">IFERROR(__xludf.UNSUPPORTED("""COMPUTED_VALUE"""),24)</f>
        <v>24</v>
      </c>
      <c r="J1485" s="4">
        <f ca="1">IFERROR(__xludf.UNSUPPORTED("""COMPUTED_VALUE"""),44984.3409953703)</f>
        <v>44984.340995370301</v>
      </c>
      <c r="L1485" s="3" t="str">
        <f ca="1">IFERROR(__xludf.UNSUPPORTED("""COMPUTED_VALUE"""),"Normalidade")</f>
        <v>Normalidade</v>
      </c>
    </row>
    <row r="1486" spans="1:12" ht="12.75">
      <c r="A1486" s="3" t="str">
        <f ca="1">IFERROR(__xludf.UNSUPPORTED("""COMPUTED_VALUE"""),"b342ea2c")</f>
        <v>b342ea2c</v>
      </c>
      <c r="B1486" s="4">
        <f ca="1">IFERROR(__xludf.UNSUPPORTED("""COMPUTED_VALUE"""),44984.3291087963)</f>
        <v>44984.329108796301</v>
      </c>
      <c r="C1486" s="8" t="str">
        <f ca="1">IFERROR(__xludf.UNSUPPORTED("""COMPUTED_VALUE"""),"Recife")</f>
        <v>Recife</v>
      </c>
      <c r="D1486" s="3" t="str">
        <f ca="1">IFERROR(__xludf.UNSUPPORTED("""COMPUTED_VALUE"""),"🚢 REGULAR")</f>
        <v>🚢 REGULAR</v>
      </c>
      <c r="E1486" s="3" t="str">
        <f ca="1">IFERROR(__xludf.UNSUPPORTED("""COMPUTED_VALUE"""),"🚛 LIBERADO")</f>
        <v>🚛 LIBERADO</v>
      </c>
      <c r="F1486" s="5">
        <f ca="1">IFERROR(__xludf.UNSUPPORTED("""COMPUTED_VALUE"""),0)</f>
        <v>0</v>
      </c>
      <c r="G1486" s="3" t="str">
        <f ca="1">IFERROR(__xludf.UNSUPPORTED("""COMPUTED_VALUE"""),"Normalidade")</f>
        <v>Normalidade</v>
      </c>
      <c r="H1486" s="4">
        <f ca="1">IFERROR(__xludf.UNSUPPORTED("""COMPUTED_VALUE"""),44984.3291087963)</f>
        <v>44984.329108796301</v>
      </c>
      <c r="I1486" s="3">
        <f ca="1">IFERROR(__xludf.UNSUPPORTED("""COMPUTED_VALUE"""),24)</f>
        <v>24</v>
      </c>
      <c r="J1486" s="4">
        <f ca="1">IFERROR(__xludf.UNSUPPORTED("""COMPUTED_VALUE"""),44985.3291087963)</f>
        <v>44985.329108796301</v>
      </c>
      <c r="L1486" s="3" t="str">
        <f ca="1">IFERROR(__xludf.UNSUPPORTED("""COMPUTED_VALUE"""),"Normalidade")</f>
        <v>Normalidade</v>
      </c>
    </row>
    <row r="1487" spans="1:12" ht="12.75">
      <c r="A1487" s="3" t="str">
        <f ca="1">IFERROR(__xludf.UNSUPPORTED("""COMPUTED_VALUE"""),"116a5e86")</f>
        <v>116a5e86</v>
      </c>
      <c r="B1487" s="4">
        <f ca="1">IFERROR(__xludf.UNSUPPORTED("""COMPUTED_VALUE"""),44984.3370717592)</f>
        <v>44984.337071759197</v>
      </c>
      <c r="C1487" s="7" t="str">
        <f ca="1">IFERROR(__xludf.UNSUPPORTED("""COMPUTED_VALUE"""),"Recife")</f>
        <v>Recife</v>
      </c>
      <c r="D1487" s="3" t="str">
        <f ca="1">IFERROR(__xludf.UNSUPPORTED("""COMPUTED_VALUE"""),"🚢 REGULAR")</f>
        <v>🚢 REGULAR</v>
      </c>
      <c r="E1487" s="3" t="str">
        <f ca="1">IFERROR(__xludf.UNSUPPORTED("""COMPUTED_VALUE"""),"🚛 LIBERADO")</f>
        <v>🚛 LIBERADO</v>
      </c>
      <c r="F1487" s="5">
        <f ca="1">IFERROR(__xludf.UNSUPPORTED("""COMPUTED_VALUE"""),0)</f>
        <v>0</v>
      </c>
      <c r="G1487" s="3" t="str">
        <f ca="1">IFERROR(__xludf.UNSUPPORTED("""COMPUTED_VALUE"""),"Normalidade")</f>
        <v>Normalidade</v>
      </c>
      <c r="H1487" s="4">
        <f ca="1">IFERROR(__xludf.UNSUPPORTED("""COMPUTED_VALUE"""),44984.3370717592)</f>
        <v>44984.337071759197</v>
      </c>
      <c r="I1487" s="3">
        <f ca="1">IFERROR(__xludf.UNSUPPORTED("""COMPUTED_VALUE"""),24)</f>
        <v>24</v>
      </c>
      <c r="J1487" s="4">
        <f ca="1">IFERROR(__xludf.UNSUPPORTED("""COMPUTED_VALUE"""),44985.3370717592)</f>
        <v>44985.337071759197</v>
      </c>
      <c r="L1487" s="3" t="str">
        <f ca="1">IFERROR(__xludf.UNSUPPORTED("""COMPUTED_VALUE"""),"Normalidade")</f>
        <v>Normalidade</v>
      </c>
    </row>
    <row r="1488" spans="1:12" ht="12.75">
      <c r="A1488" s="3" t="str">
        <f ca="1">IFERROR(__xludf.UNSUPPORTED("""COMPUTED_VALUE"""),"a7ab23f2")</f>
        <v>a7ab23f2</v>
      </c>
      <c r="B1488" s="4">
        <f ca="1">IFERROR(__xludf.UNSUPPORTED("""COMPUTED_VALUE"""),44985.3361921296)</f>
        <v>44985.336192129602</v>
      </c>
      <c r="C1488" s="7" t="str">
        <f ca="1">IFERROR(__xludf.UNSUPPORTED("""COMPUTED_VALUE"""),"Recife")</f>
        <v>Recife</v>
      </c>
      <c r="D1488" s="3" t="str">
        <f ca="1">IFERROR(__xludf.UNSUPPORTED("""COMPUTED_VALUE"""),"🚢 REGULAR")</f>
        <v>🚢 REGULAR</v>
      </c>
      <c r="E1488" s="3" t="str">
        <f ca="1">IFERROR(__xludf.UNSUPPORTED("""COMPUTED_VALUE"""),"🚛 LIBERADO")</f>
        <v>🚛 LIBERADO</v>
      </c>
      <c r="F1488" s="5">
        <f ca="1">IFERROR(__xludf.UNSUPPORTED("""COMPUTED_VALUE"""),0)</f>
        <v>0</v>
      </c>
      <c r="G1488" s="3" t="str">
        <f ca="1">IFERROR(__xludf.UNSUPPORTED("""COMPUTED_VALUE"""),"Normalidade")</f>
        <v>Normalidade</v>
      </c>
      <c r="H1488" s="4">
        <f ca="1">IFERROR(__xludf.UNSUPPORTED("""COMPUTED_VALUE"""),44985.3361921296)</f>
        <v>44985.336192129602</v>
      </c>
      <c r="I1488" s="3">
        <f ca="1">IFERROR(__xludf.UNSUPPORTED("""COMPUTED_VALUE"""),24)</f>
        <v>24</v>
      </c>
      <c r="J1488" s="4">
        <f ca="1">IFERROR(__xludf.UNSUPPORTED("""COMPUTED_VALUE"""),44986.3361921296)</f>
        <v>44986.336192129602</v>
      </c>
    </row>
    <row r="1489" spans="1:12" ht="12.75">
      <c r="A1489" s="3" t="str">
        <f ca="1">IFERROR(__xludf.UNSUPPORTED("""COMPUTED_VALUE"""),"690b9513")</f>
        <v>690b9513</v>
      </c>
      <c r="B1489" s="4">
        <f ca="1">IFERROR(__xludf.UNSUPPORTED("""COMPUTED_VALUE"""),44986.3730787037)</f>
        <v>44986.373078703698</v>
      </c>
      <c r="C1489" s="7" t="str">
        <f ca="1">IFERROR(__xludf.UNSUPPORTED("""COMPUTED_VALUE"""),"Recife")</f>
        <v>Recife</v>
      </c>
      <c r="D1489" s="3" t="str">
        <f ca="1">IFERROR(__xludf.UNSUPPORTED("""COMPUTED_VALUE"""),"🚢 REGULAR")</f>
        <v>🚢 REGULAR</v>
      </c>
      <c r="E1489" s="3" t="str">
        <f ca="1">IFERROR(__xludf.UNSUPPORTED("""COMPUTED_VALUE"""),"🚛 LIBERADO")</f>
        <v>🚛 LIBERADO</v>
      </c>
      <c r="F1489" s="5">
        <f ca="1">IFERROR(__xludf.UNSUPPORTED("""COMPUTED_VALUE"""),0)</f>
        <v>0</v>
      </c>
      <c r="G1489" s="3" t="str">
        <f ca="1">IFERROR(__xludf.UNSUPPORTED("""COMPUTED_VALUE"""),"Normalidade")</f>
        <v>Normalidade</v>
      </c>
      <c r="H1489" s="4">
        <f ca="1">IFERROR(__xludf.UNSUPPORTED("""COMPUTED_VALUE"""),44986.3730787037)</f>
        <v>44986.373078703698</v>
      </c>
      <c r="I1489" s="3">
        <f ca="1">IFERROR(__xludf.UNSUPPORTED("""COMPUTED_VALUE"""),24)</f>
        <v>24</v>
      </c>
      <c r="J1489" s="4">
        <f ca="1">IFERROR(__xludf.UNSUPPORTED("""COMPUTED_VALUE"""),44987.3730787037)</f>
        <v>44987.373078703698</v>
      </c>
      <c r="L1489" s="3" t="str">
        <f ca="1">IFERROR(__xludf.UNSUPPORTED("""COMPUTED_VALUE"""),"Normalidade")</f>
        <v>Normalidade</v>
      </c>
    </row>
    <row r="1490" spans="1:12" ht="12.75">
      <c r="A1490" s="3" t="str">
        <f ca="1">IFERROR(__xludf.UNSUPPORTED("""COMPUTED_VALUE"""),"871a8c06")</f>
        <v>871a8c06</v>
      </c>
      <c r="B1490" s="4">
        <f ca="1">IFERROR(__xludf.UNSUPPORTED("""COMPUTED_VALUE"""),44988.3545023148)</f>
        <v>44988.354502314804</v>
      </c>
      <c r="C1490" s="8" t="str">
        <f ca="1">IFERROR(__xludf.UNSUPPORTED("""COMPUTED_VALUE"""),"Recife")</f>
        <v>Recife</v>
      </c>
      <c r="D1490" s="3" t="str">
        <f ca="1">IFERROR(__xludf.UNSUPPORTED("""COMPUTED_VALUE"""),"🚢 REGULAR")</f>
        <v>🚢 REGULAR</v>
      </c>
      <c r="E1490" s="3" t="str">
        <f ca="1">IFERROR(__xludf.UNSUPPORTED("""COMPUTED_VALUE"""),"🚛 LIBERADO")</f>
        <v>🚛 LIBERADO</v>
      </c>
      <c r="F1490" s="5">
        <f ca="1">IFERROR(__xludf.UNSUPPORTED("""COMPUTED_VALUE"""),0)</f>
        <v>0</v>
      </c>
      <c r="G1490" s="3" t="str">
        <f ca="1">IFERROR(__xludf.UNSUPPORTED("""COMPUTED_VALUE"""),"Normalidade")</f>
        <v>Normalidade</v>
      </c>
      <c r="H1490" s="4">
        <f ca="1">IFERROR(__xludf.UNSUPPORTED("""COMPUTED_VALUE"""),44988.3545023148)</f>
        <v>44988.354502314804</v>
      </c>
      <c r="I1490" s="3">
        <f ca="1">IFERROR(__xludf.UNSUPPORTED("""COMPUTED_VALUE"""),24)</f>
        <v>24</v>
      </c>
      <c r="J1490" s="4">
        <f ca="1">IFERROR(__xludf.UNSUPPORTED("""COMPUTED_VALUE"""),44989.3545023148)</f>
        <v>44989.354502314804</v>
      </c>
      <c r="L1490" s="3" t="str">
        <f ca="1">IFERROR(__xludf.UNSUPPORTED("""COMPUTED_VALUE"""),"Normalidade")</f>
        <v>Normalidade</v>
      </c>
    </row>
    <row r="1491" spans="1:12" ht="12.75">
      <c r="A1491" s="3" t="str">
        <f ca="1">IFERROR(__xludf.UNSUPPORTED("""COMPUTED_VALUE"""),"29a990ae")</f>
        <v>29a990ae</v>
      </c>
      <c r="B1491" s="4">
        <f ca="1">IFERROR(__xludf.UNSUPPORTED("""COMPUTED_VALUE"""),44990.7017476851)</f>
        <v>44990.701747685103</v>
      </c>
      <c r="C1491" s="7" t="str">
        <f ca="1">IFERROR(__xludf.UNSUPPORTED("""COMPUTED_VALUE"""),"Recife")</f>
        <v>Recife</v>
      </c>
      <c r="D1491" s="3" t="str">
        <f ca="1">IFERROR(__xludf.UNSUPPORTED("""COMPUTED_VALUE"""),"🚢 REGULAR")</f>
        <v>🚢 REGULAR</v>
      </c>
      <c r="E1491" s="3" t="str">
        <f ca="1">IFERROR(__xludf.UNSUPPORTED("""COMPUTED_VALUE"""),"🚛 LIBERADO")</f>
        <v>🚛 LIBERADO</v>
      </c>
      <c r="F1491" s="5">
        <f ca="1">IFERROR(__xludf.UNSUPPORTED("""COMPUTED_VALUE"""),0)</f>
        <v>0</v>
      </c>
      <c r="G1491" s="3" t="str">
        <f ca="1">IFERROR(__xludf.UNSUPPORTED("""COMPUTED_VALUE"""),"Normalidade")</f>
        <v>Normalidade</v>
      </c>
      <c r="H1491" s="4">
        <f ca="1">IFERROR(__xludf.UNSUPPORTED("""COMPUTED_VALUE"""),44990.7017476851)</f>
        <v>44990.701747685103</v>
      </c>
      <c r="I1491" s="3">
        <f ca="1">IFERROR(__xludf.UNSUPPORTED("""COMPUTED_VALUE"""),24)</f>
        <v>24</v>
      </c>
      <c r="J1491" s="4">
        <f ca="1">IFERROR(__xludf.UNSUPPORTED("""COMPUTED_VALUE"""),44991.7017476851)</f>
        <v>44991.701747685103</v>
      </c>
      <c r="L1491" s="3" t="str">
        <f ca="1">IFERROR(__xludf.UNSUPPORTED("""COMPUTED_VALUE"""),"Normalidade")</f>
        <v>Normalidade</v>
      </c>
    </row>
    <row r="1492" spans="1:12" ht="12.75">
      <c r="A1492" s="3" t="str">
        <f ca="1">IFERROR(__xludf.UNSUPPORTED("""COMPUTED_VALUE"""),"91cda97c")</f>
        <v>91cda97c</v>
      </c>
      <c r="B1492" s="4">
        <f ca="1">IFERROR(__xludf.UNSUPPORTED("""COMPUTED_VALUE"""),44993.3425347222)</f>
        <v>44993.3425347222</v>
      </c>
      <c r="C1492" s="7" t="str">
        <f ca="1">IFERROR(__xludf.UNSUPPORTED("""COMPUTED_VALUE"""),"Recife")</f>
        <v>Recife</v>
      </c>
      <c r="D1492" s="3" t="str">
        <f ca="1">IFERROR(__xludf.UNSUPPORTED("""COMPUTED_VALUE"""),"🚢 REGULAR")</f>
        <v>🚢 REGULAR</v>
      </c>
      <c r="E1492" s="3" t="str">
        <f ca="1">IFERROR(__xludf.UNSUPPORTED("""COMPUTED_VALUE"""),"🚛 LIBERADO")</f>
        <v>🚛 LIBERADO</v>
      </c>
      <c r="F1492" s="5">
        <f ca="1">IFERROR(__xludf.UNSUPPORTED("""COMPUTED_VALUE"""),0)</f>
        <v>0</v>
      </c>
      <c r="G1492" s="3" t="str">
        <f ca="1">IFERROR(__xludf.UNSUPPORTED("""COMPUTED_VALUE"""),"Normalidade")</f>
        <v>Normalidade</v>
      </c>
      <c r="H1492" s="4">
        <f ca="1">IFERROR(__xludf.UNSUPPORTED("""COMPUTED_VALUE"""),44993.3425347222)</f>
        <v>44993.3425347222</v>
      </c>
      <c r="I1492" s="3">
        <f ca="1">IFERROR(__xludf.UNSUPPORTED("""COMPUTED_VALUE"""),24)</f>
        <v>24</v>
      </c>
      <c r="J1492" s="4">
        <f ca="1">IFERROR(__xludf.UNSUPPORTED("""COMPUTED_VALUE"""),44994.3425347222)</f>
        <v>44994.3425347222</v>
      </c>
      <c r="L1492" s="3" t="str">
        <f ca="1">IFERROR(__xludf.UNSUPPORTED("""COMPUTED_VALUE"""),"Normalidade")</f>
        <v>Normalidade</v>
      </c>
    </row>
    <row r="1493" spans="1:12" ht="12.75">
      <c r="A1493" s="3" t="str">
        <f ca="1">IFERROR(__xludf.UNSUPPORTED("""COMPUTED_VALUE"""),"530c50cc")</f>
        <v>530c50cc</v>
      </c>
      <c r="B1493" s="4">
        <f ca="1">IFERROR(__xludf.UNSUPPORTED("""COMPUTED_VALUE"""),44994.3454050925)</f>
        <v>44994.345405092499</v>
      </c>
      <c r="C1493" s="7" t="str">
        <f ca="1">IFERROR(__xludf.UNSUPPORTED("""COMPUTED_VALUE"""),"Recife")</f>
        <v>Recife</v>
      </c>
      <c r="D1493" s="3" t="str">
        <f ca="1">IFERROR(__xludf.UNSUPPORTED("""COMPUTED_VALUE"""),"🚢 REGULAR")</f>
        <v>🚢 REGULAR</v>
      </c>
      <c r="E1493" s="3" t="str">
        <f ca="1">IFERROR(__xludf.UNSUPPORTED("""COMPUTED_VALUE"""),"🚛 LIBERADO")</f>
        <v>🚛 LIBERADO</v>
      </c>
      <c r="F1493" s="5">
        <f ca="1">IFERROR(__xludf.UNSUPPORTED("""COMPUTED_VALUE"""),0)</f>
        <v>0</v>
      </c>
      <c r="G1493" s="3" t="str">
        <f ca="1">IFERROR(__xludf.UNSUPPORTED("""COMPUTED_VALUE"""),"Normalidade")</f>
        <v>Normalidade</v>
      </c>
      <c r="H1493" s="4">
        <f ca="1">IFERROR(__xludf.UNSUPPORTED("""COMPUTED_VALUE"""),44994.3454050925)</f>
        <v>44994.345405092499</v>
      </c>
      <c r="I1493" s="3">
        <f ca="1">IFERROR(__xludf.UNSUPPORTED("""COMPUTED_VALUE"""),24)</f>
        <v>24</v>
      </c>
      <c r="J1493" s="4">
        <f ca="1">IFERROR(__xludf.UNSUPPORTED("""COMPUTED_VALUE"""),44995.3454050925)</f>
        <v>44995.345405092499</v>
      </c>
      <c r="L1493" s="3" t="str">
        <f ca="1">IFERROR(__xludf.UNSUPPORTED("""COMPUTED_VALUE"""),"Normalidade")</f>
        <v>Normalidade</v>
      </c>
    </row>
    <row r="1494" spans="1:12" ht="12.75">
      <c r="A1494" s="3" t="str">
        <f ca="1">IFERROR(__xludf.UNSUPPORTED("""COMPUTED_VALUE"""),"201c8a31")</f>
        <v>201c8a31</v>
      </c>
      <c r="B1494" s="4">
        <f ca="1">IFERROR(__xludf.UNSUPPORTED("""COMPUTED_VALUE"""),44995.3950347222)</f>
        <v>44995.395034722198</v>
      </c>
      <c r="C1494" s="8" t="str">
        <f ca="1">IFERROR(__xludf.UNSUPPORTED("""COMPUTED_VALUE"""),"Recife")</f>
        <v>Recife</v>
      </c>
      <c r="D1494" s="3" t="str">
        <f ca="1">IFERROR(__xludf.UNSUPPORTED("""COMPUTED_VALUE"""),"🚢 REGULAR")</f>
        <v>🚢 REGULAR</v>
      </c>
      <c r="E1494" s="3" t="str">
        <f ca="1">IFERROR(__xludf.UNSUPPORTED("""COMPUTED_VALUE"""),"🚛 LIBERADO")</f>
        <v>🚛 LIBERADO</v>
      </c>
      <c r="F1494" s="5">
        <f ca="1">IFERROR(__xludf.UNSUPPORTED("""COMPUTED_VALUE"""),0)</f>
        <v>0</v>
      </c>
      <c r="G1494" s="3" t="str">
        <f ca="1">IFERROR(__xludf.UNSUPPORTED("""COMPUTED_VALUE"""),"Normalidade")</f>
        <v>Normalidade</v>
      </c>
      <c r="H1494" s="4">
        <f ca="1">IFERROR(__xludf.UNSUPPORTED("""COMPUTED_VALUE"""),44995.3950347222)</f>
        <v>44995.395034722198</v>
      </c>
      <c r="I1494" s="3">
        <f ca="1">IFERROR(__xludf.UNSUPPORTED("""COMPUTED_VALUE"""),24)</f>
        <v>24</v>
      </c>
      <c r="J1494" s="4">
        <f ca="1">IFERROR(__xludf.UNSUPPORTED("""COMPUTED_VALUE"""),44996.3950347222)</f>
        <v>44996.395034722198</v>
      </c>
      <c r="L1494" s="3" t="str">
        <f ca="1">IFERROR(__xludf.UNSUPPORTED("""COMPUTED_VALUE"""),"Normalidade")</f>
        <v>Normalidade</v>
      </c>
    </row>
    <row r="1495" spans="1:12" ht="12.75">
      <c r="A1495" s="3" t="str">
        <f ca="1">IFERROR(__xludf.UNSUPPORTED("""COMPUTED_VALUE"""),"ad13fd38")</f>
        <v>ad13fd38</v>
      </c>
      <c r="B1495" s="4">
        <f ca="1">IFERROR(__xludf.UNSUPPORTED("""COMPUTED_VALUE"""),44999.3720601851)</f>
        <v>44999.372060185102</v>
      </c>
      <c r="C1495" s="8" t="str">
        <f ca="1">IFERROR(__xludf.UNSUPPORTED("""COMPUTED_VALUE"""),"Recife")</f>
        <v>Recife</v>
      </c>
      <c r="D1495" s="3" t="str">
        <f ca="1">IFERROR(__xludf.UNSUPPORTED("""COMPUTED_VALUE"""),"🚢 REGULAR")</f>
        <v>🚢 REGULAR</v>
      </c>
      <c r="E1495" s="3" t="str">
        <f ca="1">IFERROR(__xludf.UNSUPPORTED("""COMPUTED_VALUE"""),"🚛 LIBERADO")</f>
        <v>🚛 LIBERADO</v>
      </c>
      <c r="F1495" s="5">
        <f ca="1">IFERROR(__xludf.UNSUPPORTED("""COMPUTED_VALUE"""),0)</f>
        <v>0</v>
      </c>
      <c r="G1495" s="3" t="str">
        <f ca="1">IFERROR(__xludf.UNSUPPORTED("""COMPUTED_VALUE"""),"Normalidade")</f>
        <v>Normalidade</v>
      </c>
      <c r="H1495" s="4">
        <f ca="1">IFERROR(__xludf.UNSUPPORTED("""COMPUTED_VALUE"""),44999.3720601851)</f>
        <v>44999.372060185102</v>
      </c>
      <c r="I1495" s="3">
        <f ca="1">IFERROR(__xludf.UNSUPPORTED("""COMPUTED_VALUE"""),24)</f>
        <v>24</v>
      </c>
      <c r="J1495" s="4">
        <f ca="1">IFERROR(__xludf.UNSUPPORTED("""COMPUTED_VALUE"""),45000.3720601851)</f>
        <v>45000.372060185102</v>
      </c>
      <c r="L1495" s="3" t="str">
        <f ca="1">IFERROR(__xludf.UNSUPPORTED("""COMPUTED_VALUE"""),"Normalidade")</f>
        <v>Normalidade</v>
      </c>
    </row>
    <row r="1496" spans="1:12" ht="12.75">
      <c r="A1496" s="3" t="str">
        <f ca="1">IFERROR(__xludf.UNSUPPORTED("""COMPUTED_VALUE"""),"f4ca78ec")</f>
        <v>f4ca78ec</v>
      </c>
      <c r="B1496" s="4">
        <f ca="1">IFERROR(__xludf.UNSUPPORTED("""COMPUTED_VALUE"""),45001.4762152777)</f>
        <v>45001.476215277697</v>
      </c>
      <c r="C1496" s="7" t="str">
        <f ca="1">IFERROR(__xludf.UNSUPPORTED("""COMPUTED_VALUE"""),"Recife")</f>
        <v>Recife</v>
      </c>
      <c r="D1496" s="3" t="str">
        <f ca="1">IFERROR(__xludf.UNSUPPORTED("""COMPUTED_VALUE"""),"🚢 REGULAR")</f>
        <v>🚢 REGULAR</v>
      </c>
      <c r="E1496" s="3" t="str">
        <f ca="1">IFERROR(__xludf.UNSUPPORTED("""COMPUTED_VALUE"""),"🚛 LIBERADO")</f>
        <v>🚛 LIBERADO</v>
      </c>
      <c r="F1496" s="5">
        <f ca="1">IFERROR(__xludf.UNSUPPORTED("""COMPUTED_VALUE"""),0)</f>
        <v>0</v>
      </c>
      <c r="G1496" s="3" t="str">
        <f ca="1">IFERROR(__xludf.UNSUPPORTED("""COMPUTED_VALUE"""),"Normalidade")</f>
        <v>Normalidade</v>
      </c>
      <c r="H1496" s="4">
        <f ca="1">IFERROR(__xludf.UNSUPPORTED("""COMPUTED_VALUE"""),45001.4762152777)</f>
        <v>45001.476215277697</v>
      </c>
      <c r="I1496" s="3">
        <f ca="1">IFERROR(__xludf.UNSUPPORTED("""COMPUTED_VALUE"""),24)</f>
        <v>24</v>
      </c>
      <c r="J1496" s="4">
        <f ca="1">IFERROR(__xludf.UNSUPPORTED("""COMPUTED_VALUE"""),45002.4762152777)</f>
        <v>45002.476215277697</v>
      </c>
    </row>
    <row r="1497" spans="1:12" ht="12.75">
      <c r="A1497" s="3" t="str">
        <f ca="1">IFERROR(__xludf.UNSUPPORTED("""COMPUTED_VALUE"""),"984f204c")</f>
        <v>984f204c</v>
      </c>
      <c r="B1497" s="4">
        <f ca="1">IFERROR(__xludf.UNSUPPORTED("""COMPUTED_VALUE"""),45002.3964699074)</f>
        <v>45002.396469907399</v>
      </c>
      <c r="C1497" s="7" t="str">
        <f ca="1">IFERROR(__xludf.UNSUPPORTED("""COMPUTED_VALUE"""),"Recife")</f>
        <v>Recife</v>
      </c>
      <c r="D1497" s="3" t="str">
        <f ca="1">IFERROR(__xludf.UNSUPPORTED("""COMPUTED_VALUE"""),"🚢 REGULAR")</f>
        <v>🚢 REGULAR</v>
      </c>
      <c r="E1497" s="3" t="str">
        <f ca="1">IFERROR(__xludf.UNSUPPORTED("""COMPUTED_VALUE"""),"🚛 LIBERADO")</f>
        <v>🚛 LIBERADO</v>
      </c>
      <c r="F1497" s="5">
        <f ca="1">IFERROR(__xludf.UNSUPPORTED("""COMPUTED_VALUE"""),0)</f>
        <v>0</v>
      </c>
      <c r="G1497" s="3" t="str">
        <f ca="1">IFERROR(__xludf.UNSUPPORTED("""COMPUTED_VALUE"""),"Normalidade")</f>
        <v>Normalidade</v>
      </c>
      <c r="H1497" s="4">
        <f ca="1">IFERROR(__xludf.UNSUPPORTED("""COMPUTED_VALUE"""),45002.3964699074)</f>
        <v>45002.396469907399</v>
      </c>
      <c r="I1497" s="3">
        <f ca="1">IFERROR(__xludf.UNSUPPORTED("""COMPUTED_VALUE"""),24)</f>
        <v>24</v>
      </c>
      <c r="J1497" s="4">
        <f ca="1">IFERROR(__xludf.UNSUPPORTED("""COMPUTED_VALUE"""),45003.3964699074)</f>
        <v>45003.396469907399</v>
      </c>
    </row>
    <row r="1498" spans="1:12" ht="12.75">
      <c r="A1498" s="3" t="str">
        <f ca="1">IFERROR(__xludf.UNSUPPORTED("""COMPUTED_VALUE"""),"65821673")</f>
        <v>65821673</v>
      </c>
      <c r="B1498" s="4">
        <f ca="1">IFERROR(__xludf.UNSUPPORTED("""COMPUTED_VALUE"""),45004.4213310185)</f>
        <v>45004.4213310185</v>
      </c>
      <c r="C1498" s="8" t="str">
        <f ca="1">IFERROR(__xludf.UNSUPPORTED("""COMPUTED_VALUE"""),"Recife")</f>
        <v>Recife</v>
      </c>
      <c r="D1498" s="3" t="str">
        <f ca="1">IFERROR(__xludf.UNSUPPORTED("""COMPUTED_VALUE"""),"🚢 REGULAR")</f>
        <v>🚢 REGULAR</v>
      </c>
      <c r="E1498" s="3" t="str">
        <f ca="1">IFERROR(__xludf.UNSUPPORTED("""COMPUTED_VALUE"""),"🚛 LIBERADO")</f>
        <v>🚛 LIBERADO</v>
      </c>
      <c r="F1498" s="5">
        <f ca="1">IFERROR(__xludf.UNSUPPORTED("""COMPUTED_VALUE"""),0)</f>
        <v>0</v>
      </c>
      <c r="G1498" s="3" t="str">
        <f ca="1">IFERROR(__xludf.UNSUPPORTED("""COMPUTED_VALUE"""),"Normalidade")</f>
        <v>Normalidade</v>
      </c>
      <c r="H1498" s="4">
        <f ca="1">IFERROR(__xludf.UNSUPPORTED("""COMPUTED_VALUE"""),45004.4213310185)</f>
        <v>45004.4213310185</v>
      </c>
      <c r="I1498" s="3">
        <f ca="1">IFERROR(__xludf.UNSUPPORTED("""COMPUTED_VALUE"""),24)</f>
        <v>24</v>
      </c>
      <c r="J1498" s="4">
        <f ca="1">IFERROR(__xludf.UNSUPPORTED("""COMPUTED_VALUE"""),45005.4213310185)</f>
        <v>45005.4213310185</v>
      </c>
    </row>
    <row r="1499" spans="1:12" ht="12.75">
      <c r="A1499" s="3" t="str">
        <f ca="1">IFERROR(__xludf.UNSUPPORTED("""COMPUTED_VALUE"""),"64998277")</f>
        <v>64998277</v>
      </c>
      <c r="B1499" s="4">
        <f ca="1">IFERROR(__xludf.UNSUPPORTED("""COMPUTED_VALUE"""),45005.3273379629)</f>
        <v>45005.327337962903</v>
      </c>
      <c r="C1499" s="8" t="str">
        <f ca="1">IFERROR(__xludf.UNSUPPORTED("""COMPUTED_VALUE"""),"Recife")</f>
        <v>Recife</v>
      </c>
      <c r="D1499" s="3" t="str">
        <f ca="1">IFERROR(__xludf.UNSUPPORTED("""COMPUTED_VALUE"""),"🚢 REGULAR")</f>
        <v>🚢 REGULAR</v>
      </c>
      <c r="E1499" s="3" t="str">
        <f ca="1">IFERROR(__xludf.UNSUPPORTED("""COMPUTED_VALUE"""),"🚛 LIBERADO")</f>
        <v>🚛 LIBERADO</v>
      </c>
      <c r="F1499" s="5">
        <f ca="1">IFERROR(__xludf.UNSUPPORTED("""COMPUTED_VALUE"""),0)</f>
        <v>0</v>
      </c>
      <c r="G1499" s="3" t="str">
        <f ca="1">IFERROR(__xludf.UNSUPPORTED("""COMPUTED_VALUE"""),"Normalidade")</f>
        <v>Normalidade</v>
      </c>
      <c r="H1499" s="4">
        <f ca="1">IFERROR(__xludf.UNSUPPORTED("""COMPUTED_VALUE"""),45005.3273379629)</f>
        <v>45005.327337962903</v>
      </c>
      <c r="I1499" s="3">
        <f ca="1">IFERROR(__xludf.UNSUPPORTED("""COMPUTED_VALUE"""),24)</f>
        <v>24</v>
      </c>
      <c r="J1499" s="4">
        <f ca="1">IFERROR(__xludf.UNSUPPORTED("""COMPUTED_VALUE"""),45006.3273379629)</f>
        <v>45006.327337962903</v>
      </c>
    </row>
    <row r="1500" spans="1:12" ht="12.75">
      <c r="A1500" s="3" t="str">
        <f ca="1">IFERROR(__xludf.UNSUPPORTED("""COMPUTED_VALUE"""),"1f9ac802")</f>
        <v>1f9ac802</v>
      </c>
      <c r="B1500" s="4">
        <f ca="1">IFERROR(__xludf.UNSUPPORTED("""COMPUTED_VALUE"""),45006.3587962962)</f>
        <v>45006.358796296197</v>
      </c>
      <c r="C1500" s="8" t="str">
        <f ca="1">IFERROR(__xludf.UNSUPPORTED("""COMPUTED_VALUE"""),"Recife")</f>
        <v>Recife</v>
      </c>
      <c r="D1500" s="3" t="str">
        <f ca="1">IFERROR(__xludf.UNSUPPORTED("""COMPUTED_VALUE"""),"🚢 REGULAR")</f>
        <v>🚢 REGULAR</v>
      </c>
      <c r="E1500" s="3" t="str">
        <f ca="1">IFERROR(__xludf.UNSUPPORTED("""COMPUTED_VALUE"""),"🚛 LIBERADO")</f>
        <v>🚛 LIBERADO</v>
      </c>
      <c r="F1500" s="5">
        <f ca="1">IFERROR(__xludf.UNSUPPORTED("""COMPUTED_VALUE"""),0)</f>
        <v>0</v>
      </c>
      <c r="G1500" s="3" t="str">
        <f ca="1">IFERROR(__xludf.UNSUPPORTED("""COMPUTED_VALUE"""),"Normalidade")</f>
        <v>Normalidade</v>
      </c>
      <c r="H1500" s="4">
        <f ca="1">IFERROR(__xludf.UNSUPPORTED("""COMPUTED_VALUE"""),45006.3587962962)</f>
        <v>45006.358796296197</v>
      </c>
      <c r="I1500" s="3">
        <f ca="1">IFERROR(__xludf.UNSUPPORTED("""COMPUTED_VALUE"""),24)</f>
        <v>24</v>
      </c>
      <c r="J1500" s="4">
        <f ca="1">IFERROR(__xludf.UNSUPPORTED("""COMPUTED_VALUE"""),45007.3587962962)</f>
        <v>45007.358796296197</v>
      </c>
    </row>
    <row r="1501" spans="1:12" ht="12.75">
      <c r="A1501" s="3" t="str">
        <f ca="1">IFERROR(__xludf.UNSUPPORTED("""COMPUTED_VALUE"""),"5edaa944")</f>
        <v>5edaa944</v>
      </c>
      <c r="B1501" s="4">
        <f ca="1">IFERROR(__xludf.UNSUPPORTED("""COMPUTED_VALUE"""),45007.3765393518)</f>
        <v>45007.376539351797</v>
      </c>
      <c r="C1501" s="8" t="str">
        <f ca="1">IFERROR(__xludf.UNSUPPORTED("""COMPUTED_VALUE"""),"Recife")</f>
        <v>Recife</v>
      </c>
      <c r="D1501" s="3" t="str">
        <f ca="1">IFERROR(__xludf.UNSUPPORTED("""COMPUTED_VALUE"""),"🚢 REGULAR")</f>
        <v>🚢 REGULAR</v>
      </c>
      <c r="E1501" s="3" t="str">
        <f ca="1">IFERROR(__xludf.UNSUPPORTED("""COMPUTED_VALUE"""),"🚛 LIBERADO")</f>
        <v>🚛 LIBERADO</v>
      </c>
      <c r="F1501" s="5">
        <f ca="1">IFERROR(__xludf.UNSUPPORTED("""COMPUTED_VALUE"""),0)</f>
        <v>0</v>
      </c>
      <c r="G1501" s="3" t="str">
        <f ca="1">IFERROR(__xludf.UNSUPPORTED("""COMPUTED_VALUE"""),"Normalidade")</f>
        <v>Normalidade</v>
      </c>
      <c r="H1501" s="4">
        <f ca="1">IFERROR(__xludf.UNSUPPORTED("""COMPUTED_VALUE"""),45007.3765393518)</f>
        <v>45007.376539351797</v>
      </c>
      <c r="I1501" s="3">
        <f ca="1">IFERROR(__xludf.UNSUPPORTED("""COMPUTED_VALUE"""),24)</f>
        <v>24</v>
      </c>
      <c r="J1501" s="4">
        <f ca="1">IFERROR(__xludf.UNSUPPORTED("""COMPUTED_VALUE"""),45008.3765393518)</f>
        <v>45008.376539351797</v>
      </c>
    </row>
    <row r="1502" spans="1:12" ht="12.75">
      <c r="A1502" s="3" t="str">
        <f ca="1">IFERROR(__xludf.UNSUPPORTED("""COMPUTED_VALUE"""),"a4da9e54")</f>
        <v>a4da9e54</v>
      </c>
      <c r="B1502" s="4">
        <f ca="1">IFERROR(__xludf.UNSUPPORTED("""COMPUTED_VALUE"""),45008.405324074)</f>
        <v>45008.405324074003</v>
      </c>
      <c r="C1502" s="8" t="str">
        <f ca="1">IFERROR(__xludf.UNSUPPORTED("""COMPUTED_VALUE"""),"Recife")</f>
        <v>Recife</v>
      </c>
      <c r="D1502" s="3" t="str">
        <f ca="1">IFERROR(__xludf.UNSUPPORTED("""COMPUTED_VALUE"""),"🚢 REGULAR")</f>
        <v>🚢 REGULAR</v>
      </c>
      <c r="E1502" s="3" t="str">
        <f ca="1">IFERROR(__xludf.UNSUPPORTED("""COMPUTED_VALUE"""),"🚛 LIBERADO")</f>
        <v>🚛 LIBERADO</v>
      </c>
      <c r="F1502" s="5">
        <f ca="1">IFERROR(__xludf.UNSUPPORTED("""COMPUTED_VALUE"""),0)</f>
        <v>0</v>
      </c>
      <c r="G1502" s="3" t="str">
        <f ca="1">IFERROR(__xludf.UNSUPPORTED("""COMPUTED_VALUE"""),"Normalidade")</f>
        <v>Normalidade</v>
      </c>
      <c r="H1502" s="4">
        <f ca="1">IFERROR(__xludf.UNSUPPORTED("""COMPUTED_VALUE"""),45008.405324074)</f>
        <v>45008.405324074003</v>
      </c>
      <c r="I1502" s="3">
        <f ca="1">IFERROR(__xludf.UNSUPPORTED("""COMPUTED_VALUE"""),24)</f>
        <v>24</v>
      </c>
      <c r="J1502" s="4">
        <f ca="1">IFERROR(__xludf.UNSUPPORTED("""COMPUTED_VALUE"""),45009.405324074)</f>
        <v>45009.405324074003</v>
      </c>
    </row>
    <row r="1503" spans="1:12" ht="12.75">
      <c r="A1503" s="3" t="str">
        <f ca="1">IFERROR(__xludf.UNSUPPORTED("""COMPUTED_VALUE"""),"5e5abd5e")</f>
        <v>5e5abd5e</v>
      </c>
      <c r="B1503" s="4">
        <f ca="1">IFERROR(__xludf.UNSUPPORTED("""COMPUTED_VALUE"""),45009.5080092592)</f>
        <v>45009.508009259203</v>
      </c>
      <c r="C1503" s="8" t="str">
        <f ca="1">IFERROR(__xludf.UNSUPPORTED("""COMPUTED_VALUE"""),"Recife")</f>
        <v>Recife</v>
      </c>
      <c r="D1503" s="3" t="str">
        <f ca="1">IFERROR(__xludf.UNSUPPORTED("""COMPUTED_VALUE"""),"🚢 REGULAR")</f>
        <v>🚢 REGULAR</v>
      </c>
      <c r="E1503" s="3" t="str">
        <f ca="1">IFERROR(__xludf.UNSUPPORTED("""COMPUTED_VALUE"""),"🚛 LIBERADO")</f>
        <v>🚛 LIBERADO</v>
      </c>
      <c r="F1503" s="5">
        <f ca="1">IFERROR(__xludf.UNSUPPORTED("""COMPUTED_VALUE"""),0)</f>
        <v>0</v>
      </c>
      <c r="G1503" s="3" t="str">
        <f ca="1">IFERROR(__xludf.UNSUPPORTED("""COMPUTED_VALUE"""),"Normalidade")</f>
        <v>Normalidade</v>
      </c>
      <c r="H1503" s="4">
        <f ca="1">IFERROR(__xludf.UNSUPPORTED("""COMPUTED_VALUE"""),45009.5080092592)</f>
        <v>45009.508009259203</v>
      </c>
      <c r="I1503" s="3">
        <f ca="1">IFERROR(__xludf.UNSUPPORTED("""COMPUTED_VALUE"""),24)</f>
        <v>24</v>
      </c>
      <c r="J1503" s="4">
        <f ca="1">IFERROR(__xludf.UNSUPPORTED("""COMPUTED_VALUE"""),45010.5080092592)</f>
        <v>45010.508009259203</v>
      </c>
    </row>
    <row r="1504" spans="1:12" ht="12.75">
      <c r="A1504" s="3" t="str">
        <f ca="1">IFERROR(__xludf.UNSUPPORTED("""COMPUTED_VALUE"""),"e3a36368")</f>
        <v>e3a36368</v>
      </c>
      <c r="B1504" s="4">
        <f ca="1">IFERROR(__xludf.UNSUPPORTED("""COMPUTED_VALUE"""),45011.3644791666)</f>
        <v>45011.364479166601</v>
      </c>
      <c r="C1504" s="7" t="str">
        <f ca="1">IFERROR(__xludf.UNSUPPORTED("""COMPUTED_VALUE"""),"Recife")</f>
        <v>Recife</v>
      </c>
      <c r="D1504" s="3" t="str">
        <f ca="1">IFERROR(__xludf.UNSUPPORTED("""COMPUTED_VALUE"""),"🚢 REGULAR")</f>
        <v>🚢 REGULAR</v>
      </c>
      <c r="E1504" s="3" t="str">
        <f ca="1">IFERROR(__xludf.UNSUPPORTED("""COMPUTED_VALUE"""),"🚛 LIBERADO")</f>
        <v>🚛 LIBERADO</v>
      </c>
      <c r="F1504" s="5">
        <f ca="1">IFERROR(__xludf.UNSUPPORTED("""COMPUTED_VALUE"""),0)</f>
        <v>0</v>
      </c>
      <c r="G1504" s="3" t="str">
        <f ca="1">IFERROR(__xludf.UNSUPPORTED("""COMPUTED_VALUE"""),"Normalidade")</f>
        <v>Normalidade</v>
      </c>
      <c r="H1504" s="4">
        <f ca="1">IFERROR(__xludf.UNSUPPORTED("""COMPUTED_VALUE"""),45011.3644791666)</f>
        <v>45011.364479166601</v>
      </c>
      <c r="I1504" s="3">
        <f ca="1">IFERROR(__xludf.UNSUPPORTED("""COMPUTED_VALUE"""),24)</f>
        <v>24</v>
      </c>
      <c r="J1504" s="4">
        <f ca="1">IFERROR(__xludf.UNSUPPORTED("""COMPUTED_VALUE"""),45012.3644791666)</f>
        <v>45012.364479166601</v>
      </c>
    </row>
    <row r="1505" spans="1:12" ht="12.75">
      <c r="A1505" s="3" t="str">
        <f ca="1">IFERROR(__xludf.UNSUPPORTED("""COMPUTED_VALUE"""),"a21ef505")</f>
        <v>a21ef505</v>
      </c>
      <c r="B1505" s="4">
        <f ca="1">IFERROR(__xludf.UNSUPPORTED("""COMPUTED_VALUE"""),45012.4060300925)</f>
        <v>45012.406030092498</v>
      </c>
      <c r="C1505" s="7" t="str">
        <f ca="1">IFERROR(__xludf.UNSUPPORTED("""COMPUTED_VALUE"""),"Recife")</f>
        <v>Recife</v>
      </c>
      <c r="D1505" s="3" t="str">
        <f ca="1">IFERROR(__xludf.UNSUPPORTED("""COMPUTED_VALUE"""),"🚢 REGULAR")</f>
        <v>🚢 REGULAR</v>
      </c>
      <c r="E1505" s="3" t="str">
        <f ca="1">IFERROR(__xludf.UNSUPPORTED("""COMPUTED_VALUE"""),"🚛 LIBERADO")</f>
        <v>🚛 LIBERADO</v>
      </c>
      <c r="F1505" s="5">
        <f ca="1">IFERROR(__xludf.UNSUPPORTED("""COMPUTED_VALUE"""),0)</f>
        <v>0</v>
      </c>
      <c r="G1505" s="3" t="str">
        <f ca="1">IFERROR(__xludf.UNSUPPORTED("""COMPUTED_VALUE"""),"Normalidade")</f>
        <v>Normalidade</v>
      </c>
      <c r="H1505" s="4">
        <f ca="1">IFERROR(__xludf.UNSUPPORTED("""COMPUTED_VALUE"""),45012.4060300925)</f>
        <v>45012.406030092498</v>
      </c>
      <c r="I1505" s="3">
        <f ca="1">IFERROR(__xludf.UNSUPPORTED("""COMPUTED_VALUE"""),24)</f>
        <v>24</v>
      </c>
      <c r="J1505" s="4">
        <f ca="1">IFERROR(__xludf.UNSUPPORTED("""COMPUTED_VALUE"""),45013.4060300925)</f>
        <v>45013.406030092498</v>
      </c>
    </row>
    <row r="1506" spans="1:12" ht="12.75">
      <c r="A1506" s="3" t="str">
        <f ca="1">IFERROR(__xludf.UNSUPPORTED("""COMPUTED_VALUE"""),"7529bd5a")</f>
        <v>7529bd5a</v>
      </c>
      <c r="B1506" s="4">
        <f ca="1">IFERROR(__xludf.UNSUPPORTED("""COMPUTED_VALUE"""),45013.3851157407)</f>
        <v>45013.385115740697</v>
      </c>
      <c r="C1506" s="8" t="str">
        <f ca="1">IFERROR(__xludf.UNSUPPORTED("""COMPUTED_VALUE"""),"Recife")</f>
        <v>Recife</v>
      </c>
      <c r="D1506" s="3" t="str">
        <f ca="1">IFERROR(__xludf.UNSUPPORTED("""COMPUTED_VALUE"""),"🚢 REGULAR")</f>
        <v>🚢 REGULAR</v>
      </c>
      <c r="E1506" s="3" t="str">
        <f ca="1">IFERROR(__xludf.UNSUPPORTED("""COMPUTED_VALUE"""),"🚛 LIBERADO")</f>
        <v>🚛 LIBERADO</v>
      </c>
      <c r="F1506" s="5">
        <f ca="1">IFERROR(__xludf.UNSUPPORTED("""COMPUTED_VALUE"""),0)</f>
        <v>0</v>
      </c>
      <c r="G1506" s="3" t="str">
        <f ca="1">IFERROR(__xludf.UNSUPPORTED("""COMPUTED_VALUE"""),"Normalidade")</f>
        <v>Normalidade</v>
      </c>
      <c r="H1506" s="4">
        <f ca="1">IFERROR(__xludf.UNSUPPORTED("""COMPUTED_VALUE"""),45013.3851157407)</f>
        <v>45013.385115740697</v>
      </c>
      <c r="I1506" s="3">
        <f ca="1">IFERROR(__xludf.UNSUPPORTED("""COMPUTED_VALUE"""),24)</f>
        <v>24</v>
      </c>
      <c r="J1506" s="4">
        <f ca="1">IFERROR(__xludf.UNSUPPORTED("""COMPUTED_VALUE"""),45014.3851157407)</f>
        <v>45014.385115740697</v>
      </c>
    </row>
    <row r="1507" spans="1:12" ht="12.75">
      <c r="A1507" s="3" t="str">
        <f ca="1">IFERROR(__xludf.UNSUPPORTED("""COMPUTED_VALUE"""),"06853b42")</f>
        <v>06853b42</v>
      </c>
      <c r="B1507" s="4">
        <f ca="1">IFERROR(__xludf.UNSUPPORTED("""COMPUTED_VALUE"""),45014.3989467592)</f>
        <v>45014.398946759196</v>
      </c>
      <c r="C1507" s="7" t="str">
        <f ca="1">IFERROR(__xludf.UNSUPPORTED("""COMPUTED_VALUE"""),"Recife")</f>
        <v>Recife</v>
      </c>
      <c r="D1507" s="3" t="str">
        <f ca="1">IFERROR(__xludf.UNSUPPORTED("""COMPUTED_VALUE"""),"🚢 REGULAR")</f>
        <v>🚢 REGULAR</v>
      </c>
      <c r="E1507" s="3" t="str">
        <f ca="1">IFERROR(__xludf.UNSUPPORTED("""COMPUTED_VALUE"""),"🚛 LIBERADO")</f>
        <v>🚛 LIBERADO</v>
      </c>
      <c r="F1507" s="5">
        <f ca="1">IFERROR(__xludf.UNSUPPORTED("""COMPUTED_VALUE"""),0)</f>
        <v>0</v>
      </c>
      <c r="G1507" s="3" t="str">
        <f ca="1">IFERROR(__xludf.UNSUPPORTED("""COMPUTED_VALUE"""),"Normalidade")</f>
        <v>Normalidade</v>
      </c>
      <c r="H1507" s="4">
        <f ca="1">IFERROR(__xludf.UNSUPPORTED("""COMPUTED_VALUE"""),45014.3989467592)</f>
        <v>45014.398946759196</v>
      </c>
      <c r="I1507" s="3">
        <f ca="1">IFERROR(__xludf.UNSUPPORTED("""COMPUTED_VALUE"""),24)</f>
        <v>24</v>
      </c>
      <c r="J1507" s="4">
        <f ca="1">IFERROR(__xludf.UNSUPPORTED("""COMPUTED_VALUE"""),45015.3989467592)</f>
        <v>45015.398946759196</v>
      </c>
    </row>
    <row r="1508" spans="1:12" ht="12.75">
      <c r="A1508" s="3" t="str">
        <f ca="1">IFERROR(__xludf.UNSUPPORTED("""COMPUTED_VALUE"""),"d0862565")</f>
        <v>d0862565</v>
      </c>
      <c r="B1508" s="4">
        <f ca="1">IFERROR(__xludf.UNSUPPORTED("""COMPUTED_VALUE"""),45015.3804166666)</f>
        <v>45015.380416666601</v>
      </c>
      <c r="C1508" s="8" t="str">
        <f ca="1">IFERROR(__xludf.UNSUPPORTED("""COMPUTED_VALUE"""),"Recife")</f>
        <v>Recife</v>
      </c>
      <c r="D1508" s="3" t="str">
        <f ca="1">IFERROR(__xludf.UNSUPPORTED("""COMPUTED_VALUE"""),"🚢 REGULAR")</f>
        <v>🚢 REGULAR</v>
      </c>
      <c r="E1508" s="3" t="str">
        <f ca="1">IFERROR(__xludf.UNSUPPORTED("""COMPUTED_VALUE"""),"🚛 LIBERADO")</f>
        <v>🚛 LIBERADO</v>
      </c>
      <c r="F1508" s="5">
        <f ca="1">IFERROR(__xludf.UNSUPPORTED("""COMPUTED_VALUE"""),0)</f>
        <v>0</v>
      </c>
      <c r="G1508" s="3" t="str">
        <f ca="1">IFERROR(__xludf.UNSUPPORTED("""COMPUTED_VALUE"""),"Normalidade")</f>
        <v>Normalidade</v>
      </c>
      <c r="H1508" s="4">
        <f ca="1">IFERROR(__xludf.UNSUPPORTED("""COMPUTED_VALUE"""),45015.3804166666)</f>
        <v>45015.380416666601</v>
      </c>
      <c r="I1508" s="3">
        <f ca="1">IFERROR(__xludf.UNSUPPORTED("""COMPUTED_VALUE"""),24)</f>
        <v>24</v>
      </c>
      <c r="J1508" s="4">
        <f ca="1">IFERROR(__xludf.UNSUPPORTED("""COMPUTED_VALUE"""),45016.3804166666)</f>
        <v>45016.380416666601</v>
      </c>
    </row>
    <row r="1509" spans="1:12" ht="12.75">
      <c r="A1509" s="3" t="str">
        <f ca="1">IFERROR(__xludf.UNSUPPORTED("""COMPUTED_VALUE"""),"2bad3f87")</f>
        <v>2bad3f87</v>
      </c>
      <c r="B1509" s="4">
        <f ca="1">IFERROR(__xludf.UNSUPPORTED("""COMPUTED_VALUE"""),45016.3867824074)</f>
        <v>45016.386782407397</v>
      </c>
      <c r="C1509" s="7" t="str">
        <f ca="1">IFERROR(__xludf.UNSUPPORTED("""COMPUTED_VALUE"""),"Recife")</f>
        <v>Recife</v>
      </c>
      <c r="D1509" s="3" t="str">
        <f ca="1">IFERROR(__xludf.UNSUPPORTED("""COMPUTED_VALUE"""),"🚢 REGULAR")</f>
        <v>🚢 REGULAR</v>
      </c>
      <c r="E1509" s="3" t="str">
        <f ca="1">IFERROR(__xludf.UNSUPPORTED("""COMPUTED_VALUE"""),"🚛 LIBERADO")</f>
        <v>🚛 LIBERADO</v>
      </c>
      <c r="F1509" s="5">
        <f ca="1">IFERROR(__xludf.UNSUPPORTED("""COMPUTED_VALUE"""),0)</f>
        <v>0</v>
      </c>
      <c r="G1509" s="3" t="str">
        <f ca="1">IFERROR(__xludf.UNSUPPORTED("""COMPUTED_VALUE"""),"Normalidade")</f>
        <v>Normalidade</v>
      </c>
      <c r="H1509" s="4">
        <f ca="1">IFERROR(__xludf.UNSUPPORTED("""COMPUTED_VALUE"""),45016.3867824074)</f>
        <v>45016.386782407397</v>
      </c>
      <c r="I1509" s="3">
        <f ca="1">IFERROR(__xludf.UNSUPPORTED("""COMPUTED_VALUE"""),24)</f>
        <v>24</v>
      </c>
      <c r="J1509" s="4">
        <f ca="1">IFERROR(__xludf.UNSUPPORTED("""COMPUTED_VALUE"""),45017.3867824074)</f>
        <v>45017.386782407397</v>
      </c>
      <c r="L1509" s="3" t="str">
        <f ca="1">IFERROR(__xludf.UNSUPPORTED("""COMPUTED_VALUE"""),"Normalidade")</f>
        <v>Normalidade</v>
      </c>
    </row>
    <row r="1510" spans="1:12" ht="12.75">
      <c r="A1510" s="3" t="str">
        <f ca="1">IFERROR(__xludf.UNSUPPORTED("""COMPUTED_VALUE"""),"d8e383ae")</f>
        <v>d8e383ae</v>
      </c>
      <c r="B1510" s="4">
        <f ca="1">IFERROR(__xludf.UNSUPPORTED("""COMPUTED_VALUE"""),45017.4333333333)</f>
        <v>45017.433333333298</v>
      </c>
      <c r="C1510" s="8" t="str">
        <f ca="1">IFERROR(__xludf.UNSUPPORTED("""COMPUTED_VALUE"""),"Recife")</f>
        <v>Recife</v>
      </c>
      <c r="D1510" s="3" t="str">
        <f ca="1">IFERROR(__xludf.UNSUPPORTED("""COMPUTED_VALUE"""),"🚢 REGULAR")</f>
        <v>🚢 REGULAR</v>
      </c>
      <c r="E1510" s="3" t="str">
        <f ca="1">IFERROR(__xludf.UNSUPPORTED("""COMPUTED_VALUE"""),"🚛 LIBERADO")</f>
        <v>🚛 LIBERADO</v>
      </c>
      <c r="F1510" s="5">
        <f ca="1">IFERROR(__xludf.UNSUPPORTED("""COMPUTED_VALUE"""),0)</f>
        <v>0</v>
      </c>
      <c r="G1510" s="3" t="str">
        <f ca="1">IFERROR(__xludf.UNSUPPORTED("""COMPUTED_VALUE"""),"Normalidade")</f>
        <v>Normalidade</v>
      </c>
      <c r="H1510" s="4">
        <f ca="1">IFERROR(__xludf.UNSUPPORTED("""COMPUTED_VALUE"""),45017.4333333333)</f>
        <v>45017.433333333298</v>
      </c>
      <c r="I1510" s="3">
        <f ca="1">IFERROR(__xludf.UNSUPPORTED("""COMPUTED_VALUE"""),24)</f>
        <v>24</v>
      </c>
      <c r="J1510" s="4">
        <f ca="1">IFERROR(__xludf.UNSUPPORTED("""COMPUTED_VALUE"""),45018.4333333333)</f>
        <v>45018.433333333298</v>
      </c>
      <c r="L1510" s="3" t="str">
        <f ca="1">IFERROR(__xludf.UNSUPPORTED("""COMPUTED_VALUE"""),"Normalidade")</f>
        <v>Normalidade</v>
      </c>
    </row>
    <row r="1511" spans="1:12" ht="12.75">
      <c r="A1511" s="3" t="str">
        <f ca="1">IFERROR(__xludf.UNSUPPORTED("""COMPUTED_VALUE"""),"79ac5071")</f>
        <v>79ac5071</v>
      </c>
      <c r="B1511" s="4">
        <f ca="1">IFERROR(__xludf.UNSUPPORTED("""COMPUTED_VALUE"""),45018.4344907407)</f>
        <v>45018.434490740699</v>
      </c>
      <c r="C1511" s="7" t="str">
        <f ca="1">IFERROR(__xludf.UNSUPPORTED("""COMPUTED_VALUE"""),"Recife")</f>
        <v>Recife</v>
      </c>
      <c r="D1511" s="3" t="str">
        <f ca="1">IFERROR(__xludf.UNSUPPORTED("""COMPUTED_VALUE"""),"🚢 REGULAR")</f>
        <v>🚢 REGULAR</v>
      </c>
      <c r="E1511" s="3" t="str">
        <f ca="1">IFERROR(__xludf.UNSUPPORTED("""COMPUTED_VALUE"""),"🚛 LIBERADO")</f>
        <v>🚛 LIBERADO</v>
      </c>
      <c r="F1511" s="5">
        <f ca="1">IFERROR(__xludf.UNSUPPORTED("""COMPUTED_VALUE"""),0)</f>
        <v>0</v>
      </c>
      <c r="G1511" s="3" t="str">
        <f ca="1">IFERROR(__xludf.UNSUPPORTED("""COMPUTED_VALUE"""),"Normalidade")</f>
        <v>Normalidade</v>
      </c>
      <c r="H1511" s="4">
        <f ca="1">IFERROR(__xludf.UNSUPPORTED("""COMPUTED_VALUE"""),45018.4344907407)</f>
        <v>45018.434490740699</v>
      </c>
      <c r="I1511" s="3">
        <f ca="1">IFERROR(__xludf.UNSUPPORTED("""COMPUTED_VALUE"""),24)</f>
        <v>24</v>
      </c>
      <c r="J1511" s="4">
        <f ca="1">IFERROR(__xludf.UNSUPPORTED("""COMPUTED_VALUE"""),45019.4344907407)</f>
        <v>45019.434490740699</v>
      </c>
      <c r="L1511" s="3" t="str">
        <f ca="1">IFERROR(__xludf.UNSUPPORTED("""COMPUTED_VALUE"""),"Normalidade")</f>
        <v>Normalidade</v>
      </c>
    </row>
    <row r="1512" spans="1:12" ht="12.75">
      <c r="A1512" s="3" t="str">
        <f ca="1">IFERROR(__xludf.UNSUPPORTED("""COMPUTED_VALUE"""),"5ee84f6f")</f>
        <v>5ee84f6f</v>
      </c>
      <c r="B1512" s="4">
        <f ca="1">IFERROR(__xludf.UNSUPPORTED("""COMPUTED_VALUE"""),45019.4767476851)</f>
        <v>45019.476747685098</v>
      </c>
      <c r="C1512" s="8" t="str">
        <f ca="1">IFERROR(__xludf.UNSUPPORTED("""COMPUTED_VALUE"""),"Recife")</f>
        <v>Recife</v>
      </c>
      <c r="D1512" s="3" t="str">
        <f ca="1">IFERROR(__xludf.UNSUPPORTED("""COMPUTED_VALUE"""),"🚢 REGULAR")</f>
        <v>🚢 REGULAR</v>
      </c>
      <c r="E1512" s="3" t="str">
        <f ca="1">IFERROR(__xludf.UNSUPPORTED("""COMPUTED_VALUE"""),"🚛 LIBERADO")</f>
        <v>🚛 LIBERADO</v>
      </c>
      <c r="F1512" s="5">
        <f ca="1">IFERROR(__xludf.UNSUPPORTED("""COMPUTED_VALUE"""),0)</f>
        <v>0</v>
      </c>
      <c r="G1512" s="3" t="str">
        <f ca="1">IFERROR(__xludf.UNSUPPORTED("""COMPUTED_VALUE"""),"Normalidade")</f>
        <v>Normalidade</v>
      </c>
      <c r="H1512" s="4">
        <f ca="1">IFERROR(__xludf.UNSUPPORTED("""COMPUTED_VALUE"""),45019.4767476851)</f>
        <v>45019.476747685098</v>
      </c>
      <c r="I1512" s="3">
        <f ca="1">IFERROR(__xludf.UNSUPPORTED("""COMPUTED_VALUE"""),24)</f>
        <v>24</v>
      </c>
      <c r="J1512" s="4">
        <f ca="1">IFERROR(__xludf.UNSUPPORTED("""COMPUTED_VALUE"""),45020.4767476851)</f>
        <v>45020.476747685098</v>
      </c>
      <c r="L1512" s="3" t="str">
        <f ca="1">IFERROR(__xludf.UNSUPPORTED("""COMPUTED_VALUE"""),"Normalidade")</f>
        <v>Normalidade</v>
      </c>
    </row>
    <row r="1513" spans="1:12" ht="12.75">
      <c r="A1513" s="3" t="str">
        <f ca="1">IFERROR(__xludf.UNSUPPORTED("""COMPUTED_VALUE"""),"ea90dc5c")</f>
        <v>ea90dc5c</v>
      </c>
      <c r="B1513" s="4">
        <f ca="1">IFERROR(__xludf.UNSUPPORTED("""COMPUTED_VALUE"""),45021.4780671296)</f>
        <v>45021.478067129603</v>
      </c>
      <c r="C1513" s="7" t="str">
        <f ca="1">IFERROR(__xludf.UNSUPPORTED("""COMPUTED_VALUE"""),"Recife")</f>
        <v>Recife</v>
      </c>
      <c r="D1513" s="3" t="str">
        <f ca="1">IFERROR(__xludf.UNSUPPORTED("""COMPUTED_VALUE"""),"🚢 REGULAR")</f>
        <v>🚢 REGULAR</v>
      </c>
      <c r="E1513" s="3" t="str">
        <f ca="1">IFERROR(__xludf.UNSUPPORTED("""COMPUTED_VALUE"""),"🚛 LIBERADO")</f>
        <v>🚛 LIBERADO</v>
      </c>
      <c r="F1513" s="5">
        <f ca="1">IFERROR(__xludf.UNSUPPORTED("""COMPUTED_VALUE"""),0)</f>
        <v>0</v>
      </c>
      <c r="G1513" s="3" t="str">
        <f ca="1">IFERROR(__xludf.UNSUPPORTED("""COMPUTED_VALUE"""),"Normalidade")</f>
        <v>Normalidade</v>
      </c>
      <c r="H1513" s="4">
        <f ca="1">IFERROR(__xludf.UNSUPPORTED("""COMPUTED_VALUE"""),45021.4780671296)</f>
        <v>45021.478067129603</v>
      </c>
      <c r="I1513" s="3">
        <f ca="1">IFERROR(__xludf.UNSUPPORTED("""COMPUTED_VALUE"""),24)</f>
        <v>24</v>
      </c>
      <c r="J1513" s="4">
        <f ca="1">IFERROR(__xludf.UNSUPPORTED("""COMPUTED_VALUE"""),45022.4780671296)</f>
        <v>45022.478067129603</v>
      </c>
      <c r="L1513" s="3" t="str">
        <f ca="1">IFERROR(__xludf.UNSUPPORTED("""COMPUTED_VALUE"""),"Normalidade")</f>
        <v>Normalidade</v>
      </c>
    </row>
    <row r="1514" spans="1:12" ht="12.75">
      <c r="A1514" s="3" t="str">
        <f ca="1">IFERROR(__xludf.UNSUPPORTED("""COMPUTED_VALUE"""),"3c10eae4")</f>
        <v>3c10eae4</v>
      </c>
      <c r="B1514" s="4">
        <f ca="1">IFERROR(__xludf.UNSUPPORTED("""COMPUTED_VALUE"""),45023.3724652777)</f>
        <v>45023.372465277702</v>
      </c>
      <c r="C1514" s="8" t="str">
        <f ca="1">IFERROR(__xludf.UNSUPPORTED("""COMPUTED_VALUE"""),"Recife")</f>
        <v>Recife</v>
      </c>
      <c r="D1514" s="3" t="str">
        <f ca="1">IFERROR(__xludf.UNSUPPORTED("""COMPUTED_VALUE"""),"🚢 REGULAR")</f>
        <v>🚢 REGULAR</v>
      </c>
      <c r="E1514" s="3" t="str">
        <f ca="1">IFERROR(__xludf.UNSUPPORTED("""COMPUTED_VALUE"""),"🚛 LIBERADO")</f>
        <v>🚛 LIBERADO</v>
      </c>
      <c r="F1514" s="5">
        <f ca="1">IFERROR(__xludf.UNSUPPORTED("""COMPUTED_VALUE"""),0)</f>
        <v>0</v>
      </c>
      <c r="G1514" s="3" t="str">
        <f ca="1">IFERROR(__xludf.UNSUPPORTED("""COMPUTED_VALUE"""),"Normalidade")</f>
        <v>Normalidade</v>
      </c>
      <c r="H1514" s="4">
        <f ca="1">IFERROR(__xludf.UNSUPPORTED("""COMPUTED_VALUE"""),45023.3724652777)</f>
        <v>45023.372465277702</v>
      </c>
      <c r="I1514" s="3">
        <f ca="1">IFERROR(__xludf.UNSUPPORTED("""COMPUTED_VALUE"""),24)</f>
        <v>24</v>
      </c>
      <c r="J1514" s="4">
        <f ca="1">IFERROR(__xludf.UNSUPPORTED("""COMPUTED_VALUE"""),45024.3724652777)</f>
        <v>45024.372465277702</v>
      </c>
      <c r="L1514" s="3" t="str">
        <f ca="1">IFERROR(__xludf.UNSUPPORTED("""COMPUTED_VALUE"""),"Normalidade")</f>
        <v>Normalidade</v>
      </c>
    </row>
    <row r="1515" spans="1:12" ht="12.75">
      <c r="A1515" s="3" t="str">
        <f ca="1">IFERROR(__xludf.UNSUPPORTED("""COMPUTED_VALUE"""),"bb4e8fb1")</f>
        <v>bb4e8fb1</v>
      </c>
      <c r="B1515" s="4">
        <f ca="1">IFERROR(__xludf.UNSUPPORTED("""COMPUTED_VALUE"""),45030.3660648148)</f>
        <v>45030.3660648148</v>
      </c>
      <c r="C1515" s="8" t="str">
        <f ca="1">IFERROR(__xludf.UNSUPPORTED("""COMPUTED_VALUE"""),"Recife")</f>
        <v>Recife</v>
      </c>
      <c r="D1515" s="3" t="str">
        <f ca="1">IFERROR(__xludf.UNSUPPORTED("""COMPUTED_VALUE"""),"🚢 REGULAR")</f>
        <v>🚢 REGULAR</v>
      </c>
      <c r="E1515" s="3" t="str">
        <f ca="1">IFERROR(__xludf.UNSUPPORTED("""COMPUTED_VALUE"""),"🚛 LIBERADO")</f>
        <v>🚛 LIBERADO</v>
      </c>
      <c r="F1515" s="5">
        <f ca="1">IFERROR(__xludf.UNSUPPORTED("""COMPUTED_VALUE"""),0)</f>
        <v>0</v>
      </c>
      <c r="G1515" s="3" t="str">
        <f ca="1">IFERROR(__xludf.UNSUPPORTED("""COMPUTED_VALUE"""),"Normalidade")</f>
        <v>Normalidade</v>
      </c>
      <c r="H1515" s="4">
        <f ca="1">IFERROR(__xludf.UNSUPPORTED("""COMPUTED_VALUE"""),45030.3660648148)</f>
        <v>45030.3660648148</v>
      </c>
      <c r="I1515" s="3">
        <f ca="1">IFERROR(__xludf.UNSUPPORTED("""COMPUTED_VALUE"""),24)</f>
        <v>24</v>
      </c>
      <c r="J1515" s="4">
        <f ca="1">IFERROR(__xludf.UNSUPPORTED("""COMPUTED_VALUE"""),45031.3660648148)</f>
        <v>45031.3660648148</v>
      </c>
      <c r="L1515" s="3" t="str">
        <f ca="1">IFERROR(__xludf.UNSUPPORTED("""COMPUTED_VALUE"""),"Normalidade")</f>
        <v>Normalidade</v>
      </c>
    </row>
    <row r="1516" spans="1:12" ht="12.75">
      <c r="A1516" s="3" t="str">
        <f ca="1">IFERROR(__xludf.UNSUPPORTED("""COMPUTED_VALUE"""),"41a500c1")</f>
        <v>41a500c1</v>
      </c>
      <c r="B1516" s="4">
        <f ca="1">IFERROR(__xludf.UNSUPPORTED("""COMPUTED_VALUE"""),45032.3814004629)</f>
        <v>45032.381400462902</v>
      </c>
      <c r="C1516" s="8" t="str">
        <f ca="1">IFERROR(__xludf.UNSUPPORTED("""COMPUTED_VALUE"""),"Recife")</f>
        <v>Recife</v>
      </c>
      <c r="D1516" s="3" t="str">
        <f ca="1">IFERROR(__xludf.UNSUPPORTED("""COMPUTED_VALUE"""),"🚢 REGULAR")</f>
        <v>🚢 REGULAR</v>
      </c>
      <c r="E1516" s="3" t="str">
        <f ca="1">IFERROR(__xludf.UNSUPPORTED("""COMPUTED_VALUE"""),"🚛 LIBERADO")</f>
        <v>🚛 LIBERADO</v>
      </c>
      <c r="F1516" s="5">
        <f ca="1">IFERROR(__xludf.UNSUPPORTED("""COMPUTED_VALUE"""),0)</f>
        <v>0</v>
      </c>
      <c r="G1516" s="3" t="str">
        <f ca="1">IFERROR(__xludf.UNSUPPORTED("""COMPUTED_VALUE"""),"Normalidade")</f>
        <v>Normalidade</v>
      </c>
      <c r="H1516" s="4">
        <f ca="1">IFERROR(__xludf.UNSUPPORTED("""COMPUTED_VALUE"""),45032.3814004629)</f>
        <v>45032.381400462902</v>
      </c>
      <c r="I1516" s="3">
        <f ca="1">IFERROR(__xludf.UNSUPPORTED("""COMPUTED_VALUE"""),24)</f>
        <v>24</v>
      </c>
      <c r="J1516" s="4">
        <f ca="1">IFERROR(__xludf.UNSUPPORTED("""COMPUTED_VALUE"""),45033.3814004629)</f>
        <v>45033.381400462902</v>
      </c>
    </row>
    <row r="1517" spans="1:12" ht="12.75">
      <c r="A1517" s="3" t="str">
        <f ca="1">IFERROR(__xludf.UNSUPPORTED("""COMPUTED_VALUE"""),"96702a64")</f>
        <v>96702a64</v>
      </c>
      <c r="B1517" s="4">
        <f ca="1">IFERROR(__xludf.UNSUPPORTED("""COMPUTED_VALUE"""),45033.3661111111)</f>
        <v>45033.3661111111</v>
      </c>
      <c r="C1517" s="7" t="str">
        <f ca="1">IFERROR(__xludf.UNSUPPORTED("""COMPUTED_VALUE"""),"Recife")</f>
        <v>Recife</v>
      </c>
      <c r="D1517" s="3" t="str">
        <f ca="1">IFERROR(__xludf.UNSUPPORTED("""COMPUTED_VALUE"""),"🚢 REGULAR")</f>
        <v>🚢 REGULAR</v>
      </c>
      <c r="E1517" s="3" t="str">
        <f ca="1">IFERROR(__xludf.UNSUPPORTED("""COMPUTED_VALUE"""),"🚛 LIBERADO")</f>
        <v>🚛 LIBERADO</v>
      </c>
      <c r="F1517" s="5">
        <f ca="1">IFERROR(__xludf.UNSUPPORTED("""COMPUTED_VALUE"""),0)</f>
        <v>0</v>
      </c>
      <c r="G1517" s="3" t="str">
        <f ca="1">IFERROR(__xludf.UNSUPPORTED("""COMPUTED_VALUE"""),"Normalidade")</f>
        <v>Normalidade</v>
      </c>
      <c r="H1517" s="4">
        <f ca="1">IFERROR(__xludf.UNSUPPORTED("""COMPUTED_VALUE"""),45033.3661111111)</f>
        <v>45033.3661111111</v>
      </c>
      <c r="I1517" s="3">
        <f ca="1">IFERROR(__xludf.UNSUPPORTED("""COMPUTED_VALUE"""),24)</f>
        <v>24</v>
      </c>
      <c r="J1517" s="4">
        <f ca="1">IFERROR(__xludf.UNSUPPORTED("""COMPUTED_VALUE"""),45034.3661111111)</f>
        <v>45034.3661111111</v>
      </c>
    </row>
    <row r="1518" spans="1:12" ht="12.75">
      <c r="A1518" s="3" t="str">
        <f ca="1">IFERROR(__xludf.UNSUPPORTED("""COMPUTED_VALUE"""),"9fbed122")</f>
        <v>9fbed122</v>
      </c>
      <c r="B1518" s="4">
        <f ca="1">IFERROR(__xludf.UNSUPPORTED("""COMPUTED_VALUE"""),45034.5814467592)</f>
        <v>45034.581446759199</v>
      </c>
      <c r="C1518" s="8" t="str">
        <f ca="1">IFERROR(__xludf.UNSUPPORTED("""COMPUTED_VALUE"""),"Recife")</f>
        <v>Recife</v>
      </c>
      <c r="D1518" s="3" t="str">
        <f ca="1">IFERROR(__xludf.UNSUPPORTED("""COMPUTED_VALUE"""),"🚢 REGULAR")</f>
        <v>🚢 REGULAR</v>
      </c>
      <c r="E1518" s="3" t="str">
        <f ca="1">IFERROR(__xludf.UNSUPPORTED("""COMPUTED_VALUE"""),"🚛 LIBERADO")</f>
        <v>🚛 LIBERADO</v>
      </c>
      <c r="F1518" s="5">
        <f ca="1">IFERROR(__xludf.UNSUPPORTED("""COMPUTED_VALUE"""),0)</f>
        <v>0</v>
      </c>
      <c r="G1518" s="3" t="str">
        <f ca="1">IFERROR(__xludf.UNSUPPORTED("""COMPUTED_VALUE"""),"Normalidade")</f>
        <v>Normalidade</v>
      </c>
      <c r="H1518" s="4">
        <f ca="1">IFERROR(__xludf.UNSUPPORTED("""COMPUTED_VALUE"""),45034.5814467592)</f>
        <v>45034.581446759199</v>
      </c>
      <c r="I1518" s="3">
        <f ca="1">IFERROR(__xludf.UNSUPPORTED("""COMPUTED_VALUE"""),24)</f>
        <v>24</v>
      </c>
      <c r="J1518" s="4">
        <f ca="1">IFERROR(__xludf.UNSUPPORTED("""COMPUTED_VALUE"""),45035.5814467592)</f>
        <v>45035.581446759199</v>
      </c>
    </row>
    <row r="1519" spans="1:12" ht="12.75">
      <c r="A1519" s="3" t="str">
        <f ca="1">IFERROR(__xludf.UNSUPPORTED("""COMPUTED_VALUE"""),"f69923f8")</f>
        <v>f69923f8</v>
      </c>
      <c r="B1519" s="4">
        <f ca="1">IFERROR(__xludf.UNSUPPORTED("""COMPUTED_VALUE"""),45035.3716319444)</f>
        <v>45035.371631944399</v>
      </c>
      <c r="C1519" s="7" t="str">
        <f ca="1">IFERROR(__xludf.UNSUPPORTED("""COMPUTED_VALUE"""),"Recife")</f>
        <v>Recife</v>
      </c>
      <c r="D1519" s="3" t="str">
        <f ca="1">IFERROR(__xludf.UNSUPPORTED("""COMPUTED_VALUE"""),"🚢 REGULAR")</f>
        <v>🚢 REGULAR</v>
      </c>
      <c r="E1519" s="3" t="str">
        <f ca="1">IFERROR(__xludf.UNSUPPORTED("""COMPUTED_VALUE"""),"🚛 LIBERADO")</f>
        <v>🚛 LIBERADO</v>
      </c>
      <c r="F1519" s="5">
        <f ca="1">IFERROR(__xludf.UNSUPPORTED("""COMPUTED_VALUE"""),0)</f>
        <v>0</v>
      </c>
      <c r="G1519" s="3" t="str">
        <f ca="1">IFERROR(__xludf.UNSUPPORTED("""COMPUTED_VALUE"""),"Normalidade")</f>
        <v>Normalidade</v>
      </c>
      <c r="H1519" s="4">
        <f ca="1">IFERROR(__xludf.UNSUPPORTED("""COMPUTED_VALUE"""),45035.3716319444)</f>
        <v>45035.371631944399</v>
      </c>
      <c r="I1519" s="3">
        <f ca="1">IFERROR(__xludf.UNSUPPORTED("""COMPUTED_VALUE"""),24)</f>
        <v>24</v>
      </c>
      <c r="J1519" s="4">
        <f ca="1">IFERROR(__xludf.UNSUPPORTED("""COMPUTED_VALUE"""),45036.3716319444)</f>
        <v>45036.371631944399</v>
      </c>
    </row>
    <row r="1520" spans="1:12" ht="12.75">
      <c r="A1520" s="3" t="str">
        <f ca="1">IFERROR(__xludf.UNSUPPORTED("""COMPUTED_VALUE"""),"78a507c9")</f>
        <v>78a507c9</v>
      </c>
      <c r="B1520" s="4">
        <f ca="1">IFERROR(__xludf.UNSUPPORTED("""COMPUTED_VALUE"""),45036.3455439814)</f>
        <v>45036.345543981399</v>
      </c>
      <c r="C1520" s="8" t="str">
        <f ca="1">IFERROR(__xludf.UNSUPPORTED("""COMPUTED_VALUE"""),"Recife")</f>
        <v>Recife</v>
      </c>
      <c r="D1520" s="3" t="str">
        <f ca="1">IFERROR(__xludf.UNSUPPORTED("""COMPUTED_VALUE"""),"🚢 REGULAR")</f>
        <v>🚢 REGULAR</v>
      </c>
      <c r="E1520" s="3" t="str">
        <f ca="1">IFERROR(__xludf.UNSUPPORTED("""COMPUTED_VALUE"""),"🚛 LIBERADO")</f>
        <v>🚛 LIBERADO</v>
      </c>
      <c r="F1520" s="5">
        <f ca="1">IFERROR(__xludf.UNSUPPORTED("""COMPUTED_VALUE"""),0)</f>
        <v>0</v>
      </c>
      <c r="G1520" s="3" t="str">
        <f ca="1">IFERROR(__xludf.UNSUPPORTED("""COMPUTED_VALUE"""),"Normalidade")</f>
        <v>Normalidade</v>
      </c>
      <c r="H1520" s="4">
        <f ca="1">IFERROR(__xludf.UNSUPPORTED("""COMPUTED_VALUE"""),45036.3455439814)</f>
        <v>45036.345543981399</v>
      </c>
      <c r="I1520" s="3">
        <f ca="1">IFERROR(__xludf.UNSUPPORTED("""COMPUTED_VALUE"""),24)</f>
        <v>24</v>
      </c>
      <c r="J1520" s="4">
        <f ca="1">IFERROR(__xludf.UNSUPPORTED("""COMPUTED_VALUE"""),45037.3455439814)</f>
        <v>45037.345543981399</v>
      </c>
    </row>
    <row r="1521" spans="1:12" ht="12.75">
      <c r="A1521" s="3" t="str">
        <f ca="1">IFERROR(__xludf.UNSUPPORTED("""COMPUTED_VALUE"""),"0a7f2d86")</f>
        <v>0a7f2d86</v>
      </c>
      <c r="B1521" s="4">
        <f ca="1">IFERROR(__xludf.UNSUPPORTED("""COMPUTED_VALUE"""),45037.3474537037)</f>
        <v>45037.347453703696</v>
      </c>
      <c r="C1521" s="8" t="str">
        <f ca="1">IFERROR(__xludf.UNSUPPORTED("""COMPUTED_VALUE"""),"Recife")</f>
        <v>Recife</v>
      </c>
      <c r="D1521" s="3" t="str">
        <f ca="1">IFERROR(__xludf.UNSUPPORTED("""COMPUTED_VALUE"""),"🚢 REGULAR")</f>
        <v>🚢 REGULAR</v>
      </c>
      <c r="E1521" s="3" t="str">
        <f ca="1">IFERROR(__xludf.UNSUPPORTED("""COMPUTED_VALUE"""),"🚛 LIBERADO")</f>
        <v>🚛 LIBERADO</v>
      </c>
      <c r="F1521" s="5">
        <f ca="1">IFERROR(__xludf.UNSUPPORTED("""COMPUTED_VALUE"""),0)</f>
        <v>0</v>
      </c>
      <c r="G1521" s="3" t="str">
        <f ca="1">IFERROR(__xludf.UNSUPPORTED("""COMPUTED_VALUE"""),"Normalidade")</f>
        <v>Normalidade</v>
      </c>
      <c r="H1521" s="4">
        <f ca="1">IFERROR(__xludf.UNSUPPORTED("""COMPUTED_VALUE"""),45037.3474537037)</f>
        <v>45037.347453703696</v>
      </c>
      <c r="I1521" s="3">
        <f ca="1">IFERROR(__xludf.UNSUPPORTED("""COMPUTED_VALUE"""),24)</f>
        <v>24</v>
      </c>
      <c r="J1521" s="4">
        <f ca="1">IFERROR(__xludf.UNSUPPORTED("""COMPUTED_VALUE"""),45038.3474537037)</f>
        <v>45038.347453703696</v>
      </c>
    </row>
    <row r="1522" spans="1:12" ht="12.75">
      <c r="A1522" s="3" t="str">
        <f ca="1">IFERROR(__xludf.UNSUPPORTED("""COMPUTED_VALUE"""),"84db2ba0")</f>
        <v>84db2ba0</v>
      </c>
      <c r="B1522" s="4">
        <f ca="1">IFERROR(__xludf.UNSUPPORTED("""COMPUTED_VALUE"""),45038.3443171296)</f>
        <v>45038.344317129602</v>
      </c>
      <c r="C1522" s="7" t="str">
        <f ca="1">IFERROR(__xludf.UNSUPPORTED("""COMPUTED_VALUE"""),"Recife")</f>
        <v>Recife</v>
      </c>
      <c r="D1522" s="3" t="str">
        <f ca="1">IFERROR(__xludf.UNSUPPORTED("""COMPUTED_VALUE"""),"🚢 REGULAR")</f>
        <v>🚢 REGULAR</v>
      </c>
      <c r="E1522" s="3" t="str">
        <f ca="1">IFERROR(__xludf.UNSUPPORTED("""COMPUTED_VALUE"""),"🚛 LIBERADO")</f>
        <v>🚛 LIBERADO</v>
      </c>
      <c r="F1522" s="5">
        <f ca="1">IFERROR(__xludf.UNSUPPORTED("""COMPUTED_VALUE"""),0)</f>
        <v>0</v>
      </c>
      <c r="G1522" s="3" t="str">
        <f ca="1">IFERROR(__xludf.UNSUPPORTED("""COMPUTED_VALUE"""),"Normalidade")</f>
        <v>Normalidade</v>
      </c>
      <c r="H1522" s="4">
        <f ca="1">IFERROR(__xludf.UNSUPPORTED("""COMPUTED_VALUE"""),45038.3443171296)</f>
        <v>45038.344317129602</v>
      </c>
      <c r="I1522" s="3">
        <f ca="1">IFERROR(__xludf.UNSUPPORTED("""COMPUTED_VALUE"""),24)</f>
        <v>24</v>
      </c>
      <c r="J1522" s="4">
        <f ca="1">IFERROR(__xludf.UNSUPPORTED("""COMPUTED_VALUE"""),45039.3443171296)</f>
        <v>45039.344317129602</v>
      </c>
      <c r="L1522" s="3" t="str">
        <f ca="1">IFERROR(__xludf.UNSUPPORTED("""COMPUTED_VALUE"""),"Normalidade")</f>
        <v>Normalidade</v>
      </c>
    </row>
    <row r="1523" spans="1:12" ht="12.75">
      <c r="A1523" s="3" t="str">
        <f ca="1">IFERROR(__xludf.UNSUPPORTED("""COMPUTED_VALUE"""),"196f5d33")</f>
        <v>196f5d33</v>
      </c>
      <c r="B1523" s="4">
        <f ca="1">IFERROR(__xludf.UNSUPPORTED("""COMPUTED_VALUE"""),45039.3782986111)</f>
        <v>45039.378298611096</v>
      </c>
      <c r="C1523" s="8" t="str">
        <f ca="1">IFERROR(__xludf.UNSUPPORTED("""COMPUTED_VALUE"""),"Recife")</f>
        <v>Recife</v>
      </c>
      <c r="D1523" s="3" t="str">
        <f ca="1">IFERROR(__xludf.UNSUPPORTED("""COMPUTED_VALUE"""),"🚢 REGULAR")</f>
        <v>🚢 REGULAR</v>
      </c>
      <c r="E1523" s="3" t="str">
        <f ca="1">IFERROR(__xludf.UNSUPPORTED("""COMPUTED_VALUE"""),"🚛 LIBERADO")</f>
        <v>🚛 LIBERADO</v>
      </c>
      <c r="F1523" s="5">
        <f ca="1">IFERROR(__xludf.UNSUPPORTED("""COMPUTED_VALUE"""),0)</f>
        <v>0</v>
      </c>
      <c r="G1523" s="3" t="str">
        <f ca="1">IFERROR(__xludf.UNSUPPORTED("""COMPUTED_VALUE"""),"Normalidade")</f>
        <v>Normalidade</v>
      </c>
      <c r="H1523" s="4">
        <f ca="1">IFERROR(__xludf.UNSUPPORTED("""COMPUTED_VALUE"""),45039.3782986111)</f>
        <v>45039.378298611096</v>
      </c>
      <c r="I1523" s="3">
        <f ca="1">IFERROR(__xludf.UNSUPPORTED("""COMPUTED_VALUE"""),24)</f>
        <v>24</v>
      </c>
      <c r="J1523" s="4">
        <f ca="1">IFERROR(__xludf.UNSUPPORTED("""COMPUTED_VALUE"""),45040.3782986111)</f>
        <v>45040.378298611096</v>
      </c>
      <c r="L1523" s="3" t="str">
        <f ca="1">IFERROR(__xludf.UNSUPPORTED("""COMPUTED_VALUE"""),"Normalidade")</f>
        <v>Normalidade</v>
      </c>
    </row>
    <row r="1524" spans="1:12" ht="12.75">
      <c r="A1524" s="3" t="str">
        <f ca="1">IFERROR(__xludf.UNSUPPORTED("""COMPUTED_VALUE"""),"9fe6a99b")</f>
        <v>9fe6a99b</v>
      </c>
      <c r="B1524" s="4">
        <f ca="1">IFERROR(__xludf.UNSUPPORTED("""COMPUTED_VALUE"""),45040.3598611111)</f>
        <v>45040.359861111101</v>
      </c>
      <c r="C1524" s="8" t="str">
        <f ca="1">IFERROR(__xludf.UNSUPPORTED("""COMPUTED_VALUE"""),"Recife")</f>
        <v>Recife</v>
      </c>
      <c r="D1524" s="3" t="str">
        <f ca="1">IFERROR(__xludf.UNSUPPORTED("""COMPUTED_VALUE"""),"🚢 REGULAR")</f>
        <v>🚢 REGULAR</v>
      </c>
      <c r="E1524" s="3" t="str">
        <f ca="1">IFERROR(__xludf.UNSUPPORTED("""COMPUTED_VALUE"""),"🚛 LIBERADO")</f>
        <v>🚛 LIBERADO</v>
      </c>
      <c r="F1524" s="5">
        <f ca="1">IFERROR(__xludf.UNSUPPORTED("""COMPUTED_VALUE"""),0)</f>
        <v>0</v>
      </c>
      <c r="G1524" s="3" t="str">
        <f ca="1">IFERROR(__xludf.UNSUPPORTED("""COMPUTED_VALUE"""),"Normalidade")</f>
        <v>Normalidade</v>
      </c>
      <c r="H1524" s="4">
        <f ca="1">IFERROR(__xludf.UNSUPPORTED("""COMPUTED_VALUE"""),45040.3598611111)</f>
        <v>45040.359861111101</v>
      </c>
      <c r="I1524" s="3">
        <f ca="1">IFERROR(__xludf.UNSUPPORTED("""COMPUTED_VALUE"""),24)</f>
        <v>24</v>
      </c>
      <c r="J1524" s="4">
        <f ca="1">IFERROR(__xludf.UNSUPPORTED("""COMPUTED_VALUE"""),45041.3598611111)</f>
        <v>45041.359861111101</v>
      </c>
    </row>
    <row r="1525" spans="1:12" ht="12.75">
      <c r="A1525" s="3" t="str">
        <f ca="1">IFERROR(__xludf.UNSUPPORTED("""COMPUTED_VALUE"""),"c4c7d9da")</f>
        <v>c4c7d9da</v>
      </c>
      <c r="B1525" s="4">
        <f ca="1">IFERROR(__xludf.UNSUPPORTED("""COMPUTED_VALUE"""),45041.3679398148)</f>
        <v>45041.367939814802</v>
      </c>
      <c r="C1525" s="7" t="str">
        <f ca="1">IFERROR(__xludf.UNSUPPORTED("""COMPUTED_VALUE"""),"Recife")</f>
        <v>Recife</v>
      </c>
      <c r="D1525" s="3" t="str">
        <f ca="1">IFERROR(__xludf.UNSUPPORTED("""COMPUTED_VALUE"""),"🚢 REGULAR")</f>
        <v>🚢 REGULAR</v>
      </c>
      <c r="E1525" s="3" t="str">
        <f ca="1">IFERROR(__xludf.UNSUPPORTED("""COMPUTED_VALUE"""),"🚛 LIBERADO")</f>
        <v>🚛 LIBERADO</v>
      </c>
      <c r="F1525" s="5">
        <f ca="1">IFERROR(__xludf.UNSUPPORTED("""COMPUTED_VALUE"""),0)</f>
        <v>0</v>
      </c>
      <c r="G1525" s="3" t="str">
        <f ca="1">IFERROR(__xludf.UNSUPPORTED("""COMPUTED_VALUE"""),"Normalidade")</f>
        <v>Normalidade</v>
      </c>
      <c r="H1525" s="4">
        <f ca="1">IFERROR(__xludf.UNSUPPORTED("""COMPUTED_VALUE"""),45041.3679398148)</f>
        <v>45041.367939814802</v>
      </c>
      <c r="I1525" s="3">
        <f ca="1">IFERROR(__xludf.UNSUPPORTED("""COMPUTED_VALUE"""),24)</f>
        <v>24</v>
      </c>
      <c r="J1525" s="4">
        <f ca="1">IFERROR(__xludf.UNSUPPORTED("""COMPUTED_VALUE"""),45042.3679398148)</f>
        <v>45042.367939814802</v>
      </c>
    </row>
    <row r="1526" spans="1:12" ht="12.75">
      <c r="A1526" s="3" t="str">
        <f ca="1">IFERROR(__xludf.UNSUPPORTED("""COMPUTED_VALUE"""),"faf24235")</f>
        <v>faf24235</v>
      </c>
      <c r="B1526" s="4">
        <f ca="1">IFERROR(__xludf.UNSUPPORTED("""COMPUTED_VALUE"""),45042.327662037)</f>
        <v>45042.327662037002</v>
      </c>
      <c r="C1526" s="8" t="str">
        <f ca="1">IFERROR(__xludf.UNSUPPORTED("""COMPUTED_VALUE"""),"Recife")</f>
        <v>Recife</v>
      </c>
      <c r="D1526" s="3" t="str">
        <f ca="1">IFERROR(__xludf.UNSUPPORTED("""COMPUTED_VALUE"""),"🚢 REGULAR")</f>
        <v>🚢 REGULAR</v>
      </c>
      <c r="E1526" s="3" t="str">
        <f ca="1">IFERROR(__xludf.UNSUPPORTED("""COMPUTED_VALUE"""),"🚛 LIBERADO")</f>
        <v>🚛 LIBERADO</v>
      </c>
      <c r="F1526" s="5">
        <f ca="1">IFERROR(__xludf.UNSUPPORTED("""COMPUTED_VALUE"""),0)</f>
        <v>0</v>
      </c>
      <c r="G1526" s="3" t="str">
        <f ca="1">IFERROR(__xludf.UNSUPPORTED("""COMPUTED_VALUE"""),"Normalidade")</f>
        <v>Normalidade</v>
      </c>
      <c r="H1526" s="4">
        <f ca="1">IFERROR(__xludf.UNSUPPORTED("""COMPUTED_VALUE"""),45042.327662037)</f>
        <v>45042.327662037002</v>
      </c>
      <c r="I1526" s="3">
        <f ca="1">IFERROR(__xludf.UNSUPPORTED("""COMPUTED_VALUE"""),24)</f>
        <v>24</v>
      </c>
      <c r="J1526" s="4">
        <f ca="1">IFERROR(__xludf.UNSUPPORTED("""COMPUTED_VALUE"""),45043.327662037)</f>
        <v>45043.327662037002</v>
      </c>
    </row>
    <row r="1527" spans="1:12" ht="12.75">
      <c r="A1527" s="3" t="str">
        <f ca="1">IFERROR(__xludf.UNSUPPORTED("""COMPUTED_VALUE"""),"a2a8ce9f")</f>
        <v>a2a8ce9f</v>
      </c>
      <c r="B1527" s="4">
        <f ca="1">IFERROR(__xludf.UNSUPPORTED("""COMPUTED_VALUE"""),45044.3755787037)</f>
        <v>45044.375578703701</v>
      </c>
      <c r="C1527" s="7" t="str">
        <f ca="1">IFERROR(__xludf.UNSUPPORTED("""COMPUTED_VALUE"""),"Recife")</f>
        <v>Recife</v>
      </c>
      <c r="D1527" s="3" t="str">
        <f ca="1">IFERROR(__xludf.UNSUPPORTED("""COMPUTED_VALUE"""),"🚢 REGULAR")</f>
        <v>🚢 REGULAR</v>
      </c>
      <c r="E1527" s="3" t="str">
        <f ca="1">IFERROR(__xludf.UNSUPPORTED("""COMPUTED_VALUE"""),"🚛 LIBERADO")</f>
        <v>🚛 LIBERADO</v>
      </c>
      <c r="F1527" s="5">
        <f ca="1">IFERROR(__xludf.UNSUPPORTED("""COMPUTED_VALUE"""),0)</f>
        <v>0</v>
      </c>
      <c r="G1527" s="3" t="str">
        <f ca="1">IFERROR(__xludf.UNSUPPORTED("""COMPUTED_VALUE"""),"Normalidade")</f>
        <v>Normalidade</v>
      </c>
      <c r="H1527" s="4">
        <f ca="1">IFERROR(__xludf.UNSUPPORTED("""COMPUTED_VALUE"""),45044.3755787037)</f>
        <v>45044.375578703701</v>
      </c>
      <c r="I1527" s="3">
        <f ca="1">IFERROR(__xludf.UNSUPPORTED("""COMPUTED_VALUE"""),24)</f>
        <v>24</v>
      </c>
      <c r="J1527" s="4">
        <f ca="1">IFERROR(__xludf.UNSUPPORTED("""COMPUTED_VALUE"""),45045.3755787037)</f>
        <v>45045.375578703701</v>
      </c>
    </row>
    <row r="1528" spans="1:12" ht="12.75">
      <c r="A1528" s="3" t="str">
        <f ca="1">IFERROR(__xludf.UNSUPPORTED("""COMPUTED_VALUE"""),"464b5d26")</f>
        <v>464b5d26</v>
      </c>
      <c r="B1528" s="4">
        <f ca="1">IFERROR(__xludf.UNSUPPORTED("""COMPUTED_VALUE"""),45045.3920833333)</f>
        <v>45045.392083333303</v>
      </c>
      <c r="C1528" s="7" t="str">
        <f ca="1">IFERROR(__xludf.UNSUPPORTED("""COMPUTED_VALUE"""),"Recife")</f>
        <v>Recife</v>
      </c>
      <c r="D1528" s="3" t="str">
        <f ca="1">IFERROR(__xludf.UNSUPPORTED("""COMPUTED_VALUE"""),"🚢 REGULAR")</f>
        <v>🚢 REGULAR</v>
      </c>
      <c r="E1528" s="3" t="str">
        <f ca="1">IFERROR(__xludf.UNSUPPORTED("""COMPUTED_VALUE"""),"🚛 LIBERADO")</f>
        <v>🚛 LIBERADO</v>
      </c>
      <c r="F1528" s="5">
        <f ca="1">IFERROR(__xludf.UNSUPPORTED("""COMPUTED_VALUE"""),0)</f>
        <v>0</v>
      </c>
      <c r="G1528" s="3" t="str">
        <f ca="1">IFERROR(__xludf.UNSUPPORTED("""COMPUTED_VALUE"""),"Normalidade")</f>
        <v>Normalidade</v>
      </c>
      <c r="H1528" s="4">
        <f ca="1">IFERROR(__xludf.UNSUPPORTED("""COMPUTED_VALUE"""),45045.3920833333)</f>
        <v>45045.392083333303</v>
      </c>
      <c r="I1528" s="3">
        <f ca="1">IFERROR(__xludf.UNSUPPORTED("""COMPUTED_VALUE"""),24)</f>
        <v>24</v>
      </c>
      <c r="J1528" s="4">
        <f ca="1">IFERROR(__xludf.UNSUPPORTED("""COMPUTED_VALUE"""),45046.3920833333)</f>
        <v>45046.392083333303</v>
      </c>
    </row>
    <row r="1529" spans="1:12" ht="12.75">
      <c r="A1529" s="3" t="str">
        <f ca="1">IFERROR(__xludf.UNSUPPORTED("""COMPUTED_VALUE"""),"5caefdd4")</f>
        <v>5caefdd4</v>
      </c>
      <c r="B1529" s="4">
        <f ca="1">IFERROR(__xludf.UNSUPPORTED("""COMPUTED_VALUE"""),45046.3009259259)</f>
        <v>45046.300925925898</v>
      </c>
      <c r="C1529" s="8" t="str">
        <f ca="1">IFERROR(__xludf.UNSUPPORTED("""COMPUTED_VALUE"""),"Recife")</f>
        <v>Recife</v>
      </c>
      <c r="D1529" s="3" t="str">
        <f ca="1">IFERROR(__xludf.UNSUPPORTED("""COMPUTED_VALUE"""),"🚢 REGULAR")</f>
        <v>🚢 REGULAR</v>
      </c>
      <c r="E1529" s="3" t="str">
        <f ca="1">IFERROR(__xludf.UNSUPPORTED("""COMPUTED_VALUE"""),"🚛 LIBERADO")</f>
        <v>🚛 LIBERADO</v>
      </c>
      <c r="F1529" s="5">
        <f ca="1">IFERROR(__xludf.UNSUPPORTED("""COMPUTED_VALUE"""),0)</f>
        <v>0</v>
      </c>
      <c r="G1529" s="3" t="str">
        <f ca="1">IFERROR(__xludf.UNSUPPORTED("""COMPUTED_VALUE"""),"Normalidade")</f>
        <v>Normalidade</v>
      </c>
      <c r="H1529" s="4">
        <f ca="1">IFERROR(__xludf.UNSUPPORTED("""COMPUTED_VALUE"""),45046.3009259259)</f>
        <v>45046.300925925898</v>
      </c>
      <c r="I1529" s="3">
        <f ca="1">IFERROR(__xludf.UNSUPPORTED("""COMPUTED_VALUE"""),24)</f>
        <v>24</v>
      </c>
      <c r="J1529" s="4">
        <f ca="1">IFERROR(__xludf.UNSUPPORTED("""COMPUTED_VALUE"""),45047.3009259259)</f>
        <v>45047.300925925898</v>
      </c>
    </row>
    <row r="1530" spans="1:12" ht="12.75">
      <c r="A1530" s="3" t="str">
        <f ca="1">IFERROR(__xludf.UNSUPPORTED("""COMPUTED_VALUE"""),"02a7fc93")</f>
        <v>02a7fc93</v>
      </c>
      <c r="B1530" s="4">
        <f ca="1">IFERROR(__xludf.UNSUPPORTED("""COMPUTED_VALUE"""),45047.4200694444)</f>
        <v>45047.420069444401</v>
      </c>
      <c r="C1530" s="7" t="str">
        <f ca="1">IFERROR(__xludf.UNSUPPORTED("""COMPUTED_VALUE"""),"Recife")</f>
        <v>Recife</v>
      </c>
      <c r="D1530" s="3" t="str">
        <f ca="1">IFERROR(__xludf.UNSUPPORTED("""COMPUTED_VALUE"""),"🚢 REGULAR")</f>
        <v>🚢 REGULAR</v>
      </c>
      <c r="E1530" s="3" t="str">
        <f ca="1">IFERROR(__xludf.UNSUPPORTED("""COMPUTED_VALUE"""),"🚛 LIBERADO")</f>
        <v>🚛 LIBERADO</v>
      </c>
      <c r="F1530" s="5">
        <f ca="1">IFERROR(__xludf.UNSUPPORTED("""COMPUTED_VALUE"""),0)</f>
        <v>0</v>
      </c>
      <c r="G1530" s="3" t="str">
        <f ca="1">IFERROR(__xludf.UNSUPPORTED("""COMPUTED_VALUE"""),"Normalidade")</f>
        <v>Normalidade</v>
      </c>
      <c r="H1530" s="4">
        <f ca="1">IFERROR(__xludf.UNSUPPORTED("""COMPUTED_VALUE"""),45047.4200694444)</f>
        <v>45047.420069444401</v>
      </c>
      <c r="I1530" s="3">
        <f ca="1">IFERROR(__xludf.UNSUPPORTED("""COMPUTED_VALUE"""),24)</f>
        <v>24</v>
      </c>
      <c r="J1530" s="4">
        <f ca="1">IFERROR(__xludf.UNSUPPORTED("""COMPUTED_VALUE"""),45048.4200694444)</f>
        <v>45048.420069444401</v>
      </c>
    </row>
    <row r="1531" spans="1:12" ht="12.75">
      <c r="A1531" s="3" t="str">
        <f ca="1">IFERROR(__xludf.UNSUPPORTED("""COMPUTED_VALUE"""),"9bcd47a7")</f>
        <v>9bcd47a7</v>
      </c>
      <c r="B1531" s="4">
        <f ca="1">IFERROR(__xludf.UNSUPPORTED("""COMPUTED_VALUE"""),45048.4184375)</f>
        <v>45048.418437499997</v>
      </c>
      <c r="C1531" s="8" t="str">
        <f ca="1">IFERROR(__xludf.UNSUPPORTED("""COMPUTED_VALUE"""),"Recife")</f>
        <v>Recife</v>
      </c>
      <c r="D1531" s="3" t="str">
        <f ca="1">IFERROR(__xludf.UNSUPPORTED("""COMPUTED_VALUE"""),"🚢 REGULAR")</f>
        <v>🚢 REGULAR</v>
      </c>
      <c r="E1531" s="3" t="str">
        <f ca="1">IFERROR(__xludf.UNSUPPORTED("""COMPUTED_VALUE"""),"🚛 LIBERADO")</f>
        <v>🚛 LIBERADO</v>
      </c>
      <c r="F1531" s="5">
        <f ca="1">IFERROR(__xludf.UNSUPPORTED("""COMPUTED_VALUE"""),0)</f>
        <v>0</v>
      </c>
      <c r="G1531" s="3" t="str">
        <f ca="1">IFERROR(__xludf.UNSUPPORTED("""COMPUTED_VALUE"""),"Normalidade")</f>
        <v>Normalidade</v>
      </c>
      <c r="H1531" s="4">
        <f ca="1">IFERROR(__xludf.UNSUPPORTED("""COMPUTED_VALUE"""),45048.4184375)</f>
        <v>45048.418437499997</v>
      </c>
      <c r="I1531" s="3">
        <f ca="1">IFERROR(__xludf.UNSUPPORTED("""COMPUTED_VALUE"""),24)</f>
        <v>24</v>
      </c>
      <c r="J1531" s="4">
        <f ca="1">IFERROR(__xludf.UNSUPPORTED("""COMPUTED_VALUE"""),45049.4184375)</f>
        <v>45049.418437499997</v>
      </c>
      <c r="L1531" s="3" t="str">
        <f ca="1">IFERROR(__xludf.UNSUPPORTED("""COMPUTED_VALUE"""),"Normalidade")</f>
        <v>Normalidade</v>
      </c>
    </row>
    <row r="1532" spans="1:12" ht="12.75">
      <c r="A1532" s="3" t="str">
        <f ca="1">IFERROR(__xludf.UNSUPPORTED("""COMPUTED_VALUE"""),"d600f3d6")</f>
        <v>d600f3d6</v>
      </c>
      <c r="B1532" s="4">
        <f ca="1">IFERROR(__xludf.UNSUPPORTED("""COMPUTED_VALUE"""),45050.4247916666)</f>
        <v>45050.424791666599</v>
      </c>
      <c r="C1532" s="7" t="str">
        <f ca="1">IFERROR(__xludf.UNSUPPORTED("""COMPUTED_VALUE"""),"Recife")</f>
        <v>Recife</v>
      </c>
      <c r="D1532" s="3" t="str">
        <f ca="1">IFERROR(__xludf.UNSUPPORTED("""COMPUTED_VALUE"""),"🚢 REGULAR")</f>
        <v>🚢 REGULAR</v>
      </c>
      <c r="E1532" s="3" t="str">
        <f ca="1">IFERROR(__xludf.UNSUPPORTED("""COMPUTED_VALUE"""),"🚛 LIBERADO")</f>
        <v>🚛 LIBERADO</v>
      </c>
      <c r="F1532" s="5">
        <f ca="1">IFERROR(__xludf.UNSUPPORTED("""COMPUTED_VALUE"""),0)</f>
        <v>0</v>
      </c>
      <c r="G1532" s="3" t="str">
        <f ca="1">IFERROR(__xludf.UNSUPPORTED("""COMPUTED_VALUE"""),"Normalidade")</f>
        <v>Normalidade</v>
      </c>
      <c r="H1532" s="4">
        <f ca="1">IFERROR(__xludf.UNSUPPORTED("""COMPUTED_VALUE"""),45050.4247916666)</f>
        <v>45050.424791666599</v>
      </c>
      <c r="I1532" s="3">
        <f ca="1">IFERROR(__xludf.UNSUPPORTED("""COMPUTED_VALUE"""),24)</f>
        <v>24</v>
      </c>
      <c r="J1532" s="4">
        <f ca="1">IFERROR(__xludf.UNSUPPORTED("""COMPUTED_VALUE"""),45051.4247916666)</f>
        <v>45051.424791666599</v>
      </c>
      <c r="K1532" s="3" t="str">
        <f ca="1">IFERROR(__xludf.UNSUPPORTED("""COMPUTED_VALUE"""),"Porto do Recife")</f>
        <v>Porto do Recife</v>
      </c>
      <c r="L1532" s="3" t="str">
        <f ca="1">IFERROR(__xludf.UNSUPPORTED("""COMPUTED_VALUE"""),"Crítico")</f>
        <v>Crítico</v>
      </c>
    </row>
    <row r="1533" spans="1:12" ht="12.75">
      <c r="A1533" s="3" t="str">
        <f ca="1">IFERROR(__xludf.UNSUPPORTED("""COMPUTED_VALUE"""),"416dbf6a")</f>
        <v>416dbf6a</v>
      </c>
      <c r="B1533" s="4">
        <f ca="1">IFERROR(__xludf.UNSUPPORTED("""COMPUTED_VALUE"""),45052.3523379629)</f>
        <v>45052.352337962897</v>
      </c>
      <c r="C1533" s="8" t="str">
        <f ca="1">IFERROR(__xludf.UNSUPPORTED("""COMPUTED_VALUE"""),"Recife")</f>
        <v>Recife</v>
      </c>
      <c r="D1533" s="3" t="str">
        <f ca="1">IFERROR(__xludf.UNSUPPORTED("""COMPUTED_VALUE"""),"🚢 REGULAR")</f>
        <v>🚢 REGULAR</v>
      </c>
      <c r="E1533" s="3" t="str">
        <f ca="1">IFERROR(__xludf.UNSUPPORTED("""COMPUTED_VALUE"""),"🚛 LIBERADO")</f>
        <v>🚛 LIBERADO</v>
      </c>
      <c r="F1533" s="5">
        <f ca="1">IFERROR(__xludf.UNSUPPORTED("""COMPUTED_VALUE"""),0.25)</f>
        <v>0.25</v>
      </c>
      <c r="G1533" s="3" t="str">
        <f ca="1">IFERROR(__xludf.UNSUPPORTED("""COMPUTED_VALUE"""),"regular")</f>
        <v>regular</v>
      </c>
      <c r="H1533" s="4">
        <f ca="1">IFERROR(__xludf.UNSUPPORTED("""COMPUTED_VALUE"""),45052.3523379629)</f>
        <v>45052.352337962897</v>
      </c>
      <c r="I1533" s="3">
        <f ca="1">IFERROR(__xludf.UNSUPPORTED("""COMPUTED_VALUE"""),6)</f>
        <v>6</v>
      </c>
      <c r="J1533" s="4">
        <f ca="1">IFERROR(__xludf.UNSUPPORTED("""COMPUTED_VALUE"""),45052.6023379629)</f>
        <v>45052.602337962897</v>
      </c>
      <c r="K1533" s="3" t="str">
        <f ca="1">IFERROR(__xludf.UNSUPPORTED("""COMPUTED_VALUE"""),"Porto do Recife")</f>
        <v>Porto do Recife</v>
      </c>
      <c r="L1533" s="3" t="str">
        <f ca="1">IFERROR(__xludf.UNSUPPORTED("""COMPUTED_VALUE"""),"Crítico")</f>
        <v>Crítico</v>
      </c>
    </row>
    <row r="1534" spans="1:12" ht="12.75">
      <c r="A1534" s="3" t="str">
        <f ca="1">IFERROR(__xludf.UNSUPPORTED("""COMPUTED_VALUE"""),"cc34177b")</f>
        <v>cc34177b</v>
      </c>
      <c r="B1534" s="4">
        <f ca="1">IFERROR(__xludf.UNSUPPORTED("""COMPUTED_VALUE"""),45059.3549768518)</f>
        <v>45059.354976851799</v>
      </c>
      <c r="C1534" s="7" t="str">
        <f ca="1">IFERROR(__xludf.UNSUPPORTED("""COMPUTED_VALUE"""),"Recife")</f>
        <v>Recife</v>
      </c>
      <c r="D1534" s="3" t="str">
        <f ca="1">IFERROR(__xludf.UNSUPPORTED("""COMPUTED_VALUE"""),"🚢 REGULAR")</f>
        <v>🚢 REGULAR</v>
      </c>
      <c r="E1534" s="3" t="str">
        <f ca="1">IFERROR(__xludf.UNSUPPORTED("""COMPUTED_VALUE"""),"🚛 LIBERADO")</f>
        <v>🚛 LIBERADO</v>
      </c>
      <c r="F1534" s="5">
        <f ca="1">IFERROR(__xludf.UNSUPPORTED("""COMPUTED_VALUE"""),0)</f>
        <v>0</v>
      </c>
      <c r="G1534" s="3" t="str">
        <f ca="1">IFERROR(__xludf.UNSUPPORTED("""COMPUTED_VALUE"""),"Normalidade")</f>
        <v>Normalidade</v>
      </c>
      <c r="H1534" s="4">
        <f ca="1">IFERROR(__xludf.UNSUPPORTED("""COMPUTED_VALUE"""),45059.3549768518)</f>
        <v>45059.354976851799</v>
      </c>
      <c r="I1534" s="3">
        <f ca="1">IFERROR(__xludf.UNSUPPORTED("""COMPUTED_VALUE"""),24)</f>
        <v>24</v>
      </c>
      <c r="J1534" s="4">
        <f ca="1">IFERROR(__xludf.UNSUPPORTED("""COMPUTED_VALUE"""),45060.3549768518)</f>
        <v>45060.354976851799</v>
      </c>
      <c r="L1534" s="3" t="str">
        <f ca="1">IFERROR(__xludf.UNSUPPORTED("""COMPUTED_VALUE"""),"Crítico")</f>
        <v>Crítico</v>
      </c>
    </row>
    <row r="1535" spans="1:12" ht="12.75">
      <c r="A1535" s="3" t="str">
        <f ca="1">IFERROR(__xludf.UNSUPPORTED("""COMPUTED_VALUE"""),"ab029d2d")</f>
        <v>ab029d2d</v>
      </c>
      <c r="B1535" s="4">
        <f ca="1">IFERROR(__xludf.UNSUPPORTED("""COMPUTED_VALUE"""),45061.3311458333)</f>
        <v>45061.331145833297</v>
      </c>
      <c r="C1535" s="7" t="str">
        <f ca="1">IFERROR(__xludf.UNSUPPORTED("""COMPUTED_VALUE"""),"Recife")</f>
        <v>Recife</v>
      </c>
      <c r="D1535" s="3" t="str">
        <f ca="1">IFERROR(__xludf.UNSUPPORTED("""COMPUTED_VALUE"""),"🚢 REGULAR")</f>
        <v>🚢 REGULAR</v>
      </c>
      <c r="E1535" s="3" t="str">
        <f ca="1">IFERROR(__xludf.UNSUPPORTED("""COMPUTED_VALUE"""),"🚛 LIBERADO")</f>
        <v>🚛 LIBERADO</v>
      </c>
      <c r="F1535" s="5">
        <f ca="1">IFERROR(__xludf.UNSUPPORTED("""COMPUTED_VALUE"""),0)</f>
        <v>0</v>
      </c>
      <c r="G1535" s="3" t="str">
        <f ca="1">IFERROR(__xludf.UNSUPPORTED("""COMPUTED_VALUE"""),"Normalidade")</f>
        <v>Normalidade</v>
      </c>
      <c r="H1535" s="4">
        <f ca="1">IFERROR(__xludf.UNSUPPORTED("""COMPUTED_VALUE"""),45061.3311458333)</f>
        <v>45061.331145833297</v>
      </c>
      <c r="I1535" s="3">
        <f ca="1">IFERROR(__xludf.UNSUPPORTED("""COMPUTED_VALUE"""),24)</f>
        <v>24</v>
      </c>
      <c r="J1535" s="4">
        <f ca="1">IFERROR(__xludf.UNSUPPORTED("""COMPUTED_VALUE"""),45062.3311458333)</f>
        <v>45062.331145833297</v>
      </c>
      <c r="L1535" s="3" t="str">
        <f ca="1">IFERROR(__xludf.UNSUPPORTED("""COMPUTED_VALUE"""),"Normalidade")</f>
        <v>Normalidade</v>
      </c>
    </row>
    <row r="1536" spans="1:12" ht="12.75">
      <c r="A1536" s="3" t="str">
        <f ca="1">IFERROR(__xludf.UNSUPPORTED("""COMPUTED_VALUE"""),"a85c11de")</f>
        <v>a85c11de</v>
      </c>
      <c r="B1536" s="4">
        <f ca="1">IFERROR(__xludf.UNSUPPORTED("""COMPUTED_VALUE"""),45062.567349537)</f>
        <v>45062.567349536999</v>
      </c>
      <c r="C1536" s="8" t="str">
        <f ca="1">IFERROR(__xludf.UNSUPPORTED("""COMPUTED_VALUE"""),"Recife")</f>
        <v>Recife</v>
      </c>
      <c r="D1536" s="3" t="str">
        <f ca="1">IFERROR(__xludf.UNSUPPORTED("""COMPUTED_VALUE"""),"🚢 REGULAR")</f>
        <v>🚢 REGULAR</v>
      </c>
      <c r="E1536" s="3" t="str">
        <f ca="1">IFERROR(__xludf.UNSUPPORTED("""COMPUTED_VALUE"""),"🚛 LIBERADO")</f>
        <v>🚛 LIBERADO</v>
      </c>
      <c r="F1536" s="5">
        <f ca="1">IFERROR(__xludf.UNSUPPORTED("""COMPUTED_VALUE"""),0)</f>
        <v>0</v>
      </c>
      <c r="G1536" s="3" t="str">
        <f ca="1">IFERROR(__xludf.UNSUPPORTED("""COMPUTED_VALUE"""),"Normalidade")</f>
        <v>Normalidade</v>
      </c>
      <c r="H1536" s="4">
        <f ca="1">IFERROR(__xludf.UNSUPPORTED("""COMPUTED_VALUE"""),45062.567349537)</f>
        <v>45062.567349536999</v>
      </c>
      <c r="I1536" s="3">
        <f ca="1">IFERROR(__xludf.UNSUPPORTED("""COMPUTED_VALUE"""),24)</f>
        <v>24</v>
      </c>
      <c r="J1536" s="4">
        <f ca="1">IFERROR(__xludf.UNSUPPORTED("""COMPUTED_VALUE"""),45063.567349537)</f>
        <v>45063.567349536999</v>
      </c>
    </row>
    <row r="1537" spans="1:10" ht="12.75">
      <c r="A1537" s="3" t="str">
        <f ca="1">IFERROR(__xludf.UNSUPPORTED("""COMPUTED_VALUE"""),"7a9031f2")</f>
        <v>7a9031f2</v>
      </c>
      <c r="B1537" s="4">
        <f ca="1">IFERROR(__xludf.UNSUPPORTED("""COMPUTED_VALUE"""),45063.3362384259)</f>
        <v>45063.336238425902</v>
      </c>
      <c r="C1537" s="7" t="str">
        <f ca="1">IFERROR(__xludf.UNSUPPORTED("""COMPUTED_VALUE"""),"Recife")</f>
        <v>Recife</v>
      </c>
      <c r="D1537" s="3" t="str">
        <f ca="1">IFERROR(__xludf.UNSUPPORTED("""COMPUTED_VALUE"""),"🚢 REGULAR")</f>
        <v>🚢 REGULAR</v>
      </c>
      <c r="E1537" s="3" t="str">
        <f ca="1">IFERROR(__xludf.UNSUPPORTED("""COMPUTED_VALUE"""),"🚛 LIBERADO")</f>
        <v>🚛 LIBERADO</v>
      </c>
      <c r="F1537" s="5">
        <f ca="1">IFERROR(__xludf.UNSUPPORTED("""COMPUTED_VALUE"""),0)</f>
        <v>0</v>
      </c>
      <c r="G1537" s="3" t="str">
        <f ca="1">IFERROR(__xludf.UNSUPPORTED("""COMPUTED_VALUE"""),"Normalidade")</f>
        <v>Normalidade</v>
      </c>
      <c r="H1537" s="4">
        <f ca="1">IFERROR(__xludf.UNSUPPORTED("""COMPUTED_VALUE"""),45063.3362384259)</f>
        <v>45063.336238425902</v>
      </c>
      <c r="I1537" s="3">
        <f ca="1">IFERROR(__xludf.UNSUPPORTED("""COMPUTED_VALUE"""),24)</f>
        <v>24</v>
      </c>
      <c r="J1537" s="4">
        <f ca="1">IFERROR(__xludf.UNSUPPORTED("""COMPUTED_VALUE"""),45064.3362384259)</f>
        <v>45064.336238425902</v>
      </c>
    </row>
    <row r="1538" spans="1:10" ht="12.75">
      <c r="A1538" s="3" t="str">
        <f ca="1">IFERROR(__xludf.UNSUPPORTED("""COMPUTED_VALUE"""),"44502385")</f>
        <v>44502385</v>
      </c>
      <c r="B1538" s="4">
        <f ca="1">IFERROR(__xludf.UNSUPPORTED("""COMPUTED_VALUE"""),45064.5849652777)</f>
        <v>45064.584965277703</v>
      </c>
      <c r="C1538" s="8" t="str">
        <f ca="1">IFERROR(__xludf.UNSUPPORTED("""COMPUTED_VALUE"""),"Recife")</f>
        <v>Recife</v>
      </c>
      <c r="D1538" s="3" t="str">
        <f ca="1">IFERROR(__xludf.UNSUPPORTED("""COMPUTED_VALUE"""),"🚢 REGULAR")</f>
        <v>🚢 REGULAR</v>
      </c>
      <c r="E1538" s="3" t="str">
        <f ca="1">IFERROR(__xludf.UNSUPPORTED("""COMPUTED_VALUE"""),"🚛 LIBERADO")</f>
        <v>🚛 LIBERADO</v>
      </c>
      <c r="F1538" s="5">
        <f ca="1">IFERROR(__xludf.UNSUPPORTED("""COMPUTED_VALUE"""),0)</f>
        <v>0</v>
      </c>
      <c r="G1538" s="3" t="str">
        <f ca="1">IFERROR(__xludf.UNSUPPORTED("""COMPUTED_VALUE"""),"Normalidade")</f>
        <v>Normalidade</v>
      </c>
      <c r="H1538" s="4">
        <f ca="1">IFERROR(__xludf.UNSUPPORTED("""COMPUTED_VALUE"""),45064.5849652777)</f>
        <v>45064.584965277703</v>
      </c>
      <c r="I1538" s="3">
        <f ca="1">IFERROR(__xludf.UNSUPPORTED("""COMPUTED_VALUE"""),24)</f>
        <v>24</v>
      </c>
      <c r="J1538" s="4">
        <f ca="1">IFERROR(__xludf.UNSUPPORTED("""COMPUTED_VALUE"""),45065.5849652777)</f>
        <v>45065.584965277703</v>
      </c>
    </row>
    <row r="1539" spans="1:10" ht="12.75">
      <c r="A1539" s="3" t="str">
        <f ca="1">IFERROR(__xludf.UNSUPPORTED("""COMPUTED_VALUE"""),"7a5440a5")</f>
        <v>7a5440a5</v>
      </c>
      <c r="B1539" s="4">
        <f ca="1">IFERROR(__xludf.UNSUPPORTED("""COMPUTED_VALUE"""),45065.3960416666)</f>
        <v>45065.396041666601</v>
      </c>
      <c r="C1539" s="7" t="str">
        <f ca="1">IFERROR(__xludf.UNSUPPORTED("""COMPUTED_VALUE"""),"Recife")</f>
        <v>Recife</v>
      </c>
      <c r="D1539" s="3" t="str">
        <f ca="1">IFERROR(__xludf.UNSUPPORTED("""COMPUTED_VALUE"""),"🚢 REGULAR")</f>
        <v>🚢 REGULAR</v>
      </c>
      <c r="E1539" s="3" t="str">
        <f ca="1">IFERROR(__xludf.UNSUPPORTED("""COMPUTED_VALUE"""),"🚛 LIBERADO")</f>
        <v>🚛 LIBERADO</v>
      </c>
      <c r="F1539" s="5">
        <f ca="1">IFERROR(__xludf.UNSUPPORTED("""COMPUTED_VALUE"""),0)</f>
        <v>0</v>
      </c>
      <c r="G1539" s="3" t="str">
        <f ca="1">IFERROR(__xludf.UNSUPPORTED("""COMPUTED_VALUE"""),"Normalidade")</f>
        <v>Normalidade</v>
      </c>
      <c r="H1539" s="4">
        <f ca="1">IFERROR(__xludf.UNSUPPORTED("""COMPUTED_VALUE"""),45065.3960416666)</f>
        <v>45065.396041666601</v>
      </c>
      <c r="I1539" s="3">
        <f ca="1">IFERROR(__xludf.UNSUPPORTED("""COMPUTED_VALUE"""),24)</f>
        <v>24</v>
      </c>
      <c r="J1539" s="4">
        <f ca="1">IFERROR(__xludf.UNSUPPORTED("""COMPUTED_VALUE"""),45066.3960416666)</f>
        <v>45066.396041666601</v>
      </c>
    </row>
    <row r="1540" spans="1:10" ht="12.75">
      <c r="A1540" s="3" t="str">
        <f ca="1">IFERROR(__xludf.UNSUPPORTED("""COMPUTED_VALUE"""),"4c0fa666")</f>
        <v>4c0fa666</v>
      </c>
      <c r="B1540" s="4">
        <f ca="1">IFERROR(__xludf.UNSUPPORTED("""COMPUTED_VALUE"""),45066.3956828703)</f>
        <v>45066.395682870301</v>
      </c>
      <c r="C1540" s="8" t="str">
        <f ca="1">IFERROR(__xludf.UNSUPPORTED("""COMPUTED_VALUE"""),"Recife")</f>
        <v>Recife</v>
      </c>
      <c r="D1540" s="3" t="str">
        <f ca="1">IFERROR(__xludf.UNSUPPORTED("""COMPUTED_VALUE"""),"🚢 REGULAR")</f>
        <v>🚢 REGULAR</v>
      </c>
      <c r="E1540" s="3" t="str">
        <f ca="1">IFERROR(__xludf.UNSUPPORTED("""COMPUTED_VALUE"""),"🚛 LIBERADO")</f>
        <v>🚛 LIBERADO</v>
      </c>
      <c r="F1540" s="5">
        <f ca="1">IFERROR(__xludf.UNSUPPORTED("""COMPUTED_VALUE"""),0)</f>
        <v>0</v>
      </c>
      <c r="G1540" s="3" t="str">
        <f ca="1">IFERROR(__xludf.UNSUPPORTED("""COMPUTED_VALUE"""),"Normalidade")</f>
        <v>Normalidade</v>
      </c>
      <c r="H1540" s="4">
        <f ca="1">IFERROR(__xludf.UNSUPPORTED("""COMPUTED_VALUE"""),45066.3956828703)</f>
        <v>45066.395682870301</v>
      </c>
      <c r="I1540" s="3">
        <f ca="1">IFERROR(__xludf.UNSUPPORTED("""COMPUTED_VALUE"""),24)</f>
        <v>24</v>
      </c>
      <c r="J1540" s="4">
        <f ca="1">IFERROR(__xludf.UNSUPPORTED("""COMPUTED_VALUE"""),45067.3956828703)</f>
        <v>45067.395682870301</v>
      </c>
    </row>
    <row r="1541" spans="1:10" ht="12.75">
      <c r="A1541" s="3" t="str">
        <f ca="1">IFERROR(__xludf.UNSUPPORTED("""COMPUTED_VALUE"""),"da0e8478")</f>
        <v>da0e8478</v>
      </c>
      <c r="B1541" s="4">
        <f ca="1">IFERROR(__xludf.UNSUPPORTED("""COMPUTED_VALUE"""),45067.4385185185)</f>
        <v>45067.438518518502</v>
      </c>
      <c r="C1541" s="7" t="str">
        <f ca="1">IFERROR(__xludf.UNSUPPORTED("""COMPUTED_VALUE"""),"Recife")</f>
        <v>Recife</v>
      </c>
      <c r="D1541" s="3" t="str">
        <f ca="1">IFERROR(__xludf.UNSUPPORTED("""COMPUTED_VALUE"""),"🚢 REGULAR")</f>
        <v>🚢 REGULAR</v>
      </c>
      <c r="E1541" s="3" t="str">
        <f ca="1">IFERROR(__xludf.UNSUPPORTED("""COMPUTED_VALUE"""),"🚛 LIBERADO")</f>
        <v>🚛 LIBERADO</v>
      </c>
      <c r="F1541" s="5">
        <f ca="1">IFERROR(__xludf.UNSUPPORTED("""COMPUTED_VALUE"""),0)</f>
        <v>0</v>
      </c>
      <c r="G1541" s="3" t="str">
        <f ca="1">IFERROR(__xludf.UNSUPPORTED("""COMPUTED_VALUE"""),"Normalidade")</f>
        <v>Normalidade</v>
      </c>
      <c r="H1541" s="4">
        <f ca="1">IFERROR(__xludf.UNSUPPORTED("""COMPUTED_VALUE"""),45067.4385185185)</f>
        <v>45067.438518518502</v>
      </c>
      <c r="I1541" s="3">
        <f ca="1">IFERROR(__xludf.UNSUPPORTED("""COMPUTED_VALUE"""),24)</f>
        <v>24</v>
      </c>
      <c r="J1541" s="4">
        <f ca="1">IFERROR(__xludf.UNSUPPORTED("""COMPUTED_VALUE"""),45068.4385185185)</f>
        <v>45068.438518518502</v>
      </c>
    </row>
    <row r="1542" spans="1:10" ht="12.75">
      <c r="A1542" s="3" t="str">
        <f ca="1">IFERROR(__xludf.UNSUPPORTED("""COMPUTED_VALUE"""),"cf7285e7")</f>
        <v>cf7285e7</v>
      </c>
      <c r="B1542" s="4">
        <f ca="1">IFERROR(__xludf.UNSUPPORTED("""COMPUTED_VALUE"""),45068.3387268518)</f>
        <v>45068.338726851798</v>
      </c>
      <c r="C1542" s="8" t="str">
        <f ca="1">IFERROR(__xludf.UNSUPPORTED("""COMPUTED_VALUE"""),"Recife")</f>
        <v>Recife</v>
      </c>
      <c r="D1542" s="3" t="str">
        <f ca="1">IFERROR(__xludf.UNSUPPORTED("""COMPUTED_VALUE"""),"🚢 REGULAR")</f>
        <v>🚢 REGULAR</v>
      </c>
      <c r="E1542" s="3" t="str">
        <f ca="1">IFERROR(__xludf.UNSUPPORTED("""COMPUTED_VALUE"""),"🚛 LIBERADO")</f>
        <v>🚛 LIBERADO</v>
      </c>
      <c r="F1542" s="5">
        <f ca="1">IFERROR(__xludf.UNSUPPORTED("""COMPUTED_VALUE"""),0)</f>
        <v>0</v>
      </c>
      <c r="G1542" s="3" t="str">
        <f ca="1">IFERROR(__xludf.UNSUPPORTED("""COMPUTED_VALUE"""),"Normalidade")</f>
        <v>Normalidade</v>
      </c>
      <c r="H1542" s="4">
        <f ca="1">IFERROR(__xludf.UNSUPPORTED("""COMPUTED_VALUE"""),45068.3387268518)</f>
        <v>45068.338726851798</v>
      </c>
      <c r="I1542" s="3">
        <f ca="1">IFERROR(__xludf.UNSUPPORTED("""COMPUTED_VALUE"""),24)</f>
        <v>24</v>
      </c>
      <c r="J1542" s="4">
        <f ca="1">IFERROR(__xludf.UNSUPPORTED("""COMPUTED_VALUE"""),45069.3387268518)</f>
        <v>45069.338726851798</v>
      </c>
    </row>
    <row r="1543" spans="1:10" ht="12.75">
      <c r="A1543" s="3" t="str">
        <f ca="1">IFERROR(__xludf.UNSUPPORTED("""COMPUTED_VALUE"""),"6c419154")</f>
        <v>6c419154</v>
      </c>
      <c r="B1543" s="4">
        <f ca="1">IFERROR(__xludf.UNSUPPORTED("""COMPUTED_VALUE"""),45069.5456828703)</f>
        <v>45069.545682870303</v>
      </c>
      <c r="C1543" s="7" t="str">
        <f ca="1">IFERROR(__xludf.UNSUPPORTED("""COMPUTED_VALUE"""),"Recife")</f>
        <v>Recife</v>
      </c>
      <c r="D1543" s="3" t="str">
        <f ca="1">IFERROR(__xludf.UNSUPPORTED("""COMPUTED_VALUE"""),"🚢 REGULAR")</f>
        <v>🚢 REGULAR</v>
      </c>
      <c r="E1543" s="3" t="str">
        <f ca="1">IFERROR(__xludf.UNSUPPORTED("""COMPUTED_VALUE"""),"🚛 LIBERADO")</f>
        <v>🚛 LIBERADO</v>
      </c>
      <c r="F1543" s="5">
        <f ca="1">IFERROR(__xludf.UNSUPPORTED("""COMPUTED_VALUE"""),0)</f>
        <v>0</v>
      </c>
      <c r="G1543" s="3" t="str">
        <f ca="1">IFERROR(__xludf.UNSUPPORTED("""COMPUTED_VALUE"""),"Normalidade")</f>
        <v>Normalidade</v>
      </c>
      <c r="H1543" s="4">
        <f ca="1">IFERROR(__xludf.UNSUPPORTED("""COMPUTED_VALUE"""),45069.5456828703)</f>
        <v>45069.545682870303</v>
      </c>
      <c r="I1543" s="3">
        <f ca="1">IFERROR(__xludf.UNSUPPORTED("""COMPUTED_VALUE"""),24)</f>
        <v>24</v>
      </c>
      <c r="J1543" s="4">
        <f ca="1">IFERROR(__xludf.UNSUPPORTED("""COMPUTED_VALUE"""),45070.5456828703)</f>
        <v>45070.545682870303</v>
      </c>
    </row>
    <row r="1544" spans="1:10" ht="12.75">
      <c r="A1544" s="3" t="str">
        <f ca="1">IFERROR(__xludf.UNSUPPORTED("""COMPUTED_VALUE"""),"29cd1eeb")</f>
        <v>29cd1eeb</v>
      </c>
      <c r="B1544" s="4">
        <f ca="1">IFERROR(__xludf.UNSUPPORTED("""COMPUTED_VALUE"""),45070.3227893518)</f>
        <v>45070.322789351798</v>
      </c>
      <c r="C1544" s="8" t="str">
        <f ca="1">IFERROR(__xludf.UNSUPPORTED("""COMPUTED_VALUE"""),"Recife")</f>
        <v>Recife</v>
      </c>
      <c r="D1544" s="3" t="str">
        <f ca="1">IFERROR(__xludf.UNSUPPORTED("""COMPUTED_VALUE"""),"🚢 REGULAR")</f>
        <v>🚢 REGULAR</v>
      </c>
      <c r="E1544" s="3" t="str">
        <f ca="1">IFERROR(__xludf.UNSUPPORTED("""COMPUTED_VALUE"""),"🚛 LIBERADO")</f>
        <v>🚛 LIBERADO</v>
      </c>
      <c r="F1544" s="5">
        <f ca="1">IFERROR(__xludf.UNSUPPORTED("""COMPUTED_VALUE"""),0)</f>
        <v>0</v>
      </c>
      <c r="G1544" s="3" t="str">
        <f ca="1">IFERROR(__xludf.UNSUPPORTED("""COMPUTED_VALUE"""),"Normalidade")</f>
        <v>Normalidade</v>
      </c>
      <c r="H1544" s="4">
        <f ca="1">IFERROR(__xludf.UNSUPPORTED("""COMPUTED_VALUE"""),45070.3227893518)</f>
        <v>45070.322789351798</v>
      </c>
      <c r="I1544" s="3">
        <f ca="1">IFERROR(__xludf.UNSUPPORTED("""COMPUTED_VALUE"""),24)</f>
        <v>24</v>
      </c>
      <c r="J1544" s="4">
        <f ca="1">IFERROR(__xludf.UNSUPPORTED("""COMPUTED_VALUE"""),45071.3227893518)</f>
        <v>45071.322789351798</v>
      </c>
    </row>
    <row r="1545" spans="1:10" ht="12.75">
      <c r="A1545" s="3" t="str">
        <f ca="1">IFERROR(__xludf.UNSUPPORTED("""COMPUTED_VALUE"""),"6018dcb9")</f>
        <v>6018dcb9</v>
      </c>
      <c r="B1545" s="4">
        <f ca="1">IFERROR(__xludf.UNSUPPORTED("""COMPUTED_VALUE"""),45071.3811226851)</f>
        <v>45071.381122685103</v>
      </c>
      <c r="C1545" s="8" t="str">
        <f ca="1">IFERROR(__xludf.UNSUPPORTED("""COMPUTED_VALUE"""),"Recife")</f>
        <v>Recife</v>
      </c>
      <c r="D1545" s="3" t="str">
        <f ca="1">IFERROR(__xludf.UNSUPPORTED("""COMPUTED_VALUE"""),"🚢 REGULAR")</f>
        <v>🚢 REGULAR</v>
      </c>
      <c r="E1545" s="3" t="str">
        <f ca="1">IFERROR(__xludf.UNSUPPORTED("""COMPUTED_VALUE"""),"🚛 LIBERADO")</f>
        <v>🚛 LIBERADO</v>
      </c>
      <c r="F1545" s="5">
        <f ca="1">IFERROR(__xludf.UNSUPPORTED("""COMPUTED_VALUE"""),0)</f>
        <v>0</v>
      </c>
      <c r="G1545" s="3" t="str">
        <f ca="1">IFERROR(__xludf.UNSUPPORTED("""COMPUTED_VALUE"""),"Normalidade")</f>
        <v>Normalidade</v>
      </c>
      <c r="H1545" s="4">
        <f ca="1">IFERROR(__xludf.UNSUPPORTED("""COMPUTED_VALUE"""),45071.3811226851)</f>
        <v>45071.381122685103</v>
      </c>
      <c r="I1545" s="3">
        <f ca="1">IFERROR(__xludf.UNSUPPORTED("""COMPUTED_VALUE"""),24)</f>
        <v>24</v>
      </c>
      <c r="J1545" s="4">
        <f ca="1">IFERROR(__xludf.UNSUPPORTED("""COMPUTED_VALUE"""),45072.3811226851)</f>
        <v>45072.381122685103</v>
      </c>
    </row>
    <row r="1546" spans="1:10" ht="12.75">
      <c r="A1546" s="3" t="str">
        <f ca="1">IFERROR(__xludf.UNSUPPORTED("""COMPUTED_VALUE"""),"057a7088")</f>
        <v>057a7088</v>
      </c>
      <c r="B1546" s="4">
        <f ca="1">IFERROR(__xludf.UNSUPPORTED("""COMPUTED_VALUE"""),45072.3538310185)</f>
        <v>45072.353831018503</v>
      </c>
      <c r="C1546" s="7" t="str">
        <f ca="1">IFERROR(__xludf.UNSUPPORTED("""COMPUTED_VALUE"""),"Recife")</f>
        <v>Recife</v>
      </c>
      <c r="D1546" s="3" t="str">
        <f ca="1">IFERROR(__xludf.UNSUPPORTED("""COMPUTED_VALUE"""),"🚢 REGULAR")</f>
        <v>🚢 REGULAR</v>
      </c>
      <c r="E1546" s="3" t="str">
        <f ca="1">IFERROR(__xludf.UNSUPPORTED("""COMPUTED_VALUE"""),"🚛 LIBERADO")</f>
        <v>🚛 LIBERADO</v>
      </c>
      <c r="F1546" s="5">
        <f ca="1">IFERROR(__xludf.UNSUPPORTED("""COMPUTED_VALUE"""),0)</f>
        <v>0</v>
      </c>
      <c r="G1546" s="3" t="str">
        <f ca="1">IFERROR(__xludf.UNSUPPORTED("""COMPUTED_VALUE"""),"Normalidade")</f>
        <v>Normalidade</v>
      </c>
      <c r="H1546" s="4">
        <f ca="1">IFERROR(__xludf.UNSUPPORTED("""COMPUTED_VALUE"""),45072.3538310185)</f>
        <v>45072.353831018503</v>
      </c>
      <c r="I1546" s="3">
        <f ca="1">IFERROR(__xludf.UNSUPPORTED("""COMPUTED_VALUE"""),24)</f>
        <v>24</v>
      </c>
      <c r="J1546" s="4">
        <f ca="1">IFERROR(__xludf.UNSUPPORTED("""COMPUTED_VALUE"""),45073.3538310185)</f>
        <v>45073.353831018503</v>
      </c>
    </row>
    <row r="1547" spans="1:10" ht="12.75">
      <c r="A1547" s="3" t="str">
        <f ca="1">IFERROR(__xludf.UNSUPPORTED("""COMPUTED_VALUE"""),"1e3d132a")</f>
        <v>1e3d132a</v>
      </c>
      <c r="B1547" s="4">
        <f ca="1">IFERROR(__xludf.UNSUPPORTED("""COMPUTED_VALUE"""),45072.3554513888)</f>
        <v>45072.355451388801</v>
      </c>
      <c r="C1547" s="8" t="str">
        <f ca="1">IFERROR(__xludf.UNSUPPORTED("""COMPUTED_VALUE"""),"Recife")</f>
        <v>Recife</v>
      </c>
      <c r="D1547" s="3" t="str">
        <f ca="1">IFERROR(__xludf.UNSUPPORTED("""COMPUTED_VALUE"""),"🚢 REGULAR")</f>
        <v>🚢 REGULAR</v>
      </c>
      <c r="E1547" s="3" t="str">
        <f ca="1">IFERROR(__xludf.UNSUPPORTED("""COMPUTED_VALUE"""),"🚛 LIBERADO")</f>
        <v>🚛 LIBERADO</v>
      </c>
      <c r="F1547" s="5">
        <f ca="1">IFERROR(__xludf.UNSUPPORTED("""COMPUTED_VALUE"""),0)</f>
        <v>0</v>
      </c>
      <c r="G1547" s="3" t="str">
        <f ca="1">IFERROR(__xludf.UNSUPPORTED("""COMPUTED_VALUE"""),"Normalidade")</f>
        <v>Normalidade</v>
      </c>
      <c r="H1547" s="4">
        <f ca="1">IFERROR(__xludf.UNSUPPORTED("""COMPUTED_VALUE"""),45072.3554513888)</f>
        <v>45072.355451388801</v>
      </c>
      <c r="I1547" s="3">
        <f ca="1">IFERROR(__xludf.UNSUPPORTED("""COMPUTED_VALUE"""),24)</f>
        <v>24</v>
      </c>
      <c r="J1547" s="4">
        <f ca="1">IFERROR(__xludf.UNSUPPORTED("""COMPUTED_VALUE"""),45073.3554513888)</f>
        <v>45073.355451388801</v>
      </c>
    </row>
    <row r="1548" spans="1:10" ht="12.75">
      <c r="A1548" s="3" t="str">
        <f ca="1">IFERROR(__xludf.UNSUPPORTED("""COMPUTED_VALUE"""),"0f452493")</f>
        <v>0f452493</v>
      </c>
      <c r="B1548" s="4">
        <f ca="1">IFERROR(__xludf.UNSUPPORTED("""COMPUTED_VALUE"""),45073.4777314814)</f>
        <v>45073.477731481398</v>
      </c>
      <c r="C1548" s="7" t="str">
        <f ca="1">IFERROR(__xludf.UNSUPPORTED("""COMPUTED_VALUE"""),"Recife")</f>
        <v>Recife</v>
      </c>
      <c r="D1548" s="3" t="str">
        <f ca="1">IFERROR(__xludf.UNSUPPORTED("""COMPUTED_VALUE"""),"🚢 REGULAR")</f>
        <v>🚢 REGULAR</v>
      </c>
      <c r="E1548" s="3" t="str">
        <f ca="1">IFERROR(__xludf.UNSUPPORTED("""COMPUTED_VALUE"""),"🚛 LIBERADO")</f>
        <v>🚛 LIBERADO</v>
      </c>
      <c r="F1548" s="5">
        <f ca="1">IFERROR(__xludf.UNSUPPORTED("""COMPUTED_VALUE"""),0)</f>
        <v>0</v>
      </c>
      <c r="G1548" s="3" t="str">
        <f ca="1">IFERROR(__xludf.UNSUPPORTED("""COMPUTED_VALUE"""),"Normalidade")</f>
        <v>Normalidade</v>
      </c>
      <c r="H1548" s="4">
        <f ca="1">IFERROR(__xludf.UNSUPPORTED("""COMPUTED_VALUE"""),45073.4777314814)</f>
        <v>45073.477731481398</v>
      </c>
      <c r="I1548" s="3">
        <f ca="1">IFERROR(__xludf.UNSUPPORTED("""COMPUTED_VALUE"""),24)</f>
        <v>24</v>
      </c>
      <c r="J1548" s="4">
        <f ca="1">IFERROR(__xludf.UNSUPPORTED("""COMPUTED_VALUE"""),45074.4777314814)</f>
        <v>45074.477731481398</v>
      </c>
    </row>
    <row r="1549" spans="1:10" ht="12.75">
      <c r="A1549" s="3" t="str">
        <f ca="1">IFERROR(__xludf.UNSUPPORTED("""COMPUTED_VALUE"""),"e6c3e1a6")</f>
        <v>e6c3e1a6</v>
      </c>
      <c r="B1549" s="4">
        <f ca="1">IFERROR(__xludf.UNSUPPORTED("""COMPUTED_VALUE"""),45074.333449074)</f>
        <v>45074.333449074002</v>
      </c>
      <c r="C1549" s="8" t="str">
        <f ca="1">IFERROR(__xludf.UNSUPPORTED("""COMPUTED_VALUE"""),"Recife")</f>
        <v>Recife</v>
      </c>
      <c r="D1549" s="3" t="str">
        <f ca="1">IFERROR(__xludf.UNSUPPORTED("""COMPUTED_VALUE"""),"🚢 REGULAR")</f>
        <v>🚢 REGULAR</v>
      </c>
      <c r="E1549" s="3" t="str">
        <f ca="1">IFERROR(__xludf.UNSUPPORTED("""COMPUTED_VALUE"""),"🚛 LIBERADO")</f>
        <v>🚛 LIBERADO</v>
      </c>
      <c r="F1549" s="5">
        <f ca="1">IFERROR(__xludf.UNSUPPORTED("""COMPUTED_VALUE"""),0)</f>
        <v>0</v>
      </c>
      <c r="G1549" s="3" t="str">
        <f ca="1">IFERROR(__xludf.UNSUPPORTED("""COMPUTED_VALUE"""),"Normalidade")</f>
        <v>Normalidade</v>
      </c>
      <c r="H1549" s="4">
        <f ca="1">IFERROR(__xludf.UNSUPPORTED("""COMPUTED_VALUE"""),45074.333449074)</f>
        <v>45074.333449074002</v>
      </c>
      <c r="I1549" s="3">
        <f ca="1">IFERROR(__xludf.UNSUPPORTED("""COMPUTED_VALUE"""),24)</f>
        <v>24</v>
      </c>
      <c r="J1549" s="4">
        <f ca="1">IFERROR(__xludf.UNSUPPORTED("""COMPUTED_VALUE"""),45075.333449074)</f>
        <v>45075.333449074002</v>
      </c>
    </row>
    <row r="1550" spans="1:10" ht="12.75">
      <c r="A1550" s="3" t="str">
        <f ca="1">IFERROR(__xludf.UNSUPPORTED("""COMPUTED_VALUE"""),"d0975cd9")</f>
        <v>d0975cd9</v>
      </c>
      <c r="B1550" s="4">
        <f ca="1">IFERROR(__xludf.UNSUPPORTED("""COMPUTED_VALUE"""),45075.5208101851)</f>
        <v>45075.520810185102</v>
      </c>
      <c r="C1550" s="8" t="str">
        <f ca="1">IFERROR(__xludf.UNSUPPORTED("""COMPUTED_VALUE"""),"Recife")</f>
        <v>Recife</v>
      </c>
      <c r="D1550" s="3" t="str">
        <f ca="1">IFERROR(__xludf.UNSUPPORTED("""COMPUTED_VALUE"""),"🚢 REGULAR")</f>
        <v>🚢 REGULAR</v>
      </c>
      <c r="E1550" s="3" t="str">
        <f ca="1">IFERROR(__xludf.UNSUPPORTED("""COMPUTED_VALUE"""),"🚛 LIBERADO")</f>
        <v>🚛 LIBERADO</v>
      </c>
      <c r="F1550" s="5">
        <f ca="1">IFERROR(__xludf.UNSUPPORTED("""COMPUTED_VALUE"""),0)</f>
        <v>0</v>
      </c>
      <c r="G1550" s="3" t="str">
        <f ca="1">IFERROR(__xludf.UNSUPPORTED("""COMPUTED_VALUE"""),"Normalidade")</f>
        <v>Normalidade</v>
      </c>
      <c r="H1550" s="4">
        <f ca="1">IFERROR(__xludf.UNSUPPORTED("""COMPUTED_VALUE"""),45075.5208101851)</f>
        <v>45075.520810185102</v>
      </c>
      <c r="I1550" s="3">
        <f ca="1">IFERROR(__xludf.UNSUPPORTED("""COMPUTED_VALUE"""),24)</f>
        <v>24</v>
      </c>
      <c r="J1550" s="4">
        <f ca="1">IFERROR(__xludf.UNSUPPORTED("""COMPUTED_VALUE"""),45076.5208101851)</f>
        <v>45076.520810185102</v>
      </c>
    </row>
    <row r="1551" spans="1:10" ht="12.75">
      <c r="A1551" s="3" t="str">
        <f ca="1">IFERROR(__xludf.UNSUPPORTED("""COMPUTED_VALUE"""),"448a4614")</f>
        <v>448a4614</v>
      </c>
      <c r="B1551" s="4">
        <f ca="1">IFERROR(__xludf.UNSUPPORTED("""COMPUTED_VALUE"""),45076.3703356481)</f>
        <v>45076.370335648098</v>
      </c>
      <c r="C1551" s="7" t="str">
        <f ca="1">IFERROR(__xludf.UNSUPPORTED("""COMPUTED_VALUE"""),"Recife")</f>
        <v>Recife</v>
      </c>
      <c r="D1551" s="3" t="str">
        <f ca="1">IFERROR(__xludf.UNSUPPORTED("""COMPUTED_VALUE"""),"🚢 REGULAR")</f>
        <v>🚢 REGULAR</v>
      </c>
      <c r="E1551" s="3" t="str">
        <f ca="1">IFERROR(__xludf.UNSUPPORTED("""COMPUTED_VALUE"""),"🚛 LIBERADO")</f>
        <v>🚛 LIBERADO</v>
      </c>
      <c r="F1551" s="5">
        <f ca="1">IFERROR(__xludf.UNSUPPORTED("""COMPUTED_VALUE"""),0)</f>
        <v>0</v>
      </c>
      <c r="G1551" s="3" t="str">
        <f ca="1">IFERROR(__xludf.UNSUPPORTED("""COMPUTED_VALUE"""),"Normalidade")</f>
        <v>Normalidade</v>
      </c>
      <c r="H1551" s="4">
        <f ca="1">IFERROR(__xludf.UNSUPPORTED("""COMPUTED_VALUE"""),45076.3703356481)</f>
        <v>45076.370335648098</v>
      </c>
      <c r="I1551" s="3">
        <f ca="1">IFERROR(__xludf.UNSUPPORTED("""COMPUTED_VALUE"""),24)</f>
        <v>24</v>
      </c>
      <c r="J1551" s="4">
        <f ca="1">IFERROR(__xludf.UNSUPPORTED("""COMPUTED_VALUE"""),45077.3703356481)</f>
        <v>45077.370335648098</v>
      </c>
    </row>
    <row r="1552" spans="1:10" ht="12.75">
      <c r="A1552" s="3" t="str">
        <f ca="1">IFERROR(__xludf.UNSUPPORTED("""COMPUTED_VALUE"""),"89ed72e4")</f>
        <v>89ed72e4</v>
      </c>
      <c r="B1552" s="4">
        <f ca="1">IFERROR(__xludf.UNSUPPORTED("""COMPUTED_VALUE"""),45077.3357523148)</f>
        <v>45077.335752314801</v>
      </c>
      <c r="C1552" s="8" t="str">
        <f ca="1">IFERROR(__xludf.UNSUPPORTED("""COMPUTED_VALUE"""),"Recife")</f>
        <v>Recife</v>
      </c>
      <c r="D1552" s="3" t="str">
        <f ca="1">IFERROR(__xludf.UNSUPPORTED("""COMPUTED_VALUE"""),"🚢 REGULAR")</f>
        <v>🚢 REGULAR</v>
      </c>
      <c r="E1552" s="3" t="str">
        <f ca="1">IFERROR(__xludf.UNSUPPORTED("""COMPUTED_VALUE"""),"🚛 LIBERADO")</f>
        <v>🚛 LIBERADO</v>
      </c>
      <c r="F1552" s="5">
        <f ca="1">IFERROR(__xludf.UNSUPPORTED("""COMPUTED_VALUE"""),0)</f>
        <v>0</v>
      </c>
      <c r="G1552" s="3" t="str">
        <f ca="1">IFERROR(__xludf.UNSUPPORTED("""COMPUTED_VALUE"""),"Normalidade")</f>
        <v>Normalidade</v>
      </c>
      <c r="H1552" s="4">
        <f ca="1">IFERROR(__xludf.UNSUPPORTED("""COMPUTED_VALUE"""),45077.3357523148)</f>
        <v>45077.335752314801</v>
      </c>
      <c r="I1552" s="3">
        <f ca="1">IFERROR(__xludf.UNSUPPORTED("""COMPUTED_VALUE"""),24)</f>
        <v>24</v>
      </c>
      <c r="J1552" s="4">
        <f ca="1">IFERROR(__xludf.UNSUPPORTED("""COMPUTED_VALUE"""),45078.3357523148)</f>
        <v>45078.335752314801</v>
      </c>
    </row>
    <row r="1553" spans="1:12" ht="12.75">
      <c r="A1553" s="3" t="str">
        <f ca="1">IFERROR(__xludf.UNSUPPORTED("""COMPUTED_VALUE"""),"646f5b05")</f>
        <v>646f5b05</v>
      </c>
      <c r="B1553" s="4">
        <f ca="1">IFERROR(__xludf.UNSUPPORTED("""COMPUTED_VALUE"""),45079.3443171296)</f>
        <v>45079.344317129602</v>
      </c>
      <c r="C1553" s="7" t="str">
        <f ca="1">IFERROR(__xludf.UNSUPPORTED("""COMPUTED_VALUE"""),"Recife")</f>
        <v>Recife</v>
      </c>
      <c r="D1553" s="3" t="str">
        <f ca="1">IFERROR(__xludf.UNSUPPORTED("""COMPUTED_VALUE"""),"🚢 REGULAR")</f>
        <v>🚢 REGULAR</v>
      </c>
      <c r="E1553" s="3" t="str">
        <f ca="1">IFERROR(__xludf.UNSUPPORTED("""COMPUTED_VALUE"""),"🚛 LIBERADO")</f>
        <v>🚛 LIBERADO</v>
      </c>
      <c r="F1553" s="5">
        <f ca="1">IFERROR(__xludf.UNSUPPORTED("""COMPUTED_VALUE"""),0)</f>
        <v>0</v>
      </c>
      <c r="G1553" s="3" t="str">
        <f ca="1">IFERROR(__xludf.UNSUPPORTED("""COMPUTED_VALUE"""),"Normalidade")</f>
        <v>Normalidade</v>
      </c>
      <c r="H1553" s="4">
        <f ca="1">IFERROR(__xludf.UNSUPPORTED("""COMPUTED_VALUE"""),45079.3443171296)</f>
        <v>45079.344317129602</v>
      </c>
      <c r="I1553" s="3">
        <f ca="1">IFERROR(__xludf.UNSUPPORTED("""COMPUTED_VALUE"""),24)</f>
        <v>24</v>
      </c>
      <c r="J1553" s="4">
        <f ca="1">IFERROR(__xludf.UNSUPPORTED("""COMPUTED_VALUE"""),45080.3443171296)</f>
        <v>45080.344317129602</v>
      </c>
      <c r="L1553" s="3" t="str">
        <f ca="1">IFERROR(__xludf.UNSUPPORTED("""COMPUTED_VALUE"""),"Normalidade")</f>
        <v>Normalidade</v>
      </c>
    </row>
    <row r="1554" spans="1:12" ht="12.75">
      <c r="A1554" s="3" t="str">
        <f ca="1">IFERROR(__xludf.UNSUPPORTED("""COMPUTED_VALUE"""),"4f5bf7b9")</f>
        <v>4f5bf7b9</v>
      </c>
      <c r="B1554" s="4">
        <f ca="1">IFERROR(__xludf.UNSUPPORTED("""COMPUTED_VALUE"""),45084.3319212962)</f>
        <v>45084.331921296201</v>
      </c>
      <c r="C1554" s="7" t="str">
        <f ca="1">IFERROR(__xludf.UNSUPPORTED("""COMPUTED_VALUE"""),"Recife")</f>
        <v>Recife</v>
      </c>
      <c r="D1554" s="3" t="str">
        <f ca="1">IFERROR(__xludf.UNSUPPORTED("""COMPUTED_VALUE"""),"🚢 REGULAR")</f>
        <v>🚢 REGULAR</v>
      </c>
      <c r="E1554" s="3" t="str">
        <f ca="1">IFERROR(__xludf.UNSUPPORTED("""COMPUTED_VALUE"""),"🚛 LIBERADO")</f>
        <v>🚛 LIBERADO</v>
      </c>
      <c r="F1554" s="5">
        <f ca="1">IFERROR(__xludf.UNSUPPORTED("""COMPUTED_VALUE"""),0)</f>
        <v>0</v>
      </c>
      <c r="G1554" s="3" t="str">
        <f ca="1">IFERROR(__xludf.UNSUPPORTED("""COMPUTED_VALUE"""),"Normalidade")</f>
        <v>Normalidade</v>
      </c>
      <c r="H1554" s="4">
        <f ca="1">IFERROR(__xludf.UNSUPPORTED("""COMPUTED_VALUE"""),45084.3319212962)</f>
        <v>45084.331921296201</v>
      </c>
      <c r="I1554" s="3">
        <f ca="1">IFERROR(__xludf.UNSUPPORTED("""COMPUTED_VALUE"""),24)</f>
        <v>24</v>
      </c>
      <c r="J1554" s="4">
        <f ca="1">IFERROR(__xludf.UNSUPPORTED("""COMPUTED_VALUE"""),45085.3319212962)</f>
        <v>45085.331921296201</v>
      </c>
      <c r="L1554" s="3" t="str">
        <f ca="1">IFERROR(__xludf.UNSUPPORTED("""COMPUTED_VALUE"""),"Normalidade")</f>
        <v>Normalidade</v>
      </c>
    </row>
    <row r="1555" spans="1:12" ht="12.75">
      <c r="A1555" s="3" t="str">
        <f ca="1">IFERROR(__xludf.UNSUPPORTED("""COMPUTED_VALUE"""),"2812d1e4")</f>
        <v>2812d1e4</v>
      </c>
      <c r="B1555" s="4">
        <f ca="1">IFERROR(__xludf.UNSUPPORTED("""COMPUTED_VALUE"""),45086.3273842592)</f>
        <v>45086.327384259203</v>
      </c>
      <c r="C1555" s="7" t="str">
        <f ca="1">IFERROR(__xludf.UNSUPPORTED("""COMPUTED_VALUE"""),"Recife")</f>
        <v>Recife</v>
      </c>
      <c r="D1555" s="3" t="str">
        <f ca="1">IFERROR(__xludf.UNSUPPORTED("""COMPUTED_VALUE"""),"🚢 REGULAR")</f>
        <v>🚢 REGULAR</v>
      </c>
      <c r="E1555" s="3" t="str">
        <f ca="1">IFERROR(__xludf.UNSUPPORTED("""COMPUTED_VALUE"""),"🚛 LIBERADO")</f>
        <v>🚛 LIBERADO</v>
      </c>
      <c r="F1555" s="5">
        <f ca="1">IFERROR(__xludf.UNSUPPORTED("""COMPUTED_VALUE"""),0)</f>
        <v>0</v>
      </c>
      <c r="G1555" s="3" t="str">
        <f ca="1">IFERROR(__xludf.UNSUPPORTED("""COMPUTED_VALUE"""),"Normalidade")</f>
        <v>Normalidade</v>
      </c>
      <c r="H1555" s="4">
        <f ca="1">IFERROR(__xludf.UNSUPPORTED("""COMPUTED_VALUE"""),45086.3273842592)</f>
        <v>45086.327384259203</v>
      </c>
      <c r="I1555" s="3">
        <f ca="1">IFERROR(__xludf.UNSUPPORTED("""COMPUTED_VALUE"""),24)</f>
        <v>24</v>
      </c>
      <c r="J1555" s="4">
        <f ca="1">IFERROR(__xludf.UNSUPPORTED("""COMPUTED_VALUE"""),45087.3273842592)</f>
        <v>45087.327384259203</v>
      </c>
      <c r="L1555" s="3" t="str">
        <f ca="1">IFERROR(__xludf.UNSUPPORTED("""COMPUTED_VALUE"""),"Normalidade")</f>
        <v>Normalidade</v>
      </c>
    </row>
    <row r="1556" spans="1:12" ht="12.75">
      <c r="A1556" s="3" t="str">
        <f ca="1">IFERROR(__xludf.UNSUPPORTED("""COMPUTED_VALUE"""),"0b118ef2")</f>
        <v>0b118ef2</v>
      </c>
      <c r="B1556" s="4">
        <f ca="1">IFERROR(__xludf.UNSUPPORTED("""COMPUTED_VALUE"""),45088.4228009259)</f>
        <v>45088.422800925902</v>
      </c>
      <c r="C1556" s="8" t="str">
        <f ca="1">IFERROR(__xludf.UNSUPPORTED("""COMPUTED_VALUE"""),"Recife")</f>
        <v>Recife</v>
      </c>
      <c r="D1556" s="3" t="str">
        <f ca="1">IFERROR(__xludf.UNSUPPORTED("""COMPUTED_VALUE"""),"🚢 REGULAR")</f>
        <v>🚢 REGULAR</v>
      </c>
      <c r="E1556" s="3" t="str">
        <f ca="1">IFERROR(__xludf.UNSUPPORTED("""COMPUTED_VALUE"""),"🚛 LIBERADO")</f>
        <v>🚛 LIBERADO</v>
      </c>
      <c r="F1556" s="5">
        <f ca="1">IFERROR(__xludf.UNSUPPORTED("""COMPUTED_VALUE"""),0)</f>
        <v>0</v>
      </c>
      <c r="G1556" s="3" t="str">
        <f ca="1">IFERROR(__xludf.UNSUPPORTED("""COMPUTED_VALUE"""),"Normalidade")</f>
        <v>Normalidade</v>
      </c>
      <c r="H1556" s="4">
        <f ca="1">IFERROR(__xludf.UNSUPPORTED("""COMPUTED_VALUE"""),45088.4228009259)</f>
        <v>45088.422800925902</v>
      </c>
      <c r="I1556" s="3">
        <f ca="1">IFERROR(__xludf.UNSUPPORTED("""COMPUTED_VALUE"""),24)</f>
        <v>24</v>
      </c>
      <c r="J1556" s="4">
        <f ca="1">IFERROR(__xludf.UNSUPPORTED("""COMPUTED_VALUE"""),45089.4228009259)</f>
        <v>45089.422800925902</v>
      </c>
      <c r="L1556" s="3" t="str">
        <f ca="1">IFERROR(__xludf.UNSUPPORTED("""COMPUTED_VALUE"""),"Normalidade")</f>
        <v>Normalidade</v>
      </c>
    </row>
    <row r="1557" spans="1:12" ht="12.75">
      <c r="A1557" s="3" t="str">
        <f ca="1">IFERROR(__xludf.UNSUPPORTED("""COMPUTED_VALUE"""),"0b0f4695")</f>
        <v>0b0f4695</v>
      </c>
      <c r="B1557" s="4">
        <f ca="1">IFERROR(__xludf.UNSUPPORTED("""COMPUTED_VALUE"""),45090.5084375)</f>
        <v>45090.508437500001</v>
      </c>
      <c r="C1557" s="8" t="str">
        <f ca="1">IFERROR(__xludf.UNSUPPORTED("""COMPUTED_VALUE"""),"Recife")</f>
        <v>Recife</v>
      </c>
      <c r="D1557" s="3" t="str">
        <f ca="1">IFERROR(__xludf.UNSUPPORTED("""COMPUTED_VALUE"""),"🚢 REGULAR")</f>
        <v>🚢 REGULAR</v>
      </c>
      <c r="E1557" s="3" t="str">
        <f ca="1">IFERROR(__xludf.UNSUPPORTED("""COMPUTED_VALUE"""),"🚛 LIBERADO")</f>
        <v>🚛 LIBERADO</v>
      </c>
      <c r="F1557" s="5">
        <f ca="1">IFERROR(__xludf.UNSUPPORTED("""COMPUTED_VALUE"""),0.25)</f>
        <v>0.25</v>
      </c>
      <c r="G1557" s="3" t="str">
        <f ca="1">IFERROR(__xludf.UNSUPPORTED("""COMPUTED_VALUE"""),"regular")</f>
        <v>regular</v>
      </c>
      <c r="H1557" s="4">
        <f ca="1">IFERROR(__xludf.UNSUPPORTED("""COMPUTED_VALUE"""),45090.5084375)</f>
        <v>45090.508437500001</v>
      </c>
      <c r="I1557" s="3">
        <f ca="1">IFERROR(__xludf.UNSUPPORTED("""COMPUTED_VALUE"""),4)</f>
        <v>4</v>
      </c>
      <c r="J1557" s="4">
        <f ca="1">IFERROR(__xludf.UNSUPPORTED("""COMPUTED_VALUE"""),45090.6751041666)</f>
        <v>45090.675104166599</v>
      </c>
      <c r="K1557" s="3" t="str">
        <f ca="1">IFERROR(__xludf.UNSUPPORTED("""COMPUTED_VALUE"""),"porto do recife")</f>
        <v>porto do recife</v>
      </c>
      <c r="L1557" s="3" t="str">
        <f ca="1">IFERROR(__xludf.UNSUPPORTED("""COMPUTED_VALUE"""),"Crítico")</f>
        <v>Crítico</v>
      </c>
    </row>
    <row r="1558" spans="1:12" ht="12.75">
      <c r="A1558" s="3" t="str">
        <f ca="1">IFERROR(__xludf.UNSUPPORTED("""COMPUTED_VALUE"""),"5a467242")</f>
        <v>5a467242</v>
      </c>
      <c r="B1558" s="4">
        <f ca="1">IFERROR(__xludf.UNSUPPORTED("""COMPUTED_VALUE"""),45091.3213773148)</f>
        <v>45091.321377314802</v>
      </c>
      <c r="C1558" s="8" t="str">
        <f ca="1">IFERROR(__xludf.UNSUPPORTED("""COMPUTED_VALUE"""),"Recife")</f>
        <v>Recife</v>
      </c>
      <c r="D1558" s="3" t="str">
        <f ca="1">IFERROR(__xludf.UNSUPPORTED("""COMPUTED_VALUE"""),"🚢 REGULAR")</f>
        <v>🚢 REGULAR</v>
      </c>
      <c r="E1558" s="3" t="str">
        <f ca="1">IFERROR(__xludf.UNSUPPORTED("""COMPUTED_VALUE"""),"🚛 LIBERADO")</f>
        <v>🚛 LIBERADO</v>
      </c>
      <c r="F1558" s="5">
        <f ca="1">IFERROR(__xludf.UNSUPPORTED("""COMPUTED_VALUE"""),0)</f>
        <v>0</v>
      </c>
      <c r="G1558" s="3" t="str">
        <f ca="1">IFERROR(__xludf.UNSUPPORTED("""COMPUTED_VALUE"""),"Normalidade")</f>
        <v>Normalidade</v>
      </c>
      <c r="H1558" s="4">
        <f ca="1">IFERROR(__xludf.UNSUPPORTED("""COMPUTED_VALUE"""),45091.3213773148)</f>
        <v>45091.321377314802</v>
      </c>
      <c r="I1558" s="3">
        <f ca="1">IFERROR(__xludf.UNSUPPORTED("""COMPUTED_VALUE"""),24)</f>
        <v>24</v>
      </c>
      <c r="J1558" s="4">
        <f ca="1">IFERROR(__xludf.UNSUPPORTED("""COMPUTED_VALUE"""),45092.3213773148)</f>
        <v>45092.321377314802</v>
      </c>
      <c r="L1558" s="3" t="str">
        <f ca="1">IFERROR(__xludf.UNSUPPORTED("""COMPUTED_VALUE"""),"Normalidade")</f>
        <v>Normalidade</v>
      </c>
    </row>
    <row r="1559" spans="1:12" ht="12.75">
      <c r="A1559" s="3" t="str">
        <f ca="1">IFERROR(__xludf.UNSUPPORTED("""COMPUTED_VALUE"""),"f78fc5d6")</f>
        <v>f78fc5d6</v>
      </c>
      <c r="B1559" s="4">
        <f ca="1">IFERROR(__xludf.UNSUPPORTED("""COMPUTED_VALUE"""),45092.3559375)</f>
        <v>45092.355937499997</v>
      </c>
      <c r="C1559" s="7" t="str">
        <f ca="1">IFERROR(__xludf.UNSUPPORTED("""COMPUTED_VALUE"""),"Recife")</f>
        <v>Recife</v>
      </c>
      <c r="D1559" s="3" t="str">
        <f ca="1">IFERROR(__xludf.UNSUPPORTED("""COMPUTED_VALUE"""),"🚢 REGULAR")</f>
        <v>🚢 REGULAR</v>
      </c>
      <c r="E1559" s="3" t="str">
        <f ca="1">IFERROR(__xludf.UNSUPPORTED("""COMPUTED_VALUE"""),"🚛 LIBERADO")</f>
        <v>🚛 LIBERADO</v>
      </c>
      <c r="F1559" s="5">
        <f ca="1">IFERROR(__xludf.UNSUPPORTED("""COMPUTED_VALUE"""),0)</f>
        <v>0</v>
      </c>
      <c r="G1559" s="3" t="str">
        <f ca="1">IFERROR(__xludf.UNSUPPORTED("""COMPUTED_VALUE"""),"Normalidade")</f>
        <v>Normalidade</v>
      </c>
      <c r="H1559" s="4">
        <f ca="1">IFERROR(__xludf.UNSUPPORTED("""COMPUTED_VALUE"""),45092.3559375)</f>
        <v>45092.355937499997</v>
      </c>
      <c r="I1559" s="3">
        <f ca="1">IFERROR(__xludf.UNSUPPORTED("""COMPUTED_VALUE"""),24)</f>
        <v>24</v>
      </c>
      <c r="J1559" s="4">
        <f ca="1">IFERROR(__xludf.UNSUPPORTED("""COMPUTED_VALUE"""),45093.3559375)</f>
        <v>45093.355937499997</v>
      </c>
      <c r="L1559" s="3" t="str">
        <f ca="1">IFERROR(__xludf.UNSUPPORTED("""COMPUTED_VALUE"""),"Normalidade")</f>
        <v>Normalidade</v>
      </c>
    </row>
    <row r="1560" spans="1:12" ht="12.75">
      <c r="A1560" s="3" t="str">
        <f ca="1">IFERROR(__xludf.UNSUPPORTED("""COMPUTED_VALUE"""),"411eecf4")</f>
        <v>411eecf4</v>
      </c>
      <c r="B1560" s="4">
        <f ca="1">IFERROR(__xludf.UNSUPPORTED("""COMPUTED_VALUE"""),45093.3928703702)</f>
        <v>45093.392870370197</v>
      </c>
      <c r="C1560" s="8" t="str">
        <f ca="1">IFERROR(__xludf.UNSUPPORTED("""COMPUTED_VALUE"""),"Recife")</f>
        <v>Recife</v>
      </c>
      <c r="D1560" s="3" t="str">
        <f ca="1">IFERROR(__xludf.UNSUPPORTED("""COMPUTED_VALUE"""),"🚢 REGULAR")</f>
        <v>🚢 REGULAR</v>
      </c>
      <c r="E1560" s="3" t="str">
        <f ca="1">IFERROR(__xludf.UNSUPPORTED("""COMPUTED_VALUE"""),"🚛 LIBERADO")</f>
        <v>🚛 LIBERADO</v>
      </c>
      <c r="F1560" s="5">
        <f ca="1">IFERROR(__xludf.UNSUPPORTED("""COMPUTED_VALUE"""),0)</f>
        <v>0</v>
      </c>
      <c r="G1560" s="3" t="str">
        <f ca="1">IFERROR(__xludf.UNSUPPORTED("""COMPUTED_VALUE"""),"Normalidade")</f>
        <v>Normalidade</v>
      </c>
      <c r="H1560" s="4">
        <f ca="1">IFERROR(__xludf.UNSUPPORTED("""COMPUTED_VALUE"""),45093.3928703702)</f>
        <v>45093.392870370197</v>
      </c>
      <c r="I1560" s="3">
        <f ca="1">IFERROR(__xludf.UNSUPPORTED("""COMPUTED_VALUE"""),24)</f>
        <v>24</v>
      </c>
      <c r="J1560" s="4">
        <f ca="1">IFERROR(__xludf.UNSUPPORTED("""COMPUTED_VALUE"""),45094.3928703702)</f>
        <v>45094.392870370197</v>
      </c>
    </row>
    <row r="1561" spans="1:12" ht="12.75">
      <c r="A1561" s="3" t="str">
        <f ca="1">IFERROR(__xludf.UNSUPPORTED("""COMPUTED_VALUE"""),"67bd701f")</f>
        <v>67bd701f</v>
      </c>
      <c r="B1561" s="4">
        <f ca="1">IFERROR(__xludf.UNSUPPORTED("""COMPUTED_VALUE"""),45094.3777777777)</f>
        <v>45094.3777777777</v>
      </c>
      <c r="C1561" s="7" t="str">
        <f ca="1">IFERROR(__xludf.UNSUPPORTED("""COMPUTED_VALUE"""),"Recife")</f>
        <v>Recife</v>
      </c>
      <c r="D1561" s="3" t="str">
        <f ca="1">IFERROR(__xludf.UNSUPPORTED("""COMPUTED_VALUE"""),"🚢 REGULAR")</f>
        <v>🚢 REGULAR</v>
      </c>
      <c r="E1561" s="3" t="str">
        <f ca="1">IFERROR(__xludf.UNSUPPORTED("""COMPUTED_VALUE"""),"🚛 LIBERADO")</f>
        <v>🚛 LIBERADO</v>
      </c>
      <c r="F1561" s="5">
        <f ca="1">IFERROR(__xludf.UNSUPPORTED("""COMPUTED_VALUE"""),0)</f>
        <v>0</v>
      </c>
      <c r="G1561" s="3" t="str">
        <f ca="1">IFERROR(__xludf.UNSUPPORTED("""COMPUTED_VALUE"""),"Normalidade")</f>
        <v>Normalidade</v>
      </c>
      <c r="H1561" s="4">
        <f ca="1">IFERROR(__xludf.UNSUPPORTED("""COMPUTED_VALUE"""),45094.3777777777)</f>
        <v>45094.3777777777</v>
      </c>
      <c r="I1561" s="3">
        <f ca="1">IFERROR(__xludf.UNSUPPORTED("""COMPUTED_VALUE"""),24)</f>
        <v>24</v>
      </c>
      <c r="J1561" s="4">
        <f ca="1">IFERROR(__xludf.UNSUPPORTED("""COMPUTED_VALUE"""),45095.3777777777)</f>
        <v>45095.3777777777</v>
      </c>
    </row>
    <row r="1562" spans="1:12" ht="12.75">
      <c r="A1562" s="3" t="str">
        <f ca="1">IFERROR(__xludf.UNSUPPORTED("""COMPUTED_VALUE"""),"ac5fc391")</f>
        <v>ac5fc391</v>
      </c>
      <c r="B1562" s="4">
        <f ca="1">IFERROR(__xludf.UNSUPPORTED("""COMPUTED_VALUE"""),45096.3742708333)</f>
        <v>45096.374270833301</v>
      </c>
      <c r="C1562" s="7" t="str">
        <f ca="1">IFERROR(__xludf.UNSUPPORTED("""COMPUTED_VALUE"""),"Recife")</f>
        <v>Recife</v>
      </c>
      <c r="D1562" s="3" t="str">
        <f ca="1">IFERROR(__xludf.UNSUPPORTED("""COMPUTED_VALUE"""),"🚢 REGULAR")</f>
        <v>🚢 REGULAR</v>
      </c>
      <c r="E1562" s="3" t="str">
        <f ca="1">IFERROR(__xludf.UNSUPPORTED("""COMPUTED_VALUE"""),"🚛 LIBERADO")</f>
        <v>🚛 LIBERADO</v>
      </c>
      <c r="F1562" s="5">
        <f ca="1">IFERROR(__xludf.UNSUPPORTED("""COMPUTED_VALUE"""),0)</f>
        <v>0</v>
      </c>
      <c r="G1562" s="3" t="str">
        <f ca="1">IFERROR(__xludf.UNSUPPORTED("""COMPUTED_VALUE"""),"Normalidade")</f>
        <v>Normalidade</v>
      </c>
      <c r="H1562" s="4">
        <f ca="1">IFERROR(__xludf.UNSUPPORTED("""COMPUTED_VALUE"""),45096.3742708333)</f>
        <v>45096.374270833301</v>
      </c>
      <c r="I1562" s="3">
        <f ca="1">IFERROR(__xludf.UNSUPPORTED("""COMPUTED_VALUE"""),24)</f>
        <v>24</v>
      </c>
      <c r="J1562" s="4">
        <f ca="1">IFERROR(__xludf.UNSUPPORTED("""COMPUTED_VALUE"""),45097.3742708333)</f>
        <v>45097.374270833301</v>
      </c>
    </row>
    <row r="1563" spans="1:12" ht="12.75">
      <c r="A1563" s="3" t="str">
        <f ca="1">IFERROR(__xludf.UNSUPPORTED("""COMPUTED_VALUE"""),"abdfa631")</f>
        <v>abdfa631</v>
      </c>
      <c r="B1563" s="4">
        <f ca="1">IFERROR(__xludf.UNSUPPORTED("""COMPUTED_VALUE"""),45098.3533449074)</f>
        <v>45098.353344907402</v>
      </c>
      <c r="C1563" s="7" t="str">
        <f ca="1">IFERROR(__xludf.UNSUPPORTED("""COMPUTED_VALUE"""),"Recife")</f>
        <v>Recife</v>
      </c>
      <c r="D1563" s="3" t="str">
        <f ca="1">IFERROR(__xludf.UNSUPPORTED("""COMPUTED_VALUE"""),"🚢 REGULAR")</f>
        <v>🚢 REGULAR</v>
      </c>
      <c r="E1563" s="3" t="str">
        <f ca="1">IFERROR(__xludf.UNSUPPORTED("""COMPUTED_VALUE"""),"🚛 LIBERADO")</f>
        <v>🚛 LIBERADO</v>
      </c>
      <c r="F1563" s="5">
        <f ca="1">IFERROR(__xludf.UNSUPPORTED("""COMPUTED_VALUE"""),0)</f>
        <v>0</v>
      </c>
      <c r="G1563" s="3" t="str">
        <f ca="1">IFERROR(__xludf.UNSUPPORTED("""COMPUTED_VALUE"""),"Normalidade")</f>
        <v>Normalidade</v>
      </c>
      <c r="H1563" s="4">
        <f ca="1">IFERROR(__xludf.UNSUPPORTED("""COMPUTED_VALUE"""),45098.3533449074)</f>
        <v>45098.353344907402</v>
      </c>
      <c r="I1563" s="3">
        <f ca="1">IFERROR(__xludf.UNSUPPORTED("""COMPUTED_VALUE"""),24)</f>
        <v>24</v>
      </c>
      <c r="J1563" s="4">
        <f ca="1">IFERROR(__xludf.UNSUPPORTED("""COMPUTED_VALUE"""),45099.3533449074)</f>
        <v>45099.353344907402</v>
      </c>
    </row>
    <row r="1564" spans="1:12" ht="12.75">
      <c r="A1564" s="3" t="str">
        <f ca="1">IFERROR(__xludf.UNSUPPORTED("""COMPUTED_VALUE"""),"7568a453")</f>
        <v>7568a453</v>
      </c>
      <c r="B1564" s="4">
        <f ca="1">IFERROR(__xludf.UNSUPPORTED("""COMPUTED_VALUE"""),45100.3534259259)</f>
        <v>45100.353425925903</v>
      </c>
      <c r="C1564" s="7" t="str">
        <f ca="1">IFERROR(__xludf.UNSUPPORTED("""COMPUTED_VALUE"""),"Recife")</f>
        <v>Recife</v>
      </c>
      <c r="D1564" s="3" t="str">
        <f ca="1">IFERROR(__xludf.UNSUPPORTED("""COMPUTED_VALUE"""),"🚢 REGULAR")</f>
        <v>🚢 REGULAR</v>
      </c>
      <c r="E1564" s="3" t="str">
        <f ca="1">IFERROR(__xludf.UNSUPPORTED("""COMPUTED_VALUE"""),"🚛 LIBERADO")</f>
        <v>🚛 LIBERADO</v>
      </c>
      <c r="F1564" s="5">
        <f ca="1">IFERROR(__xludf.UNSUPPORTED("""COMPUTED_VALUE"""),0)</f>
        <v>0</v>
      </c>
      <c r="G1564" s="3" t="str">
        <f ca="1">IFERROR(__xludf.UNSUPPORTED("""COMPUTED_VALUE"""),"Normalidade")</f>
        <v>Normalidade</v>
      </c>
      <c r="H1564" s="4">
        <f ca="1">IFERROR(__xludf.UNSUPPORTED("""COMPUTED_VALUE"""),45100.3534259259)</f>
        <v>45100.353425925903</v>
      </c>
      <c r="I1564" s="3">
        <f ca="1">IFERROR(__xludf.UNSUPPORTED("""COMPUTED_VALUE"""),24)</f>
        <v>24</v>
      </c>
      <c r="J1564" s="4">
        <f ca="1">IFERROR(__xludf.UNSUPPORTED("""COMPUTED_VALUE"""),45101.3534259259)</f>
        <v>45101.353425925903</v>
      </c>
    </row>
    <row r="1565" spans="1:12" ht="12.75">
      <c r="A1565" s="3" t="str">
        <f ca="1">IFERROR(__xludf.UNSUPPORTED("""COMPUTED_VALUE"""),"8c0566e6")</f>
        <v>8c0566e6</v>
      </c>
      <c r="B1565" s="4">
        <f ca="1">IFERROR(__xludf.UNSUPPORTED("""COMPUTED_VALUE"""),45103.5146296296)</f>
        <v>45103.514629629601</v>
      </c>
      <c r="C1565" s="8" t="str">
        <f ca="1">IFERROR(__xludf.UNSUPPORTED("""COMPUTED_VALUE"""),"Recife")</f>
        <v>Recife</v>
      </c>
      <c r="D1565" s="3" t="str">
        <f ca="1">IFERROR(__xludf.UNSUPPORTED("""COMPUTED_VALUE"""),"🚢 REGULAR")</f>
        <v>🚢 REGULAR</v>
      </c>
      <c r="E1565" s="3" t="str">
        <f ca="1">IFERROR(__xludf.UNSUPPORTED("""COMPUTED_VALUE"""),"🚛 LIBERADO")</f>
        <v>🚛 LIBERADO</v>
      </c>
      <c r="F1565" s="5">
        <f ca="1">IFERROR(__xludf.UNSUPPORTED("""COMPUTED_VALUE"""),0)</f>
        <v>0</v>
      </c>
      <c r="G1565" s="3" t="str">
        <f ca="1">IFERROR(__xludf.UNSUPPORTED("""COMPUTED_VALUE"""),"Normalidade")</f>
        <v>Normalidade</v>
      </c>
      <c r="H1565" s="4">
        <f ca="1">IFERROR(__xludf.UNSUPPORTED("""COMPUTED_VALUE"""),45103.5146296296)</f>
        <v>45103.514629629601</v>
      </c>
      <c r="I1565" s="3">
        <f ca="1">IFERROR(__xludf.UNSUPPORTED("""COMPUTED_VALUE"""),24)</f>
        <v>24</v>
      </c>
      <c r="J1565" s="4">
        <f ca="1">IFERROR(__xludf.UNSUPPORTED("""COMPUTED_VALUE"""),45104.5146296296)</f>
        <v>45104.514629629601</v>
      </c>
    </row>
    <row r="1566" spans="1:12" ht="12.75">
      <c r="A1566" s="3" t="str">
        <f ca="1">IFERROR(__xludf.UNSUPPORTED("""COMPUTED_VALUE"""),"a2fa9fb5")</f>
        <v>a2fa9fb5</v>
      </c>
      <c r="B1566" s="4">
        <f ca="1">IFERROR(__xludf.UNSUPPORTED("""COMPUTED_VALUE"""),45104.4459722222)</f>
        <v>45104.445972222202</v>
      </c>
      <c r="C1566" s="8" t="str">
        <f ca="1">IFERROR(__xludf.UNSUPPORTED("""COMPUTED_VALUE"""),"Recife")</f>
        <v>Recife</v>
      </c>
      <c r="D1566" s="3" t="str">
        <f ca="1">IFERROR(__xludf.UNSUPPORTED("""COMPUTED_VALUE"""),"🚢 REGULAR")</f>
        <v>🚢 REGULAR</v>
      </c>
      <c r="E1566" s="3" t="str">
        <f ca="1">IFERROR(__xludf.UNSUPPORTED("""COMPUTED_VALUE"""),"🚛 LIBERADO")</f>
        <v>🚛 LIBERADO</v>
      </c>
      <c r="F1566" s="5">
        <f ca="1">IFERROR(__xludf.UNSUPPORTED("""COMPUTED_VALUE"""),0)</f>
        <v>0</v>
      </c>
      <c r="G1566" s="3" t="str">
        <f ca="1">IFERROR(__xludf.UNSUPPORTED("""COMPUTED_VALUE"""),"Normalidade")</f>
        <v>Normalidade</v>
      </c>
      <c r="H1566" s="4">
        <f ca="1">IFERROR(__xludf.UNSUPPORTED("""COMPUTED_VALUE"""),45104.4459722222)</f>
        <v>45104.445972222202</v>
      </c>
      <c r="I1566" s="3">
        <f ca="1">IFERROR(__xludf.UNSUPPORTED("""COMPUTED_VALUE"""),24)</f>
        <v>24</v>
      </c>
      <c r="J1566" s="4">
        <f ca="1">IFERROR(__xludf.UNSUPPORTED("""COMPUTED_VALUE"""),45105.4459722222)</f>
        <v>45105.445972222202</v>
      </c>
    </row>
    <row r="1567" spans="1:12" ht="12.75">
      <c r="A1567" s="3" t="str">
        <f ca="1">IFERROR(__xludf.UNSUPPORTED("""COMPUTED_VALUE"""),"899092dc")</f>
        <v>899092dc</v>
      </c>
      <c r="B1567" s="4">
        <f ca="1">IFERROR(__xludf.UNSUPPORTED("""COMPUTED_VALUE"""),45107.4301736111)</f>
        <v>45107.430173611101</v>
      </c>
      <c r="C1567" s="8" t="str">
        <f ca="1">IFERROR(__xludf.UNSUPPORTED("""COMPUTED_VALUE"""),"Recife")</f>
        <v>Recife</v>
      </c>
      <c r="D1567" s="3" t="str">
        <f ca="1">IFERROR(__xludf.UNSUPPORTED("""COMPUTED_VALUE"""),"🚢 REGULAR")</f>
        <v>🚢 REGULAR</v>
      </c>
      <c r="E1567" s="3" t="str">
        <f ca="1">IFERROR(__xludf.UNSUPPORTED("""COMPUTED_VALUE"""),"🚛 LIBERADO")</f>
        <v>🚛 LIBERADO</v>
      </c>
      <c r="F1567" s="5">
        <f ca="1">IFERROR(__xludf.UNSUPPORTED("""COMPUTED_VALUE"""),0)</f>
        <v>0</v>
      </c>
      <c r="G1567" s="3" t="str">
        <f ca="1">IFERROR(__xludf.UNSUPPORTED("""COMPUTED_VALUE"""),"Normalidade")</f>
        <v>Normalidade</v>
      </c>
      <c r="H1567" s="4">
        <f ca="1">IFERROR(__xludf.UNSUPPORTED("""COMPUTED_VALUE"""),45107.4301736111)</f>
        <v>45107.430173611101</v>
      </c>
      <c r="I1567" s="3">
        <f ca="1">IFERROR(__xludf.UNSUPPORTED("""COMPUTED_VALUE"""),24)</f>
        <v>24</v>
      </c>
      <c r="J1567" s="4">
        <f ca="1">IFERROR(__xludf.UNSUPPORTED("""COMPUTED_VALUE"""),45108.4301736111)</f>
        <v>45108.430173611101</v>
      </c>
    </row>
    <row r="1568" spans="1:12" ht="12.75">
      <c r="A1568" s="3" t="str">
        <f ca="1">IFERROR(__xludf.UNSUPPORTED("""COMPUTED_VALUE"""),"abf50eee")</f>
        <v>abf50eee</v>
      </c>
      <c r="B1568" s="4">
        <f ca="1">IFERROR(__xludf.UNSUPPORTED("""COMPUTED_VALUE"""),45111.4208796296)</f>
        <v>45111.420879629601</v>
      </c>
      <c r="C1568" s="8" t="str">
        <f ca="1">IFERROR(__xludf.UNSUPPORTED("""COMPUTED_VALUE"""),"Recife")</f>
        <v>Recife</v>
      </c>
      <c r="D1568" s="3" t="str">
        <f ca="1">IFERROR(__xludf.UNSUPPORTED("""COMPUTED_VALUE"""),"🚢 REGULAR")</f>
        <v>🚢 REGULAR</v>
      </c>
      <c r="E1568" s="3" t="str">
        <f ca="1">IFERROR(__xludf.UNSUPPORTED("""COMPUTED_VALUE"""),"🚛 LIBERADO")</f>
        <v>🚛 LIBERADO</v>
      </c>
      <c r="F1568" s="5">
        <f ca="1">IFERROR(__xludf.UNSUPPORTED("""COMPUTED_VALUE"""),0.25)</f>
        <v>0.25</v>
      </c>
      <c r="G1568" s="3" t="str">
        <f ca="1">IFERROR(__xludf.UNSUPPORTED("""COMPUTED_VALUE"""),"regular")</f>
        <v>regular</v>
      </c>
      <c r="H1568" s="4">
        <f ca="1">IFERROR(__xludf.UNSUPPORTED("""COMPUTED_VALUE"""),45111.4208796296)</f>
        <v>45111.420879629601</v>
      </c>
      <c r="I1568" s="3">
        <f ca="1">IFERROR(__xludf.UNSUPPORTED("""COMPUTED_VALUE"""),6)</f>
        <v>6</v>
      </c>
      <c r="J1568" s="4">
        <f ca="1">IFERROR(__xludf.UNSUPPORTED("""COMPUTED_VALUE"""),45111.6708796296)</f>
        <v>45111.670879629601</v>
      </c>
      <c r="K1568" s="6" t="str">
        <f ca="1">IFERROR(__xludf.UNSUPPORTED("""COMPUTED_VALUE"""),"https://www.appsheet.com")</f>
        <v>https://www.appsheet.com</v>
      </c>
      <c r="L1568" s="3" t="str">
        <f ca="1">IFERROR(__xludf.UNSUPPORTED("""COMPUTED_VALUE"""),"Crítico")</f>
        <v>Crítico</v>
      </c>
    </row>
    <row r="1569" spans="1:12" ht="12.75">
      <c r="A1569" s="3" t="str">
        <f ca="1">IFERROR(__xludf.UNSUPPORTED("""COMPUTED_VALUE"""),"dacaf754")</f>
        <v>dacaf754</v>
      </c>
      <c r="B1569" s="4">
        <f ca="1">IFERROR(__xludf.UNSUPPORTED("""COMPUTED_VALUE"""),45113.4121875)</f>
        <v>45113.412187499998</v>
      </c>
      <c r="C1569" s="8" t="str">
        <f ca="1">IFERROR(__xludf.UNSUPPORTED("""COMPUTED_VALUE"""),"Recife")</f>
        <v>Recife</v>
      </c>
      <c r="D1569" s="3" t="str">
        <f ca="1">IFERROR(__xludf.UNSUPPORTED("""COMPUTED_VALUE"""),"🚢 REGULAR")</f>
        <v>🚢 REGULAR</v>
      </c>
      <c r="E1569" s="3" t="str">
        <f ca="1">IFERROR(__xludf.UNSUPPORTED("""COMPUTED_VALUE"""),"🚛 LIBERADO")</f>
        <v>🚛 LIBERADO</v>
      </c>
      <c r="F1569" s="5">
        <f ca="1">IFERROR(__xludf.UNSUPPORTED("""COMPUTED_VALUE"""),0.25)</f>
        <v>0.25</v>
      </c>
      <c r="G1569" s="3" t="str">
        <f ca="1">IFERROR(__xludf.UNSUPPORTED("""COMPUTED_VALUE"""),"Regular")</f>
        <v>Regular</v>
      </c>
      <c r="H1569" s="4">
        <f ca="1">IFERROR(__xludf.UNSUPPORTED("""COMPUTED_VALUE"""),45113.4121875)</f>
        <v>45113.412187499998</v>
      </c>
      <c r="I1569" s="3">
        <f ca="1">IFERROR(__xludf.UNSUPPORTED("""COMPUTED_VALUE"""),6)</f>
        <v>6</v>
      </c>
      <c r="J1569" s="4">
        <f ca="1">IFERROR(__xludf.UNSUPPORTED("""COMPUTED_VALUE"""),45113.6621875)</f>
        <v>45113.662187499998</v>
      </c>
      <c r="K1569" s="3" t="str">
        <f ca="1">IFERROR(__xludf.UNSUPPORTED("""COMPUTED_VALUE"""),"Porto do Recife")</f>
        <v>Porto do Recife</v>
      </c>
      <c r="L1569" s="3" t="str">
        <f ca="1">IFERROR(__xludf.UNSUPPORTED("""COMPUTED_VALUE"""),"Crítico")</f>
        <v>Crítico</v>
      </c>
    </row>
    <row r="1570" spans="1:12" ht="12.75">
      <c r="A1570" s="3" t="str">
        <f ca="1">IFERROR(__xludf.UNSUPPORTED("""COMPUTED_VALUE"""),"ccaa9e28")</f>
        <v>ccaa9e28</v>
      </c>
      <c r="B1570" s="4">
        <f ca="1">IFERROR(__xludf.UNSUPPORTED("""COMPUTED_VALUE"""),45114.3452893518)</f>
        <v>45114.345289351797</v>
      </c>
      <c r="C1570" s="8" t="str">
        <f ca="1">IFERROR(__xludf.UNSUPPORTED("""COMPUTED_VALUE"""),"Recife")</f>
        <v>Recife</v>
      </c>
      <c r="D1570" s="3" t="str">
        <f ca="1">IFERROR(__xludf.UNSUPPORTED("""COMPUTED_VALUE"""),"🚢 REGULAR")</f>
        <v>🚢 REGULAR</v>
      </c>
      <c r="E1570" s="3" t="str">
        <f ca="1">IFERROR(__xludf.UNSUPPORTED("""COMPUTED_VALUE"""),"🚛 LIBERADO")</f>
        <v>🚛 LIBERADO</v>
      </c>
      <c r="F1570" s="5">
        <f ca="1">IFERROR(__xludf.UNSUPPORTED("""COMPUTED_VALUE"""),0.25)</f>
        <v>0.25</v>
      </c>
      <c r="G1570" s="3" t="str">
        <f ca="1">IFERROR(__xludf.UNSUPPORTED("""COMPUTED_VALUE"""),"Regular")</f>
        <v>Regular</v>
      </c>
      <c r="H1570" s="4">
        <f ca="1">IFERROR(__xludf.UNSUPPORTED("""COMPUTED_VALUE"""),45114.3452893518)</f>
        <v>45114.345289351797</v>
      </c>
      <c r="I1570" s="3">
        <f ca="1">IFERROR(__xludf.UNSUPPORTED("""COMPUTED_VALUE"""),6)</f>
        <v>6</v>
      </c>
      <c r="J1570" s="4">
        <f ca="1">IFERROR(__xludf.UNSUPPORTED("""COMPUTED_VALUE"""),45114.5952893518)</f>
        <v>45114.595289351797</v>
      </c>
      <c r="K1570" s="3" t="str">
        <f ca="1">IFERROR(__xludf.UNSUPPORTED("""COMPUTED_VALUE"""),"Porto do Recife")</f>
        <v>Porto do Recife</v>
      </c>
      <c r="L1570" s="3" t="str">
        <f ca="1">IFERROR(__xludf.UNSUPPORTED("""COMPUTED_VALUE"""),"Crítico")</f>
        <v>Crítico</v>
      </c>
    </row>
    <row r="1571" spans="1:12" ht="12.75">
      <c r="A1571" s="3" t="str">
        <f ca="1">IFERROR(__xludf.UNSUPPORTED("""COMPUTED_VALUE"""),"63020ed6")</f>
        <v>63020ed6</v>
      </c>
      <c r="B1571" s="4">
        <f ca="1">IFERROR(__xludf.UNSUPPORTED("""COMPUTED_VALUE"""),45115.3902314814)</f>
        <v>45115.390231481397</v>
      </c>
      <c r="C1571" s="7" t="str">
        <f ca="1">IFERROR(__xludf.UNSUPPORTED("""COMPUTED_VALUE"""),"Recife")</f>
        <v>Recife</v>
      </c>
      <c r="D1571" s="3" t="str">
        <f ca="1">IFERROR(__xludf.UNSUPPORTED("""COMPUTED_VALUE"""),"🚢 REGULAR")</f>
        <v>🚢 REGULAR</v>
      </c>
      <c r="E1571" s="3" t="str">
        <f ca="1">IFERROR(__xludf.UNSUPPORTED("""COMPUTED_VALUE"""),"🚛 LIBERADO")</f>
        <v>🚛 LIBERADO</v>
      </c>
      <c r="F1571" s="5">
        <f ca="1">IFERROR(__xludf.UNSUPPORTED("""COMPUTED_VALUE"""),0.25)</f>
        <v>0.25</v>
      </c>
      <c r="G1571" s="3" t="str">
        <f ca="1">IFERROR(__xludf.UNSUPPORTED("""COMPUTED_VALUE"""),"Regular")</f>
        <v>Regular</v>
      </c>
      <c r="H1571" s="4">
        <f ca="1">IFERROR(__xludf.UNSUPPORTED("""COMPUTED_VALUE"""),45115.3902314814)</f>
        <v>45115.390231481397</v>
      </c>
      <c r="I1571" s="3">
        <f ca="1">IFERROR(__xludf.UNSUPPORTED("""COMPUTED_VALUE"""),6)</f>
        <v>6</v>
      </c>
      <c r="J1571" s="4">
        <f ca="1">IFERROR(__xludf.UNSUPPORTED("""COMPUTED_VALUE"""),45115.6402314814)</f>
        <v>45115.640231481397</v>
      </c>
      <c r="K1571" s="3" t="str">
        <f ca="1">IFERROR(__xludf.UNSUPPORTED("""COMPUTED_VALUE"""),"Porto do Recife")</f>
        <v>Porto do Recife</v>
      </c>
      <c r="L1571" s="3" t="str">
        <f ca="1">IFERROR(__xludf.UNSUPPORTED("""COMPUTED_VALUE"""),"Crítico")</f>
        <v>Crítico</v>
      </c>
    </row>
    <row r="1572" spans="1:12" ht="12.75">
      <c r="A1572" s="3" t="str">
        <f ca="1">IFERROR(__xludf.UNSUPPORTED("""COMPUTED_VALUE"""),"22e39c67")</f>
        <v>22e39c67</v>
      </c>
      <c r="B1572" s="4">
        <f ca="1">IFERROR(__xludf.UNSUPPORTED("""COMPUTED_VALUE"""),45116.4145833333)</f>
        <v>45116.414583333302</v>
      </c>
      <c r="C1572" s="8" t="str">
        <f ca="1">IFERROR(__xludf.UNSUPPORTED("""COMPUTED_VALUE"""),"Recife")</f>
        <v>Recife</v>
      </c>
      <c r="D1572" s="3" t="str">
        <f ca="1">IFERROR(__xludf.UNSUPPORTED("""COMPUTED_VALUE"""),"🚢 REGULAR")</f>
        <v>🚢 REGULAR</v>
      </c>
      <c r="E1572" s="3" t="str">
        <f ca="1">IFERROR(__xludf.UNSUPPORTED("""COMPUTED_VALUE"""),"🚛 LIBERADO")</f>
        <v>🚛 LIBERADO</v>
      </c>
      <c r="F1572" s="5">
        <f ca="1">IFERROR(__xludf.UNSUPPORTED("""COMPUTED_VALUE"""),0.25)</f>
        <v>0.25</v>
      </c>
      <c r="G1572" s="3" t="str">
        <f ca="1">IFERROR(__xludf.UNSUPPORTED("""COMPUTED_VALUE"""),"Regular")</f>
        <v>Regular</v>
      </c>
      <c r="H1572" s="4">
        <f ca="1">IFERROR(__xludf.UNSUPPORTED("""COMPUTED_VALUE"""),45116.4145833333)</f>
        <v>45116.414583333302</v>
      </c>
      <c r="I1572" s="3">
        <f ca="1">IFERROR(__xludf.UNSUPPORTED("""COMPUTED_VALUE"""),6)</f>
        <v>6</v>
      </c>
      <c r="J1572" s="4">
        <f ca="1">IFERROR(__xludf.UNSUPPORTED("""COMPUTED_VALUE"""),45116.6645833333)</f>
        <v>45116.664583333302</v>
      </c>
      <c r="K1572" s="3" t="str">
        <f ca="1">IFERROR(__xludf.UNSUPPORTED("""COMPUTED_VALUE"""),"Porto do Recife")</f>
        <v>Porto do Recife</v>
      </c>
      <c r="L1572" s="3" t="str">
        <f ca="1">IFERROR(__xludf.UNSUPPORTED("""COMPUTED_VALUE"""),"Crítico")</f>
        <v>Crítico</v>
      </c>
    </row>
    <row r="1573" spans="1:12" ht="12.75">
      <c r="A1573" s="3" t="str">
        <f ca="1">IFERROR(__xludf.UNSUPPORTED("""COMPUTED_VALUE"""),"12a9e9c3")</f>
        <v>12a9e9c3</v>
      </c>
      <c r="B1573" s="4">
        <f ca="1">IFERROR(__xludf.UNSUPPORTED("""COMPUTED_VALUE"""),45117.4325231481)</f>
        <v>45117.432523148098</v>
      </c>
      <c r="C1573" s="7" t="str">
        <f ca="1">IFERROR(__xludf.UNSUPPORTED("""COMPUTED_VALUE"""),"Recife")</f>
        <v>Recife</v>
      </c>
      <c r="D1573" s="3" t="str">
        <f ca="1">IFERROR(__xludf.UNSUPPORTED("""COMPUTED_VALUE"""),"🚢 REGULAR")</f>
        <v>🚢 REGULAR</v>
      </c>
      <c r="E1573" s="3" t="str">
        <f ca="1">IFERROR(__xludf.UNSUPPORTED("""COMPUTED_VALUE"""),"🚛 LIBERADO")</f>
        <v>🚛 LIBERADO</v>
      </c>
      <c r="F1573" s="5">
        <f ca="1">IFERROR(__xludf.UNSUPPORTED("""COMPUTED_VALUE"""),0.25)</f>
        <v>0.25</v>
      </c>
      <c r="G1573" s="3" t="str">
        <f ca="1">IFERROR(__xludf.UNSUPPORTED("""COMPUTED_VALUE"""),"Regular")</f>
        <v>Regular</v>
      </c>
      <c r="H1573" s="4">
        <f ca="1">IFERROR(__xludf.UNSUPPORTED("""COMPUTED_VALUE"""),45117.4325231481)</f>
        <v>45117.432523148098</v>
      </c>
      <c r="I1573" s="3">
        <f ca="1">IFERROR(__xludf.UNSUPPORTED("""COMPUTED_VALUE"""),6)</f>
        <v>6</v>
      </c>
      <c r="J1573" s="4">
        <f ca="1">IFERROR(__xludf.UNSUPPORTED("""COMPUTED_VALUE"""),45117.6825231481)</f>
        <v>45117.682523148098</v>
      </c>
      <c r="K1573" s="3" t="str">
        <f ca="1">IFERROR(__xludf.UNSUPPORTED("""COMPUTED_VALUE"""),"Porto do Recife")</f>
        <v>Porto do Recife</v>
      </c>
      <c r="L1573" s="3" t="str">
        <f ca="1">IFERROR(__xludf.UNSUPPORTED("""COMPUTED_VALUE"""),"Crítico")</f>
        <v>Crítico</v>
      </c>
    </row>
    <row r="1574" spans="1:12" ht="12.75">
      <c r="A1574" s="3" t="str">
        <f ca="1">IFERROR(__xludf.UNSUPPORTED("""COMPUTED_VALUE"""),"4c3c7b61")</f>
        <v>4c3c7b61</v>
      </c>
      <c r="B1574" s="4">
        <f ca="1">IFERROR(__xludf.UNSUPPORTED("""COMPUTED_VALUE"""),45118.3360879629)</f>
        <v>45118.336087962904</v>
      </c>
      <c r="C1574" s="7" t="str">
        <f ca="1">IFERROR(__xludf.UNSUPPORTED("""COMPUTED_VALUE"""),"Recife")</f>
        <v>Recife</v>
      </c>
      <c r="D1574" s="3" t="str">
        <f ca="1">IFERROR(__xludf.UNSUPPORTED("""COMPUTED_VALUE"""),"🚢 REGULAR")</f>
        <v>🚢 REGULAR</v>
      </c>
      <c r="E1574" s="3" t="str">
        <f ca="1">IFERROR(__xludf.UNSUPPORTED("""COMPUTED_VALUE"""),"🚛 LIBERADO")</f>
        <v>🚛 LIBERADO</v>
      </c>
      <c r="F1574" s="5">
        <f ca="1">IFERROR(__xludf.UNSUPPORTED("""COMPUTED_VALUE"""),0)</f>
        <v>0</v>
      </c>
      <c r="G1574" s="3" t="str">
        <f ca="1">IFERROR(__xludf.UNSUPPORTED("""COMPUTED_VALUE"""),"Regular")</f>
        <v>Regular</v>
      </c>
      <c r="H1574" s="4">
        <f ca="1">IFERROR(__xludf.UNSUPPORTED("""COMPUTED_VALUE"""),45118.3360879629)</f>
        <v>45118.336087962904</v>
      </c>
      <c r="I1574" s="3">
        <f ca="1">IFERROR(__xludf.UNSUPPORTED("""COMPUTED_VALUE"""),24)</f>
        <v>24</v>
      </c>
      <c r="J1574" s="4">
        <f ca="1">IFERROR(__xludf.UNSUPPORTED("""COMPUTED_VALUE"""),45119.3360879629)</f>
        <v>45119.336087962904</v>
      </c>
      <c r="K1574" s="3" t="str">
        <f ca="1">IFERROR(__xludf.UNSUPPORTED("""COMPUTED_VALUE"""),"Porto do Recife S/A")</f>
        <v>Porto do Recife S/A</v>
      </c>
      <c r="L1574" s="3" t="str">
        <f ca="1">IFERROR(__xludf.UNSUPPORTED("""COMPUTED_VALUE"""),"Normalidade")</f>
        <v>Normalidade</v>
      </c>
    </row>
    <row r="1575" spans="1:12" ht="12.75">
      <c r="A1575" s="3" t="str">
        <f ca="1">IFERROR(__xludf.UNSUPPORTED("""COMPUTED_VALUE"""),"fc210bda")</f>
        <v>fc210bda</v>
      </c>
      <c r="B1575" s="4">
        <f ca="1">IFERROR(__xludf.UNSUPPORTED("""COMPUTED_VALUE"""),45120.732037037)</f>
        <v>45120.732037037</v>
      </c>
      <c r="C1575" s="7" t="str">
        <f ca="1">IFERROR(__xludf.UNSUPPORTED("""COMPUTED_VALUE"""),"Recife")</f>
        <v>Recife</v>
      </c>
      <c r="D1575" s="3" t="str">
        <f ca="1">IFERROR(__xludf.UNSUPPORTED("""COMPUTED_VALUE"""),"🚢 REGULAR")</f>
        <v>🚢 REGULAR</v>
      </c>
      <c r="E1575" s="3" t="str">
        <f ca="1">IFERROR(__xludf.UNSUPPORTED("""COMPUTED_VALUE"""),"🚛 LIBERADO")</f>
        <v>🚛 LIBERADO</v>
      </c>
      <c r="F1575" s="5">
        <f ca="1">IFERROR(__xludf.UNSUPPORTED("""COMPUTED_VALUE"""),0.25)</f>
        <v>0.25</v>
      </c>
      <c r="G1575" s="3" t="str">
        <f ca="1">IFERROR(__xludf.UNSUPPORTED("""COMPUTED_VALUE"""),"Regular")</f>
        <v>Regular</v>
      </c>
      <c r="H1575" s="4">
        <f ca="1">IFERROR(__xludf.UNSUPPORTED("""COMPUTED_VALUE"""),45120.732037037)</f>
        <v>45120.732037037</v>
      </c>
      <c r="I1575" s="3">
        <f ca="1">IFERROR(__xludf.UNSUPPORTED("""COMPUTED_VALUE"""),6)</f>
        <v>6</v>
      </c>
      <c r="J1575" s="4">
        <f ca="1">IFERROR(__xludf.UNSUPPORTED("""COMPUTED_VALUE"""),45120.982037037)</f>
        <v>45120.982037037</v>
      </c>
      <c r="K1575" s="3" t="str">
        <f ca="1">IFERROR(__xludf.UNSUPPORTED("""COMPUTED_VALUE"""),"Porto do Recife")</f>
        <v>Porto do Recife</v>
      </c>
      <c r="L1575" s="3" t="str">
        <f ca="1">IFERROR(__xludf.UNSUPPORTED("""COMPUTED_VALUE"""),"Crítico")</f>
        <v>Crítico</v>
      </c>
    </row>
    <row r="1576" spans="1:12" ht="12.75">
      <c r="A1576" s="3" t="str">
        <f ca="1">IFERROR(__xludf.UNSUPPORTED("""COMPUTED_VALUE"""),"d36899a3")</f>
        <v>d36899a3</v>
      </c>
      <c r="B1576" s="4">
        <f ca="1">IFERROR(__xludf.UNSUPPORTED("""COMPUTED_VALUE"""),45121.3682060185)</f>
        <v>45121.368206018502</v>
      </c>
      <c r="C1576" s="7" t="str">
        <f ca="1">IFERROR(__xludf.UNSUPPORTED("""COMPUTED_VALUE"""),"Recife")</f>
        <v>Recife</v>
      </c>
      <c r="D1576" s="3" t="str">
        <f ca="1">IFERROR(__xludf.UNSUPPORTED("""COMPUTED_VALUE"""),"🚢 REGULAR")</f>
        <v>🚢 REGULAR</v>
      </c>
      <c r="E1576" s="3" t="str">
        <f ca="1">IFERROR(__xludf.UNSUPPORTED("""COMPUTED_VALUE"""),"🚛 LIBERADO")</f>
        <v>🚛 LIBERADO</v>
      </c>
      <c r="F1576" s="5">
        <f ca="1">IFERROR(__xludf.UNSUPPORTED("""COMPUTED_VALUE"""),0.25)</f>
        <v>0.25</v>
      </c>
      <c r="G1576" s="3" t="str">
        <f ca="1">IFERROR(__xludf.UNSUPPORTED("""COMPUTED_VALUE"""),"Regular")</f>
        <v>Regular</v>
      </c>
      <c r="H1576" s="4">
        <f ca="1">IFERROR(__xludf.UNSUPPORTED("""COMPUTED_VALUE"""),45121.3682060185)</f>
        <v>45121.368206018502</v>
      </c>
      <c r="I1576" s="3">
        <f ca="1">IFERROR(__xludf.UNSUPPORTED("""COMPUTED_VALUE"""),6)</f>
        <v>6</v>
      </c>
      <c r="J1576" s="4">
        <f ca="1">IFERROR(__xludf.UNSUPPORTED("""COMPUTED_VALUE"""),45121.6182060185)</f>
        <v>45121.618206018502</v>
      </c>
      <c r="K1576" s="3" t="str">
        <f ca="1">IFERROR(__xludf.UNSUPPORTED("""COMPUTED_VALUE"""),"Porto do Recife")</f>
        <v>Porto do Recife</v>
      </c>
      <c r="L1576" s="3" t="str">
        <f ca="1">IFERROR(__xludf.UNSUPPORTED("""COMPUTED_VALUE"""),"Crítico")</f>
        <v>Crítico</v>
      </c>
    </row>
    <row r="1577" spans="1:12" ht="12.75">
      <c r="A1577" s="3" t="str">
        <f ca="1">IFERROR(__xludf.UNSUPPORTED("""COMPUTED_VALUE"""),"50e9fdae")</f>
        <v>50e9fdae</v>
      </c>
      <c r="B1577" s="4">
        <f ca="1">IFERROR(__xludf.UNSUPPORTED("""COMPUTED_VALUE"""),45122.3126736111)</f>
        <v>45122.312673611101</v>
      </c>
      <c r="C1577" s="7" t="str">
        <f ca="1">IFERROR(__xludf.UNSUPPORTED("""COMPUTED_VALUE"""),"Recife")</f>
        <v>Recife</v>
      </c>
      <c r="D1577" s="3" t="str">
        <f ca="1">IFERROR(__xludf.UNSUPPORTED("""COMPUTED_VALUE"""),"🚢 REGULAR")</f>
        <v>🚢 REGULAR</v>
      </c>
      <c r="E1577" s="3" t="str">
        <f ca="1">IFERROR(__xludf.UNSUPPORTED("""COMPUTED_VALUE"""),"🚛 LIBERADO")</f>
        <v>🚛 LIBERADO</v>
      </c>
      <c r="F1577" s="5">
        <f ca="1">IFERROR(__xludf.UNSUPPORTED("""COMPUTED_VALUE"""),0.25)</f>
        <v>0.25</v>
      </c>
      <c r="G1577" s="3" t="str">
        <f ca="1">IFERROR(__xludf.UNSUPPORTED("""COMPUTED_VALUE"""),"Regular")</f>
        <v>Regular</v>
      </c>
      <c r="H1577" s="4">
        <f ca="1">IFERROR(__xludf.UNSUPPORTED("""COMPUTED_VALUE"""),45122.3126736111)</f>
        <v>45122.312673611101</v>
      </c>
      <c r="I1577" s="3">
        <f ca="1">IFERROR(__xludf.UNSUPPORTED("""COMPUTED_VALUE"""),6)</f>
        <v>6</v>
      </c>
      <c r="J1577" s="4">
        <f ca="1">IFERROR(__xludf.UNSUPPORTED("""COMPUTED_VALUE"""),45122.5626736111)</f>
        <v>45122.562673611101</v>
      </c>
      <c r="K1577" s="3" t="str">
        <f ca="1">IFERROR(__xludf.UNSUPPORTED("""COMPUTED_VALUE"""),"Porto do Recife")</f>
        <v>Porto do Recife</v>
      </c>
      <c r="L1577" s="3" t="str">
        <f ca="1">IFERROR(__xludf.UNSUPPORTED("""COMPUTED_VALUE"""),"Crítico")</f>
        <v>Crítico</v>
      </c>
    </row>
    <row r="1578" spans="1:12" ht="12.75">
      <c r="A1578" s="3" t="str">
        <f ca="1">IFERROR(__xludf.UNSUPPORTED("""COMPUTED_VALUE"""),"03b2733a")</f>
        <v>03b2733a</v>
      </c>
      <c r="B1578" s="4">
        <f ca="1">IFERROR(__xludf.UNSUPPORTED("""COMPUTED_VALUE"""),45124.4211689814)</f>
        <v>45124.421168981396</v>
      </c>
      <c r="C1578" s="8" t="str">
        <f ca="1">IFERROR(__xludf.UNSUPPORTED("""COMPUTED_VALUE"""),"Recife")</f>
        <v>Recife</v>
      </c>
      <c r="D1578" s="3" t="str">
        <f ca="1">IFERROR(__xludf.UNSUPPORTED("""COMPUTED_VALUE"""),"🚢 REGULAR")</f>
        <v>🚢 REGULAR</v>
      </c>
      <c r="E1578" s="3" t="str">
        <f ca="1">IFERROR(__xludf.UNSUPPORTED("""COMPUTED_VALUE"""),"🚛 LIBERADO")</f>
        <v>🚛 LIBERADO</v>
      </c>
      <c r="F1578" s="5">
        <f ca="1">IFERROR(__xludf.UNSUPPORTED("""COMPUTED_VALUE"""),0)</f>
        <v>0</v>
      </c>
      <c r="G1578" s="3" t="str">
        <f ca="1">IFERROR(__xludf.UNSUPPORTED("""COMPUTED_VALUE"""),"Normalidade")</f>
        <v>Normalidade</v>
      </c>
      <c r="H1578" s="4">
        <f ca="1">IFERROR(__xludf.UNSUPPORTED("""COMPUTED_VALUE"""),45124.4211689814)</f>
        <v>45124.421168981396</v>
      </c>
      <c r="I1578" s="3">
        <f ca="1">IFERROR(__xludf.UNSUPPORTED("""COMPUTED_VALUE"""),24)</f>
        <v>24</v>
      </c>
      <c r="J1578" s="4">
        <f ca="1">IFERROR(__xludf.UNSUPPORTED("""COMPUTED_VALUE"""),45125.4211689814)</f>
        <v>45125.421168981396</v>
      </c>
    </row>
    <row r="1579" spans="1:12" ht="12.75">
      <c r="A1579" s="3" t="str">
        <f ca="1">IFERROR(__xludf.UNSUPPORTED("""COMPUTED_VALUE"""),"24f430bd")</f>
        <v>24f430bd</v>
      </c>
      <c r="B1579" s="4">
        <f ca="1">IFERROR(__xludf.UNSUPPORTED("""COMPUTED_VALUE"""),45125.3574189814)</f>
        <v>45125.357418981403</v>
      </c>
      <c r="C1579" s="7" t="str">
        <f ca="1">IFERROR(__xludf.UNSUPPORTED("""COMPUTED_VALUE"""),"Recife")</f>
        <v>Recife</v>
      </c>
      <c r="D1579" s="3" t="str">
        <f ca="1">IFERROR(__xludf.UNSUPPORTED("""COMPUTED_VALUE"""),"🚢 REGULAR")</f>
        <v>🚢 REGULAR</v>
      </c>
      <c r="E1579" s="3" t="str">
        <f ca="1">IFERROR(__xludf.UNSUPPORTED("""COMPUTED_VALUE"""),"🚛 LIBERADO")</f>
        <v>🚛 LIBERADO</v>
      </c>
      <c r="F1579" s="5">
        <f ca="1">IFERROR(__xludf.UNSUPPORTED("""COMPUTED_VALUE"""),0)</f>
        <v>0</v>
      </c>
      <c r="G1579" s="3" t="str">
        <f ca="1">IFERROR(__xludf.UNSUPPORTED("""COMPUTED_VALUE"""),"Normalidade")</f>
        <v>Normalidade</v>
      </c>
      <c r="H1579" s="4">
        <f ca="1">IFERROR(__xludf.UNSUPPORTED("""COMPUTED_VALUE"""),45125.3574189814)</f>
        <v>45125.357418981403</v>
      </c>
      <c r="I1579" s="3">
        <f ca="1">IFERROR(__xludf.UNSUPPORTED("""COMPUTED_VALUE"""),24)</f>
        <v>24</v>
      </c>
      <c r="J1579" s="4">
        <f ca="1">IFERROR(__xludf.UNSUPPORTED("""COMPUTED_VALUE"""),45126.3574189814)</f>
        <v>45126.357418981403</v>
      </c>
    </row>
    <row r="1580" spans="1:12" ht="12.75">
      <c r="A1580" s="3" t="str">
        <f ca="1">IFERROR(__xludf.UNSUPPORTED("""COMPUTED_VALUE"""),"dcb059e4")</f>
        <v>dcb059e4</v>
      </c>
      <c r="B1580" s="4">
        <f ca="1">IFERROR(__xludf.UNSUPPORTED("""COMPUTED_VALUE"""),45126.4034953703)</f>
        <v>45126.403495370301</v>
      </c>
      <c r="C1580" s="7" t="str">
        <f ca="1">IFERROR(__xludf.UNSUPPORTED("""COMPUTED_VALUE"""),"Recife")</f>
        <v>Recife</v>
      </c>
      <c r="D1580" s="3" t="str">
        <f ca="1">IFERROR(__xludf.UNSUPPORTED("""COMPUTED_VALUE"""),"🚢 REGULAR")</f>
        <v>🚢 REGULAR</v>
      </c>
      <c r="E1580" s="3" t="str">
        <f ca="1">IFERROR(__xludf.UNSUPPORTED("""COMPUTED_VALUE"""),"🚛 LIBERADO")</f>
        <v>🚛 LIBERADO</v>
      </c>
      <c r="F1580" s="5">
        <f ca="1">IFERROR(__xludf.UNSUPPORTED("""COMPUTED_VALUE"""),0)</f>
        <v>0</v>
      </c>
      <c r="G1580" s="3" t="str">
        <f ca="1">IFERROR(__xludf.UNSUPPORTED("""COMPUTED_VALUE"""),"Normalidade")</f>
        <v>Normalidade</v>
      </c>
      <c r="H1580" s="4">
        <f ca="1">IFERROR(__xludf.UNSUPPORTED("""COMPUTED_VALUE"""),45126.4034953703)</f>
        <v>45126.403495370301</v>
      </c>
      <c r="I1580" s="3">
        <f ca="1">IFERROR(__xludf.UNSUPPORTED("""COMPUTED_VALUE"""),24)</f>
        <v>24</v>
      </c>
      <c r="J1580" s="4">
        <f ca="1">IFERROR(__xludf.UNSUPPORTED("""COMPUTED_VALUE"""),45127.4034953703)</f>
        <v>45127.403495370301</v>
      </c>
    </row>
    <row r="1581" spans="1:12" ht="12.75">
      <c r="A1581" s="3" t="str">
        <f ca="1">IFERROR(__xludf.UNSUPPORTED("""COMPUTED_VALUE"""),"62cbd53b")</f>
        <v>62cbd53b</v>
      </c>
      <c r="B1581" s="4">
        <f ca="1">IFERROR(__xludf.UNSUPPORTED("""COMPUTED_VALUE"""),45127.3878819444)</f>
        <v>45127.3878819444</v>
      </c>
      <c r="C1581" s="8" t="str">
        <f ca="1">IFERROR(__xludf.UNSUPPORTED("""COMPUTED_VALUE"""),"Recife")</f>
        <v>Recife</v>
      </c>
      <c r="D1581" s="3" t="str">
        <f ca="1">IFERROR(__xludf.UNSUPPORTED("""COMPUTED_VALUE"""),"🚢 REGULAR")</f>
        <v>🚢 REGULAR</v>
      </c>
      <c r="E1581" s="3" t="str">
        <f ca="1">IFERROR(__xludf.UNSUPPORTED("""COMPUTED_VALUE"""),"🚛 LIBERADO")</f>
        <v>🚛 LIBERADO</v>
      </c>
      <c r="F1581" s="5">
        <f ca="1">IFERROR(__xludf.UNSUPPORTED("""COMPUTED_VALUE"""),0)</f>
        <v>0</v>
      </c>
      <c r="G1581" s="3" t="str">
        <f ca="1">IFERROR(__xludf.UNSUPPORTED("""COMPUTED_VALUE"""),"Normalidade")</f>
        <v>Normalidade</v>
      </c>
      <c r="H1581" s="4">
        <f ca="1">IFERROR(__xludf.UNSUPPORTED("""COMPUTED_VALUE"""),45127.3878819444)</f>
        <v>45127.3878819444</v>
      </c>
      <c r="I1581" s="3">
        <f ca="1">IFERROR(__xludf.UNSUPPORTED("""COMPUTED_VALUE"""),24)</f>
        <v>24</v>
      </c>
      <c r="J1581" s="4">
        <f ca="1">IFERROR(__xludf.UNSUPPORTED("""COMPUTED_VALUE"""),45128.3878819444)</f>
        <v>45128.3878819444</v>
      </c>
    </row>
    <row r="1582" spans="1:12" ht="12.75">
      <c r="A1582" s="3" t="str">
        <f ca="1">IFERROR(__xludf.UNSUPPORTED("""COMPUTED_VALUE"""),"6fb0f843")</f>
        <v>6fb0f843</v>
      </c>
      <c r="B1582" s="4">
        <f ca="1">IFERROR(__xludf.UNSUPPORTED("""COMPUTED_VALUE"""),45128.4064583333)</f>
        <v>45128.406458333302</v>
      </c>
      <c r="C1582" s="7" t="str">
        <f ca="1">IFERROR(__xludf.UNSUPPORTED("""COMPUTED_VALUE"""),"Recife")</f>
        <v>Recife</v>
      </c>
      <c r="D1582" s="3" t="str">
        <f ca="1">IFERROR(__xludf.UNSUPPORTED("""COMPUTED_VALUE"""),"🚢 REGULAR")</f>
        <v>🚢 REGULAR</v>
      </c>
      <c r="E1582" s="3" t="str">
        <f ca="1">IFERROR(__xludf.UNSUPPORTED("""COMPUTED_VALUE"""),"🚛 LIBERADO")</f>
        <v>🚛 LIBERADO</v>
      </c>
      <c r="F1582" s="5">
        <f ca="1">IFERROR(__xludf.UNSUPPORTED("""COMPUTED_VALUE"""),0)</f>
        <v>0</v>
      </c>
      <c r="G1582" s="3" t="str">
        <f ca="1">IFERROR(__xludf.UNSUPPORTED("""COMPUTED_VALUE"""),"Normalidade")</f>
        <v>Normalidade</v>
      </c>
      <c r="H1582" s="4">
        <f ca="1">IFERROR(__xludf.UNSUPPORTED("""COMPUTED_VALUE"""),45128.4064583333)</f>
        <v>45128.406458333302</v>
      </c>
      <c r="I1582" s="3">
        <f ca="1">IFERROR(__xludf.UNSUPPORTED("""COMPUTED_VALUE"""),24)</f>
        <v>24</v>
      </c>
      <c r="J1582" s="4">
        <f ca="1">IFERROR(__xludf.UNSUPPORTED("""COMPUTED_VALUE"""),45129.4064583333)</f>
        <v>45129.406458333302</v>
      </c>
    </row>
    <row r="1583" spans="1:12" ht="12.75">
      <c r="A1583" s="3" t="str">
        <f ca="1">IFERROR(__xludf.UNSUPPORTED("""COMPUTED_VALUE"""),"6c3ba35f")</f>
        <v>6c3ba35f</v>
      </c>
      <c r="B1583" s="4">
        <f ca="1">IFERROR(__xludf.UNSUPPORTED("""COMPUTED_VALUE"""),45129.3995023148)</f>
        <v>45129.399502314802</v>
      </c>
      <c r="C1583" s="8" t="str">
        <f ca="1">IFERROR(__xludf.UNSUPPORTED("""COMPUTED_VALUE"""),"Recife")</f>
        <v>Recife</v>
      </c>
      <c r="D1583" s="3" t="str">
        <f ca="1">IFERROR(__xludf.UNSUPPORTED("""COMPUTED_VALUE"""),"🚢 REGULAR")</f>
        <v>🚢 REGULAR</v>
      </c>
      <c r="E1583" s="3" t="str">
        <f ca="1">IFERROR(__xludf.UNSUPPORTED("""COMPUTED_VALUE"""),"🚛 LIBERADO")</f>
        <v>🚛 LIBERADO</v>
      </c>
      <c r="F1583" s="5">
        <f ca="1">IFERROR(__xludf.UNSUPPORTED("""COMPUTED_VALUE"""),0)</f>
        <v>0</v>
      </c>
      <c r="G1583" s="3" t="str">
        <f ca="1">IFERROR(__xludf.UNSUPPORTED("""COMPUTED_VALUE"""),"Normalidade")</f>
        <v>Normalidade</v>
      </c>
      <c r="H1583" s="4">
        <f ca="1">IFERROR(__xludf.UNSUPPORTED("""COMPUTED_VALUE"""),45129.3995023148)</f>
        <v>45129.399502314802</v>
      </c>
      <c r="I1583" s="3">
        <f ca="1">IFERROR(__xludf.UNSUPPORTED("""COMPUTED_VALUE"""),24)</f>
        <v>24</v>
      </c>
      <c r="J1583" s="4">
        <f ca="1">IFERROR(__xludf.UNSUPPORTED("""COMPUTED_VALUE"""),45130.3995023148)</f>
        <v>45130.399502314802</v>
      </c>
    </row>
    <row r="1584" spans="1:12" ht="12.75">
      <c r="A1584" s="3" t="str">
        <f ca="1">IFERROR(__xludf.UNSUPPORTED("""COMPUTED_VALUE"""),"a17b30d0")</f>
        <v>a17b30d0</v>
      </c>
      <c r="B1584" s="4">
        <f ca="1">IFERROR(__xludf.UNSUPPORTED("""COMPUTED_VALUE"""),45130.3851736111)</f>
        <v>45130.385173611103</v>
      </c>
      <c r="C1584" s="8" t="str">
        <f ca="1">IFERROR(__xludf.UNSUPPORTED("""COMPUTED_VALUE"""),"Recife")</f>
        <v>Recife</v>
      </c>
      <c r="D1584" s="3" t="str">
        <f ca="1">IFERROR(__xludf.UNSUPPORTED("""COMPUTED_VALUE"""),"🚢 REGULAR")</f>
        <v>🚢 REGULAR</v>
      </c>
      <c r="E1584" s="3" t="str">
        <f ca="1">IFERROR(__xludf.UNSUPPORTED("""COMPUTED_VALUE"""),"🚛 LIBERADO")</f>
        <v>🚛 LIBERADO</v>
      </c>
      <c r="F1584" s="5">
        <f ca="1">IFERROR(__xludf.UNSUPPORTED("""COMPUTED_VALUE"""),0)</f>
        <v>0</v>
      </c>
      <c r="G1584" s="3" t="str">
        <f ca="1">IFERROR(__xludf.UNSUPPORTED("""COMPUTED_VALUE"""),"Normalidade")</f>
        <v>Normalidade</v>
      </c>
      <c r="H1584" s="4">
        <f ca="1">IFERROR(__xludf.UNSUPPORTED("""COMPUTED_VALUE"""),45130.3851736111)</f>
        <v>45130.385173611103</v>
      </c>
      <c r="I1584" s="3">
        <f ca="1">IFERROR(__xludf.UNSUPPORTED("""COMPUTED_VALUE"""),24)</f>
        <v>24</v>
      </c>
      <c r="J1584" s="4">
        <f ca="1">IFERROR(__xludf.UNSUPPORTED("""COMPUTED_VALUE"""),45131.3851736111)</f>
        <v>45131.385173611103</v>
      </c>
      <c r="L1584" s="3" t="str">
        <f ca="1">IFERROR(__xludf.UNSUPPORTED("""COMPUTED_VALUE"""),"Normalidade")</f>
        <v>Normalidade</v>
      </c>
    </row>
    <row r="1585" spans="1:12" ht="12.75">
      <c r="A1585" s="3" t="str">
        <f ca="1">IFERROR(__xludf.UNSUPPORTED("""COMPUTED_VALUE"""),"a66e73d1")</f>
        <v>a66e73d1</v>
      </c>
      <c r="B1585" s="4">
        <f ca="1">IFERROR(__xludf.UNSUPPORTED("""COMPUTED_VALUE"""),45130.3853125)</f>
        <v>45130.385312500002</v>
      </c>
      <c r="C1585" s="7" t="str">
        <f ca="1">IFERROR(__xludf.UNSUPPORTED("""COMPUTED_VALUE"""),"Recife")</f>
        <v>Recife</v>
      </c>
      <c r="D1585" s="3" t="str">
        <f ca="1">IFERROR(__xludf.UNSUPPORTED("""COMPUTED_VALUE"""),"🚢 REGULAR")</f>
        <v>🚢 REGULAR</v>
      </c>
      <c r="E1585" s="3" t="str">
        <f ca="1">IFERROR(__xludf.UNSUPPORTED("""COMPUTED_VALUE"""),"🚛 LIBERADO")</f>
        <v>🚛 LIBERADO</v>
      </c>
      <c r="F1585" s="5">
        <f ca="1">IFERROR(__xludf.UNSUPPORTED("""COMPUTED_VALUE"""),0)</f>
        <v>0</v>
      </c>
      <c r="G1585" s="3" t="str">
        <f ca="1">IFERROR(__xludf.UNSUPPORTED("""COMPUTED_VALUE"""),"Normalidade")</f>
        <v>Normalidade</v>
      </c>
      <c r="H1585" s="4">
        <f ca="1">IFERROR(__xludf.UNSUPPORTED("""COMPUTED_VALUE"""),45130.3853125)</f>
        <v>45130.385312500002</v>
      </c>
      <c r="I1585" s="3">
        <f ca="1">IFERROR(__xludf.UNSUPPORTED("""COMPUTED_VALUE"""),24)</f>
        <v>24</v>
      </c>
      <c r="J1585" s="4">
        <f ca="1">IFERROR(__xludf.UNSUPPORTED("""COMPUTED_VALUE"""),45131.3853125)</f>
        <v>45131.385312500002</v>
      </c>
    </row>
    <row r="1586" spans="1:12" ht="12.75">
      <c r="A1586" s="3" t="str">
        <f ca="1">IFERROR(__xludf.UNSUPPORTED("""COMPUTED_VALUE"""),"116ce273")</f>
        <v>116ce273</v>
      </c>
      <c r="B1586" s="4">
        <f ca="1">IFERROR(__xludf.UNSUPPORTED("""COMPUTED_VALUE"""),45131.4465162037)</f>
        <v>45131.446516203701</v>
      </c>
      <c r="C1586" s="8" t="str">
        <f ca="1">IFERROR(__xludf.UNSUPPORTED("""COMPUTED_VALUE"""),"Recife")</f>
        <v>Recife</v>
      </c>
      <c r="D1586" s="3" t="str">
        <f ca="1">IFERROR(__xludf.UNSUPPORTED("""COMPUTED_VALUE"""),"🚢 REGULAR")</f>
        <v>🚢 REGULAR</v>
      </c>
      <c r="E1586" s="3" t="str">
        <f ca="1">IFERROR(__xludf.UNSUPPORTED("""COMPUTED_VALUE"""),"🚛 LIBERADO")</f>
        <v>🚛 LIBERADO</v>
      </c>
      <c r="F1586" s="5">
        <f ca="1">IFERROR(__xludf.UNSUPPORTED("""COMPUTED_VALUE"""),0)</f>
        <v>0</v>
      </c>
      <c r="G1586" s="3" t="str">
        <f ca="1">IFERROR(__xludf.UNSUPPORTED("""COMPUTED_VALUE"""),"Normalidade")</f>
        <v>Normalidade</v>
      </c>
      <c r="H1586" s="4">
        <f ca="1">IFERROR(__xludf.UNSUPPORTED("""COMPUTED_VALUE"""),45131.4465162037)</f>
        <v>45131.446516203701</v>
      </c>
      <c r="I1586" s="3">
        <f ca="1">IFERROR(__xludf.UNSUPPORTED("""COMPUTED_VALUE"""),24)</f>
        <v>24</v>
      </c>
      <c r="J1586" s="4">
        <f ca="1">IFERROR(__xludf.UNSUPPORTED("""COMPUTED_VALUE"""),45132.4465162037)</f>
        <v>45132.446516203701</v>
      </c>
      <c r="L1586" s="3" t="str">
        <f ca="1">IFERROR(__xludf.UNSUPPORTED("""COMPUTED_VALUE"""),"Normalidade")</f>
        <v>Normalidade</v>
      </c>
    </row>
    <row r="1587" spans="1:12" ht="12.75">
      <c r="A1587" s="3" t="str">
        <f ca="1">IFERROR(__xludf.UNSUPPORTED("""COMPUTED_VALUE"""),"23422272")</f>
        <v>23422272</v>
      </c>
      <c r="B1587" s="4">
        <f ca="1">IFERROR(__xludf.UNSUPPORTED("""COMPUTED_VALUE"""),45132.4180902777)</f>
        <v>45132.418090277701</v>
      </c>
      <c r="C1587" s="7" t="str">
        <f ca="1">IFERROR(__xludf.UNSUPPORTED("""COMPUTED_VALUE"""),"Recife")</f>
        <v>Recife</v>
      </c>
      <c r="D1587" s="3" t="str">
        <f ca="1">IFERROR(__xludf.UNSUPPORTED("""COMPUTED_VALUE"""),"🚢 REGULAR")</f>
        <v>🚢 REGULAR</v>
      </c>
      <c r="E1587" s="3" t="str">
        <f ca="1">IFERROR(__xludf.UNSUPPORTED("""COMPUTED_VALUE"""),"🚛 LIBERADO")</f>
        <v>🚛 LIBERADO</v>
      </c>
      <c r="F1587" s="5">
        <f ca="1">IFERROR(__xludf.UNSUPPORTED("""COMPUTED_VALUE"""),0)</f>
        <v>0</v>
      </c>
      <c r="G1587" s="3" t="str">
        <f ca="1">IFERROR(__xludf.UNSUPPORTED("""COMPUTED_VALUE"""),"Normalidade")</f>
        <v>Normalidade</v>
      </c>
      <c r="H1587" s="4">
        <f ca="1">IFERROR(__xludf.UNSUPPORTED("""COMPUTED_VALUE"""),45132.4180902777)</f>
        <v>45132.418090277701</v>
      </c>
      <c r="I1587" s="3">
        <f ca="1">IFERROR(__xludf.UNSUPPORTED("""COMPUTED_VALUE"""),24)</f>
        <v>24</v>
      </c>
      <c r="J1587" s="4">
        <f ca="1">IFERROR(__xludf.UNSUPPORTED("""COMPUTED_VALUE"""),45133.4180902777)</f>
        <v>45133.418090277701</v>
      </c>
    </row>
    <row r="1588" spans="1:12" ht="12.75">
      <c r="A1588" s="3" t="str">
        <f ca="1">IFERROR(__xludf.UNSUPPORTED("""COMPUTED_VALUE"""),"a3d0e08b")</f>
        <v>a3d0e08b</v>
      </c>
      <c r="B1588" s="4">
        <f ca="1">IFERROR(__xludf.UNSUPPORTED("""COMPUTED_VALUE"""),45133.4014814814)</f>
        <v>45133.4014814814</v>
      </c>
      <c r="C1588" s="8" t="str">
        <f ca="1">IFERROR(__xludf.UNSUPPORTED("""COMPUTED_VALUE"""),"Recife")</f>
        <v>Recife</v>
      </c>
      <c r="D1588" s="3" t="str">
        <f ca="1">IFERROR(__xludf.UNSUPPORTED("""COMPUTED_VALUE"""),"🚢 REGULAR")</f>
        <v>🚢 REGULAR</v>
      </c>
      <c r="E1588" s="3" t="str">
        <f ca="1">IFERROR(__xludf.UNSUPPORTED("""COMPUTED_VALUE"""),"🚛 LIBERADO")</f>
        <v>🚛 LIBERADO</v>
      </c>
      <c r="F1588" s="5">
        <f ca="1">IFERROR(__xludf.UNSUPPORTED("""COMPUTED_VALUE"""),0)</f>
        <v>0</v>
      </c>
      <c r="G1588" s="3" t="str">
        <f ca="1">IFERROR(__xludf.UNSUPPORTED("""COMPUTED_VALUE"""),"Normalidade")</f>
        <v>Normalidade</v>
      </c>
      <c r="H1588" s="4">
        <f ca="1">IFERROR(__xludf.UNSUPPORTED("""COMPUTED_VALUE"""),45133.4014814814)</f>
        <v>45133.4014814814</v>
      </c>
      <c r="I1588" s="3">
        <f ca="1">IFERROR(__xludf.UNSUPPORTED("""COMPUTED_VALUE"""),24)</f>
        <v>24</v>
      </c>
      <c r="J1588" s="4">
        <f ca="1">IFERROR(__xludf.UNSUPPORTED("""COMPUTED_VALUE"""),45134.4014814814)</f>
        <v>45134.4014814814</v>
      </c>
    </row>
    <row r="1589" spans="1:12" ht="12.75">
      <c r="A1589" s="3" t="str">
        <f ca="1">IFERROR(__xludf.UNSUPPORTED("""COMPUTED_VALUE"""),"38ca07ed")</f>
        <v>38ca07ed</v>
      </c>
      <c r="B1589" s="4">
        <f ca="1">IFERROR(__xludf.UNSUPPORTED("""COMPUTED_VALUE"""),45134.534386574)</f>
        <v>45134.534386574</v>
      </c>
      <c r="C1589" s="7" t="str">
        <f ca="1">IFERROR(__xludf.UNSUPPORTED("""COMPUTED_VALUE"""),"Recife")</f>
        <v>Recife</v>
      </c>
      <c r="D1589" s="3" t="str">
        <f ca="1">IFERROR(__xludf.UNSUPPORTED("""COMPUTED_VALUE"""),"🚢 REGULAR")</f>
        <v>🚢 REGULAR</v>
      </c>
      <c r="E1589" s="3" t="str">
        <f ca="1">IFERROR(__xludf.UNSUPPORTED("""COMPUTED_VALUE"""),"🚛 LIBERADO")</f>
        <v>🚛 LIBERADO</v>
      </c>
      <c r="F1589" s="5">
        <f ca="1">IFERROR(__xludf.UNSUPPORTED("""COMPUTED_VALUE"""),0)</f>
        <v>0</v>
      </c>
      <c r="G1589" s="3" t="str">
        <f ca="1">IFERROR(__xludf.UNSUPPORTED("""COMPUTED_VALUE"""),"Normalidade")</f>
        <v>Normalidade</v>
      </c>
      <c r="H1589" s="4">
        <f ca="1">IFERROR(__xludf.UNSUPPORTED("""COMPUTED_VALUE"""),45134.534386574)</f>
        <v>45134.534386574</v>
      </c>
      <c r="I1589" s="3">
        <f ca="1">IFERROR(__xludf.UNSUPPORTED("""COMPUTED_VALUE"""),24)</f>
        <v>24</v>
      </c>
      <c r="J1589" s="4">
        <f ca="1">IFERROR(__xludf.UNSUPPORTED("""COMPUTED_VALUE"""),45135.534386574)</f>
        <v>45135.534386574</v>
      </c>
    </row>
    <row r="1590" spans="1:12" ht="12.75">
      <c r="A1590" s="3" t="str">
        <f ca="1">IFERROR(__xludf.UNSUPPORTED("""COMPUTED_VALUE"""),"ca49a47d")</f>
        <v>ca49a47d</v>
      </c>
      <c r="B1590" s="4">
        <f ca="1">IFERROR(__xludf.UNSUPPORTED("""COMPUTED_VALUE"""),45135.7510416666)</f>
        <v>45135.751041666597</v>
      </c>
      <c r="C1590" s="8" t="str">
        <f ca="1">IFERROR(__xludf.UNSUPPORTED("""COMPUTED_VALUE"""),"Recife")</f>
        <v>Recife</v>
      </c>
      <c r="D1590" s="3" t="str">
        <f ca="1">IFERROR(__xludf.UNSUPPORTED("""COMPUTED_VALUE"""),"🚢 REGULAR")</f>
        <v>🚢 REGULAR</v>
      </c>
      <c r="E1590" s="3" t="str">
        <f ca="1">IFERROR(__xludf.UNSUPPORTED("""COMPUTED_VALUE"""),"🚛 LIBERADO")</f>
        <v>🚛 LIBERADO</v>
      </c>
      <c r="F1590" s="5">
        <f ca="1">IFERROR(__xludf.UNSUPPORTED("""COMPUTED_VALUE"""),0)</f>
        <v>0</v>
      </c>
      <c r="G1590" s="3" t="str">
        <f ca="1">IFERROR(__xludf.UNSUPPORTED("""COMPUTED_VALUE"""),"Normalidade")</f>
        <v>Normalidade</v>
      </c>
      <c r="H1590" s="4">
        <f ca="1">IFERROR(__xludf.UNSUPPORTED("""COMPUTED_VALUE"""),45135.7510416666)</f>
        <v>45135.751041666597</v>
      </c>
      <c r="I1590" s="3">
        <f ca="1">IFERROR(__xludf.UNSUPPORTED("""COMPUTED_VALUE"""),24)</f>
        <v>24</v>
      </c>
      <c r="J1590" s="4">
        <f ca="1">IFERROR(__xludf.UNSUPPORTED("""COMPUTED_VALUE"""),45136.7510416666)</f>
        <v>45136.751041666597</v>
      </c>
    </row>
    <row r="1591" spans="1:12" ht="12.75">
      <c r="A1591" s="3" t="str">
        <f ca="1">IFERROR(__xludf.UNSUPPORTED("""COMPUTED_VALUE"""),"24ba8189")</f>
        <v>24ba8189</v>
      </c>
      <c r="B1591" s="4">
        <f ca="1">IFERROR(__xludf.UNSUPPORTED("""COMPUTED_VALUE"""),45136.4310300925)</f>
        <v>45136.431030092499</v>
      </c>
      <c r="C1591" s="7" t="str">
        <f ca="1">IFERROR(__xludf.UNSUPPORTED("""COMPUTED_VALUE"""),"Recife")</f>
        <v>Recife</v>
      </c>
      <c r="D1591" s="3" t="str">
        <f ca="1">IFERROR(__xludf.UNSUPPORTED("""COMPUTED_VALUE"""),"🚢 REGULAR")</f>
        <v>🚢 REGULAR</v>
      </c>
      <c r="E1591" s="3" t="str">
        <f ca="1">IFERROR(__xludf.UNSUPPORTED("""COMPUTED_VALUE"""),"🚛 LIBERADO")</f>
        <v>🚛 LIBERADO</v>
      </c>
      <c r="F1591" s="5">
        <f ca="1">IFERROR(__xludf.UNSUPPORTED("""COMPUTED_VALUE"""),0)</f>
        <v>0</v>
      </c>
      <c r="G1591" s="3" t="str">
        <f ca="1">IFERROR(__xludf.UNSUPPORTED("""COMPUTED_VALUE"""),"Normalidade")</f>
        <v>Normalidade</v>
      </c>
      <c r="H1591" s="4">
        <f ca="1">IFERROR(__xludf.UNSUPPORTED("""COMPUTED_VALUE"""),45136.4310300925)</f>
        <v>45136.431030092499</v>
      </c>
      <c r="I1591" s="3">
        <f ca="1">IFERROR(__xludf.UNSUPPORTED("""COMPUTED_VALUE"""),24)</f>
        <v>24</v>
      </c>
      <c r="J1591" s="4">
        <f ca="1">IFERROR(__xludf.UNSUPPORTED("""COMPUTED_VALUE"""),45137.4310300925)</f>
        <v>45137.431030092499</v>
      </c>
    </row>
    <row r="1592" spans="1:12" ht="12.75">
      <c r="A1592" s="3" t="str">
        <f ca="1">IFERROR(__xludf.UNSUPPORTED("""COMPUTED_VALUE"""),"2bb032c5")</f>
        <v>2bb032c5</v>
      </c>
      <c r="B1592" s="4">
        <f ca="1">IFERROR(__xludf.UNSUPPORTED("""COMPUTED_VALUE"""),45137.4768055555)</f>
        <v>45137.476805555503</v>
      </c>
      <c r="C1592" s="7" t="str">
        <f ca="1">IFERROR(__xludf.UNSUPPORTED("""COMPUTED_VALUE"""),"Recife")</f>
        <v>Recife</v>
      </c>
      <c r="D1592" s="3" t="str">
        <f ca="1">IFERROR(__xludf.UNSUPPORTED("""COMPUTED_VALUE"""),"🚢 REGULAR")</f>
        <v>🚢 REGULAR</v>
      </c>
      <c r="E1592" s="3" t="str">
        <f ca="1">IFERROR(__xludf.UNSUPPORTED("""COMPUTED_VALUE"""),"🚛 LIBERADO")</f>
        <v>🚛 LIBERADO</v>
      </c>
      <c r="F1592" s="5">
        <f ca="1">IFERROR(__xludf.UNSUPPORTED("""COMPUTED_VALUE"""),0)</f>
        <v>0</v>
      </c>
      <c r="G1592" s="3" t="str">
        <f ca="1">IFERROR(__xludf.UNSUPPORTED("""COMPUTED_VALUE"""),"Normalidade")</f>
        <v>Normalidade</v>
      </c>
      <c r="H1592" s="4">
        <f ca="1">IFERROR(__xludf.UNSUPPORTED("""COMPUTED_VALUE"""),45137.4768055555)</f>
        <v>45137.476805555503</v>
      </c>
      <c r="I1592" s="3">
        <f ca="1">IFERROR(__xludf.UNSUPPORTED("""COMPUTED_VALUE"""),24)</f>
        <v>24</v>
      </c>
      <c r="J1592" s="4">
        <f ca="1">IFERROR(__xludf.UNSUPPORTED("""COMPUTED_VALUE"""),45138.4768055555)</f>
        <v>45138.476805555503</v>
      </c>
    </row>
    <row r="1593" spans="1:12" ht="12.75">
      <c r="A1593" s="3" t="str">
        <f ca="1">IFERROR(__xludf.UNSUPPORTED("""COMPUTED_VALUE"""),"2a46953d")</f>
        <v>2a46953d</v>
      </c>
      <c r="B1593" s="4">
        <f ca="1">IFERROR(__xludf.UNSUPPORTED("""COMPUTED_VALUE"""),45138.4468981481)</f>
        <v>45138.446898148097</v>
      </c>
      <c r="C1593" s="8" t="str">
        <f ca="1">IFERROR(__xludf.UNSUPPORTED("""COMPUTED_VALUE"""),"Recife")</f>
        <v>Recife</v>
      </c>
      <c r="D1593" s="3" t="str">
        <f ca="1">IFERROR(__xludf.UNSUPPORTED("""COMPUTED_VALUE"""),"🚢 REGULAR")</f>
        <v>🚢 REGULAR</v>
      </c>
      <c r="E1593" s="3" t="str">
        <f ca="1">IFERROR(__xludf.UNSUPPORTED("""COMPUTED_VALUE"""),"🚛 LIBERADO")</f>
        <v>🚛 LIBERADO</v>
      </c>
      <c r="F1593" s="5">
        <f ca="1">IFERROR(__xludf.UNSUPPORTED("""COMPUTED_VALUE"""),0)</f>
        <v>0</v>
      </c>
      <c r="G1593" s="3" t="str">
        <f ca="1">IFERROR(__xludf.UNSUPPORTED("""COMPUTED_VALUE"""),"Normalidade")</f>
        <v>Normalidade</v>
      </c>
      <c r="H1593" s="4">
        <f ca="1">IFERROR(__xludf.UNSUPPORTED("""COMPUTED_VALUE"""),45138.4468981481)</f>
        <v>45138.446898148097</v>
      </c>
      <c r="I1593" s="3">
        <f ca="1">IFERROR(__xludf.UNSUPPORTED("""COMPUTED_VALUE"""),24)</f>
        <v>24</v>
      </c>
      <c r="J1593" s="4">
        <f ca="1">IFERROR(__xludf.UNSUPPORTED("""COMPUTED_VALUE"""),45139.4468981481)</f>
        <v>45139.446898148097</v>
      </c>
    </row>
    <row r="1594" spans="1:12" ht="12.75">
      <c r="A1594" s="3" t="str">
        <f ca="1">IFERROR(__xludf.UNSUPPORTED("""COMPUTED_VALUE"""),"70f6c641")</f>
        <v>70f6c641</v>
      </c>
      <c r="B1594" s="4">
        <f ca="1">IFERROR(__xludf.UNSUPPORTED("""COMPUTED_VALUE"""),45139.4159722222)</f>
        <v>45139.415972222203</v>
      </c>
      <c r="C1594" s="7" t="str">
        <f ca="1">IFERROR(__xludf.UNSUPPORTED("""COMPUTED_VALUE"""),"Recife")</f>
        <v>Recife</v>
      </c>
      <c r="D1594" s="3" t="str">
        <f ca="1">IFERROR(__xludf.UNSUPPORTED("""COMPUTED_VALUE"""),"🚢 REGULAR")</f>
        <v>🚢 REGULAR</v>
      </c>
      <c r="E1594" s="3" t="str">
        <f ca="1">IFERROR(__xludf.UNSUPPORTED("""COMPUTED_VALUE"""),"🚛 LIBERADO")</f>
        <v>🚛 LIBERADO</v>
      </c>
      <c r="F1594" s="5">
        <f ca="1">IFERROR(__xludf.UNSUPPORTED("""COMPUTED_VALUE"""),0.25)</f>
        <v>0.25</v>
      </c>
      <c r="G1594" s="3" t="str">
        <f ca="1">IFERROR(__xludf.UNSUPPORTED("""COMPUTED_VALUE"""),"Regular")</f>
        <v>Regular</v>
      </c>
      <c r="H1594" s="4">
        <f ca="1">IFERROR(__xludf.UNSUPPORTED("""COMPUTED_VALUE"""),45139.4159722222)</f>
        <v>45139.415972222203</v>
      </c>
      <c r="I1594" s="3">
        <f ca="1">IFERROR(__xludf.UNSUPPORTED("""COMPUTED_VALUE"""),6)</f>
        <v>6</v>
      </c>
      <c r="J1594" s="4">
        <f ca="1">IFERROR(__xludf.UNSUPPORTED("""COMPUTED_VALUE"""),45139.6659722222)</f>
        <v>45139.665972222203</v>
      </c>
      <c r="K1594" s="3" t="str">
        <f ca="1">IFERROR(__xludf.UNSUPPORTED("""COMPUTED_VALUE"""),"Porto do Recife")</f>
        <v>Porto do Recife</v>
      </c>
      <c r="L1594" s="3" t="str">
        <f ca="1">IFERROR(__xludf.UNSUPPORTED("""COMPUTED_VALUE"""),"Crítico")</f>
        <v>Crítico</v>
      </c>
    </row>
    <row r="1595" spans="1:12" ht="12.75">
      <c r="A1595" s="3" t="str">
        <f ca="1">IFERROR(__xludf.UNSUPPORTED("""COMPUTED_VALUE"""),"93204a03")</f>
        <v>93204a03</v>
      </c>
      <c r="B1595" s="4">
        <f ca="1">IFERROR(__xludf.UNSUPPORTED("""COMPUTED_VALUE"""),45140.2949884259)</f>
        <v>45140.2949884259</v>
      </c>
      <c r="C1595" s="8" t="str">
        <f ca="1">IFERROR(__xludf.UNSUPPORTED("""COMPUTED_VALUE"""),"Recife")</f>
        <v>Recife</v>
      </c>
      <c r="D1595" s="3" t="str">
        <f ca="1">IFERROR(__xludf.UNSUPPORTED("""COMPUTED_VALUE"""),"🚢 REGULAR")</f>
        <v>🚢 REGULAR</v>
      </c>
      <c r="E1595" s="3" t="str">
        <f ca="1">IFERROR(__xludf.UNSUPPORTED("""COMPUTED_VALUE"""),"🚛 LIBERADO")</f>
        <v>🚛 LIBERADO</v>
      </c>
      <c r="F1595" s="5">
        <f ca="1">IFERROR(__xludf.UNSUPPORTED("""COMPUTED_VALUE"""),0.25)</f>
        <v>0.25</v>
      </c>
      <c r="G1595" s="3" t="str">
        <f ca="1">IFERROR(__xludf.UNSUPPORTED("""COMPUTED_VALUE"""),"Regular")</f>
        <v>Regular</v>
      </c>
      <c r="H1595" s="4">
        <f ca="1">IFERROR(__xludf.UNSUPPORTED("""COMPUTED_VALUE"""),45140.2949884259)</f>
        <v>45140.2949884259</v>
      </c>
      <c r="I1595" s="3">
        <f ca="1">IFERROR(__xludf.UNSUPPORTED("""COMPUTED_VALUE"""),6)</f>
        <v>6</v>
      </c>
      <c r="J1595" s="4">
        <f ca="1">IFERROR(__xludf.UNSUPPORTED("""COMPUTED_VALUE"""),45140.5449884259)</f>
        <v>45140.5449884259</v>
      </c>
      <c r="K1595" s="3" t="str">
        <f ca="1">IFERROR(__xludf.UNSUPPORTED("""COMPUTED_VALUE"""),"Porto do Recife")</f>
        <v>Porto do Recife</v>
      </c>
      <c r="L1595" s="3" t="str">
        <f ca="1">IFERROR(__xludf.UNSUPPORTED("""COMPUTED_VALUE"""),"Crítico")</f>
        <v>Crítico</v>
      </c>
    </row>
    <row r="1596" spans="1:12" ht="12.75">
      <c r="A1596" s="3" t="str">
        <f ca="1">IFERROR(__xludf.UNSUPPORTED("""COMPUTED_VALUE"""),"390f453d")</f>
        <v>390f453d</v>
      </c>
      <c r="B1596" s="4">
        <f ca="1">IFERROR(__xludf.UNSUPPORTED("""COMPUTED_VALUE"""),45141.2846180555)</f>
        <v>45141.284618055499</v>
      </c>
      <c r="C1596" s="8" t="str">
        <f ca="1">IFERROR(__xludf.UNSUPPORTED("""COMPUTED_VALUE"""),"Recife")</f>
        <v>Recife</v>
      </c>
      <c r="D1596" s="3" t="str">
        <f ca="1">IFERROR(__xludf.UNSUPPORTED("""COMPUTED_VALUE"""),"🚢 REGULAR")</f>
        <v>🚢 REGULAR</v>
      </c>
      <c r="E1596" s="3" t="str">
        <f ca="1">IFERROR(__xludf.UNSUPPORTED("""COMPUTED_VALUE"""),"🚛 LIBERADO")</f>
        <v>🚛 LIBERADO</v>
      </c>
      <c r="F1596" s="5">
        <f ca="1">IFERROR(__xludf.UNSUPPORTED("""COMPUTED_VALUE"""),0.25)</f>
        <v>0.25</v>
      </c>
      <c r="G1596" s="3" t="str">
        <f ca="1">IFERROR(__xludf.UNSUPPORTED("""COMPUTED_VALUE"""),"Regular")</f>
        <v>Regular</v>
      </c>
      <c r="H1596" s="4">
        <f ca="1">IFERROR(__xludf.UNSUPPORTED("""COMPUTED_VALUE"""),45141.2846180555)</f>
        <v>45141.284618055499</v>
      </c>
      <c r="I1596" s="3">
        <f ca="1">IFERROR(__xludf.UNSUPPORTED("""COMPUTED_VALUE"""),6)</f>
        <v>6</v>
      </c>
      <c r="J1596" s="4">
        <f ca="1">IFERROR(__xludf.UNSUPPORTED("""COMPUTED_VALUE"""),45141.5346180555)</f>
        <v>45141.534618055499</v>
      </c>
      <c r="K1596" s="3" t="str">
        <f ca="1">IFERROR(__xludf.UNSUPPORTED("""COMPUTED_VALUE"""),"Porto do Recife")</f>
        <v>Porto do Recife</v>
      </c>
      <c r="L1596" s="3" t="str">
        <f ca="1">IFERROR(__xludf.UNSUPPORTED("""COMPUTED_VALUE"""),"Crítico")</f>
        <v>Crítico</v>
      </c>
    </row>
    <row r="1597" spans="1:12" ht="12.75">
      <c r="A1597" s="3" t="str">
        <f ca="1">IFERROR(__xludf.UNSUPPORTED("""COMPUTED_VALUE"""),"7aa045ab")</f>
        <v>7aa045ab</v>
      </c>
      <c r="B1597" s="4">
        <f ca="1">IFERROR(__xludf.UNSUPPORTED("""COMPUTED_VALUE"""),45142.7115162037)</f>
        <v>45142.711516203701</v>
      </c>
      <c r="C1597" s="8" t="str">
        <f ca="1">IFERROR(__xludf.UNSUPPORTED("""COMPUTED_VALUE"""),"Recife")</f>
        <v>Recife</v>
      </c>
      <c r="D1597" s="3" t="str">
        <f ca="1">IFERROR(__xludf.UNSUPPORTED("""COMPUTED_VALUE"""),"🚢 REGULAR")</f>
        <v>🚢 REGULAR</v>
      </c>
      <c r="E1597" s="3" t="str">
        <f ca="1">IFERROR(__xludf.UNSUPPORTED("""COMPUTED_VALUE"""),"🚛 LIBERADO")</f>
        <v>🚛 LIBERADO</v>
      </c>
      <c r="F1597" s="5">
        <f ca="1">IFERROR(__xludf.UNSUPPORTED("""COMPUTED_VALUE"""),0.25)</f>
        <v>0.25</v>
      </c>
      <c r="G1597" s="3" t="str">
        <f ca="1">IFERROR(__xludf.UNSUPPORTED("""COMPUTED_VALUE"""),"Regular")</f>
        <v>Regular</v>
      </c>
      <c r="H1597" s="4">
        <f ca="1">IFERROR(__xludf.UNSUPPORTED("""COMPUTED_VALUE"""),45142.7115162037)</f>
        <v>45142.711516203701</v>
      </c>
      <c r="I1597" s="3">
        <f ca="1">IFERROR(__xludf.UNSUPPORTED("""COMPUTED_VALUE"""),6)</f>
        <v>6</v>
      </c>
      <c r="J1597" s="4">
        <f ca="1">IFERROR(__xludf.UNSUPPORTED("""COMPUTED_VALUE"""),45142.9615162037)</f>
        <v>45142.961516203701</v>
      </c>
      <c r="K1597" s="3" t="str">
        <f ca="1">IFERROR(__xludf.UNSUPPORTED("""COMPUTED_VALUE"""),"Porto do Recife")</f>
        <v>Porto do Recife</v>
      </c>
      <c r="L1597" s="3" t="str">
        <f ca="1">IFERROR(__xludf.UNSUPPORTED("""COMPUTED_VALUE"""),"Crítico")</f>
        <v>Crítico</v>
      </c>
    </row>
    <row r="1598" spans="1:12" ht="12.75">
      <c r="A1598" s="3" t="str">
        <f ca="1">IFERROR(__xludf.UNSUPPORTED("""COMPUTED_VALUE"""),"0abfe063")</f>
        <v>0abfe063</v>
      </c>
      <c r="B1598" s="4">
        <f ca="1">IFERROR(__xludf.UNSUPPORTED("""COMPUTED_VALUE"""),45143.3045254629)</f>
        <v>45143.304525462903</v>
      </c>
      <c r="C1598" s="7" t="str">
        <f ca="1">IFERROR(__xludf.UNSUPPORTED("""COMPUTED_VALUE"""),"Recife")</f>
        <v>Recife</v>
      </c>
      <c r="D1598" s="3" t="str">
        <f ca="1">IFERROR(__xludf.UNSUPPORTED("""COMPUTED_VALUE"""),"🚢 REGULAR")</f>
        <v>🚢 REGULAR</v>
      </c>
      <c r="E1598" s="3" t="str">
        <f ca="1">IFERROR(__xludf.UNSUPPORTED("""COMPUTED_VALUE"""),"🚛 LIBERADO")</f>
        <v>🚛 LIBERADO</v>
      </c>
      <c r="F1598" s="5">
        <f ca="1">IFERROR(__xludf.UNSUPPORTED("""COMPUTED_VALUE"""),0.25)</f>
        <v>0.25</v>
      </c>
      <c r="G1598" s="3" t="str">
        <f ca="1">IFERROR(__xludf.UNSUPPORTED("""COMPUTED_VALUE"""),"Regular")</f>
        <v>Regular</v>
      </c>
      <c r="H1598" s="4">
        <f ca="1">IFERROR(__xludf.UNSUPPORTED("""COMPUTED_VALUE"""),45143.3045254629)</f>
        <v>45143.304525462903</v>
      </c>
      <c r="I1598" s="3">
        <f ca="1">IFERROR(__xludf.UNSUPPORTED("""COMPUTED_VALUE"""),6)</f>
        <v>6</v>
      </c>
      <c r="J1598" s="4">
        <f ca="1">IFERROR(__xludf.UNSUPPORTED("""COMPUTED_VALUE"""),45143.5545254629)</f>
        <v>45143.554525462903</v>
      </c>
      <c r="K1598" s="3" t="str">
        <f ca="1">IFERROR(__xludf.UNSUPPORTED("""COMPUTED_VALUE"""),"Porto do Recife")</f>
        <v>Porto do Recife</v>
      </c>
      <c r="L1598" s="3" t="str">
        <f ca="1">IFERROR(__xludf.UNSUPPORTED("""COMPUTED_VALUE"""),"Crítico")</f>
        <v>Crítico</v>
      </c>
    </row>
    <row r="1599" spans="1:12" ht="12.75">
      <c r="A1599" s="3" t="str">
        <f ca="1">IFERROR(__xludf.UNSUPPORTED("""COMPUTED_VALUE"""),"5f3508e1")</f>
        <v>5f3508e1</v>
      </c>
      <c r="B1599" s="4">
        <f ca="1">IFERROR(__xludf.UNSUPPORTED("""COMPUTED_VALUE"""),45144.5493402777)</f>
        <v>45144.549340277699</v>
      </c>
      <c r="C1599" s="8" t="str">
        <f ca="1">IFERROR(__xludf.UNSUPPORTED("""COMPUTED_VALUE"""),"Recife")</f>
        <v>Recife</v>
      </c>
      <c r="D1599" s="3" t="str">
        <f ca="1">IFERROR(__xludf.UNSUPPORTED("""COMPUTED_VALUE"""),"🚢 REGULAR")</f>
        <v>🚢 REGULAR</v>
      </c>
      <c r="E1599" s="3" t="str">
        <f ca="1">IFERROR(__xludf.UNSUPPORTED("""COMPUTED_VALUE"""),"🚛 LIBERADO")</f>
        <v>🚛 LIBERADO</v>
      </c>
      <c r="F1599" s="5">
        <f ca="1">IFERROR(__xludf.UNSUPPORTED("""COMPUTED_VALUE"""),0.25)</f>
        <v>0.25</v>
      </c>
      <c r="G1599" s="3" t="str">
        <f ca="1">IFERROR(__xludf.UNSUPPORTED("""COMPUTED_VALUE"""),"Regular")</f>
        <v>Regular</v>
      </c>
      <c r="H1599" s="4">
        <f ca="1">IFERROR(__xludf.UNSUPPORTED("""COMPUTED_VALUE"""),45144.5493402777)</f>
        <v>45144.549340277699</v>
      </c>
      <c r="I1599" s="3">
        <f ca="1">IFERROR(__xludf.UNSUPPORTED("""COMPUTED_VALUE"""),6)</f>
        <v>6</v>
      </c>
      <c r="J1599" s="4">
        <f ca="1">IFERROR(__xludf.UNSUPPORTED("""COMPUTED_VALUE"""),45144.7993402777)</f>
        <v>45144.799340277699</v>
      </c>
      <c r="K1599" s="3" t="str">
        <f ca="1">IFERROR(__xludf.UNSUPPORTED("""COMPUTED_VALUE"""),"Porto do Recife")</f>
        <v>Porto do Recife</v>
      </c>
      <c r="L1599" s="3" t="str">
        <f ca="1">IFERROR(__xludf.UNSUPPORTED("""COMPUTED_VALUE"""),"Crítico")</f>
        <v>Crítico</v>
      </c>
    </row>
    <row r="1600" spans="1:12" ht="12.75">
      <c r="A1600" s="3" t="str">
        <f ca="1">IFERROR(__xludf.UNSUPPORTED("""COMPUTED_VALUE"""),"80ca87c5")</f>
        <v>80ca87c5</v>
      </c>
      <c r="B1600" s="4">
        <f ca="1">IFERROR(__xludf.UNSUPPORTED("""COMPUTED_VALUE"""),45145.3487037037)</f>
        <v>45145.348703703698</v>
      </c>
      <c r="C1600" s="7" t="str">
        <f ca="1">IFERROR(__xludf.UNSUPPORTED("""COMPUTED_VALUE"""),"Recife")</f>
        <v>Recife</v>
      </c>
      <c r="D1600" s="3" t="str">
        <f ca="1">IFERROR(__xludf.UNSUPPORTED("""COMPUTED_VALUE"""),"🚢 REGULAR")</f>
        <v>🚢 REGULAR</v>
      </c>
      <c r="E1600" s="3" t="str">
        <f ca="1">IFERROR(__xludf.UNSUPPORTED("""COMPUTED_VALUE"""),"🚛 LIBERADO")</f>
        <v>🚛 LIBERADO</v>
      </c>
      <c r="F1600" s="5">
        <f ca="1">IFERROR(__xludf.UNSUPPORTED("""COMPUTED_VALUE"""),0.25)</f>
        <v>0.25</v>
      </c>
      <c r="G1600" s="3" t="str">
        <f ca="1">IFERROR(__xludf.UNSUPPORTED("""COMPUTED_VALUE"""),"Regular")</f>
        <v>Regular</v>
      </c>
      <c r="H1600" s="4">
        <f ca="1">IFERROR(__xludf.UNSUPPORTED("""COMPUTED_VALUE"""),45145.3487037037)</f>
        <v>45145.348703703698</v>
      </c>
      <c r="I1600" s="3">
        <f ca="1">IFERROR(__xludf.UNSUPPORTED("""COMPUTED_VALUE"""),6)</f>
        <v>6</v>
      </c>
      <c r="J1600" s="4">
        <f ca="1">IFERROR(__xludf.UNSUPPORTED("""COMPUTED_VALUE"""),45145.5987037037)</f>
        <v>45145.598703703698</v>
      </c>
      <c r="K1600" s="3" t="str">
        <f ca="1">IFERROR(__xludf.UNSUPPORTED("""COMPUTED_VALUE"""),"Porto do Recife")</f>
        <v>Porto do Recife</v>
      </c>
      <c r="L1600" s="3" t="str">
        <f ca="1">IFERROR(__xludf.UNSUPPORTED("""COMPUTED_VALUE"""),"Crítico")</f>
        <v>Crítico</v>
      </c>
    </row>
    <row r="1601" spans="1:12" ht="12.75">
      <c r="A1601" s="3" t="str">
        <f ca="1">IFERROR(__xludf.UNSUPPORTED("""COMPUTED_VALUE"""),"71500b19")</f>
        <v>71500b19</v>
      </c>
      <c r="B1601" s="4">
        <f ca="1">IFERROR(__xludf.UNSUPPORTED("""COMPUTED_VALUE"""),45146.33625)</f>
        <v>45146.33625</v>
      </c>
      <c r="C1601" s="7" t="str">
        <f ca="1">IFERROR(__xludf.UNSUPPORTED("""COMPUTED_VALUE"""),"Recife")</f>
        <v>Recife</v>
      </c>
      <c r="D1601" s="3" t="str">
        <f ca="1">IFERROR(__xludf.UNSUPPORTED("""COMPUTED_VALUE"""),"🚢 REGULAR")</f>
        <v>🚢 REGULAR</v>
      </c>
      <c r="E1601" s="3" t="str">
        <f ca="1">IFERROR(__xludf.UNSUPPORTED("""COMPUTED_VALUE"""),"🚛 LIBERADO")</f>
        <v>🚛 LIBERADO</v>
      </c>
      <c r="F1601" s="5">
        <f ca="1">IFERROR(__xludf.UNSUPPORTED("""COMPUTED_VALUE"""),0.25)</f>
        <v>0.25</v>
      </c>
      <c r="G1601" s="3" t="str">
        <f ca="1">IFERROR(__xludf.UNSUPPORTED("""COMPUTED_VALUE"""),"Regular")</f>
        <v>Regular</v>
      </c>
      <c r="H1601" s="4">
        <f ca="1">IFERROR(__xludf.UNSUPPORTED("""COMPUTED_VALUE"""),45146.33625)</f>
        <v>45146.33625</v>
      </c>
      <c r="I1601" s="3">
        <f ca="1">IFERROR(__xludf.UNSUPPORTED("""COMPUTED_VALUE"""),6)</f>
        <v>6</v>
      </c>
      <c r="J1601" s="4">
        <f ca="1">IFERROR(__xludf.UNSUPPORTED("""COMPUTED_VALUE"""),45146.58625)</f>
        <v>45146.58625</v>
      </c>
      <c r="K1601" s="3" t="str">
        <f ca="1">IFERROR(__xludf.UNSUPPORTED("""COMPUTED_VALUE"""),"Porto do Recife")</f>
        <v>Porto do Recife</v>
      </c>
      <c r="L1601" s="3" t="str">
        <f ca="1">IFERROR(__xludf.UNSUPPORTED("""COMPUTED_VALUE"""),"Crítico")</f>
        <v>Crítico</v>
      </c>
    </row>
    <row r="1602" spans="1:12" ht="12.75">
      <c r="A1602" s="3" t="str">
        <f ca="1">IFERROR(__xludf.UNSUPPORTED("""COMPUTED_VALUE"""),"f34dac93")</f>
        <v>f34dac93</v>
      </c>
      <c r="B1602" s="4">
        <f ca="1">IFERROR(__xludf.UNSUPPORTED("""COMPUTED_VALUE"""),45147.3566666666)</f>
        <v>45147.356666666601</v>
      </c>
      <c r="C1602" s="8" t="str">
        <f ca="1">IFERROR(__xludf.UNSUPPORTED("""COMPUTED_VALUE"""),"Recife")</f>
        <v>Recife</v>
      </c>
      <c r="D1602" s="3" t="str">
        <f ca="1">IFERROR(__xludf.UNSUPPORTED("""COMPUTED_VALUE"""),"🚢 REGULAR")</f>
        <v>🚢 REGULAR</v>
      </c>
      <c r="E1602" s="3" t="str">
        <f ca="1">IFERROR(__xludf.UNSUPPORTED("""COMPUTED_VALUE"""),"🚛 LIBERADO")</f>
        <v>🚛 LIBERADO</v>
      </c>
      <c r="F1602" s="5">
        <f ca="1">IFERROR(__xludf.UNSUPPORTED("""COMPUTED_VALUE"""),0.25)</f>
        <v>0.25</v>
      </c>
      <c r="G1602" s="3" t="str">
        <f ca="1">IFERROR(__xludf.UNSUPPORTED("""COMPUTED_VALUE"""),"Regular")</f>
        <v>Regular</v>
      </c>
      <c r="H1602" s="4">
        <f ca="1">IFERROR(__xludf.UNSUPPORTED("""COMPUTED_VALUE"""),45147.3566666666)</f>
        <v>45147.356666666601</v>
      </c>
      <c r="I1602" s="3">
        <f ca="1">IFERROR(__xludf.UNSUPPORTED("""COMPUTED_VALUE"""),6)</f>
        <v>6</v>
      </c>
      <c r="J1602" s="4">
        <f ca="1">IFERROR(__xludf.UNSUPPORTED("""COMPUTED_VALUE"""),45147.6066666666)</f>
        <v>45147.606666666601</v>
      </c>
      <c r="K1602" s="3" t="str">
        <f ca="1">IFERROR(__xludf.UNSUPPORTED("""COMPUTED_VALUE"""),"Porto do Recife")</f>
        <v>Porto do Recife</v>
      </c>
      <c r="L1602" s="3" t="str">
        <f ca="1">IFERROR(__xludf.UNSUPPORTED("""COMPUTED_VALUE"""),"Crítico")</f>
        <v>Crítico</v>
      </c>
    </row>
    <row r="1603" spans="1:12" ht="12.75">
      <c r="A1603" s="3" t="str">
        <f ca="1">IFERROR(__xludf.UNSUPPORTED("""COMPUTED_VALUE"""),"e3035fa5")</f>
        <v>e3035fa5</v>
      </c>
      <c r="B1603" s="4">
        <f ca="1">IFERROR(__xludf.UNSUPPORTED("""COMPUTED_VALUE"""),45148.3839930555)</f>
        <v>45148.383993055497</v>
      </c>
      <c r="C1603" s="8" t="str">
        <f ca="1">IFERROR(__xludf.UNSUPPORTED("""COMPUTED_VALUE"""),"Recife")</f>
        <v>Recife</v>
      </c>
      <c r="D1603" s="3" t="str">
        <f ca="1">IFERROR(__xludf.UNSUPPORTED("""COMPUTED_VALUE"""),"🚢 REGULAR")</f>
        <v>🚢 REGULAR</v>
      </c>
      <c r="E1603" s="3" t="str">
        <f ca="1">IFERROR(__xludf.UNSUPPORTED("""COMPUTED_VALUE"""),"🚛 LIBERADO")</f>
        <v>🚛 LIBERADO</v>
      </c>
      <c r="F1603" s="5">
        <f ca="1">IFERROR(__xludf.UNSUPPORTED("""COMPUTED_VALUE"""),0.25)</f>
        <v>0.25</v>
      </c>
      <c r="G1603" s="3" t="str">
        <f ca="1">IFERROR(__xludf.UNSUPPORTED("""COMPUTED_VALUE"""),"Regular")</f>
        <v>Regular</v>
      </c>
      <c r="H1603" s="4">
        <f ca="1">IFERROR(__xludf.UNSUPPORTED("""COMPUTED_VALUE"""),45148.3839930555)</f>
        <v>45148.383993055497</v>
      </c>
      <c r="I1603" s="3">
        <f ca="1">IFERROR(__xludf.UNSUPPORTED("""COMPUTED_VALUE"""),6)</f>
        <v>6</v>
      </c>
      <c r="J1603" s="4">
        <f ca="1">IFERROR(__xludf.UNSUPPORTED("""COMPUTED_VALUE"""),45148.6339930555)</f>
        <v>45148.633993055497</v>
      </c>
      <c r="K1603" s="3" t="str">
        <f ca="1">IFERROR(__xludf.UNSUPPORTED("""COMPUTED_VALUE"""),"Porto do Recife")</f>
        <v>Porto do Recife</v>
      </c>
      <c r="L1603" s="3" t="str">
        <f ca="1">IFERROR(__xludf.UNSUPPORTED("""COMPUTED_VALUE"""),"Crítico")</f>
        <v>Crítico</v>
      </c>
    </row>
    <row r="1604" spans="1:12" ht="12.75">
      <c r="A1604" s="3" t="str">
        <f ca="1">IFERROR(__xludf.UNSUPPORTED("""COMPUTED_VALUE"""),"b595e7ce")</f>
        <v>b595e7ce</v>
      </c>
      <c r="B1604" s="4">
        <f ca="1">IFERROR(__xludf.UNSUPPORTED("""COMPUTED_VALUE"""),45149.3983912037)</f>
        <v>45149.3983912037</v>
      </c>
      <c r="C1604" s="8" t="str">
        <f ca="1">IFERROR(__xludf.UNSUPPORTED("""COMPUTED_VALUE"""),"Recife")</f>
        <v>Recife</v>
      </c>
      <c r="D1604" s="3" t="str">
        <f ca="1">IFERROR(__xludf.UNSUPPORTED("""COMPUTED_VALUE"""),"🚢 REGULAR")</f>
        <v>🚢 REGULAR</v>
      </c>
      <c r="E1604" s="3" t="str">
        <f ca="1">IFERROR(__xludf.UNSUPPORTED("""COMPUTED_VALUE"""),"🚛 LIBERADO")</f>
        <v>🚛 LIBERADO</v>
      </c>
      <c r="F1604" s="5">
        <f ca="1">IFERROR(__xludf.UNSUPPORTED("""COMPUTED_VALUE"""),0.25)</f>
        <v>0.25</v>
      </c>
      <c r="G1604" s="3" t="str">
        <f ca="1">IFERROR(__xludf.UNSUPPORTED("""COMPUTED_VALUE"""),"Regular")</f>
        <v>Regular</v>
      </c>
      <c r="H1604" s="4">
        <f ca="1">IFERROR(__xludf.UNSUPPORTED("""COMPUTED_VALUE"""),45149.3983912037)</f>
        <v>45149.3983912037</v>
      </c>
      <c r="I1604" s="3">
        <f ca="1">IFERROR(__xludf.UNSUPPORTED("""COMPUTED_VALUE"""),6)</f>
        <v>6</v>
      </c>
      <c r="J1604" s="4">
        <f ca="1">IFERROR(__xludf.UNSUPPORTED("""COMPUTED_VALUE"""),45149.6483912037)</f>
        <v>45149.6483912037</v>
      </c>
      <c r="K1604" s="3" t="str">
        <f ca="1">IFERROR(__xludf.UNSUPPORTED("""COMPUTED_VALUE"""),"Porto do Recife")</f>
        <v>Porto do Recife</v>
      </c>
      <c r="L1604" s="3" t="str">
        <f ca="1">IFERROR(__xludf.UNSUPPORTED("""COMPUTED_VALUE"""),"Crítico")</f>
        <v>Crítico</v>
      </c>
    </row>
    <row r="1605" spans="1:12" ht="12.75">
      <c r="A1605" s="3" t="str">
        <f ca="1">IFERROR(__xludf.UNSUPPORTED("""COMPUTED_VALUE"""),"c231e2b1")</f>
        <v>c231e2b1</v>
      </c>
      <c r="B1605" s="4">
        <f ca="1">IFERROR(__xludf.UNSUPPORTED("""COMPUTED_VALUE"""),45150.4368981481)</f>
        <v>45150.436898148102</v>
      </c>
      <c r="C1605" s="8" t="str">
        <f ca="1">IFERROR(__xludf.UNSUPPORTED("""COMPUTED_VALUE"""),"Recife")</f>
        <v>Recife</v>
      </c>
      <c r="D1605" s="3" t="str">
        <f ca="1">IFERROR(__xludf.UNSUPPORTED("""COMPUTED_VALUE"""),"🚢 REGULAR")</f>
        <v>🚢 REGULAR</v>
      </c>
      <c r="E1605" s="3" t="str">
        <f ca="1">IFERROR(__xludf.UNSUPPORTED("""COMPUTED_VALUE"""),"🚛 LIBERADO")</f>
        <v>🚛 LIBERADO</v>
      </c>
      <c r="F1605" s="5">
        <f ca="1">IFERROR(__xludf.UNSUPPORTED("""COMPUTED_VALUE"""),0.25)</f>
        <v>0.25</v>
      </c>
      <c r="G1605" s="3" t="str">
        <f ca="1">IFERROR(__xludf.UNSUPPORTED("""COMPUTED_VALUE"""),"Regular")</f>
        <v>Regular</v>
      </c>
      <c r="H1605" s="4">
        <f ca="1">IFERROR(__xludf.UNSUPPORTED("""COMPUTED_VALUE"""),45150.4368981481)</f>
        <v>45150.436898148102</v>
      </c>
      <c r="I1605" s="3">
        <f ca="1">IFERROR(__xludf.UNSUPPORTED("""COMPUTED_VALUE"""),6)</f>
        <v>6</v>
      </c>
      <c r="J1605" s="4">
        <f ca="1">IFERROR(__xludf.UNSUPPORTED("""COMPUTED_VALUE"""),45150.6868981481)</f>
        <v>45150.686898148102</v>
      </c>
      <c r="K1605" s="3" t="str">
        <f ca="1">IFERROR(__xludf.UNSUPPORTED("""COMPUTED_VALUE"""),"Porto do Recife")</f>
        <v>Porto do Recife</v>
      </c>
      <c r="L1605" s="3" t="str">
        <f ca="1">IFERROR(__xludf.UNSUPPORTED("""COMPUTED_VALUE"""),"Crítico")</f>
        <v>Crítico</v>
      </c>
    </row>
    <row r="1606" spans="1:12" ht="12.75">
      <c r="A1606" s="3" t="str">
        <f ca="1">IFERROR(__xludf.UNSUPPORTED("""COMPUTED_VALUE"""),"69e33e08")</f>
        <v>69e33e08</v>
      </c>
      <c r="B1606" s="4">
        <f ca="1">IFERROR(__xludf.UNSUPPORTED("""COMPUTED_VALUE"""),45151.386886574)</f>
        <v>45151.386886574001</v>
      </c>
      <c r="C1606" s="7" t="str">
        <f ca="1">IFERROR(__xludf.UNSUPPORTED("""COMPUTED_VALUE"""),"Recife")</f>
        <v>Recife</v>
      </c>
      <c r="D1606" s="3" t="str">
        <f ca="1">IFERROR(__xludf.UNSUPPORTED("""COMPUTED_VALUE"""),"🚢 REGULAR")</f>
        <v>🚢 REGULAR</v>
      </c>
      <c r="E1606" s="3" t="str">
        <f ca="1">IFERROR(__xludf.UNSUPPORTED("""COMPUTED_VALUE"""),"🚛 LIBERADO")</f>
        <v>🚛 LIBERADO</v>
      </c>
      <c r="F1606" s="5">
        <f ca="1">IFERROR(__xludf.UNSUPPORTED("""COMPUTED_VALUE"""),0.25)</f>
        <v>0.25</v>
      </c>
      <c r="G1606" s="3" t="str">
        <f ca="1">IFERROR(__xludf.UNSUPPORTED("""COMPUTED_VALUE"""),"Regular")</f>
        <v>Regular</v>
      </c>
      <c r="H1606" s="4">
        <f ca="1">IFERROR(__xludf.UNSUPPORTED("""COMPUTED_VALUE"""),45151.386886574)</f>
        <v>45151.386886574001</v>
      </c>
      <c r="I1606" s="3">
        <f ca="1">IFERROR(__xludf.UNSUPPORTED("""COMPUTED_VALUE"""),6)</f>
        <v>6</v>
      </c>
      <c r="J1606" s="4">
        <f ca="1">IFERROR(__xludf.UNSUPPORTED("""COMPUTED_VALUE"""),45151.636886574)</f>
        <v>45151.636886574001</v>
      </c>
      <c r="K1606" s="3" t="str">
        <f ca="1">IFERROR(__xludf.UNSUPPORTED("""COMPUTED_VALUE"""),"Porto do Recife")</f>
        <v>Porto do Recife</v>
      </c>
      <c r="L1606" s="3" t="str">
        <f ca="1">IFERROR(__xludf.UNSUPPORTED("""COMPUTED_VALUE"""),"Crítico")</f>
        <v>Crítico</v>
      </c>
    </row>
    <row r="1607" spans="1:12" ht="12.75">
      <c r="A1607" s="3" t="str">
        <f ca="1">IFERROR(__xludf.UNSUPPORTED("""COMPUTED_VALUE"""),"9d5268f0")</f>
        <v>9d5268f0</v>
      </c>
      <c r="B1607" s="4">
        <f ca="1">IFERROR(__xludf.UNSUPPORTED("""COMPUTED_VALUE"""),45152.3292708333)</f>
        <v>45152.329270833303</v>
      </c>
      <c r="C1607" s="7" t="str">
        <f ca="1">IFERROR(__xludf.UNSUPPORTED("""COMPUTED_VALUE"""),"Recife")</f>
        <v>Recife</v>
      </c>
      <c r="D1607" s="3" t="str">
        <f ca="1">IFERROR(__xludf.UNSUPPORTED("""COMPUTED_VALUE"""),"🚢 REGULAR")</f>
        <v>🚢 REGULAR</v>
      </c>
      <c r="E1607" s="3" t="str">
        <f ca="1">IFERROR(__xludf.UNSUPPORTED("""COMPUTED_VALUE"""),"🚛 LIBERADO")</f>
        <v>🚛 LIBERADO</v>
      </c>
      <c r="F1607" s="5">
        <f ca="1">IFERROR(__xludf.UNSUPPORTED("""COMPUTED_VALUE"""),0.25)</f>
        <v>0.25</v>
      </c>
      <c r="G1607" s="3" t="str">
        <f ca="1">IFERROR(__xludf.UNSUPPORTED("""COMPUTED_VALUE"""),"Regular")</f>
        <v>Regular</v>
      </c>
      <c r="H1607" s="4">
        <f ca="1">IFERROR(__xludf.UNSUPPORTED("""COMPUTED_VALUE"""),45152.3292708333)</f>
        <v>45152.329270833303</v>
      </c>
      <c r="I1607" s="3">
        <f ca="1">IFERROR(__xludf.UNSUPPORTED("""COMPUTED_VALUE"""),6)</f>
        <v>6</v>
      </c>
      <c r="J1607" s="4">
        <f ca="1">IFERROR(__xludf.UNSUPPORTED("""COMPUTED_VALUE"""),45152.5792708333)</f>
        <v>45152.579270833303</v>
      </c>
      <c r="K1607" s="3" t="str">
        <f ca="1">IFERROR(__xludf.UNSUPPORTED("""COMPUTED_VALUE"""),"Porto do Recife")</f>
        <v>Porto do Recife</v>
      </c>
      <c r="L1607" s="3" t="str">
        <f ca="1">IFERROR(__xludf.UNSUPPORTED("""COMPUTED_VALUE"""),"Crítico")</f>
        <v>Crítico</v>
      </c>
    </row>
    <row r="1608" spans="1:12" ht="12.75">
      <c r="A1608" s="3" t="str">
        <f ca="1">IFERROR(__xludf.UNSUPPORTED("""COMPUTED_VALUE"""),"b000c962")</f>
        <v>b000c962</v>
      </c>
      <c r="B1608" s="4">
        <f ca="1">IFERROR(__xludf.UNSUPPORTED("""COMPUTED_VALUE"""),45153.6705092592)</f>
        <v>45153.670509259202</v>
      </c>
      <c r="C1608" s="8" t="str">
        <f ca="1">IFERROR(__xludf.UNSUPPORTED("""COMPUTED_VALUE"""),"Recife")</f>
        <v>Recife</v>
      </c>
      <c r="D1608" s="3" t="str">
        <f ca="1">IFERROR(__xludf.UNSUPPORTED("""COMPUTED_VALUE"""),"🚢 REGULAR")</f>
        <v>🚢 REGULAR</v>
      </c>
      <c r="E1608" s="3" t="str">
        <f ca="1">IFERROR(__xludf.UNSUPPORTED("""COMPUTED_VALUE"""),"🚛 LIBERADO")</f>
        <v>🚛 LIBERADO</v>
      </c>
      <c r="F1608" s="5">
        <f ca="1">IFERROR(__xludf.UNSUPPORTED("""COMPUTED_VALUE"""),0.25)</f>
        <v>0.25</v>
      </c>
      <c r="G1608" s="3" t="str">
        <f ca="1">IFERROR(__xludf.UNSUPPORTED("""COMPUTED_VALUE"""),"Regular")</f>
        <v>Regular</v>
      </c>
      <c r="H1608" s="4">
        <f ca="1">IFERROR(__xludf.UNSUPPORTED("""COMPUTED_VALUE"""),45153.6705092592)</f>
        <v>45153.670509259202</v>
      </c>
      <c r="I1608" s="3">
        <f ca="1">IFERROR(__xludf.UNSUPPORTED("""COMPUTED_VALUE"""),6)</f>
        <v>6</v>
      </c>
      <c r="J1608" s="4">
        <f ca="1">IFERROR(__xludf.UNSUPPORTED("""COMPUTED_VALUE"""),45153.9205092592)</f>
        <v>45153.920509259202</v>
      </c>
      <c r="K1608" s="3" t="str">
        <f ca="1">IFERROR(__xludf.UNSUPPORTED("""COMPUTED_VALUE"""),"Porto do Recife")</f>
        <v>Porto do Recife</v>
      </c>
      <c r="L1608" s="3" t="str">
        <f ca="1">IFERROR(__xludf.UNSUPPORTED("""COMPUTED_VALUE"""),"Crítico")</f>
        <v>Crítico</v>
      </c>
    </row>
    <row r="1609" spans="1:12" ht="12.75">
      <c r="A1609" s="3" t="str">
        <f ca="1">IFERROR(__xludf.UNSUPPORTED("""COMPUTED_VALUE"""),"e2640eb5")</f>
        <v>e2640eb5</v>
      </c>
      <c r="B1609" s="4">
        <f ca="1">IFERROR(__xludf.UNSUPPORTED("""COMPUTED_VALUE"""),45154.412974537)</f>
        <v>45154.412974537001</v>
      </c>
      <c r="C1609" s="7" t="str">
        <f ca="1">IFERROR(__xludf.UNSUPPORTED("""COMPUTED_VALUE"""),"Recife")</f>
        <v>Recife</v>
      </c>
      <c r="D1609" s="3" t="str">
        <f ca="1">IFERROR(__xludf.UNSUPPORTED("""COMPUTED_VALUE"""),"🚢 REGULAR")</f>
        <v>🚢 REGULAR</v>
      </c>
      <c r="E1609" s="3" t="str">
        <f ca="1">IFERROR(__xludf.UNSUPPORTED("""COMPUTED_VALUE"""),"🚛 LIBERADO")</f>
        <v>🚛 LIBERADO</v>
      </c>
      <c r="F1609" s="5">
        <f ca="1">IFERROR(__xludf.UNSUPPORTED("""COMPUTED_VALUE"""),0)</f>
        <v>0</v>
      </c>
      <c r="G1609" s="3" t="str">
        <f ca="1">IFERROR(__xludf.UNSUPPORTED("""COMPUTED_VALUE"""),"Normalidade")</f>
        <v>Normalidade</v>
      </c>
      <c r="H1609" s="4">
        <f ca="1">IFERROR(__xludf.UNSUPPORTED("""COMPUTED_VALUE"""),45154.412974537)</f>
        <v>45154.412974537001</v>
      </c>
      <c r="I1609" s="3">
        <f ca="1">IFERROR(__xludf.UNSUPPORTED("""COMPUTED_VALUE"""),24)</f>
        <v>24</v>
      </c>
      <c r="J1609" s="4">
        <f ca="1">IFERROR(__xludf.UNSUPPORTED("""COMPUTED_VALUE"""),45155.412974537)</f>
        <v>45155.412974537001</v>
      </c>
    </row>
    <row r="1610" spans="1:12" ht="12.75">
      <c r="A1610" s="3" t="str">
        <f ca="1">IFERROR(__xludf.UNSUPPORTED("""COMPUTED_VALUE"""),"bd3fd4f0")</f>
        <v>bd3fd4f0</v>
      </c>
      <c r="B1610" s="4">
        <f ca="1">IFERROR(__xludf.UNSUPPORTED("""COMPUTED_VALUE"""),45156.3494097222)</f>
        <v>45156.349409722199</v>
      </c>
      <c r="C1610" s="8" t="str">
        <f ca="1">IFERROR(__xludf.UNSUPPORTED("""COMPUTED_VALUE"""),"Recife")</f>
        <v>Recife</v>
      </c>
      <c r="D1610" s="3" t="str">
        <f ca="1">IFERROR(__xludf.UNSUPPORTED("""COMPUTED_VALUE"""),"🚢 REGULAR")</f>
        <v>🚢 REGULAR</v>
      </c>
      <c r="E1610" s="3" t="str">
        <f ca="1">IFERROR(__xludf.UNSUPPORTED("""COMPUTED_VALUE"""),"🚛 LIBERADO")</f>
        <v>🚛 LIBERADO</v>
      </c>
      <c r="F1610" s="5">
        <f ca="1">IFERROR(__xludf.UNSUPPORTED("""COMPUTED_VALUE"""),0)</f>
        <v>0</v>
      </c>
      <c r="G1610" s="3" t="str">
        <f ca="1">IFERROR(__xludf.UNSUPPORTED("""COMPUTED_VALUE"""),"Normalidade")</f>
        <v>Normalidade</v>
      </c>
      <c r="H1610" s="4">
        <f ca="1">IFERROR(__xludf.UNSUPPORTED("""COMPUTED_VALUE"""),45156.3494097222)</f>
        <v>45156.349409722199</v>
      </c>
      <c r="I1610" s="3">
        <f ca="1">IFERROR(__xludf.UNSUPPORTED("""COMPUTED_VALUE"""),24)</f>
        <v>24</v>
      </c>
      <c r="J1610" s="4">
        <f ca="1">IFERROR(__xludf.UNSUPPORTED("""COMPUTED_VALUE"""),45157.3494097222)</f>
        <v>45157.349409722199</v>
      </c>
    </row>
    <row r="1611" spans="1:12" ht="12.75">
      <c r="A1611" s="3" t="str">
        <f ca="1">IFERROR(__xludf.UNSUPPORTED("""COMPUTED_VALUE"""),"183f8758")</f>
        <v>183f8758</v>
      </c>
      <c r="B1611" s="4">
        <f ca="1">IFERROR(__xludf.UNSUPPORTED("""COMPUTED_VALUE"""),45159.4001504629)</f>
        <v>45159.400150462898</v>
      </c>
      <c r="C1611" s="8" t="str">
        <f ca="1">IFERROR(__xludf.UNSUPPORTED("""COMPUTED_VALUE"""),"Recife")</f>
        <v>Recife</v>
      </c>
      <c r="D1611" s="3" t="str">
        <f ca="1">IFERROR(__xludf.UNSUPPORTED("""COMPUTED_VALUE"""),"🚢 REGULAR")</f>
        <v>🚢 REGULAR</v>
      </c>
      <c r="E1611" s="3" t="str">
        <f ca="1">IFERROR(__xludf.UNSUPPORTED("""COMPUTED_VALUE"""),"🚛 LIBERADO")</f>
        <v>🚛 LIBERADO</v>
      </c>
      <c r="F1611" s="5">
        <f ca="1">IFERROR(__xludf.UNSUPPORTED("""COMPUTED_VALUE"""),0)</f>
        <v>0</v>
      </c>
      <c r="G1611" s="3" t="str">
        <f ca="1">IFERROR(__xludf.UNSUPPORTED("""COMPUTED_VALUE"""),"Normalidade")</f>
        <v>Normalidade</v>
      </c>
      <c r="H1611" s="4">
        <f ca="1">IFERROR(__xludf.UNSUPPORTED("""COMPUTED_VALUE"""),45159.4001504629)</f>
        <v>45159.400150462898</v>
      </c>
      <c r="I1611" s="3">
        <f ca="1">IFERROR(__xludf.UNSUPPORTED("""COMPUTED_VALUE"""),24)</f>
        <v>24</v>
      </c>
      <c r="J1611" s="4">
        <f ca="1">IFERROR(__xludf.UNSUPPORTED("""COMPUTED_VALUE"""),45160.4001504629)</f>
        <v>45160.400150462898</v>
      </c>
    </row>
    <row r="1612" spans="1:12" ht="12.75">
      <c r="A1612" s="3" t="str">
        <f ca="1">IFERROR(__xludf.UNSUPPORTED("""COMPUTED_VALUE"""),"bed55066")</f>
        <v>bed55066</v>
      </c>
      <c r="B1612" s="4">
        <f ca="1">IFERROR(__xludf.UNSUPPORTED("""COMPUTED_VALUE"""),45161.4534953703)</f>
        <v>45161.453495370297</v>
      </c>
      <c r="C1612" s="7" t="str">
        <f ca="1">IFERROR(__xludf.UNSUPPORTED("""COMPUTED_VALUE"""),"Recife")</f>
        <v>Recife</v>
      </c>
      <c r="D1612" s="3" t="str">
        <f ca="1">IFERROR(__xludf.UNSUPPORTED("""COMPUTED_VALUE"""),"🚢 REGULAR")</f>
        <v>🚢 REGULAR</v>
      </c>
      <c r="E1612" s="3" t="str">
        <f ca="1">IFERROR(__xludf.UNSUPPORTED("""COMPUTED_VALUE"""),"🚛 LIBERADO")</f>
        <v>🚛 LIBERADO</v>
      </c>
      <c r="F1612" s="5">
        <f ca="1">IFERROR(__xludf.UNSUPPORTED("""COMPUTED_VALUE"""),0)</f>
        <v>0</v>
      </c>
      <c r="G1612" s="3" t="str">
        <f ca="1">IFERROR(__xludf.UNSUPPORTED("""COMPUTED_VALUE"""),"Normalidade")</f>
        <v>Normalidade</v>
      </c>
      <c r="H1612" s="4">
        <f ca="1">IFERROR(__xludf.UNSUPPORTED("""COMPUTED_VALUE"""),45161.4534953703)</f>
        <v>45161.453495370297</v>
      </c>
      <c r="I1612" s="3">
        <f ca="1">IFERROR(__xludf.UNSUPPORTED("""COMPUTED_VALUE"""),24)</f>
        <v>24</v>
      </c>
      <c r="J1612" s="4">
        <f ca="1">IFERROR(__xludf.UNSUPPORTED("""COMPUTED_VALUE"""),45162.4534953703)</f>
        <v>45162.453495370297</v>
      </c>
    </row>
    <row r="1613" spans="1:12" ht="12.75">
      <c r="A1613" s="3" t="str">
        <f ca="1">IFERROR(__xludf.UNSUPPORTED("""COMPUTED_VALUE"""),"66364af2")</f>
        <v>66364af2</v>
      </c>
      <c r="B1613" s="4">
        <f ca="1">IFERROR(__xludf.UNSUPPORTED("""COMPUTED_VALUE"""),45163.6550231481)</f>
        <v>45163.655023148101</v>
      </c>
      <c r="C1613" s="7" t="str">
        <f ca="1">IFERROR(__xludf.UNSUPPORTED("""COMPUTED_VALUE"""),"Recife")</f>
        <v>Recife</v>
      </c>
      <c r="D1613" s="3" t="str">
        <f ca="1">IFERROR(__xludf.UNSUPPORTED("""COMPUTED_VALUE"""),"🚢 REGULAR")</f>
        <v>🚢 REGULAR</v>
      </c>
      <c r="E1613" s="3" t="str">
        <f ca="1">IFERROR(__xludf.UNSUPPORTED("""COMPUTED_VALUE"""),"🚛 LIBERADO")</f>
        <v>🚛 LIBERADO</v>
      </c>
      <c r="F1613" s="5">
        <f ca="1">IFERROR(__xludf.UNSUPPORTED("""COMPUTED_VALUE"""),0)</f>
        <v>0</v>
      </c>
      <c r="G1613" s="3" t="str">
        <f ca="1">IFERROR(__xludf.UNSUPPORTED("""COMPUTED_VALUE"""),"Normalidade")</f>
        <v>Normalidade</v>
      </c>
      <c r="H1613" s="4">
        <f ca="1">IFERROR(__xludf.UNSUPPORTED("""COMPUTED_VALUE"""),45163.6550231481)</f>
        <v>45163.655023148101</v>
      </c>
      <c r="I1613" s="3">
        <f ca="1">IFERROR(__xludf.UNSUPPORTED("""COMPUTED_VALUE"""),24)</f>
        <v>24</v>
      </c>
      <c r="J1613" s="4">
        <f ca="1">IFERROR(__xludf.UNSUPPORTED("""COMPUTED_VALUE"""),45164.6550231481)</f>
        <v>45164.655023148101</v>
      </c>
    </row>
    <row r="1614" spans="1:12" ht="12.75">
      <c r="A1614" s="3" t="str">
        <f ca="1">IFERROR(__xludf.UNSUPPORTED("""COMPUTED_VALUE"""),"5e922c00")</f>
        <v>5e922c00</v>
      </c>
      <c r="B1614" s="4">
        <f ca="1">IFERROR(__xludf.UNSUPPORTED("""COMPUTED_VALUE"""),45166.4485532407)</f>
        <v>45166.448553240698</v>
      </c>
      <c r="C1614" s="8" t="str">
        <f ca="1">IFERROR(__xludf.UNSUPPORTED("""COMPUTED_VALUE"""),"Recife")</f>
        <v>Recife</v>
      </c>
      <c r="D1614" s="3" t="str">
        <f ca="1">IFERROR(__xludf.UNSUPPORTED("""COMPUTED_VALUE"""),"🚢 REGULAR")</f>
        <v>🚢 REGULAR</v>
      </c>
      <c r="E1614" s="3" t="str">
        <f ca="1">IFERROR(__xludf.UNSUPPORTED("""COMPUTED_VALUE"""),"🚛 LIBERADO")</f>
        <v>🚛 LIBERADO</v>
      </c>
      <c r="F1614" s="5">
        <f ca="1">IFERROR(__xludf.UNSUPPORTED("""COMPUTED_VALUE"""),0)</f>
        <v>0</v>
      </c>
      <c r="G1614" s="3" t="str">
        <f ca="1">IFERROR(__xludf.UNSUPPORTED("""COMPUTED_VALUE"""),"Normalidade")</f>
        <v>Normalidade</v>
      </c>
      <c r="H1614" s="4">
        <f ca="1">IFERROR(__xludf.UNSUPPORTED("""COMPUTED_VALUE"""),45166.4485532407)</f>
        <v>45166.448553240698</v>
      </c>
      <c r="I1614" s="3">
        <f ca="1">IFERROR(__xludf.UNSUPPORTED("""COMPUTED_VALUE"""),24)</f>
        <v>24</v>
      </c>
      <c r="J1614" s="4">
        <f ca="1">IFERROR(__xludf.UNSUPPORTED("""COMPUTED_VALUE"""),45167.4485532407)</f>
        <v>45167.448553240698</v>
      </c>
    </row>
    <row r="1615" spans="1:12" ht="12.75">
      <c r="A1615" s="3" t="str">
        <f ca="1">IFERROR(__xludf.UNSUPPORTED("""COMPUTED_VALUE"""),"2502b4c8")</f>
        <v>2502b4c8</v>
      </c>
      <c r="B1615" s="4">
        <f ca="1">IFERROR(__xludf.UNSUPPORTED("""COMPUTED_VALUE"""),45168.3243171296)</f>
        <v>45168.324317129598</v>
      </c>
      <c r="C1615" s="8" t="str">
        <f ca="1">IFERROR(__xludf.UNSUPPORTED("""COMPUTED_VALUE"""),"Recife")</f>
        <v>Recife</v>
      </c>
      <c r="D1615" s="3" t="str">
        <f ca="1">IFERROR(__xludf.UNSUPPORTED("""COMPUTED_VALUE"""),"🚢 REGULAR")</f>
        <v>🚢 REGULAR</v>
      </c>
      <c r="E1615" s="3" t="str">
        <f ca="1">IFERROR(__xludf.UNSUPPORTED("""COMPUTED_VALUE"""),"🚛 LIBERADO")</f>
        <v>🚛 LIBERADO</v>
      </c>
      <c r="F1615" s="5">
        <f ca="1">IFERROR(__xludf.UNSUPPORTED("""COMPUTED_VALUE"""),0)</f>
        <v>0</v>
      </c>
      <c r="G1615" s="3" t="str">
        <f ca="1">IFERROR(__xludf.UNSUPPORTED("""COMPUTED_VALUE"""),"Normalidade")</f>
        <v>Normalidade</v>
      </c>
      <c r="H1615" s="4">
        <f ca="1">IFERROR(__xludf.UNSUPPORTED("""COMPUTED_VALUE"""),45168.3243171296)</f>
        <v>45168.324317129598</v>
      </c>
      <c r="I1615" s="3">
        <f ca="1">IFERROR(__xludf.UNSUPPORTED("""COMPUTED_VALUE"""),24)</f>
        <v>24</v>
      </c>
      <c r="J1615" s="4">
        <f ca="1">IFERROR(__xludf.UNSUPPORTED("""COMPUTED_VALUE"""),45169.3243171296)</f>
        <v>45169.324317129598</v>
      </c>
    </row>
    <row r="1616" spans="1:12" ht="12.75">
      <c r="A1616" s="3" t="str">
        <f ca="1">IFERROR(__xludf.UNSUPPORTED("""COMPUTED_VALUE"""),"f108d9ba")</f>
        <v>f108d9ba</v>
      </c>
      <c r="B1616" s="4">
        <f ca="1">IFERROR(__xludf.UNSUPPORTED("""COMPUTED_VALUE"""),45171.3309606481)</f>
        <v>45171.330960648098</v>
      </c>
      <c r="C1616" s="7" t="str">
        <f ca="1">IFERROR(__xludf.UNSUPPORTED("""COMPUTED_VALUE"""),"Recife")</f>
        <v>Recife</v>
      </c>
      <c r="D1616" s="3" t="str">
        <f ca="1">IFERROR(__xludf.UNSUPPORTED("""COMPUTED_VALUE"""),"🚢 REGULAR")</f>
        <v>🚢 REGULAR</v>
      </c>
      <c r="E1616" s="3" t="str">
        <f ca="1">IFERROR(__xludf.UNSUPPORTED("""COMPUTED_VALUE"""),"🚛 LIBERADO")</f>
        <v>🚛 LIBERADO</v>
      </c>
      <c r="F1616" s="5">
        <f ca="1">IFERROR(__xludf.UNSUPPORTED("""COMPUTED_VALUE"""),0.25)</f>
        <v>0.25</v>
      </c>
      <c r="G1616" s="3" t="str">
        <f ca="1">IFERROR(__xludf.UNSUPPORTED("""COMPUTED_VALUE"""),"Regular")</f>
        <v>Regular</v>
      </c>
      <c r="H1616" s="4">
        <f ca="1">IFERROR(__xludf.UNSUPPORTED("""COMPUTED_VALUE"""),45170.3309606481)</f>
        <v>45170.330960648098</v>
      </c>
      <c r="I1616" s="3">
        <f ca="1">IFERROR(__xludf.UNSUPPORTED("""COMPUTED_VALUE"""),6)</f>
        <v>6</v>
      </c>
      <c r="J1616" s="4">
        <f ca="1">IFERROR(__xludf.UNSUPPORTED("""COMPUTED_VALUE"""),45170.5809606481)</f>
        <v>45170.580960648098</v>
      </c>
      <c r="K1616" s="3" t="str">
        <f ca="1">IFERROR(__xludf.UNSUPPORTED("""COMPUTED_VALUE"""),"Porto do Recife")</f>
        <v>Porto do Recife</v>
      </c>
      <c r="L1616" s="3" t="str">
        <f ca="1">IFERROR(__xludf.UNSUPPORTED("""COMPUTED_VALUE"""),"Crítico")</f>
        <v>Crítico</v>
      </c>
    </row>
    <row r="1617" spans="1:12" ht="12.75">
      <c r="A1617" s="3" t="str">
        <f ca="1">IFERROR(__xludf.UNSUPPORTED("""COMPUTED_VALUE"""),"7086bd74")</f>
        <v>7086bd74</v>
      </c>
      <c r="B1617" s="4">
        <f ca="1">IFERROR(__xludf.UNSUPPORTED("""COMPUTED_VALUE"""),45171.336412037)</f>
        <v>45171.336412037002</v>
      </c>
      <c r="C1617" s="8" t="str">
        <f ca="1">IFERROR(__xludf.UNSUPPORTED("""COMPUTED_VALUE"""),"Recife")</f>
        <v>Recife</v>
      </c>
      <c r="D1617" s="3" t="str">
        <f ca="1">IFERROR(__xludf.UNSUPPORTED("""COMPUTED_VALUE"""),"🚢 REGULAR")</f>
        <v>🚢 REGULAR</v>
      </c>
      <c r="E1617" s="3" t="str">
        <f ca="1">IFERROR(__xludf.UNSUPPORTED("""COMPUTED_VALUE"""),"🚛 LIBERADO")</f>
        <v>🚛 LIBERADO</v>
      </c>
      <c r="F1617" s="5">
        <f ca="1">IFERROR(__xludf.UNSUPPORTED("""COMPUTED_VALUE"""),0.25)</f>
        <v>0.25</v>
      </c>
      <c r="G1617" s="3" t="str">
        <f ca="1">IFERROR(__xludf.UNSUPPORTED("""COMPUTED_VALUE"""),"Regular")</f>
        <v>Regular</v>
      </c>
      <c r="H1617" s="4">
        <f ca="1">IFERROR(__xludf.UNSUPPORTED("""COMPUTED_VALUE"""),45171.336412037)</f>
        <v>45171.336412037002</v>
      </c>
      <c r="I1617" s="3">
        <f ca="1">IFERROR(__xludf.UNSUPPORTED("""COMPUTED_VALUE"""),6)</f>
        <v>6</v>
      </c>
      <c r="J1617" s="4">
        <f ca="1">IFERROR(__xludf.UNSUPPORTED("""COMPUTED_VALUE"""),45171.586412037)</f>
        <v>45171.586412037002</v>
      </c>
      <c r="K1617" s="3" t="str">
        <f ca="1">IFERROR(__xludf.UNSUPPORTED("""COMPUTED_VALUE"""),"Porto do Recife")</f>
        <v>Porto do Recife</v>
      </c>
      <c r="L1617" s="3" t="str">
        <f ca="1">IFERROR(__xludf.UNSUPPORTED("""COMPUTED_VALUE"""),"Crítico")</f>
        <v>Crítico</v>
      </c>
    </row>
    <row r="1618" spans="1:12" ht="12.75">
      <c r="A1618" s="3" t="str">
        <f ca="1">IFERROR(__xludf.UNSUPPORTED("""COMPUTED_VALUE"""),"1d6df79d")</f>
        <v>1d6df79d</v>
      </c>
      <c r="B1618" s="4">
        <f ca="1">IFERROR(__xludf.UNSUPPORTED("""COMPUTED_VALUE"""),45172.4368402777)</f>
        <v>45172.436840277704</v>
      </c>
      <c r="C1618" s="8" t="str">
        <f ca="1">IFERROR(__xludf.UNSUPPORTED("""COMPUTED_VALUE"""),"Recife")</f>
        <v>Recife</v>
      </c>
      <c r="D1618" s="3" t="str">
        <f ca="1">IFERROR(__xludf.UNSUPPORTED("""COMPUTED_VALUE"""),"🚢 REGULAR")</f>
        <v>🚢 REGULAR</v>
      </c>
      <c r="E1618" s="3" t="str">
        <f ca="1">IFERROR(__xludf.UNSUPPORTED("""COMPUTED_VALUE"""),"🚛 LIBERADO")</f>
        <v>🚛 LIBERADO</v>
      </c>
      <c r="F1618" s="5">
        <f ca="1">IFERROR(__xludf.UNSUPPORTED("""COMPUTED_VALUE"""),0.25)</f>
        <v>0.25</v>
      </c>
      <c r="G1618" s="3" t="str">
        <f ca="1">IFERROR(__xludf.UNSUPPORTED("""COMPUTED_VALUE"""),"Regular")</f>
        <v>Regular</v>
      </c>
      <c r="H1618" s="4">
        <f ca="1">IFERROR(__xludf.UNSUPPORTED("""COMPUTED_VALUE"""),45172.4368402777)</f>
        <v>45172.436840277704</v>
      </c>
      <c r="I1618" s="3">
        <f ca="1">IFERROR(__xludf.UNSUPPORTED("""COMPUTED_VALUE"""),6)</f>
        <v>6</v>
      </c>
      <c r="J1618" s="4">
        <f ca="1">IFERROR(__xludf.UNSUPPORTED("""COMPUTED_VALUE"""),45172.6868402777)</f>
        <v>45172.686840277704</v>
      </c>
      <c r="K1618" s="3" t="str">
        <f ca="1">IFERROR(__xludf.UNSUPPORTED("""COMPUTED_VALUE"""),"Porto do Recife")</f>
        <v>Porto do Recife</v>
      </c>
      <c r="L1618" s="3" t="str">
        <f ca="1">IFERROR(__xludf.UNSUPPORTED("""COMPUTED_VALUE"""),"Crítico")</f>
        <v>Crítico</v>
      </c>
    </row>
    <row r="1619" spans="1:12" ht="12.75">
      <c r="A1619" s="3" t="str">
        <f ca="1">IFERROR(__xludf.UNSUPPORTED("""COMPUTED_VALUE"""),"c267cbb0")</f>
        <v>c267cbb0</v>
      </c>
      <c r="B1619" s="4">
        <f ca="1">IFERROR(__xludf.UNSUPPORTED("""COMPUTED_VALUE"""),45173.3887268518)</f>
        <v>45173.388726851801</v>
      </c>
      <c r="C1619" s="8" t="str">
        <f ca="1">IFERROR(__xludf.UNSUPPORTED("""COMPUTED_VALUE"""),"Recife")</f>
        <v>Recife</v>
      </c>
      <c r="D1619" s="3" t="str">
        <f ca="1">IFERROR(__xludf.UNSUPPORTED("""COMPUTED_VALUE"""),"🚢 REGULAR")</f>
        <v>🚢 REGULAR</v>
      </c>
      <c r="E1619" s="3" t="str">
        <f ca="1">IFERROR(__xludf.UNSUPPORTED("""COMPUTED_VALUE"""),"🚛 LIBERADO")</f>
        <v>🚛 LIBERADO</v>
      </c>
      <c r="F1619" s="5">
        <f ca="1">IFERROR(__xludf.UNSUPPORTED("""COMPUTED_VALUE"""),0.25)</f>
        <v>0.25</v>
      </c>
      <c r="G1619" s="3" t="str">
        <f ca="1">IFERROR(__xludf.UNSUPPORTED("""COMPUTED_VALUE"""),"Regular")</f>
        <v>Regular</v>
      </c>
      <c r="H1619" s="4">
        <f ca="1">IFERROR(__xludf.UNSUPPORTED("""COMPUTED_VALUE"""),45173.3887268518)</f>
        <v>45173.388726851801</v>
      </c>
      <c r="I1619" s="3">
        <f ca="1">IFERROR(__xludf.UNSUPPORTED("""COMPUTED_VALUE"""),6)</f>
        <v>6</v>
      </c>
      <c r="J1619" s="4">
        <f ca="1">IFERROR(__xludf.UNSUPPORTED("""COMPUTED_VALUE"""),45173.6387268518)</f>
        <v>45173.638726851801</v>
      </c>
      <c r="K1619" s="3" t="str">
        <f ca="1">IFERROR(__xludf.UNSUPPORTED("""COMPUTED_VALUE"""),"Porto do Recife")</f>
        <v>Porto do Recife</v>
      </c>
      <c r="L1619" s="3" t="str">
        <f ca="1">IFERROR(__xludf.UNSUPPORTED("""COMPUTED_VALUE"""),"Crítico")</f>
        <v>Crítico</v>
      </c>
    </row>
    <row r="1620" spans="1:12" ht="12.75">
      <c r="A1620" s="3" t="str">
        <f ca="1">IFERROR(__xludf.UNSUPPORTED("""COMPUTED_VALUE"""),"d379db76")</f>
        <v>d379db76</v>
      </c>
      <c r="B1620" s="4">
        <f ca="1">IFERROR(__xludf.UNSUPPORTED("""COMPUTED_VALUE"""),45174.3329976851)</f>
        <v>45174.332997685102</v>
      </c>
      <c r="C1620" s="7" t="str">
        <f ca="1">IFERROR(__xludf.UNSUPPORTED("""COMPUTED_VALUE"""),"Recife")</f>
        <v>Recife</v>
      </c>
      <c r="D1620" s="3" t="str">
        <f ca="1">IFERROR(__xludf.UNSUPPORTED("""COMPUTED_VALUE"""),"🚢 REGULAR")</f>
        <v>🚢 REGULAR</v>
      </c>
      <c r="E1620" s="3" t="str">
        <f ca="1">IFERROR(__xludf.UNSUPPORTED("""COMPUTED_VALUE"""),"🚛 LIBERADO")</f>
        <v>🚛 LIBERADO</v>
      </c>
      <c r="F1620" s="5">
        <f ca="1">IFERROR(__xludf.UNSUPPORTED("""COMPUTED_VALUE"""),0.25)</f>
        <v>0.25</v>
      </c>
      <c r="G1620" s="3" t="str">
        <f ca="1">IFERROR(__xludf.UNSUPPORTED("""COMPUTED_VALUE"""),"Regular")</f>
        <v>Regular</v>
      </c>
      <c r="H1620" s="4">
        <f ca="1">IFERROR(__xludf.UNSUPPORTED("""COMPUTED_VALUE"""),45174.3329976851)</f>
        <v>45174.332997685102</v>
      </c>
      <c r="I1620" s="3">
        <f ca="1">IFERROR(__xludf.UNSUPPORTED("""COMPUTED_VALUE"""),6)</f>
        <v>6</v>
      </c>
      <c r="J1620" s="4">
        <f ca="1">IFERROR(__xludf.UNSUPPORTED("""COMPUTED_VALUE"""),45174.5829976851)</f>
        <v>45174.582997685102</v>
      </c>
      <c r="K1620" s="3" t="str">
        <f ca="1">IFERROR(__xludf.UNSUPPORTED("""COMPUTED_VALUE"""),"Porto do Recife")</f>
        <v>Porto do Recife</v>
      </c>
      <c r="L1620" s="3" t="str">
        <f ca="1">IFERROR(__xludf.UNSUPPORTED("""COMPUTED_VALUE"""),"Crítico")</f>
        <v>Crítico</v>
      </c>
    </row>
    <row r="1621" spans="1:12" ht="12.75">
      <c r="A1621" s="3" t="str">
        <f ca="1">IFERROR(__xludf.UNSUPPORTED("""COMPUTED_VALUE"""),"9e7fce03")</f>
        <v>9e7fce03</v>
      </c>
      <c r="B1621" s="4">
        <f ca="1">IFERROR(__xludf.UNSUPPORTED("""COMPUTED_VALUE"""),45175.3627083333)</f>
        <v>45175.362708333298</v>
      </c>
      <c r="C1621" s="8" t="str">
        <f ca="1">IFERROR(__xludf.UNSUPPORTED("""COMPUTED_VALUE"""),"Recife")</f>
        <v>Recife</v>
      </c>
      <c r="D1621" s="3" t="str">
        <f ca="1">IFERROR(__xludf.UNSUPPORTED("""COMPUTED_VALUE"""),"🚢 REGULAR")</f>
        <v>🚢 REGULAR</v>
      </c>
      <c r="E1621" s="3" t="str">
        <f ca="1">IFERROR(__xludf.UNSUPPORTED("""COMPUTED_VALUE"""),"🚛 LIBERADO")</f>
        <v>🚛 LIBERADO</v>
      </c>
      <c r="F1621" s="5">
        <f ca="1">IFERROR(__xludf.UNSUPPORTED("""COMPUTED_VALUE"""),0.25)</f>
        <v>0.25</v>
      </c>
      <c r="G1621" s="3" t="str">
        <f ca="1">IFERROR(__xludf.UNSUPPORTED("""COMPUTED_VALUE"""),"Regular")</f>
        <v>Regular</v>
      </c>
      <c r="H1621" s="4">
        <f ca="1">IFERROR(__xludf.UNSUPPORTED("""COMPUTED_VALUE"""),45175.3627083333)</f>
        <v>45175.362708333298</v>
      </c>
      <c r="I1621" s="3">
        <f ca="1">IFERROR(__xludf.UNSUPPORTED("""COMPUTED_VALUE"""),6)</f>
        <v>6</v>
      </c>
      <c r="J1621" s="4">
        <f ca="1">IFERROR(__xludf.UNSUPPORTED("""COMPUTED_VALUE"""),45175.6127083333)</f>
        <v>45175.612708333298</v>
      </c>
      <c r="K1621" s="3" t="str">
        <f ca="1">IFERROR(__xludf.UNSUPPORTED("""COMPUTED_VALUE"""),"Porto do Recife")</f>
        <v>Porto do Recife</v>
      </c>
      <c r="L1621" s="3" t="str">
        <f ca="1">IFERROR(__xludf.UNSUPPORTED("""COMPUTED_VALUE"""),"Crítico")</f>
        <v>Crítico</v>
      </c>
    </row>
    <row r="1622" spans="1:12" ht="12.75">
      <c r="A1622" s="3" t="str">
        <f ca="1">IFERROR(__xludf.UNSUPPORTED("""COMPUTED_VALUE"""),"c9c8803b")</f>
        <v>c9c8803b</v>
      </c>
      <c r="B1622" s="4">
        <f ca="1">IFERROR(__xludf.UNSUPPORTED("""COMPUTED_VALUE"""),45176.3703356481)</f>
        <v>45176.370335648098</v>
      </c>
      <c r="C1622" s="8" t="str">
        <f ca="1">IFERROR(__xludf.UNSUPPORTED("""COMPUTED_VALUE"""),"Recife")</f>
        <v>Recife</v>
      </c>
      <c r="D1622" s="3" t="str">
        <f ca="1">IFERROR(__xludf.UNSUPPORTED("""COMPUTED_VALUE"""),"🚢 REGULAR")</f>
        <v>🚢 REGULAR</v>
      </c>
      <c r="E1622" s="3" t="str">
        <f ca="1">IFERROR(__xludf.UNSUPPORTED("""COMPUTED_VALUE"""),"🚛 LIBERADO")</f>
        <v>🚛 LIBERADO</v>
      </c>
      <c r="F1622" s="5">
        <f ca="1">IFERROR(__xludf.UNSUPPORTED("""COMPUTED_VALUE"""),0.25)</f>
        <v>0.25</v>
      </c>
      <c r="G1622" s="3" t="str">
        <f ca="1">IFERROR(__xludf.UNSUPPORTED("""COMPUTED_VALUE"""),"Regular")</f>
        <v>Regular</v>
      </c>
      <c r="H1622" s="4">
        <f ca="1">IFERROR(__xludf.UNSUPPORTED("""COMPUTED_VALUE"""),45176.3703356481)</f>
        <v>45176.370335648098</v>
      </c>
      <c r="I1622" s="3">
        <f ca="1">IFERROR(__xludf.UNSUPPORTED("""COMPUTED_VALUE"""),6)</f>
        <v>6</v>
      </c>
      <c r="J1622" s="4">
        <f ca="1">IFERROR(__xludf.UNSUPPORTED("""COMPUTED_VALUE"""),45176.6203356481)</f>
        <v>45176.620335648098</v>
      </c>
      <c r="K1622" s="3" t="str">
        <f ca="1">IFERROR(__xludf.UNSUPPORTED("""COMPUTED_VALUE"""),"Porto do Recife")</f>
        <v>Porto do Recife</v>
      </c>
      <c r="L1622" s="3" t="str">
        <f ca="1">IFERROR(__xludf.UNSUPPORTED("""COMPUTED_VALUE"""),"Crítico")</f>
        <v>Crítico</v>
      </c>
    </row>
    <row r="1623" spans="1:12" ht="12.75">
      <c r="A1623" s="3" t="str">
        <f ca="1">IFERROR(__xludf.UNSUPPORTED("""COMPUTED_VALUE"""),"7538cbc0")</f>
        <v>7538cbc0</v>
      </c>
      <c r="B1623" s="4">
        <f ca="1">IFERROR(__xludf.UNSUPPORTED("""COMPUTED_VALUE"""),45177.3838541666)</f>
        <v>45177.383854166597</v>
      </c>
      <c r="C1623" s="7" t="str">
        <f ca="1">IFERROR(__xludf.UNSUPPORTED("""COMPUTED_VALUE"""),"Recife")</f>
        <v>Recife</v>
      </c>
      <c r="D1623" s="3" t="str">
        <f ca="1">IFERROR(__xludf.UNSUPPORTED("""COMPUTED_VALUE"""),"🚢 REGULAR")</f>
        <v>🚢 REGULAR</v>
      </c>
      <c r="E1623" s="3" t="str">
        <f ca="1">IFERROR(__xludf.UNSUPPORTED("""COMPUTED_VALUE"""),"🚛 LIBERADO")</f>
        <v>🚛 LIBERADO</v>
      </c>
      <c r="F1623" s="5">
        <f ca="1">IFERROR(__xludf.UNSUPPORTED("""COMPUTED_VALUE"""),0.25)</f>
        <v>0.25</v>
      </c>
      <c r="G1623" s="3" t="str">
        <f ca="1">IFERROR(__xludf.UNSUPPORTED("""COMPUTED_VALUE"""),"Regular")</f>
        <v>Regular</v>
      </c>
      <c r="H1623" s="4">
        <f ca="1">IFERROR(__xludf.UNSUPPORTED("""COMPUTED_VALUE"""),45177.3838541666)</f>
        <v>45177.383854166597</v>
      </c>
      <c r="I1623" s="3">
        <f ca="1">IFERROR(__xludf.UNSUPPORTED("""COMPUTED_VALUE"""),6)</f>
        <v>6</v>
      </c>
      <c r="J1623" s="4">
        <f ca="1">IFERROR(__xludf.UNSUPPORTED("""COMPUTED_VALUE"""),45177.6338541666)</f>
        <v>45177.633854166597</v>
      </c>
      <c r="K1623" s="3" t="str">
        <f ca="1">IFERROR(__xludf.UNSUPPORTED("""COMPUTED_VALUE"""),"Porto do Recife")</f>
        <v>Porto do Recife</v>
      </c>
      <c r="L1623" s="3" t="str">
        <f ca="1">IFERROR(__xludf.UNSUPPORTED("""COMPUTED_VALUE"""),"Crítico")</f>
        <v>Crítico</v>
      </c>
    </row>
    <row r="1624" spans="1:12" ht="12.75">
      <c r="A1624" s="3" t="str">
        <f ca="1">IFERROR(__xludf.UNSUPPORTED("""COMPUTED_VALUE"""),"e8eb568c")</f>
        <v>e8eb568c</v>
      </c>
      <c r="B1624" s="4">
        <f ca="1">IFERROR(__xludf.UNSUPPORTED("""COMPUTED_VALUE"""),45178.4042476851)</f>
        <v>45178.404247685103</v>
      </c>
      <c r="C1624" s="7" t="str">
        <f ca="1">IFERROR(__xludf.UNSUPPORTED("""COMPUTED_VALUE"""),"Recife")</f>
        <v>Recife</v>
      </c>
      <c r="D1624" s="3" t="str">
        <f ca="1">IFERROR(__xludf.UNSUPPORTED("""COMPUTED_VALUE"""),"🚢 REGULAR")</f>
        <v>🚢 REGULAR</v>
      </c>
      <c r="E1624" s="3" t="str">
        <f ca="1">IFERROR(__xludf.UNSUPPORTED("""COMPUTED_VALUE"""),"🚛 LIBERADO")</f>
        <v>🚛 LIBERADO</v>
      </c>
      <c r="F1624" s="5">
        <f ca="1">IFERROR(__xludf.UNSUPPORTED("""COMPUTED_VALUE"""),0.25)</f>
        <v>0.25</v>
      </c>
      <c r="G1624" s="3" t="str">
        <f ca="1">IFERROR(__xludf.UNSUPPORTED("""COMPUTED_VALUE"""),"Regular")</f>
        <v>Regular</v>
      </c>
      <c r="H1624" s="4">
        <f ca="1">IFERROR(__xludf.UNSUPPORTED("""COMPUTED_VALUE"""),45178.4042476851)</f>
        <v>45178.404247685103</v>
      </c>
      <c r="I1624" s="3">
        <f ca="1">IFERROR(__xludf.UNSUPPORTED("""COMPUTED_VALUE"""),6)</f>
        <v>6</v>
      </c>
      <c r="J1624" s="4">
        <f ca="1">IFERROR(__xludf.UNSUPPORTED("""COMPUTED_VALUE"""),45178.6542476851)</f>
        <v>45178.654247685103</v>
      </c>
      <c r="K1624" s="3" t="str">
        <f ca="1">IFERROR(__xludf.UNSUPPORTED("""COMPUTED_VALUE"""),"Porto do Recife")</f>
        <v>Porto do Recife</v>
      </c>
      <c r="L1624" s="3" t="str">
        <f ca="1">IFERROR(__xludf.UNSUPPORTED("""COMPUTED_VALUE"""),"Crítico")</f>
        <v>Crítico</v>
      </c>
    </row>
    <row r="1625" spans="1:12" ht="12.75">
      <c r="A1625" s="3" t="str">
        <f ca="1">IFERROR(__xludf.UNSUPPORTED("""COMPUTED_VALUE"""),"41276c1b")</f>
        <v>41276c1b</v>
      </c>
      <c r="B1625" s="4">
        <f ca="1">IFERROR(__xludf.UNSUPPORTED("""COMPUTED_VALUE"""),45179.4138773148)</f>
        <v>45179.413877314801</v>
      </c>
      <c r="C1625" s="8" t="str">
        <f ca="1">IFERROR(__xludf.UNSUPPORTED("""COMPUTED_VALUE"""),"Recife")</f>
        <v>Recife</v>
      </c>
      <c r="D1625" s="3" t="str">
        <f ca="1">IFERROR(__xludf.UNSUPPORTED("""COMPUTED_VALUE"""),"🚢 REGULAR")</f>
        <v>🚢 REGULAR</v>
      </c>
      <c r="E1625" s="3" t="str">
        <f ca="1">IFERROR(__xludf.UNSUPPORTED("""COMPUTED_VALUE"""),"🚛 LIBERADO")</f>
        <v>🚛 LIBERADO</v>
      </c>
      <c r="F1625" s="5">
        <f ca="1">IFERROR(__xludf.UNSUPPORTED("""COMPUTED_VALUE"""),0.25)</f>
        <v>0.25</v>
      </c>
      <c r="G1625" s="3" t="str">
        <f ca="1">IFERROR(__xludf.UNSUPPORTED("""COMPUTED_VALUE"""),"Regular")</f>
        <v>Regular</v>
      </c>
      <c r="H1625" s="4">
        <f ca="1">IFERROR(__xludf.UNSUPPORTED("""COMPUTED_VALUE"""),45179.4138773148)</f>
        <v>45179.413877314801</v>
      </c>
      <c r="I1625" s="3">
        <f ca="1">IFERROR(__xludf.UNSUPPORTED("""COMPUTED_VALUE"""),6)</f>
        <v>6</v>
      </c>
      <c r="J1625" s="4">
        <f ca="1">IFERROR(__xludf.UNSUPPORTED("""COMPUTED_VALUE"""),45179.6638773148)</f>
        <v>45179.663877314801</v>
      </c>
      <c r="K1625" s="3" t="str">
        <f ca="1">IFERROR(__xludf.UNSUPPORTED("""COMPUTED_VALUE"""),"Porto do Recife")</f>
        <v>Porto do Recife</v>
      </c>
      <c r="L1625" s="3" t="str">
        <f ca="1">IFERROR(__xludf.UNSUPPORTED("""COMPUTED_VALUE"""),"Crítico")</f>
        <v>Crítico</v>
      </c>
    </row>
    <row r="1626" spans="1:12" ht="12.75">
      <c r="A1626" s="3" t="str">
        <f ca="1">IFERROR(__xludf.UNSUPPORTED("""COMPUTED_VALUE"""),"aba2cb6f")</f>
        <v>aba2cb6f</v>
      </c>
      <c r="B1626" s="4">
        <f ca="1">IFERROR(__xludf.UNSUPPORTED("""COMPUTED_VALUE"""),45180.4257638888)</f>
        <v>45180.425763888801</v>
      </c>
      <c r="C1626" s="8" t="str">
        <f ca="1">IFERROR(__xludf.UNSUPPORTED("""COMPUTED_VALUE"""),"Recife")</f>
        <v>Recife</v>
      </c>
      <c r="D1626" s="3" t="str">
        <f ca="1">IFERROR(__xludf.UNSUPPORTED("""COMPUTED_VALUE"""),"🚢 REGULAR")</f>
        <v>🚢 REGULAR</v>
      </c>
      <c r="E1626" s="3" t="str">
        <f ca="1">IFERROR(__xludf.UNSUPPORTED("""COMPUTED_VALUE"""),"🚛 LIBERADO")</f>
        <v>🚛 LIBERADO</v>
      </c>
      <c r="F1626" s="5">
        <f ca="1">IFERROR(__xludf.UNSUPPORTED("""COMPUTED_VALUE"""),0.25)</f>
        <v>0.25</v>
      </c>
      <c r="G1626" s="3" t="str">
        <f ca="1">IFERROR(__xludf.UNSUPPORTED("""COMPUTED_VALUE"""),"Regular")</f>
        <v>Regular</v>
      </c>
      <c r="H1626" s="4">
        <f ca="1">IFERROR(__xludf.UNSUPPORTED("""COMPUTED_VALUE"""),45180.4257638888)</f>
        <v>45180.425763888801</v>
      </c>
      <c r="I1626" s="3">
        <f ca="1">IFERROR(__xludf.UNSUPPORTED("""COMPUTED_VALUE"""),6)</f>
        <v>6</v>
      </c>
      <c r="J1626" s="4">
        <f ca="1">IFERROR(__xludf.UNSUPPORTED("""COMPUTED_VALUE"""),45180.6757638888)</f>
        <v>45180.675763888801</v>
      </c>
      <c r="K1626" s="3" t="str">
        <f ca="1">IFERROR(__xludf.UNSUPPORTED("""COMPUTED_VALUE"""),"Porto do Recife")</f>
        <v>Porto do Recife</v>
      </c>
      <c r="L1626" s="3" t="str">
        <f ca="1">IFERROR(__xludf.UNSUPPORTED("""COMPUTED_VALUE"""),"Crítico")</f>
        <v>Crítico</v>
      </c>
    </row>
    <row r="1627" spans="1:12" ht="12.75">
      <c r="A1627" s="3" t="str">
        <f ca="1">IFERROR(__xludf.UNSUPPORTED("""COMPUTED_VALUE"""),"364097ed")</f>
        <v>364097ed</v>
      </c>
      <c r="B1627" s="4">
        <f ca="1">IFERROR(__xludf.UNSUPPORTED("""COMPUTED_VALUE"""),45181.3878009259)</f>
        <v>45181.387800925899</v>
      </c>
      <c r="C1627" s="7" t="str">
        <f ca="1">IFERROR(__xludf.UNSUPPORTED("""COMPUTED_VALUE"""),"Recife")</f>
        <v>Recife</v>
      </c>
      <c r="D1627" s="3" t="str">
        <f ca="1">IFERROR(__xludf.UNSUPPORTED("""COMPUTED_VALUE"""),"🚢 REGULAR")</f>
        <v>🚢 REGULAR</v>
      </c>
      <c r="E1627" s="3" t="str">
        <f ca="1">IFERROR(__xludf.UNSUPPORTED("""COMPUTED_VALUE"""),"🚛 LIBERADO")</f>
        <v>🚛 LIBERADO</v>
      </c>
      <c r="F1627" s="5">
        <f ca="1">IFERROR(__xludf.UNSUPPORTED("""COMPUTED_VALUE"""),0.25)</f>
        <v>0.25</v>
      </c>
      <c r="G1627" s="3" t="str">
        <f ca="1">IFERROR(__xludf.UNSUPPORTED("""COMPUTED_VALUE"""),"Porto do Recife")</f>
        <v>Porto do Recife</v>
      </c>
      <c r="H1627" s="4">
        <f ca="1">IFERROR(__xludf.UNSUPPORTED("""COMPUTED_VALUE"""),45181.3878009259)</f>
        <v>45181.387800925899</v>
      </c>
      <c r="I1627" s="3">
        <f ca="1">IFERROR(__xludf.UNSUPPORTED("""COMPUTED_VALUE"""),6)</f>
        <v>6</v>
      </c>
      <c r="J1627" s="4">
        <f ca="1">IFERROR(__xludf.UNSUPPORTED("""COMPUTED_VALUE"""),45181.6378009259)</f>
        <v>45181.637800925899</v>
      </c>
      <c r="K1627" s="3" t="str">
        <f ca="1">IFERROR(__xludf.UNSUPPORTED("""COMPUTED_VALUE"""),"Porto do Recife")</f>
        <v>Porto do Recife</v>
      </c>
      <c r="L1627" s="3" t="str">
        <f ca="1">IFERROR(__xludf.UNSUPPORTED("""COMPUTED_VALUE"""),"Crítico")</f>
        <v>Crítico</v>
      </c>
    </row>
    <row r="1628" spans="1:12" ht="12.75">
      <c r="A1628" s="3" t="str">
        <f ca="1">IFERROR(__xludf.UNSUPPORTED("""COMPUTED_VALUE"""),"f5a6f59d")</f>
        <v>f5a6f59d</v>
      </c>
      <c r="B1628" s="4">
        <f ca="1">IFERROR(__xludf.UNSUPPORTED("""COMPUTED_VALUE"""),45182.3237499999)</f>
        <v>45182.323749999901</v>
      </c>
      <c r="C1628" s="8" t="str">
        <f ca="1">IFERROR(__xludf.UNSUPPORTED("""COMPUTED_VALUE"""),"Recife")</f>
        <v>Recife</v>
      </c>
      <c r="D1628" s="3" t="str">
        <f ca="1">IFERROR(__xludf.UNSUPPORTED("""COMPUTED_VALUE"""),"🚢 REGULAR")</f>
        <v>🚢 REGULAR</v>
      </c>
      <c r="E1628" s="3" t="str">
        <f ca="1">IFERROR(__xludf.UNSUPPORTED("""COMPUTED_VALUE"""),"🚛 LIBERADO")</f>
        <v>🚛 LIBERADO</v>
      </c>
      <c r="F1628" s="5">
        <f ca="1">IFERROR(__xludf.UNSUPPORTED("""COMPUTED_VALUE"""),0.25)</f>
        <v>0.25</v>
      </c>
      <c r="G1628" s="3" t="str">
        <f ca="1">IFERROR(__xludf.UNSUPPORTED("""COMPUTED_VALUE"""),"Regular")</f>
        <v>Regular</v>
      </c>
      <c r="H1628" s="4">
        <f ca="1">IFERROR(__xludf.UNSUPPORTED("""COMPUTED_VALUE"""),45182.3237499999)</f>
        <v>45182.323749999901</v>
      </c>
      <c r="I1628" s="3">
        <f ca="1">IFERROR(__xludf.UNSUPPORTED("""COMPUTED_VALUE"""),6)</f>
        <v>6</v>
      </c>
      <c r="J1628" s="4">
        <f ca="1">IFERROR(__xludf.UNSUPPORTED("""COMPUTED_VALUE"""),45182.5737499999)</f>
        <v>45182.573749999901</v>
      </c>
      <c r="K1628" s="3" t="str">
        <f ca="1">IFERROR(__xludf.UNSUPPORTED("""COMPUTED_VALUE"""),"Porto do Recife")</f>
        <v>Porto do Recife</v>
      </c>
      <c r="L1628" s="3" t="str">
        <f ca="1">IFERROR(__xludf.UNSUPPORTED("""COMPUTED_VALUE"""),"Crítico")</f>
        <v>Crítico</v>
      </c>
    </row>
    <row r="1629" spans="1:12" ht="12.75">
      <c r="A1629" s="3" t="str">
        <f ca="1">IFERROR(__xludf.UNSUPPORTED("""COMPUTED_VALUE"""),"786e2fdd")</f>
        <v>786e2fdd</v>
      </c>
      <c r="B1629" s="4">
        <f ca="1">IFERROR(__xludf.UNSUPPORTED("""COMPUTED_VALUE"""),45183.746875)</f>
        <v>45183.746874999997</v>
      </c>
      <c r="C1629" s="7" t="str">
        <f ca="1">IFERROR(__xludf.UNSUPPORTED("""COMPUTED_VALUE"""),"Recife")</f>
        <v>Recife</v>
      </c>
      <c r="D1629" s="3" t="str">
        <f ca="1">IFERROR(__xludf.UNSUPPORTED("""COMPUTED_VALUE"""),"🚢 REGULAR")</f>
        <v>🚢 REGULAR</v>
      </c>
      <c r="E1629" s="3" t="str">
        <f ca="1">IFERROR(__xludf.UNSUPPORTED("""COMPUTED_VALUE"""),"🚛 LIBERADO")</f>
        <v>🚛 LIBERADO</v>
      </c>
      <c r="F1629" s="5">
        <f ca="1">IFERROR(__xludf.UNSUPPORTED("""COMPUTED_VALUE"""),0.25)</f>
        <v>0.25</v>
      </c>
      <c r="G1629" s="3" t="str">
        <f ca="1">IFERROR(__xludf.UNSUPPORTED("""COMPUTED_VALUE"""),"Regular")</f>
        <v>Regular</v>
      </c>
      <c r="H1629" s="4">
        <f ca="1">IFERROR(__xludf.UNSUPPORTED("""COMPUTED_VALUE"""),45183.746875)</f>
        <v>45183.746874999997</v>
      </c>
      <c r="I1629" s="3">
        <f ca="1">IFERROR(__xludf.UNSUPPORTED("""COMPUTED_VALUE"""),6)</f>
        <v>6</v>
      </c>
      <c r="J1629" s="4">
        <f ca="1">IFERROR(__xludf.UNSUPPORTED("""COMPUTED_VALUE"""),45183.996875)</f>
        <v>45183.996874999997</v>
      </c>
      <c r="K1629" s="3" t="str">
        <f ca="1">IFERROR(__xludf.UNSUPPORTED("""COMPUTED_VALUE"""),"Porto do Recife")</f>
        <v>Porto do Recife</v>
      </c>
      <c r="L1629" s="3" t="str">
        <f ca="1">IFERROR(__xludf.UNSUPPORTED("""COMPUTED_VALUE"""),"Crítico")</f>
        <v>Crítico</v>
      </c>
    </row>
    <row r="1630" spans="1:12" ht="12.75">
      <c r="A1630" s="3" t="str">
        <f ca="1">IFERROR(__xludf.UNSUPPORTED("""COMPUTED_VALUE"""),"e412525a")</f>
        <v>e412525a</v>
      </c>
      <c r="B1630" s="4">
        <f ca="1">IFERROR(__xludf.UNSUPPORTED("""COMPUTED_VALUE"""),45184.430625)</f>
        <v>45184.430625000001</v>
      </c>
      <c r="C1630" s="8" t="str">
        <f ca="1">IFERROR(__xludf.UNSUPPORTED("""COMPUTED_VALUE"""),"Recife")</f>
        <v>Recife</v>
      </c>
      <c r="D1630" s="3" t="str">
        <f ca="1">IFERROR(__xludf.UNSUPPORTED("""COMPUTED_VALUE"""),"🚢 REGULAR")</f>
        <v>🚢 REGULAR</v>
      </c>
      <c r="E1630" s="3" t="str">
        <f ca="1">IFERROR(__xludf.UNSUPPORTED("""COMPUTED_VALUE"""),"🚛 LIBERADO")</f>
        <v>🚛 LIBERADO</v>
      </c>
      <c r="F1630" s="5">
        <f ca="1">IFERROR(__xludf.UNSUPPORTED("""COMPUTED_VALUE"""),0.25)</f>
        <v>0.25</v>
      </c>
      <c r="G1630" s="3" t="str">
        <f ca="1">IFERROR(__xludf.UNSUPPORTED("""COMPUTED_VALUE"""),"Regular")</f>
        <v>Regular</v>
      </c>
      <c r="H1630" s="4">
        <f ca="1">IFERROR(__xludf.UNSUPPORTED("""COMPUTED_VALUE"""),45184.430625)</f>
        <v>45184.430625000001</v>
      </c>
      <c r="I1630" s="3">
        <f ca="1">IFERROR(__xludf.UNSUPPORTED("""COMPUTED_VALUE"""),6)</f>
        <v>6</v>
      </c>
      <c r="J1630" s="4">
        <f ca="1">IFERROR(__xludf.UNSUPPORTED("""COMPUTED_VALUE"""),45184.680625)</f>
        <v>45184.680625000001</v>
      </c>
      <c r="K1630" s="3" t="str">
        <f ca="1">IFERROR(__xludf.UNSUPPORTED("""COMPUTED_VALUE"""),"Porto do Recife")</f>
        <v>Porto do Recife</v>
      </c>
      <c r="L1630" s="3" t="str">
        <f ca="1">IFERROR(__xludf.UNSUPPORTED("""COMPUTED_VALUE"""),"Crítico")</f>
        <v>Crítico</v>
      </c>
    </row>
    <row r="1631" spans="1:12" ht="12.75">
      <c r="A1631" s="3" t="str">
        <f ca="1">IFERROR(__xludf.UNSUPPORTED("""COMPUTED_VALUE"""),"032a8152")</f>
        <v>032a8152</v>
      </c>
      <c r="B1631" s="4">
        <f ca="1">IFERROR(__xludf.UNSUPPORTED("""COMPUTED_VALUE"""),45187.384710648)</f>
        <v>45187.384710648003</v>
      </c>
      <c r="C1631" s="8" t="str">
        <f ca="1">IFERROR(__xludf.UNSUPPORTED("""COMPUTED_VALUE"""),"Recife")</f>
        <v>Recife</v>
      </c>
      <c r="D1631" s="3" t="str">
        <f ca="1">IFERROR(__xludf.UNSUPPORTED("""COMPUTED_VALUE"""),"🚢 REGULAR")</f>
        <v>🚢 REGULAR</v>
      </c>
      <c r="E1631" s="3" t="str">
        <f ca="1">IFERROR(__xludf.UNSUPPORTED("""COMPUTED_VALUE"""),"🚛 LIBERADO")</f>
        <v>🚛 LIBERADO</v>
      </c>
      <c r="F1631" s="5">
        <f ca="1">IFERROR(__xludf.UNSUPPORTED("""COMPUTED_VALUE"""),0)</f>
        <v>0</v>
      </c>
      <c r="G1631" s="3" t="str">
        <f ca="1">IFERROR(__xludf.UNSUPPORTED("""COMPUTED_VALUE"""),"Normalidade")</f>
        <v>Normalidade</v>
      </c>
      <c r="H1631" s="4">
        <f ca="1">IFERROR(__xludf.UNSUPPORTED("""COMPUTED_VALUE"""),45187.384710648)</f>
        <v>45187.384710648003</v>
      </c>
      <c r="I1631" s="3">
        <f ca="1">IFERROR(__xludf.UNSUPPORTED("""COMPUTED_VALUE"""),24)</f>
        <v>24</v>
      </c>
      <c r="J1631" s="4">
        <f ca="1">IFERROR(__xludf.UNSUPPORTED("""COMPUTED_VALUE"""),45188.384710648)</f>
        <v>45188.384710648003</v>
      </c>
    </row>
    <row r="1632" spans="1:12" ht="12.75">
      <c r="A1632" s="3" t="str">
        <f ca="1">IFERROR(__xludf.UNSUPPORTED("""COMPUTED_VALUE"""),"0ee452df")</f>
        <v>0ee452df</v>
      </c>
      <c r="B1632" s="4">
        <f ca="1">IFERROR(__xludf.UNSUPPORTED("""COMPUTED_VALUE"""),45190.3340046296)</f>
        <v>45190.3340046296</v>
      </c>
      <c r="C1632" s="8" t="str">
        <f ca="1">IFERROR(__xludf.UNSUPPORTED("""COMPUTED_VALUE"""),"Recife")</f>
        <v>Recife</v>
      </c>
      <c r="D1632" s="3" t="str">
        <f ca="1">IFERROR(__xludf.UNSUPPORTED("""COMPUTED_VALUE"""),"🚢 REGULAR")</f>
        <v>🚢 REGULAR</v>
      </c>
      <c r="E1632" s="3" t="str">
        <f ca="1">IFERROR(__xludf.UNSUPPORTED("""COMPUTED_VALUE"""),"🚛 LIBERADO")</f>
        <v>🚛 LIBERADO</v>
      </c>
      <c r="F1632" s="5">
        <f ca="1">IFERROR(__xludf.UNSUPPORTED("""COMPUTED_VALUE"""),0)</f>
        <v>0</v>
      </c>
      <c r="G1632" s="3" t="str">
        <f ca="1">IFERROR(__xludf.UNSUPPORTED("""COMPUTED_VALUE"""),"Normalidade")</f>
        <v>Normalidade</v>
      </c>
      <c r="H1632" s="4">
        <f ca="1">IFERROR(__xludf.UNSUPPORTED("""COMPUTED_VALUE"""),45190.3340046296)</f>
        <v>45190.3340046296</v>
      </c>
      <c r="I1632" s="3">
        <f ca="1">IFERROR(__xludf.UNSUPPORTED("""COMPUTED_VALUE"""),24)</f>
        <v>24</v>
      </c>
      <c r="J1632" s="4">
        <f ca="1">IFERROR(__xludf.UNSUPPORTED("""COMPUTED_VALUE"""),45191.3340046296)</f>
        <v>45191.3340046296</v>
      </c>
    </row>
    <row r="1633" spans="1:12" ht="12.75">
      <c r="A1633" s="3" t="str">
        <f ca="1">IFERROR(__xludf.UNSUPPORTED("""COMPUTED_VALUE"""),"1f6563dc")</f>
        <v>1f6563dc</v>
      </c>
      <c r="B1633" s="4">
        <f ca="1">IFERROR(__xludf.UNSUPPORTED("""COMPUTED_VALUE"""),45192.3341319444)</f>
        <v>45192.334131944401</v>
      </c>
      <c r="C1633" s="7" t="str">
        <f ca="1">IFERROR(__xludf.UNSUPPORTED("""COMPUTED_VALUE"""),"Recife")</f>
        <v>Recife</v>
      </c>
      <c r="D1633" s="3" t="str">
        <f ca="1">IFERROR(__xludf.UNSUPPORTED("""COMPUTED_VALUE"""),"🚢 REGULAR")</f>
        <v>🚢 REGULAR</v>
      </c>
      <c r="E1633" s="3" t="str">
        <f ca="1">IFERROR(__xludf.UNSUPPORTED("""COMPUTED_VALUE"""),"🚛 LIBERADO")</f>
        <v>🚛 LIBERADO</v>
      </c>
      <c r="F1633" s="5">
        <f ca="1">IFERROR(__xludf.UNSUPPORTED("""COMPUTED_VALUE"""),0)</f>
        <v>0</v>
      </c>
      <c r="G1633" s="3" t="str">
        <f ca="1">IFERROR(__xludf.UNSUPPORTED("""COMPUTED_VALUE"""),"Normalidade")</f>
        <v>Normalidade</v>
      </c>
      <c r="H1633" s="4">
        <f ca="1">IFERROR(__xludf.UNSUPPORTED("""COMPUTED_VALUE"""),45192.3341319444)</f>
        <v>45192.334131944401</v>
      </c>
      <c r="I1633" s="3">
        <f ca="1">IFERROR(__xludf.UNSUPPORTED("""COMPUTED_VALUE"""),24)</f>
        <v>24</v>
      </c>
      <c r="J1633" s="4">
        <f ca="1">IFERROR(__xludf.UNSUPPORTED("""COMPUTED_VALUE"""),45193.3341319444)</f>
        <v>45193.334131944401</v>
      </c>
    </row>
    <row r="1634" spans="1:12" ht="12.75">
      <c r="A1634" s="3" t="str">
        <f ca="1">IFERROR(__xludf.UNSUPPORTED("""COMPUTED_VALUE"""),"25d4fd1f")</f>
        <v>25d4fd1f</v>
      </c>
      <c r="B1634" s="4">
        <f ca="1">IFERROR(__xludf.UNSUPPORTED("""COMPUTED_VALUE"""),45193.7804398148)</f>
        <v>45193.7804398148</v>
      </c>
      <c r="C1634" s="8" t="str">
        <f ca="1">IFERROR(__xludf.UNSUPPORTED("""COMPUTED_VALUE"""),"Recife")</f>
        <v>Recife</v>
      </c>
      <c r="D1634" s="3" t="str">
        <f ca="1">IFERROR(__xludf.UNSUPPORTED("""COMPUTED_VALUE"""),"🚢 REGULAR")</f>
        <v>🚢 REGULAR</v>
      </c>
      <c r="E1634" s="3" t="str">
        <f ca="1">IFERROR(__xludf.UNSUPPORTED("""COMPUTED_VALUE"""),"🚛 LIBERADO")</f>
        <v>🚛 LIBERADO</v>
      </c>
      <c r="F1634" s="5">
        <f ca="1">IFERROR(__xludf.UNSUPPORTED("""COMPUTED_VALUE"""),0)</f>
        <v>0</v>
      </c>
      <c r="G1634" s="3" t="str">
        <f ca="1">IFERROR(__xludf.UNSUPPORTED("""COMPUTED_VALUE"""),"Normalidade")</f>
        <v>Normalidade</v>
      </c>
      <c r="H1634" s="4">
        <f ca="1">IFERROR(__xludf.UNSUPPORTED("""COMPUTED_VALUE"""),45193.7804398148)</f>
        <v>45193.7804398148</v>
      </c>
      <c r="I1634" s="3">
        <f ca="1">IFERROR(__xludf.UNSUPPORTED("""COMPUTED_VALUE"""),24)</f>
        <v>24</v>
      </c>
      <c r="J1634" s="4">
        <f ca="1">IFERROR(__xludf.UNSUPPORTED("""COMPUTED_VALUE"""),45194.7804398148)</f>
        <v>45194.7804398148</v>
      </c>
    </row>
    <row r="1635" spans="1:12" ht="12.75">
      <c r="A1635" s="3" t="str">
        <f ca="1">IFERROR(__xludf.UNSUPPORTED("""COMPUTED_VALUE"""),"c26424dd")</f>
        <v>c26424dd</v>
      </c>
      <c r="B1635" s="4">
        <f ca="1">IFERROR(__xludf.UNSUPPORTED("""COMPUTED_VALUE"""),45194.4233796296)</f>
        <v>45194.423379629603</v>
      </c>
      <c r="C1635" s="7" t="str">
        <f ca="1">IFERROR(__xludf.UNSUPPORTED("""COMPUTED_VALUE"""),"Recife")</f>
        <v>Recife</v>
      </c>
      <c r="D1635" s="3" t="str">
        <f ca="1">IFERROR(__xludf.UNSUPPORTED("""COMPUTED_VALUE"""),"🚢 REGULAR")</f>
        <v>🚢 REGULAR</v>
      </c>
      <c r="E1635" s="3" t="str">
        <f ca="1">IFERROR(__xludf.UNSUPPORTED("""COMPUTED_VALUE"""),"🚛 LIBERADO")</f>
        <v>🚛 LIBERADO</v>
      </c>
      <c r="F1635" s="5">
        <f ca="1">IFERROR(__xludf.UNSUPPORTED("""COMPUTED_VALUE"""),0)</f>
        <v>0</v>
      </c>
      <c r="G1635" s="3" t="str">
        <f ca="1">IFERROR(__xludf.UNSUPPORTED("""COMPUTED_VALUE"""),"Normalidade")</f>
        <v>Normalidade</v>
      </c>
      <c r="H1635" s="4">
        <f ca="1">IFERROR(__xludf.UNSUPPORTED("""COMPUTED_VALUE"""),45194.4233796296)</f>
        <v>45194.423379629603</v>
      </c>
      <c r="I1635" s="3">
        <f ca="1">IFERROR(__xludf.UNSUPPORTED("""COMPUTED_VALUE"""),24)</f>
        <v>24</v>
      </c>
      <c r="J1635" s="4">
        <f ca="1">IFERROR(__xludf.UNSUPPORTED("""COMPUTED_VALUE"""),45195.4233796296)</f>
        <v>45195.423379629603</v>
      </c>
    </row>
    <row r="1636" spans="1:12" ht="12.75">
      <c r="A1636" s="3" t="str">
        <f ca="1">IFERROR(__xludf.UNSUPPORTED("""COMPUTED_VALUE"""),"2d28aee9")</f>
        <v>2d28aee9</v>
      </c>
      <c r="B1636" s="4">
        <f ca="1">IFERROR(__xludf.UNSUPPORTED("""COMPUTED_VALUE"""),45196.3586805555)</f>
        <v>45196.358680555502</v>
      </c>
      <c r="C1636" s="8" t="str">
        <f ca="1">IFERROR(__xludf.UNSUPPORTED("""COMPUTED_VALUE"""),"Recife")</f>
        <v>Recife</v>
      </c>
      <c r="D1636" s="3" t="str">
        <f ca="1">IFERROR(__xludf.UNSUPPORTED("""COMPUTED_VALUE"""),"🚢 REGULAR")</f>
        <v>🚢 REGULAR</v>
      </c>
      <c r="E1636" s="3" t="str">
        <f ca="1">IFERROR(__xludf.UNSUPPORTED("""COMPUTED_VALUE"""),"🚛 LIBERADO")</f>
        <v>🚛 LIBERADO</v>
      </c>
      <c r="F1636" s="5">
        <f ca="1">IFERROR(__xludf.UNSUPPORTED("""COMPUTED_VALUE"""),0)</f>
        <v>0</v>
      </c>
      <c r="G1636" s="3" t="str">
        <f ca="1">IFERROR(__xludf.UNSUPPORTED("""COMPUTED_VALUE"""),"Normalidade")</f>
        <v>Normalidade</v>
      </c>
      <c r="H1636" s="4">
        <f ca="1">IFERROR(__xludf.UNSUPPORTED("""COMPUTED_VALUE"""),45196.3586805555)</f>
        <v>45196.358680555502</v>
      </c>
      <c r="I1636" s="3">
        <f ca="1">IFERROR(__xludf.UNSUPPORTED("""COMPUTED_VALUE"""),24)</f>
        <v>24</v>
      </c>
      <c r="J1636" s="4">
        <f ca="1">IFERROR(__xludf.UNSUPPORTED("""COMPUTED_VALUE"""),45197.3586805555)</f>
        <v>45197.358680555502</v>
      </c>
    </row>
    <row r="1637" spans="1:12" ht="12.75">
      <c r="A1637" s="3" t="str">
        <f ca="1">IFERROR(__xludf.UNSUPPORTED("""COMPUTED_VALUE"""),"0bc218dd")</f>
        <v>0bc218dd</v>
      </c>
      <c r="B1637" s="4">
        <f ca="1">IFERROR(__xludf.UNSUPPORTED("""COMPUTED_VALUE"""),45197.604386574)</f>
        <v>45197.604386573999</v>
      </c>
      <c r="C1637" s="7" t="str">
        <f ca="1">IFERROR(__xludf.UNSUPPORTED("""COMPUTED_VALUE"""),"Recife")</f>
        <v>Recife</v>
      </c>
      <c r="D1637" s="3" t="str">
        <f ca="1">IFERROR(__xludf.UNSUPPORTED("""COMPUTED_VALUE"""),"🚢 REGULAR")</f>
        <v>🚢 REGULAR</v>
      </c>
      <c r="E1637" s="3" t="str">
        <f ca="1">IFERROR(__xludf.UNSUPPORTED("""COMPUTED_VALUE"""),"🚛 LIBERADO")</f>
        <v>🚛 LIBERADO</v>
      </c>
      <c r="F1637" s="5">
        <f ca="1">IFERROR(__xludf.UNSUPPORTED("""COMPUTED_VALUE"""),0)</f>
        <v>0</v>
      </c>
      <c r="G1637" s="3" t="str">
        <f ca="1">IFERROR(__xludf.UNSUPPORTED("""COMPUTED_VALUE"""),"Normalidade")</f>
        <v>Normalidade</v>
      </c>
      <c r="H1637" s="4">
        <f ca="1">IFERROR(__xludf.UNSUPPORTED("""COMPUTED_VALUE"""),45197.604386574)</f>
        <v>45197.604386573999</v>
      </c>
      <c r="I1637" s="3">
        <f ca="1">IFERROR(__xludf.UNSUPPORTED("""COMPUTED_VALUE"""),24)</f>
        <v>24</v>
      </c>
      <c r="J1637" s="4">
        <f ca="1">IFERROR(__xludf.UNSUPPORTED("""COMPUTED_VALUE"""),45198.604386574)</f>
        <v>45198.604386573999</v>
      </c>
    </row>
    <row r="1638" spans="1:12" ht="12.75">
      <c r="A1638" s="3" t="str">
        <f ca="1">IFERROR(__xludf.UNSUPPORTED("""COMPUTED_VALUE"""),"1e24c1b2")</f>
        <v>1e24c1b2</v>
      </c>
      <c r="B1638" s="4">
        <f ca="1">IFERROR(__xludf.UNSUPPORTED("""COMPUTED_VALUE"""),45199.4222337963)</f>
        <v>45199.4222337963</v>
      </c>
      <c r="C1638" s="8" t="str">
        <f ca="1">IFERROR(__xludf.UNSUPPORTED("""COMPUTED_VALUE"""),"Recife")</f>
        <v>Recife</v>
      </c>
      <c r="D1638" s="3" t="str">
        <f ca="1">IFERROR(__xludf.UNSUPPORTED("""COMPUTED_VALUE"""),"🚢 REGULAR")</f>
        <v>🚢 REGULAR</v>
      </c>
      <c r="E1638" s="3" t="str">
        <f ca="1">IFERROR(__xludf.UNSUPPORTED("""COMPUTED_VALUE"""),"🚛 LIBERADO")</f>
        <v>🚛 LIBERADO</v>
      </c>
      <c r="F1638" s="5">
        <f ca="1">IFERROR(__xludf.UNSUPPORTED("""COMPUTED_VALUE"""),0)</f>
        <v>0</v>
      </c>
      <c r="G1638" s="3" t="str">
        <f ca="1">IFERROR(__xludf.UNSUPPORTED("""COMPUTED_VALUE"""),"Normalidade")</f>
        <v>Normalidade</v>
      </c>
      <c r="H1638" s="4">
        <f ca="1">IFERROR(__xludf.UNSUPPORTED("""COMPUTED_VALUE"""),45199.4222337963)</f>
        <v>45199.4222337963</v>
      </c>
      <c r="I1638" s="3">
        <f ca="1">IFERROR(__xludf.UNSUPPORTED("""COMPUTED_VALUE"""),24)</f>
        <v>24</v>
      </c>
      <c r="J1638" s="4">
        <f ca="1">IFERROR(__xludf.UNSUPPORTED("""COMPUTED_VALUE"""),45200.4222337963)</f>
        <v>45200.4222337963</v>
      </c>
    </row>
    <row r="1639" spans="1:12" ht="12.75">
      <c r="A1639" s="3" t="str">
        <f ca="1">IFERROR(__xludf.UNSUPPORTED("""COMPUTED_VALUE"""),"80c9d19f")</f>
        <v>80c9d19f</v>
      </c>
      <c r="B1639" s="4">
        <f ca="1">IFERROR(__xludf.UNSUPPORTED("""COMPUTED_VALUE"""),45201.3406712963)</f>
        <v>45201.340671296297</v>
      </c>
      <c r="C1639" s="7" t="str">
        <f ca="1">IFERROR(__xludf.UNSUPPORTED("""COMPUTED_VALUE"""),"Recife")</f>
        <v>Recife</v>
      </c>
      <c r="D1639" s="3" t="str">
        <f ca="1">IFERROR(__xludf.UNSUPPORTED("""COMPUTED_VALUE"""),"🚢 REGULAR")</f>
        <v>🚢 REGULAR</v>
      </c>
      <c r="E1639" s="3" t="str">
        <f ca="1">IFERROR(__xludf.UNSUPPORTED("""COMPUTED_VALUE"""),"🚛 LIBERADO")</f>
        <v>🚛 LIBERADO</v>
      </c>
      <c r="F1639" s="5">
        <f ca="1">IFERROR(__xludf.UNSUPPORTED("""COMPUTED_VALUE"""),0)</f>
        <v>0</v>
      </c>
      <c r="G1639" s="3" t="str">
        <f ca="1">IFERROR(__xludf.UNSUPPORTED("""COMPUTED_VALUE"""),"Normalidade")</f>
        <v>Normalidade</v>
      </c>
      <c r="H1639" s="4">
        <f ca="1">IFERROR(__xludf.UNSUPPORTED("""COMPUTED_VALUE"""),45201.3406712963)</f>
        <v>45201.340671296297</v>
      </c>
      <c r="I1639" s="3">
        <f ca="1">IFERROR(__xludf.UNSUPPORTED("""COMPUTED_VALUE"""),24)</f>
        <v>24</v>
      </c>
      <c r="J1639" s="4">
        <f ca="1">IFERROR(__xludf.UNSUPPORTED("""COMPUTED_VALUE"""),45202.3406712963)</f>
        <v>45202.340671296297</v>
      </c>
      <c r="L1639" s="3" t="str">
        <f ca="1">IFERROR(__xludf.UNSUPPORTED("""COMPUTED_VALUE"""),"Normalidade")</f>
        <v>Normalidade</v>
      </c>
    </row>
    <row r="1640" spans="1:12" ht="12.75">
      <c r="A1640" s="3" t="str">
        <f ca="1">IFERROR(__xludf.UNSUPPORTED("""COMPUTED_VALUE"""),"8e4c743b")</f>
        <v>8e4c743b</v>
      </c>
      <c r="B1640" s="4">
        <f ca="1">IFERROR(__xludf.UNSUPPORTED("""COMPUTED_VALUE"""),45202.3903125)</f>
        <v>45202.3903125</v>
      </c>
      <c r="C1640" s="7" t="str">
        <f ca="1">IFERROR(__xludf.UNSUPPORTED("""COMPUTED_VALUE"""),"Recife")</f>
        <v>Recife</v>
      </c>
      <c r="D1640" s="3" t="str">
        <f ca="1">IFERROR(__xludf.UNSUPPORTED("""COMPUTED_VALUE"""),"🚢 REGULAR")</f>
        <v>🚢 REGULAR</v>
      </c>
      <c r="E1640" s="3" t="str">
        <f ca="1">IFERROR(__xludf.UNSUPPORTED("""COMPUTED_VALUE"""),"🚛 LIBERADO")</f>
        <v>🚛 LIBERADO</v>
      </c>
      <c r="F1640" s="5">
        <f ca="1">IFERROR(__xludf.UNSUPPORTED("""COMPUTED_VALUE"""),0)</f>
        <v>0</v>
      </c>
      <c r="G1640" s="3" t="str">
        <f ca="1">IFERROR(__xludf.UNSUPPORTED("""COMPUTED_VALUE"""),"Normalidade")</f>
        <v>Normalidade</v>
      </c>
      <c r="H1640" s="4">
        <f ca="1">IFERROR(__xludf.UNSUPPORTED("""COMPUTED_VALUE"""),45202.3903125)</f>
        <v>45202.3903125</v>
      </c>
      <c r="I1640" s="3">
        <f ca="1">IFERROR(__xludf.UNSUPPORTED("""COMPUTED_VALUE"""),24)</f>
        <v>24</v>
      </c>
      <c r="J1640" s="4">
        <f ca="1">IFERROR(__xludf.UNSUPPORTED("""COMPUTED_VALUE"""),45203.3903125)</f>
        <v>45203.3903125</v>
      </c>
    </row>
    <row r="1641" spans="1:12" ht="12.75">
      <c r="A1641" s="3" t="str">
        <f ca="1">IFERROR(__xludf.UNSUPPORTED("""COMPUTED_VALUE"""),"a334190f")</f>
        <v>a334190f</v>
      </c>
      <c r="B1641" s="4">
        <f ca="1">IFERROR(__xludf.UNSUPPORTED("""COMPUTED_VALUE"""),45204.4011226851)</f>
        <v>45204.4011226851</v>
      </c>
      <c r="C1641" s="8" t="str">
        <f ca="1">IFERROR(__xludf.UNSUPPORTED("""COMPUTED_VALUE"""),"Recife")</f>
        <v>Recife</v>
      </c>
      <c r="D1641" s="3" t="str">
        <f ca="1">IFERROR(__xludf.UNSUPPORTED("""COMPUTED_VALUE"""),"🚢 REGULAR")</f>
        <v>🚢 REGULAR</v>
      </c>
      <c r="E1641" s="3" t="str">
        <f ca="1">IFERROR(__xludf.UNSUPPORTED("""COMPUTED_VALUE"""),"🚛 LIBERADO")</f>
        <v>🚛 LIBERADO</v>
      </c>
      <c r="F1641" s="5">
        <f ca="1">IFERROR(__xludf.UNSUPPORTED("""COMPUTED_VALUE"""),0)</f>
        <v>0</v>
      </c>
      <c r="G1641" s="3" t="str">
        <f ca="1">IFERROR(__xludf.UNSUPPORTED("""COMPUTED_VALUE"""),"Normalidade")</f>
        <v>Normalidade</v>
      </c>
      <c r="H1641" s="4">
        <f ca="1">IFERROR(__xludf.UNSUPPORTED("""COMPUTED_VALUE"""),45204.4011226851)</f>
        <v>45204.4011226851</v>
      </c>
      <c r="I1641" s="3">
        <f ca="1">IFERROR(__xludf.UNSUPPORTED("""COMPUTED_VALUE"""),24)</f>
        <v>24</v>
      </c>
      <c r="J1641" s="4">
        <f ca="1">IFERROR(__xludf.UNSUPPORTED("""COMPUTED_VALUE"""),45205.4011226851)</f>
        <v>45205.4011226851</v>
      </c>
    </row>
    <row r="1642" spans="1:12" ht="12.75">
      <c r="A1642" s="3" t="str">
        <f ca="1">IFERROR(__xludf.UNSUPPORTED("""COMPUTED_VALUE"""),"d5df1b50")</f>
        <v>d5df1b50</v>
      </c>
      <c r="B1642" s="4">
        <f ca="1">IFERROR(__xludf.UNSUPPORTED("""COMPUTED_VALUE"""),45205.297511574)</f>
        <v>45205.297511573997</v>
      </c>
      <c r="C1642" s="7" t="str">
        <f ca="1">IFERROR(__xludf.UNSUPPORTED("""COMPUTED_VALUE"""),"Recife")</f>
        <v>Recife</v>
      </c>
      <c r="D1642" s="3" t="str">
        <f ca="1">IFERROR(__xludf.UNSUPPORTED("""COMPUTED_VALUE"""),"🚢 REGULAR")</f>
        <v>🚢 REGULAR</v>
      </c>
      <c r="E1642" s="3" t="str">
        <f ca="1">IFERROR(__xludf.UNSUPPORTED("""COMPUTED_VALUE"""),"🚛 LIBERADO")</f>
        <v>🚛 LIBERADO</v>
      </c>
      <c r="F1642" s="5">
        <f ca="1">IFERROR(__xludf.UNSUPPORTED("""COMPUTED_VALUE"""),0)</f>
        <v>0</v>
      </c>
      <c r="G1642" s="3" t="str">
        <f ca="1">IFERROR(__xludf.UNSUPPORTED("""COMPUTED_VALUE"""),"Normalidade")</f>
        <v>Normalidade</v>
      </c>
      <c r="H1642" s="4">
        <f ca="1">IFERROR(__xludf.UNSUPPORTED("""COMPUTED_VALUE"""),45205.297511574)</f>
        <v>45205.297511573997</v>
      </c>
      <c r="I1642" s="3">
        <f ca="1">IFERROR(__xludf.UNSUPPORTED("""COMPUTED_VALUE"""),24)</f>
        <v>24</v>
      </c>
      <c r="J1642" s="4">
        <f ca="1">IFERROR(__xludf.UNSUPPORTED("""COMPUTED_VALUE"""),45206.297511574)</f>
        <v>45206.297511573997</v>
      </c>
      <c r="L1642" s="3" t="str">
        <f ca="1">IFERROR(__xludf.UNSUPPORTED("""COMPUTED_VALUE"""),"Normalidade")</f>
        <v>Normalidade</v>
      </c>
    </row>
    <row r="1643" spans="1:12" ht="12.75">
      <c r="A1643" s="3" t="str">
        <f ca="1">IFERROR(__xludf.UNSUPPORTED("""COMPUTED_VALUE"""),"46b56d75")</f>
        <v>46b56d75</v>
      </c>
      <c r="B1643" s="4">
        <f ca="1">IFERROR(__xludf.UNSUPPORTED("""COMPUTED_VALUE"""),45208.5872916666)</f>
        <v>45208.587291666598</v>
      </c>
      <c r="C1643" s="7" t="str">
        <f ca="1">IFERROR(__xludf.UNSUPPORTED("""COMPUTED_VALUE"""),"Recife")</f>
        <v>Recife</v>
      </c>
      <c r="D1643" s="3" t="str">
        <f ca="1">IFERROR(__xludf.UNSUPPORTED("""COMPUTED_VALUE"""),"🚢 REGULAR")</f>
        <v>🚢 REGULAR</v>
      </c>
      <c r="E1643" s="3" t="str">
        <f ca="1">IFERROR(__xludf.UNSUPPORTED("""COMPUTED_VALUE"""),"🚛 LIBERADO")</f>
        <v>🚛 LIBERADO</v>
      </c>
      <c r="F1643" s="5">
        <f ca="1">IFERROR(__xludf.UNSUPPORTED("""COMPUTED_VALUE"""),0)</f>
        <v>0</v>
      </c>
      <c r="G1643" s="3" t="str">
        <f ca="1">IFERROR(__xludf.UNSUPPORTED("""COMPUTED_VALUE"""),"Normalidade")</f>
        <v>Normalidade</v>
      </c>
      <c r="H1643" s="4">
        <f ca="1">IFERROR(__xludf.UNSUPPORTED("""COMPUTED_VALUE"""),45208.5872916666)</f>
        <v>45208.587291666598</v>
      </c>
      <c r="I1643" s="3">
        <f ca="1">IFERROR(__xludf.UNSUPPORTED("""COMPUTED_VALUE"""),24)</f>
        <v>24</v>
      </c>
      <c r="J1643" s="4">
        <f ca="1">IFERROR(__xludf.UNSUPPORTED("""COMPUTED_VALUE"""),45209.5872916666)</f>
        <v>45209.587291666598</v>
      </c>
    </row>
    <row r="1644" spans="1:12" ht="12.75">
      <c r="A1644" s="3" t="str">
        <f ca="1">IFERROR(__xludf.UNSUPPORTED("""COMPUTED_VALUE"""),"996c6795")</f>
        <v>996c6795</v>
      </c>
      <c r="B1644" s="4">
        <f ca="1">IFERROR(__xludf.UNSUPPORTED("""COMPUTED_VALUE"""),45212.5838657407)</f>
        <v>45212.5838657407</v>
      </c>
      <c r="C1644" s="7" t="str">
        <f ca="1">IFERROR(__xludf.UNSUPPORTED("""COMPUTED_VALUE"""),"Recife")</f>
        <v>Recife</v>
      </c>
      <c r="D1644" s="3" t="str">
        <f ca="1">IFERROR(__xludf.UNSUPPORTED("""COMPUTED_VALUE"""),"🚢 REGULAR")</f>
        <v>🚢 REGULAR</v>
      </c>
      <c r="E1644" s="3" t="str">
        <f ca="1">IFERROR(__xludf.UNSUPPORTED("""COMPUTED_VALUE"""),"🚛 LIBERADO")</f>
        <v>🚛 LIBERADO</v>
      </c>
      <c r="F1644" s="5">
        <f ca="1">IFERROR(__xludf.UNSUPPORTED("""COMPUTED_VALUE"""),0)</f>
        <v>0</v>
      </c>
      <c r="G1644" s="3" t="str">
        <f ca="1">IFERROR(__xludf.UNSUPPORTED("""COMPUTED_VALUE"""),"Normalidade")</f>
        <v>Normalidade</v>
      </c>
      <c r="H1644" s="4">
        <f ca="1">IFERROR(__xludf.UNSUPPORTED("""COMPUTED_VALUE"""),45212.5838657407)</f>
        <v>45212.5838657407</v>
      </c>
      <c r="I1644" s="3">
        <f ca="1">IFERROR(__xludf.UNSUPPORTED("""COMPUTED_VALUE"""),24)</f>
        <v>24</v>
      </c>
      <c r="J1644" s="4">
        <f ca="1">IFERROR(__xludf.UNSUPPORTED("""COMPUTED_VALUE"""),45213.5838657407)</f>
        <v>45213.5838657407</v>
      </c>
    </row>
    <row r="1645" spans="1:12" ht="12.75">
      <c r="A1645" s="3" t="str">
        <f ca="1">IFERROR(__xludf.UNSUPPORTED("""COMPUTED_VALUE"""),"adadc732")</f>
        <v>adadc732</v>
      </c>
      <c r="B1645" s="4">
        <f ca="1">IFERROR(__xludf.UNSUPPORTED("""COMPUTED_VALUE"""),45213.3699074074)</f>
        <v>45213.369907407403</v>
      </c>
      <c r="C1645" s="8" t="str">
        <f ca="1">IFERROR(__xludf.UNSUPPORTED("""COMPUTED_VALUE"""),"Recife")</f>
        <v>Recife</v>
      </c>
      <c r="D1645" s="3" t="str">
        <f ca="1">IFERROR(__xludf.UNSUPPORTED("""COMPUTED_VALUE"""),"🚢 REGULAR")</f>
        <v>🚢 REGULAR</v>
      </c>
      <c r="E1645" s="3" t="str">
        <f ca="1">IFERROR(__xludf.UNSUPPORTED("""COMPUTED_VALUE"""),"🚛 LIBERADO")</f>
        <v>🚛 LIBERADO</v>
      </c>
      <c r="F1645" s="5">
        <f ca="1">IFERROR(__xludf.UNSUPPORTED("""COMPUTED_VALUE"""),0)</f>
        <v>0</v>
      </c>
      <c r="G1645" s="3" t="str">
        <f ca="1">IFERROR(__xludf.UNSUPPORTED("""COMPUTED_VALUE"""),"Normalidade")</f>
        <v>Normalidade</v>
      </c>
      <c r="H1645" s="4">
        <f ca="1">IFERROR(__xludf.UNSUPPORTED("""COMPUTED_VALUE"""),45213.3699074074)</f>
        <v>45213.369907407403</v>
      </c>
      <c r="I1645" s="3">
        <f ca="1">IFERROR(__xludf.UNSUPPORTED("""COMPUTED_VALUE"""),24)</f>
        <v>24</v>
      </c>
      <c r="J1645" s="4">
        <f ca="1">IFERROR(__xludf.UNSUPPORTED("""COMPUTED_VALUE"""),45214.3699074074)</f>
        <v>45214.369907407403</v>
      </c>
      <c r="L1645" s="3" t="str">
        <f ca="1">IFERROR(__xludf.UNSUPPORTED("""COMPUTED_VALUE"""),"Normalidade")</f>
        <v>Normalidade</v>
      </c>
    </row>
    <row r="1646" spans="1:12" ht="12.75">
      <c r="A1646" s="3" t="str">
        <f ca="1">IFERROR(__xludf.UNSUPPORTED("""COMPUTED_VALUE"""),"32330a06")</f>
        <v>32330a06</v>
      </c>
      <c r="B1646" s="4">
        <f ca="1">IFERROR(__xludf.UNSUPPORTED("""COMPUTED_VALUE"""),45214.465324074)</f>
        <v>45214.465324074001</v>
      </c>
      <c r="C1646" s="7" t="str">
        <f ca="1">IFERROR(__xludf.UNSUPPORTED("""COMPUTED_VALUE"""),"Recife")</f>
        <v>Recife</v>
      </c>
      <c r="D1646" s="3" t="str">
        <f ca="1">IFERROR(__xludf.UNSUPPORTED("""COMPUTED_VALUE"""),"🚢 REGULAR")</f>
        <v>🚢 REGULAR</v>
      </c>
      <c r="E1646" s="3" t="str">
        <f ca="1">IFERROR(__xludf.UNSUPPORTED("""COMPUTED_VALUE"""),"🚛 LIBERADO")</f>
        <v>🚛 LIBERADO</v>
      </c>
      <c r="F1646" s="5">
        <f ca="1">IFERROR(__xludf.UNSUPPORTED("""COMPUTED_VALUE"""),0)</f>
        <v>0</v>
      </c>
      <c r="G1646" s="3" t="str">
        <f ca="1">IFERROR(__xludf.UNSUPPORTED("""COMPUTED_VALUE"""),"Normalidade")</f>
        <v>Normalidade</v>
      </c>
      <c r="H1646" s="4">
        <f ca="1">IFERROR(__xludf.UNSUPPORTED("""COMPUTED_VALUE"""),45214.465324074)</f>
        <v>45214.465324074001</v>
      </c>
      <c r="I1646" s="3">
        <f ca="1">IFERROR(__xludf.UNSUPPORTED("""COMPUTED_VALUE"""),24)</f>
        <v>24</v>
      </c>
      <c r="J1646" s="4">
        <f ca="1">IFERROR(__xludf.UNSUPPORTED("""COMPUTED_VALUE"""),45215.465324074)</f>
        <v>45215.465324074001</v>
      </c>
    </row>
    <row r="1647" spans="1:12" ht="12.75">
      <c r="A1647" s="3" t="str">
        <f ca="1">IFERROR(__xludf.UNSUPPORTED("""COMPUTED_VALUE"""),"ed517963")</f>
        <v>ed517963</v>
      </c>
      <c r="B1647" s="4">
        <f ca="1">IFERROR(__xludf.UNSUPPORTED("""COMPUTED_VALUE"""),45215.3686805555)</f>
        <v>45215.368680555497</v>
      </c>
      <c r="C1647" s="7" t="str">
        <f ca="1">IFERROR(__xludf.UNSUPPORTED("""COMPUTED_VALUE"""),"Recife")</f>
        <v>Recife</v>
      </c>
      <c r="D1647" s="3" t="str">
        <f ca="1">IFERROR(__xludf.UNSUPPORTED("""COMPUTED_VALUE"""),"🚢 REGULAR")</f>
        <v>🚢 REGULAR</v>
      </c>
      <c r="E1647" s="3" t="str">
        <f ca="1">IFERROR(__xludf.UNSUPPORTED("""COMPUTED_VALUE"""),"🚛 LIBERADO")</f>
        <v>🚛 LIBERADO</v>
      </c>
      <c r="F1647" s="5">
        <f ca="1">IFERROR(__xludf.UNSUPPORTED("""COMPUTED_VALUE"""),0.25)</f>
        <v>0.25</v>
      </c>
      <c r="G1647" s="3" t="str">
        <f ca="1">IFERROR(__xludf.UNSUPPORTED("""COMPUTED_VALUE"""),"Regular")</f>
        <v>Regular</v>
      </c>
      <c r="H1647" s="4">
        <f ca="1">IFERROR(__xludf.UNSUPPORTED("""COMPUTED_VALUE"""),45215.3686805555)</f>
        <v>45215.368680555497</v>
      </c>
      <c r="I1647" s="3">
        <f ca="1">IFERROR(__xludf.UNSUPPORTED("""COMPUTED_VALUE"""),6)</f>
        <v>6</v>
      </c>
      <c r="J1647" s="4">
        <f ca="1">IFERROR(__xludf.UNSUPPORTED("""COMPUTED_VALUE"""),45215.6186805555)</f>
        <v>45215.618680555497</v>
      </c>
      <c r="K1647" s="6" t="str">
        <f ca="1">IFERROR(__xludf.UNSUPPORTED("""COMPUTED_VALUE"""),"https://www.appsheet.com/start")</f>
        <v>https://www.appsheet.com/start</v>
      </c>
      <c r="L1647" s="3" t="str">
        <f ca="1">IFERROR(__xludf.UNSUPPORTED("""COMPUTED_VALUE"""),"Crítico")</f>
        <v>Crítico</v>
      </c>
    </row>
    <row r="1648" spans="1:12" ht="12.75">
      <c r="A1648" s="3" t="str">
        <f ca="1">IFERROR(__xludf.UNSUPPORTED("""COMPUTED_VALUE"""),"fec0feb1")</f>
        <v>fec0feb1</v>
      </c>
      <c r="B1648" s="4">
        <f ca="1">IFERROR(__xludf.UNSUPPORTED("""COMPUTED_VALUE"""),45216.3582407407)</f>
        <v>45216.358240740701</v>
      </c>
      <c r="C1648" s="8" t="str">
        <f ca="1">IFERROR(__xludf.UNSUPPORTED("""COMPUTED_VALUE"""),"Recife")</f>
        <v>Recife</v>
      </c>
      <c r="D1648" s="3" t="str">
        <f ca="1">IFERROR(__xludf.UNSUPPORTED("""COMPUTED_VALUE"""),"🚢 REGULAR")</f>
        <v>🚢 REGULAR</v>
      </c>
      <c r="E1648" s="3" t="str">
        <f ca="1">IFERROR(__xludf.UNSUPPORTED("""COMPUTED_VALUE"""),"🚛 LIBERADO")</f>
        <v>🚛 LIBERADO</v>
      </c>
      <c r="F1648" s="5">
        <f ca="1">IFERROR(__xludf.UNSUPPORTED("""COMPUTED_VALUE"""),0.25)</f>
        <v>0.25</v>
      </c>
      <c r="G1648" s="3" t="str">
        <f ca="1">IFERROR(__xludf.UNSUPPORTED("""COMPUTED_VALUE"""),"Regular")</f>
        <v>Regular</v>
      </c>
      <c r="H1648" s="4">
        <f ca="1">IFERROR(__xludf.UNSUPPORTED("""COMPUTED_VALUE"""),45216.3582407407)</f>
        <v>45216.358240740701</v>
      </c>
      <c r="I1648" s="3">
        <f ca="1">IFERROR(__xludf.UNSUPPORTED("""COMPUTED_VALUE"""),6)</f>
        <v>6</v>
      </c>
      <c r="J1648" s="4">
        <f ca="1">IFERROR(__xludf.UNSUPPORTED("""COMPUTED_VALUE"""),45216.6082407407)</f>
        <v>45216.608240740701</v>
      </c>
      <c r="K1648" s="3" t="str">
        <f ca="1">IFERROR(__xludf.UNSUPPORTED("""COMPUTED_VALUE"""),"Porto do Recife")</f>
        <v>Porto do Recife</v>
      </c>
      <c r="L1648" s="3" t="str">
        <f ca="1">IFERROR(__xludf.UNSUPPORTED("""COMPUTED_VALUE"""),"Crítico")</f>
        <v>Crítico</v>
      </c>
    </row>
    <row r="1649" spans="1:12" ht="12.75">
      <c r="A1649" s="3" t="str">
        <f ca="1">IFERROR(__xludf.UNSUPPORTED("""COMPUTED_VALUE"""),"4b5e328e")</f>
        <v>4b5e328e</v>
      </c>
      <c r="B1649" s="4">
        <f ca="1">IFERROR(__xludf.UNSUPPORTED("""COMPUTED_VALUE"""),45217.5082407407)</f>
        <v>45217.508240740703</v>
      </c>
      <c r="C1649" s="7" t="str">
        <f ca="1">IFERROR(__xludf.UNSUPPORTED("""COMPUTED_VALUE"""),"Recife")</f>
        <v>Recife</v>
      </c>
      <c r="D1649" s="3" t="str">
        <f ca="1">IFERROR(__xludf.UNSUPPORTED("""COMPUTED_VALUE"""),"🚢 REGULAR")</f>
        <v>🚢 REGULAR</v>
      </c>
      <c r="E1649" s="3" t="str">
        <f ca="1">IFERROR(__xludf.UNSUPPORTED("""COMPUTED_VALUE"""),"🚛 LIBERADO")</f>
        <v>🚛 LIBERADO</v>
      </c>
      <c r="F1649" s="5">
        <f ca="1">IFERROR(__xludf.UNSUPPORTED("""COMPUTED_VALUE"""),0.25)</f>
        <v>0.25</v>
      </c>
      <c r="G1649" s="3" t="str">
        <f ca="1">IFERROR(__xludf.UNSUPPORTED("""COMPUTED_VALUE"""),"Regular")</f>
        <v>Regular</v>
      </c>
      <c r="H1649" s="4">
        <f ca="1">IFERROR(__xludf.UNSUPPORTED("""COMPUTED_VALUE"""),45217.5082407407)</f>
        <v>45217.508240740703</v>
      </c>
      <c r="I1649" s="3">
        <f ca="1">IFERROR(__xludf.UNSUPPORTED("""COMPUTED_VALUE"""),6)</f>
        <v>6</v>
      </c>
      <c r="J1649" s="4">
        <f ca="1">IFERROR(__xludf.UNSUPPORTED("""COMPUTED_VALUE"""),45217.7582407407)</f>
        <v>45217.758240740703</v>
      </c>
      <c r="K1649" s="3" t="str">
        <f ca="1">IFERROR(__xludf.UNSUPPORTED("""COMPUTED_VALUE"""),"Porto do Recife")</f>
        <v>Porto do Recife</v>
      </c>
      <c r="L1649" s="3" t="str">
        <f ca="1">IFERROR(__xludf.UNSUPPORTED("""COMPUTED_VALUE"""),"Crítico")</f>
        <v>Crítico</v>
      </c>
    </row>
    <row r="1650" spans="1:12" ht="12.75">
      <c r="A1650" s="3" t="str">
        <f ca="1">IFERROR(__xludf.UNSUPPORTED("""COMPUTED_VALUE"""),"7d542312")</f>
        <v>7d542312</v>
      </c>
      <c r="B1650" s="4">
        <f ca="1">IFERROR(__xludf.UNSUPPORTED("""COMPUTED_VALUE"""),45218.7443981481)</f>
        <v>45218.744398148097</v>
      </c>
      <c r="C1650" s="8" t="str">
        <f ca="1">IFERROR(__xludf.UNSUPPORTED("""COMPUTED_VALUE"""),"Recife")</f>
        <v>Recife</v>
      </c>
      <c r="D1650" s="3" t="str">
        <f ca="1">IFERROR(__xludf.UNSUPPORTED("""COMPUTED_VALUE"""),"🚢 REGULAR")</f>
        <v>🚢 REGULAR</v>
      </c>
      <c r="E1650" s="3" t="str">
        <f ca="1">IFERROR(__xludf.UNSUPPORTED("""COMPUTED_VALUE"""),"🚛 LIBERADO")</f>
        <v>🚛 LIBERADO</v>
      </c>
      <c r="F1650" s="5">
        <f ca="1">IFERROR(__xludf.UNSUPPORTED("""COMPUTED_VALUE"""),0.25)</f>
        <v>0.25</v>
      </c>
      <c r="G1650" s="3" t="str">
        <f ca="1">IFERROR(__xludf.UNSUPPORTED("""COMPUTED_VALUE"""),"Regular")</f>
        <v>Regular</v>
      </c>
      <c r="H1650" s="4">
        <f ca="1">IFERROR(__xludf.UNSUPPORTED("""COMPUTED_VALUE"""),45218.7443981481)</f>
        <v>45218.744398148097</v>
      </c>
      <c r="I1650" s="3">
        <f ca="1">IFERROR(__xludf.UNSUPPORTED("""COMPUTED_VALUE"""),6)</f>
        <v>6</v>
      </c>
      <c r="J1650" s="4">
        <f ca="1">IFERROR(__xludf.UNSUPPORTED("""COMPUTED_VALUE"""),45218.9943981481)</f>
        <v>45218.994398148097</v>
      </c>
      <c r="K1650" s="3" t="str">
        <f ca="1">IFERROR(__xludf.UNSUPPORTED("""COMPUTED_VALUE"""),"Porto do Recife")</f>
        <v>Porto do Recife</v>
      </c>
      <c r="L1650" s="3" t="str">
        <f ca="1">IFERROR(__xludf.UNSUPPORTED("""COMPUTED_VALUE"""),"Crítico")</f>
        <v>Crítico</v>
      </c>
    </row>
    <row r="1651" spans="1:12" ht="12.75">
      <c r="A1651" s="3" t="str">
        <f ca="1">IFERROR(__xludf.UNSUPPORTED("""COMPUTED_VALUE"""),"dc6f340c")</f>
        <v>dc6f340c</v>
      </c>
      <c r="B1651" s="4">
        <f ca="1">IFERROR(__xludf.UNSUPPORTED("""COMPUTED_VALUE"""),45219.3447800925)</f>
        <v>45219.344780092499</v>
      </c>
      <c r="C1651" s="7" t="str">
        <f ca="1">IFERROR(__xludf.UNSUPPORTED("""COMPUTED_VALUE"""),"Recife")</f>
        <v>Recife</v>
      </c>
      <c r="D1651" s="3" t="str">
        <f ca="1">IFERROR(__xludf.UNSUPPORTED("""COMPUTED_VALUE"""),"🚢 REGULAR")</f>
        <v>🚢 REGULAR</v>
      </c>
      <c r="E1651" s="3" t="str">
        <f ca="1">IFERROR(__xludf.UNSUPPORTED("""COMPUTED_VALUE"""),"🚛 LIBERADO")</f>
        <v>🚛 LIBERADO</v>
      </c>
      <c r="F1651" s="5">
        <f ca="1">IFERROR(__xludf.UNSUPPORTED("""COMPUTED_VALUE"""),0.25)</f>
        <v>0.25</v>
      </c>
      <c r="G1651" s="3" t="str">
        <f ca="1">IFERROR(__xludf.UNSUPPORTED("""COMPUTED_VALUE"""),"Regular")</f>
        <v>Regular</v>
      </c>
      <c r="H1651" s="4">
        <f ca="1">IFERROR(__xludf.UNSUPPORTED("""COMPUTED_VALUE"""),45219.3447800925)</f>
        <v>45219.344780092499</v>
      </c>
      <c r="I1651" s="3">
        <f ca="1">IFERROR(__xludf.UNSUPPORTED("""COMPUTED_VALUE"""),6)</f>
        <v>6</v>
      </c>
      <c r="J1651" s="4">
        <f ca="1">IFERROR(__xludf.UNSUPPORTED("""COMPUTED_VALUE"""),45219.5947800925)</f>
        <v>45219.594780092499</v>
      </c>
      <c r="K1651" s="3" t="str">
        <f ca="1">IFERROR(__xludf.UNSUPPORTED("""COMPUTED_VALUE"""),"Porto do Recife")</f>
        <v>Porto do Recife</v>
      </c>
      <c r="L1651" s="3" t="str">
        <f ca="1">IFERROR(__xludf.UNSUPPORTED("""COMPUTED_VALUE"""),"Crítico")</f>
        <v>Crítico</v>
      </c>
    </row>
    <row r="1652" spans="1:12" ht="12.75">
      <c r="A1652" s="3" t="str">
        <f ca="1">IFERROR(__xludf.UNSUPPORTED("""COMPUTED_VALUE"""),"a502b331")</f>
        <v>a502b331</v>
      </c>
      <c r="B1652" s="4">
        <f ca="1">IFERROR(__xludf.UNSUPPORTED("""COMPUTED_VALUE"""),45220.4866898148)</f>
        <v>45220.486689814803</v>
      </c>
      <c r="C1652" s="8" t="str">
        <f ca="1">IFERROR(__xludf.UNSUPPORTED("""COMPUTED_VALUE"""),"Recife")</f>
        <v>Recife</v>
      </c>
      <c r="D1652" s="3" t="str">
        <f ca="1">IFERROR(__xludf.UNSUPPORTED("""COMPUTED_VALUE"""),"🚢 REGULAR")</f>
        <v>🚢 REGULAR</v>
      </c>
      <c r="E1652" s="3" t="str">
        <f ca="1">IFERROR(__xludf.UNSUPPORTED("""COMPUTED_VALUE"""),"🚛 LIBERADO")</f>
        <v>🚛 LIBERADO</v>
      </c>
      <c r="F1652" s="5">
        <f ca="1">IFERROR(__xludf.UNSUPPORTED("""COMPUTED_VALUE"""),0.25)</f>
        <v>0.25</v>
      </c>
      <c r="G1652" s="3" t="str">
        <f ca="1">IFERROR(__xludf.UNSUPPORTED("""COMPUTED_VALUE"""),"Regular")</f>
        <v>Regular</v>
      </c>
      <c r="H1652" s="4">
        <f ca="1">IFERROR(__xludf.UNSUPPORTED("""COMPUTED_VALUE"""),45220.4866898148)</f>
        <v>45220.486689814803</v>
      </c>
      <c r="I1652" s="3">
        <f ca="1">IFERROR(__xludf.UNSUPPORTED("""COMPUTED_VALUE"""),6)</f>
        <v>6</v>
      </c>
      <c r="J1652" s="4">
        <f ca="1">IFERROR(__xludf.UNSUPPORTED("""COMPUTED_VALUE"""),45220.7366898148)</f>
        <v>45220.736689814803</v>
      </c>
      <c r="K1652" s="3" t="str">
        <f ca="1">IFERROR(__xludf.UNSUPPORTED("""COMPUTED_VALUE"""),"Porto do Recife")</f>
        <v>Porto do Recife</v>
      </c>
      <c r="L1652" s="3" t="str">
        <f ca="1">IFERROR(__xludf.UNSUPPORTED("""COMPUTED_VALUE"""),"Crítico")</f>
        <v>Crítico</v>
      </c>
    </row>
    <row r="1653" spans="1:12" ht="12.75">
      <c r="A1653" s="3" t="str">
        <f ca="1">IFERROR(__xludf.UNSUPPORTED("""COMPUTED_VALUE"""),"c438af45")</f>
        <v>c438af45</v>
      </c>
      <c r="B1653" s="4">
        <f ca="1">IFERROR(__xludf.UNSUPPORTED("""COMPUTED_VALUE"""),45221.6682754629)</f>
        <v>45221.6682754629</v>
      </c>
      <c r="C1653" s="8" t="str">
        <f ca="1">IFERROR(__xludf.UNSUPPORTED("""COMPUTED_VALUE"""),"Recife")</f>
        <v>Recife</v>
      </c>
      <c r="D1653" s="3" t="str">
        <f ca="1">IFERROR(__xludf.UNSUPPORTED("""COMPUTED_VALUE"""),"🚢 REGULAR")</f>
        <v>🚢 REGULAR</v>
      </c>
      <c r="E1653" s="3" t="str">
        <f ca="1">IFERROR(__xludf.UNSUPPORTED("""COMPUTED_VALUE"""),"🚛 LIBERADO")</f>
        <v>🚛 LIBERADO</v>
      </c>
      <c r="F1653" s="5">
        <f ca="1">IFERROR(__xludf.UNSUPPORTED("""COMPUTED_VALUE"""),0.25)</f>
        <v>0.25</v>
      </c>
      <c r="G1653" s="3" t="str">
        <f ca="1">IFERROR(__xludf.UNSUPPORTED("""COMPUTED_VALUE"""),"Regular")</f>
        <v>Regular</v>
      </c>
      <c r="H1653" s="4">
        <f ca="1">IFERROR(__xludf.UNSUPPORTED("""COMPUTED_VALUE"""),45221.6682754629)</f>
        <v>45221.6682754629</v>
      </c>
      <c r="I1653" s="3">
        <f ca="1">IFERROR(__xludf.UNSUPPORTED("""COMPUTED_VALUE"""),6)</f>
        <v>6</v>
      </c>
      <c r="J1653" s="4">
        <f ca="1">IFERROR(__xludf.UNSUPPORTED("""COMPUTED_VALUE"""),45221.9182754629)</f>
        <v>45221.9182754629</v>
      </c>
      <c r="K1653" s="3" t="str">
        <f ca="1">IFERROR(__xludf.UNSUPPORTED("""COMPUTED_VALUE"""),"Porto do recife")</f>
        <v>Porto do recife</v>
      </c>
      <c r="L1653" s="3" t="str">
        <f ca="1">IFERROR(__xludf.UNSUPPORTED("""COMPUTED_VALUE"""),"Crítico")</f>
        <v>Crítico</v>
      </c>
    </row>
    <row r="1654" spans="1:12" ht="12.75">
      <c r="A1654" s="3" t="str">
        <f ca="1">IFERROR(__xludf.UNSUPPORTED("""COMPUTED_VALUE"""),"9eaf554d")</f>
        <v>9eaf554d</v>
      </c>
      <c r="B1654" s="4">
        <f ca="1">IFERROR(__xludf.UNSUPPORTED("""COMPUTED_VALUE"""),45222.5670486111)</f>
        <v>45222.567048611098</v>
      </c>
      <c r="C1654" s="8" t="str">
        <f ca="1">IFERROR(__xludf.UNSUPPORTED("""COMPUTED_VALUE"""),"Recife")</f>
        <v>Recife</v>
      </c>
      <c r="D1654" s="3" t="str">
        <f ca="1">IFERROR(__xludf.UNSUPPORTED("""COMPUTED_VALUE"""),"🚢 REGULAR")</f>
        <v>🚢 REGULAR</v>
      </c>
      <c r="E1654" s="3" t="str">
        <f ca="1">IFERROR(__xludf.UNSUPPORTED("""COMPUTED_VALUE"""),"🚛 LIBERADO")</f>
        <v>🚛 LIBERADO</v>
      </c>
      <c r="F1654" s="5">
        <f ca="1">IFERROR(__xludf.UNSUPPORTED("""COMPUTED_VALUE"""),0.25)</f>
        <v>0.25</v>
      </c>
      <c r="G1654" s="3" t="str">
        <f ca="1">IFERROR(__xludf.UNSUPPORTED("""COMPUTED_VALUE"""),"Regular")</f>
        <v>Regular</v>
      </c>
      <c r="H1654" s="4">
        <f ca="1">IFERROR(__xludf.UNSUPPORTED("""COMPUTED_VALUE"""),45222.5670486111)</f>
        <v>45222.567048611098</v>
      </c>
      <c r="I1654" s="3">
        <f ca="1">IFERROR(__xludf.UNSUPPORTED("""COMPUTED_VALUE"""),6)</f>
        <v>6</v>
      </c>
      <c r="J1654" s="4">
        <f ca="1">IFERROR(__xludf.UNSUPPORTED("""COMPUTED_VALUE"""),45222.8170486111)</f>
        <v>45222.817048611098</v>
      </c>
      <c r="K1654" s="3" t="str">
        <f ca="1">IFERROR(__xludf.UNSUPPORTED("""COMPUTED_VALUE"""),"Porto do Recife")</f>
        <v>Porto do Recife</v>
      </c>
      <c r="L1654" s="3" t="str">
        <f ca="1">IFERROR(__xludf.UNSUPPORTED("""COMPUTED_VALUE"""),"Crítico")</f>
        <v>Crítico</v>
      </c>
    </row>
    <row r="1655" spans="1:12" ht="12.75">
      <c r="A1655" s="3" t="str">
        <f ca="1">IFERROR(__xludf.UNSUPPORTED("""COMPUTED_VALUE"""),"bb583025")</f>
        <v>bb583025</v>
      </c>
      <c r="B1655" s="4">
        <f ca="1">IFERROR(__xludf.UNSUPPORTED("""COMPUTED_VALUE"""),45223.3204282407)</f>
        <v>45223.320428240702</v>
      </c>
      <c r="C1655" s="7" t="str">
        <f ca="1">IFERROR(__xludf.UNSUPPORTED("""COMPUTED_VALUE"""),"Recife")</f>
        <v>Recife</v>
      </c>
      <c r="D1655" s="3" t="str">
        <f ca="1">IFERROR(__xludf.UNSUPPORTED("""COMPUTED_VALUE"""),"🚢 REGULAR")</f>
        <v>🚢 REGULAR</v>
      </c>
      <c r="E1655" s="3" t="str">
        <f ca="1">IFERROR(__xludf.UNSUPPORTED("""COMPUTED_VALUE"""),"🚛 LIBERADO")</f>
        <v>🚛 LIBERADO</v>
      </c>
      <c r="F1655" s="5">
        <f ca="1">IFERROR(__xludf.UNSUPPORTED("""COMPUTED_VALUE"""),0.25)</f>
        <v>0.25</v>
      </c>
      <c r="G1655" s="3" t="str">
        <f ca="1">IFERROR(__xludf.UNSUPPORTED("""COMPUTED_VALUE"""),"Regular")</f>
        <v>Regular</v>
      </c>
      <c r="H1655" s="4">
        <f ca="1">IFERROR(__xludf.UNSUPPORTED("""COMPUTED_VALUE"""),45223.3204282407)</f>
        <v>45223.320428240702</v>
      </c>
      <c r="I1655" s="3">
        <f ca="1">IFERROR(__xludf.UNSUPPORTED("""COMPUTED_VALUE"""),6)</f>
        <v>6</v>
      </c>
      <c r="J1655" s="4">
        <f ca="1">IFERROR(__xludf.UNSUPPORTED("""COMPUTED_VALUE"""),45223.5704282407)</f>
        <v>45223.570428240702</v>
      </c>
      <c r="K1655" s="3" t="str">
        <f ca="1">IFERROR(__xludf.UNSUPPORTED("""COMPUTED_VALUE"""),"Porto do Recife")</f>
        <v>Porto do Recife</v>
      </c>
      <c r="L1655" s="3" t="str">
        <f ca="1">IFERROR(__xludf.UNSUPPORTED("""COMPUTED_VALUE"""),"Crítico")</f>
        <v>Crítico</v>
      </c>
    </row>
    <row r="1656" spans="1:12" ht="12.75">
      <c r="A1656" s="3" t="str">
        <f ca="1">IFERROR(__xludf.UNSUPPORTED("""COMPUTED_VALUE"""),"f0088b0a")</f>
        <v>f0088b0a</v>
      </c>
      <c r="B1656" s="4">
        <f ca="1">IFERROR(__xludf.UNSUPPORTED("""COMPUTED_VALUE"""),45224.4013194444)</f>
        <v>45224.401319444398</v>
      </c>
      <c r="C1656" s="8" t="str">
        <f ca="1">IFERROR(__xludf.UNSUPPORTED("""COMPUTED_VALUE"""),"Recife")</f>
        <v>Recife</v>
      </c>
      <c r="D1656" s="3" t="str">
        <f ca="1">IFERROR(__xludf.UNSUPPORTED("""COMPUTED_VALUE"""),"🚢 REGULAR")</f>
        <v>🚢 REGULAR</v>
      </c>
      <c r="E1656" s="3" t="str">
        <f ca="1">IFERROR(__xludf.UNSUPPORTED("""COMPUTED_VALUE"""),"🚛 LIBERADO")</f>
        <v>🚛 LIBERADO</v>
      </c>
      <c r="F1656" s="5">
        <f ca="1">IFERROR(__xludf.UNSUPPORTED("""COMPUTED_VALUE"""),0.25)</f>
        <v>0.25</v>
      </c>
      <c r="G1656" s="3" t="str">
        <f ca="1">IFERROR(__xludf.UNSUPPORTED("""COMPUTED_VALUE"""),"Regular")</f>
        <v>Regular</v>
      </c>
      <c r="H1656" s="4">
        <f ca="1">IFERROR(__xludf.UNSUPPORTED("""COMPUTED_VALUE"""),45224.4013194444)</f>
        <v>45224.401319444398</v>
      </c>
      <c r="I1656" s="3">
        <f ca="1">IFERROR(__xludf.UNSUPPORTED("""COMPUTED_VALUE"""),6)</f>
        <v>6</v>
      </c>
      <c r="J1656" s="4">
        <f ca="1">IFERROR(__xludf.UNSUPPORTED("""COMPUTED_VALUE"""),45224.6513194444)</f>
        <v>45224.651319444398</v>
      </c>
      <c r="K1656" s="3" t="str">
        <f ca="1">IFERROR(__xludf.UNSUPPORTED("""COMPUTED_VALUE"""),"Porto do Recife")</f>
        <v>Porto do Recife</v>
      </c>
      <c r="L1656" s="3" t="str">
        <f ca="1">IFERROR(__xludf.UNSUPPORTED("""COMPUTED_VALUE"""),"Crítico")</f>
        <v>Crítico</v>
      </c>
    </row>
    <row r="1657" spans="1:12" ht="12.75">
      <c r="A1657" s="3" t="str">
        <f ca="1">IFERROR(__xludf.UNSUPPORTED("""COMPUTED_VALUE"""),"61452d19")</f>
        <v>61452d19</v>
      </c>
      <c r="B1657" s="4">
        <f ca="1">IFERROR(__xludf.UNSUPPORTED("""COMPUTED_VALUE"""),45225.7352662037)</f>
        <v>45225.735266203701</v>
      </c>
      <c r="C1657" s="7" t="str">
        <f ca="1">IFERROR(__xludf.UNSUPPORTED("""COMPUTED_VALUE"""),"Recife")</f>
        <v>Recife</v>
      </c>
      <c r="D1657" s="3" t="str">
        <f ca="1">IFERROR(__xludf.UNSUPPORTED("""COMPUTED_VALUE"""),"🚢 REGULAR")</f>
        <v>🚢 REGULAR</v>
      </c>
      <c r="E1657" s="3" t="str">
        <f ca="1">IFERROR(__xludf.UNSUPPORTED("""COMPUTED_VALUE"""),"🚛 LIBERADO")</f>
        <v>🚛 LIBERADO</v>
      </c>
      <c r="F1657" s="5">
        <f ca="1">IFERROR(__xludf.UNSUPPORTED("""COMPUTED_VALUE"""),0.25)</f>
        <v>0.25</v>
      </c>
      <c r="G1657" s="3" t="str">
        <f ca="1">IFERROR(__xludf.UNSUPPORTED("""COMPUTED_VALUE"""),"Regular")</f>
        <v>Regular</v>
      </c>
      <c r="H1657" s="4">
        <f ca="1">IFERROR(__xludf.UNSUPPORTED("""COMPUTED_VALUE"""),45225.7352662037)</f>
        <v>45225.735266203701</v>
      </c>
      <c r="I1657" s="3">
        <f ca="1">IFERROR(__xludf.UNSUPPORTED("""COMPUTED_VALUE"""),6)</f>
        <v>6</v>
      </c>
      <c r="J1657" s="4">
        <f ca="1">IFERROR(__xludf.UNSUPPORTED("""COMPUTED_VALUE"""),45225.9852662037)</f>
        <v>45225.985266203701</v>
      </c>
      <c r="K1657" s="3" t="str">
        <f ca="1">IFERROR(__xludf.UNSUPPORTED("""COMPUTED_VALUE"""),"Porto do Recife")</f>
        <v>Porto do Recife</v>
      </c>
      <c r="L1657" s="3" t="str">
        <f ca="1">IFERROR(__xludf.UNSUPPORTED("""COMPUTED_VALUE"""),"Crítico")</f>
        <v>Crítico</v>
      </c>
    </row>
    <row r="1658" spans="1:12" ht="12.75">
      <c r="A1658" s="3" t="str">
        <f ca="1">IFERROR(__xludf.UNSUPPORTED("""COMPUTED_VALUE"""),"6ac53fc7")</f>
        <v>6ac53fc7</v>
      </c>
      <c r="B1658" s="4">
        <f ca="1">IFERROR(__xludf.UNSUPPORTED("""COMPUTED_VALUE"""),45226.3448958333)</f>
        <v>45226.344895833303</v>
      </c>
      <c r="C1658" s="8" t="str">
        <f ca="1">IFERROR(__xludf.UNSUPPORTED("""COMPUTED_VALUE"""),"Recife")</f>
        <v>Recife</v>
      </c>
      <c r="D1658" s="3" t="str">
        <f ca="1">IFERROR(__xludf.UNSUPPORTED("""COMPUTED_VALUE"""),"🚢 REGULAR")</f>
        <v>🚢 REGULAR</v>
      </c>
      <c r="E1658" s="3" t="str">
        <f ca="1">IFERROR(__xludf.UNSUPPORTED("""COMPUTED_VALUE"""),"🚛 LIBERADO")</f>
        <v>🚛 LIBERADO</v>
      </c>
      <c r="F1658" s="5">
        <f ca="1">IFERROR(__xludf.UNSUPPORTED("""COMPUTED_VALUE"""),0.25)</f>
        <v>0.25</v>
      </c>
      <c r="G1658" s="3" t="str">
        <f ca="1">IFERROR(__xludf.UNSUPPORTED("""COMPUTED_VALUE"""),"Regular")</f>
        <v>Regular</v>
      </c>
      <c r="H1658" s="4">
        <f ca="1">IFERROR(__xludf.UNSUPPORTED("""COMPUTED_VALUE"""),45226.3448958333)</f>
        <v>45226.344895833303</v>
      </c>
      <c r="I1658" s="3">
        <f ca="1">IFERROR(__xludf.UNSUPPORTED("""COMPUTED_VALUE"""),6)</f>
        <v>6</v>
      </c>
      <c r="J1658" s="4">
        <f ca="1">IFERROR(__xludf.UNSUPPORTED("""COMPUTED_VALUE"""),45226.5948958333)</f>
        <v>45226.594895833303</v>
      </c>
      <c r="K1658" s="3" t="str">
        <f ca="1">IFERROR(__xludf.UNSUPPORTED("""COMPUTED_VALUE"""),"Porto do recife")</f>
        <v>Porto do recife</v>
      </c>
      <c r="L1658" s="3" t="str">
        <f ca="1">IFERROR(__xludf.UNSUPPORTED("""COMPUTED_VALUE"""),"Crítico")</f>
        <v>Crítico</v>
      </c>
    </row>
    <row r="1659" spans="1:12" ht="12.75">
      <c r="A1659" s="3" t="str">
        <f ca="1">IFERROR(__xludf.UNSUPPORTED("""COMPUTED_VALUE"""),"6aa46744")</f>
        <v>6aa46744</v>
      </c>
      <c r="B1659" s="4">
        <f ca="1">IFERROR(__xludf.UNSUPPORTED("""COMPUTED_VALUE"""),45227.6060300925)</f>
        <v>45227.606030092502</v>
      </c>
      <c r="C1659" s="7" t="str">
        <f ca="1">IFERROR(__xludf.UNSUPPORTED("""COMPUTED_VALUE"""),"Recife")</f>
        <v>Recife</v>
      </c>
      <c r="D1659" s="3" t="str">
        <f ca="1">IFERROR(__xludf.UNSUPPORTED("""COMPUTED_VALUE"""),"🚢 REGULAR")</f>
        <v>🚢 REGULAR</v>
      </c>
      <c r="E1659" s="3" t="str">
        <f ca="1">IFERROR(__xludf.UNSUPPORTED("""COMPUTED_VALUE"""),"🚛 LIBERADO")</f>
        <v>🚛 LIBERADO</v>
      </c>
      <c r="F1659" s="5">
        <f ca="1">IFERROR(__xludf.UNSUPPORTED("""COMPUTED_VALUE"""),0.25)</f>
        <v>0.25</v>
      </c>
      <c r="G1659" s="3" t="str">
        <f ca="1">IFERROR(__xludf.UNSUPPORTED("""COMPUTED_VALUE"""),"Regular")</f>
        <v>Regular</v>
      </c>
      <c r="H1659" s="4">
        <f ca="1">IFERROR(__xludf.UNSUPPORTED("""COMPUTED_VALUE"""),45227.6060300925)</f>
        <v>45227.606030092502</v>
      </c>
      <c r="I1659" s="3">
        <f ca="1">IFERROR(__xludf.UNSUPPORTED("""COMPUTED_VALUE"""),6)</f>
        <v>6</v>
      </c>
      <c r="J1659" s="4">
        <f ca="1">IFERROR(__xludf.UNSUPPORTED("""COMPUTED_VALUE"""),45227.8560300925)</f>
        <v>45227.856030092502</v>
      </c>
      <c r="K1659" s="3" t="str">
        <f ca="1">IFERROR(__xludf.UNSUPPORTED("""COMPUTED_VALUE"""),"Porto do Recife")</f>
        <v>Porto do Recife</v>
      </c>
      <c r="L1659" s="3" t="str">
        <f ca="1">IFERROR(__xludf.UNSUPPORTED("""COMPUTED_VALUE"""),"Crítico")</f>
        <v>Crítico</v>
      </c>
    </row>
    <row r="1660" spans="1:12" ht="12.75">
      <c r="A1660" s="3" t="str">
        <f ca="1">IFERROR(__xludf.UNSUPPORTED("""COMPUTED_VALUE"""),"6bff66e6")</f>
        <v>6bff66e6</v>
      </c>
      <c r="B1660" s="4">
        <f ca="1">IFERROR(__xludf.UNSUPPORTED("""COMPUTED_VALUE"""),45228.6796296296)</f>
        <v>45228.679629629602</v>
      </c>
      <c r="C1660" s="8" t="str">
        <f ca="1">IFERROR(__xludf.UNSUPPORTED("""COMPUTED_VALUE"""),"Recife")</f>
        <v>Recife</v>
      </c>
      <c r="D1660" s="3" t="str">
        <f ca="1">IFERROR(__xludf.UNSUPPORTED("""COMPUTED_VALUE"""),"🚢 REGULAR")</f>
        <v>🚢 REGULAR</v>
      </c>
      <c r="E1660" s="3" t="str">
        <f ca="1">IFERROR(__xludf.UNSUPPORTED("""COMPUTED_VALUE"""),"🚛 LIBERADO")</f>
        <v>🚛 LIBERADO</v>
      </c>
      <c r="F1660" s="5">
        <f ca="1">IFERROR(__xludf.UNSUPPORTED("""COMPUTED_VALUE"""),0.25)</f>
        <v>0.25</v>
      </c>
      <c r="G1660" s="3" t="str">
        <f ca="1">IFERROR(__xludf.UNSUPPORTED("""COMPUTED_VALUE"""),"Regular")</f>
        <v>Regular</v>
      </c>
      <c r="H1660" s="4">
        <f ca="1">IFERROR(__xludf.UNSUPPORTED("""COMPUTED_VALUE"""),45228.6796296296)</f>
        <v>45228.679629629602</v>
      </c>
      <c r="I1660" s="3">
        <f ca="1">IFERROR(__xludf.UNSUPPORTED("""COMPUTED_VALUE"""),6)</f>
        <v>6</v>
      </c>
      <c r="J1660" s="4">
        <f ca="1">IFERROR(__xludf.UNSUPPORTED("""COMPUTED_VALUE"""),45228.9296296296)</f>
        <v>45228.929629629602</v>
      </c>
      <c r="K1660" s="3" t="str">
        <f ca="1">IFERROR(__xludf.UNSUPPORTED("""COMPUTED_VALUE"""),"Porto do Recife")</f>
        <v>Porto do Recife</v>
      </c>
      <c r="L1660" s="3" t="str">
        <f ca="1">IFERROR(__xludf.UNSUPPORTED("""COMPUTED_VALUE"""),"Crítico")</f>
        <v>Crítico</v>
      </c>
    </row>
    <row r="1661" spans="1:12" ht="12.75">
      <c r="A1661" s="3" t="str">
        <f ca="1">IFERROR(__xludf.UNSUPPORTED("""COMPUTED_VALUE"""),"44ed6ef5")</f>
        <v>44ed6ef5</v>
      </c>
      <c r="B1661" s="4">
        <f ca="1">IFERROR(__xludf.UNSUPPORTED("""COMPUTED_VALUE"""),45229.4944328702)</f>
        <v>45229.494432870197</v>
      </c>
      <c r="C1661" s="8" t="str">
        <f ca="1">IFERROR(__xludf.UNSUPPORTED("""COMPUTED_VALUE"""),"Recife")</f>
        <v>Recife</v>
      </c>
      <c r="D1661" s="3" t="str">
        <f ca="1">IFERROR(__xludf.UNSUPPORTED("""COMPUTED_VALUE"""),"🚢 REGULAR")</f>
        <v>🚢 REGULAR</v>
      </c>
      <c r="E1661" s="3" t="str">
        <f ca="1">IFERROR(__xludf.UNSUPPORTED("""COMPUTED_VALUE"""),"🚛 LIBERADO")</f>
        <v>🚛 LIBERADO</v>
      </c>
      <c r="F1661" s="5">
        <f ca="1">IFERROR(__xludf.UNSUPPORTED("""COMPUTED_VALUE"""),0.25)</f>
        <v>0.25</v>
      </c>
      <c r="G1661" s="3" t="str">
        <f ca="1">IFERROR(__xludf.UNSUPPORTED("""COMPUTED_VALUE"""),"Regular")</f>
        <v>Regular</v>
      </c>
      <c r="H1661" s="4">
        <f ca="1">IFERROR(__xludf.UNSUPPORTED("""COMPUTED_VALUE"""),45229.4944328702)</f>
        <v>45229.494432870197</v>
      </c>
      <c r="I1661" s="3">
        <f ca="1">IFERROR(__xludf.UNSUPPORTED("""COMPUTED_VALUE"""),6)</f>
        <v>6</v>
      </c>
      <c r="J1661" s="4">
        <f ca="1">IFERROR(__xludf.UNSUPPORTED("""COMPUTED_VALUE"""),45229.7444328702)</f>
        <v>45229.744432870197</v>
      </c>
      <c r="K1661" s="3" t="str">
        <f ca="1">IFERROR(__xludf.UNSUPPORTED("""COMPUTED_VALUE"""),"Porto do Recife")</f>
        <v>Porto do Recife</v>
      </c>
      <c r="L1661" s="3" t="str">
        <f ca="1">IFERROR(__xludf.UNSUPPORTED("""COMPUTED_VALUE"""),"Crítico")</f>
        <v>Crítico</v>
      </c>
    </row>
    <row r="1662" spans="1:12" ht="12.75">
      <c r="A1662" s="3" t="str">
        <f ca="1">IFERROR(__xludf.UNSUPPORTED("""COMPUTED_VALUE"""),"3e745cb0")</f>
        <v>3e745cb0</v>
      </c>
      <c r="B1662" s="4">
        <f ca="1">IFERROR(__xludf.UNSUPPORTED("""COMPUTED_VALUE"""),45230.4130555555)</f>
        <v>45230.413055555502</v>
      </c>
      <c r="C1662" s="7" t="str">
        <f ca="1">IFERROR(__xludf.UNSUPPORTED("""COMPUTED_VALUE"""),"Recife")</f>
        <v>Recife</v>
      </c>
      <c r="D1662" s="3" t="str">
        <f ca="1">IFERROR(__xludf.UNSUPPORTED("""COMPUTED_VALUE"""),"🚢 REGULAR")</f>
        <v>🚢 REGULAR</v>
      </c>
      <c r="E1662" s="3" t="str">
        <f ca="1">IFERROR(__xludf.UNSUPPORTED("""COMPUTED_VALUE"""),"🚛 LIBERADO")</f>
        <v>🚛 LIBERADO</v>
      </c>
      <c r="F1662" s="5">
        <f ca="1">IFERROR(__xludf.UNSUPPORTED("""COMPUTED_VALUE"""),0.25)</f>
        <v>0.25</v>
      </c>
      <c r="G1662" s="3" t="str">
        <f ca="1">IFERROR(__xludf.UNSUPPORTED("""COMPUTED_VALUE"""),"Regular")</f>
        <v>Regular</v>
      </c>
      <c r="H1662" s="4">
        <f ca="1">IFERROR(__xludf.UNSUPPORTED("""COMPUTED_VALUE"""),45230.4130555555)</f>
        <v>45230.413055555502</v>
      </c>
      <c r="I1662" s="3">
        <f ca="1">IFERROR(__xludf.UNSUPPORTED("""COMPUTED_VALUE"""),6)</f>
        <v>6</v>
      </c>
      <c r="J1662" s="4">
        <f ca="1">IFERROR(__xludf.UNSUPPORTED("""COMPUTED_VALUE"""),45230.6630555555)</f>
        <v>45230.663055555502</v>
      </c>
      <c r="K1662" s="3" t="str">
        <f ca="1">IFERROR(__xludf.UNSUPPORTED("""COMPUTED_VALUE"""),"Porto do Recife")</f>
        <v>Porto do Recife</v>
      </c>
      <c r="L1662" s="3" t="str">
        <f ca="1">IFERROR(__xludf.UNSUPPORTED("""COMPUTED_VALUE"""),"Crítico")</f>
        <v>Crítico</v>
      </c>
    </row>
    <row r="1663" spans="1:12" ht="12.75">
      <c r="A1663" s="3" t="str">
        <f ca="1">IFERROR(__xludf.UNSUPPORTED("""COMPUTED_VALUE"""),"042344b8")</f>
        <v>042344b8</v>
      </c>
      <c r="B1663" s="4">
        <f ca="1">IFERROR(__xludf.UNSUPPORTED("""COMPUTED_VALUE"""),45231.3958564814)</f>
        <v>45231.395856481402</v>
      </c>
      <c r="C1663" s="7" t="str">
        <f ca="1">IFERROR(__xludf.UNSUPPORTED("""COMPUTED_VALUE"""),"Recife")</f>
        <v>Recife</v>
      </c>
      <c r="D1663" s="3" t="str">
        <f ca="1">IFERROR(__xludf.UNSUPPORTED("""COMPUTED_VALUE"""),"🚢 REGULAR")</f>
        <v>🚢 REGULAR</v>
      </c>
      <c r="E1663" s="3" t="str">
        <f ca="1">IFERROR(__xludf.UNSUPPORTED("""COMPUTED_VALUE"""),"🚛 LIBERADO")</f>
        <v>🚛 LIBERADO</v>
      </c>
      <c r="F1663" s="5">
        <f ca="1">IFERROR(__xludf.UNSUPPORTED("""COMPUTED_VALUE"""),0)</f>
        <v>0</v>
      </c>
      <c r="G1663" s="3" t="str">
        <f ca="1">IFERROR(__xludf.UNSUPPORTED("""COMPUTED_VALUE"""),"Normalidade")</f>
        <v>Normalidade</v>
      </c>
      <c r="H1663" s="4">
        <f ca="1">IFERROR(__xludf.UNSUPPORTED("""COMPUTED_VALUE"""),45231.3958564814)</f>
        <v>45231.395856481402</v>
      </c>
      <c r="I1663" s="3">
        <f ca="1">IFERROR(__xludf.UNSUPPORTED("""COMPUTED_VALUE"""),24)</f>
        <v>24</v>
      </c>
      <c r="J1663" s="4">
        <f ca="1">IFERROR(__xludf.UNSUPPORTED("""COMPUTED_VALUE"""),45232.3958564814)</f>
        <v>45232.395856481402</v>
      </c>
    </row>
    <row r="1664" spans="1:12" ht="12.75">
      <c r="A1664" s="3" t="str">
        <f ca="1">IFERROR(__xludf.UNSUPPORTED("""COMPUTED_VALUE"""),"c062e4f8")</f>
        <v>c062e4f8</v>
      </c>
      <c r="B1664" s="4">
        <f ca="1">IFERROR(__xludf.UNSUPPORTED("""COMPUTED_VALUE"""),45233.6238310185)</f>
        <v>45233.6238310185</v>
      </c>
      <c r="C1664" s="7" t="str">
        <f ca="1">IFERROR(__xludf.UNSUPPORTED("""COMPUTED_VALUE"""),"Recife")</f>
        <v>Recife</v>
      </c>
      <c r="D1664" s="3" t="str">
        <f ca="1">IFERROR(__xludf.UNSUPPORTED("""COMPUTED_VALUE"""),"🚢 REGULAR")</f>
        <v>🚢 REGULAR</v>
      </c>
      <c r="E1664" s="3" t="str">
        <f ca="1">IFERROR(__xludf.UNSUPPORTED("""COMPUTED_VALUE"""),"🚛 LIBERADO")</f>
        <v>🚛 LIBERADO</v>
      </c>
      <c r="F1664" s="5">
        <f ca="1">IFERROR(__xludf.UNSUPPORTED("""COMPUTED_VALUE"""),0)</f>
        <v>0</v>
      </c>
      <c r="G1664" s="3" t="str">
        <f ca="1">IFERROR(__xludf.UNSUPPORTED("""COMPUTED_VALUE"""),"Normalidade")</f>
        <v>Normalidade</v>
      </c>
      <c r="H1664" s="4">
        <f ca="1">IFERROR(__xludf.UNSUPPORTED("""COMPUTED_VALUE"""),45233.6238310185)</f>
        <v>45233.6238310185</v>
      </c>
      <c r="I1664" s="3">
        <f ca="1">IFERROR(__xludf.UNSUPPORTED("""COMPUTED_VALUE"""),24)</f>
        <v>24</v>
      </c>
      <c r="J1664" s="4">
        <f ca="1">IFERROR(__xludf.UNSUPPORTED("""COMPUTED_VALUE"""),45234.6238310185)</f>
        <v>45234.6238310185</v>
      </c>
    </row>
    <row r="1665" spans="1:12" ht="12.75">
      <c r="A1665" s="3" t="str">
        <f ca="1">IFERROR(__xludf.UNSUPPORTED("""COMPUTED_VALUE"""),"9c48c6ff")</f>
        <v>9c48c6ff</v>
      </c>
      <c r="B1665" s="4">
        <f ca="1">IFERROR(__xludf.UNSUPPORTED("""COMPUTED_VALUE"""),45236.7486226851)</f>
        <v>45236.748622685103</v>
      </c>
      <c r="C1665" s="8" t="str">
        <f ca="1">IFERROR(__xludf.UNSUPPORTED("""COMPUTED_VALUE"""),"Recife")</f>
        <v>Recife</v>
      </c>
      <c r="D1665" s="3" t="str">
        <f ca="1">IFERROR(__xludf.UNSUPPORTED("""COMPUTED_VALUE"""),"🚢 REGULAR")</f>
        <v>🚢 REGULAR</v>
      </c>
      <c r="E1665" s="3" t="str">
        <f ca="1">IFERROR(__xludf.UNSUPPORTED("""COMPUTED_VALUE"""),"🚛 LIBERADO")</f>
        <v>🚛 LIBERADO</v>
      </c>
      <c r="F1665" s="5">
        <f ca="1">IFERROR(__xludf.UNSUPPORTED("""COMPUTED_VALUE"""),0)</f>
        <v>0</v>
      </c>
      <c r="G1665" s="3" t="str">
        <f ca="1">IFERROR(__xludf.UNSUPPORTED("""COMPUTED_VALUE"""),"Normalidade")</f>
        <v>Normalidade</v>
      </c>
      <c r="H1665" s="4">
        <f ca="1">IFERROR(__xludf.UNSUPPORTED("""COMPUTED_VALUE"""),45236.7486226851)</f>
        <v>45236.748622685103</v>
      </c>
      <c r="I1665" s="3">
        <f ca="1">IFERROR(__xludf.UNSUPPORTED("""COMPUTED_VALUE"""),24)</f>
        <v>24</v>
      </c>
      <c r="J1665" s="4">
        <f ca="1">IFERROR(__xludf.UNSUPPORTED("""COMPUTED_VALUE"""),45237.7486226851)</f>
        <v>45237.748622685103</v>
      </c>
    </row>
    <row r="1666" spans="1:12" ht="12.75">
      <c r="A1666" s="3" t="str">
        <f ca="1">IFERROR(__xludf.UNSUPPORTED("""COMPUTED_VALUE"""),"f1156d6c")</f>
        <v>f1156d6c</v>
      </c>
      <c r="B1666" s="4">
        <f ca="1">IFERROR(__xludf.UNSUPPORTED("""COMPUTED_VALUE"""),45239.7952199074)</f>
        <v>45239.795219907399</v>
      </c>
      <c r="C1666" s="7" t="str">
        <f ca="1">IFERROR(__xludf.UNSUPPORTED("""COMPUTED_VALUE"""),"Recife")</f>
        <v>Recife</v>
      </c>
      <c r="D1666" s="3" t="str">
        <f ca="1">IFERROR(__xludf.UNSUPPORTED("""COMPUTED_VALUE"""),"🚢 REGULAR")</f>
        <v>🚢 REGULAR</v>
      </c>
      <c r="E1666" s="3" t="str">
        <f ca="1">IFERROR(__xludf.UNSUPPORTED("""COMPUTED_VALUE"""),"🚛 LIBERADO")</f>
        <v>🚛 LIBERADO</v>
      </c>
      <c r="F1666" s="5">
        <f ca="1">IFERROR(__xludf.UNSUPPORTED("""COMPUTED_VALUE"""),0)</f>
        <v>0</v>
      </c>
      <c r="G1666" s="3" t="str">
        <f ca="1">IFERROR(__xludf.UNSUPPORTED("""COMPUTED_VALUE"""),"Normalidade")</f>
        <v>Normalidade</v>
      </c>
      <c r="H1666" s="4">
        <f ca="1">IFERROR(__xludf.UNSUPPORTED("""COMPUTED_VALUE"""),45239.7952199074)</f>
        <v>45239.795219907399</v>
      </c>
      <c r="I1666" s="3">
        <f ca="1">IFERROR(__xludf.UNSUPPORTED("""COMPUTED_VALUE"""),24)</f>
        <v>24</v>
      </c>
      <c r="J1666" s="4">
        <f ca="1">IFERROR(__xludf.UNSUPPORTED("""COMPUTED_VALUE"""),45240.7952199074)</f>
        <v>45240.795219907399</v>
      </c>
    </row>
    <row r="1667" spans="1:12" ht="12.75">
      <c r="A1667" s="3" t="str">
        <f ca="1">IFERROR(__xludf.UNSUPPORTED("""COMPUTED_VALUE"""),"d9ab6770")</f>
        <v>d9ab6770</v>
      </c>
      <c r="B1667" s="4">
        <f ca="1">IFERROR(__xludf.UNSUPPORTED("""COMPUTED_VALUE"""),45240.4170833333)</f>
        <v>45240.417083333297</v>
      </c>
      <c r="C1667" s="7" t="str">
        <f ca="1">IFERROR(__xludf.UNSUPPORTED("""COMPUTED_VALUE"""),"Recife")</f>
        <v>Recife</v>
      </c>
      <c r="D1667" s="3" t="str">
        <f ca="1">IFERROR(__xludf.UNSUPPORTED("""COMPUTED_VALUE"""),"🚢 REGULAR")</f>
        <v>🚢 REGULAR</v>
      </c>
      <c r="E1667" s="3" t="str">
        <f ca="1">IFERROR(__xludf.UNSUPPORTED("""COMPUTED_VALUE"""),"🚛 LIBERADO")</f>
        <v>🚛 LIBERADO</v>
      </c>
      <c r="F1667" s="5">
        <f ca="1">IFERROR(__xludf.UNSUPPORTED("""COMPUTED_VALUE"""),0)</f>
        <v>0</v>
      </c>
      <c r="G1667" s="3" t="str">
        <f ca="1">IFERROR(__xludf.UNSUPPORTED("""COMPUTED_VALUE"""),"Normalidade")</f>
        <v>Normalidade</v>
      </c>
      <c r="H1667" s="4">
        <f ca="1">IFERROR(__xludf.UNSUPPORTED("""COMPUTED_VALUE"""),45240.4170833333)</f>
        <v>45240.417083333297</v>
      </c>
      <c r="I1667" s="3">
        <f ca="1">IFERROR(__xludf.UNSUPPORTED("""COMPUTED_VALUE"""),24)</f>
        <v>24</v>
      </c>
      <c r="J1667" s="4">
        <f ca="1">IFERROR(__xludf.UNSUPPORTED("""COMPUTED_VALUE"""),45241.4170833333)</f>
        <v>45241.417083333297</v>
      </c>
    </row>
    <row r="1668" spans="1:12" ht="12.75">
      <c r="A1668" s="3" t="str">
        <f ca="1">IFERROR(__xludf.UNSUPPORTED("""COMPUTED_VALUE"""),"a73cc27e")</f>
        <v>a73cc27e</v>
      </c>
      <c r="B1668" s="4">
        <f ca="1">IFERROR(__xludf.UNSUPPORTED("""COMPUTED_VALUE"""),45244.6206597222)</f>
        <v>45244.620659722197</v>
      </c>
      <c r="C1668" s="7" t="str">
        <f ca="1">IFERROR(__xludf.UNSUPPORTED("""COMPUTED_VALUE"""),"Recife")</f>
        <v>Recife</v>
      </c>
      <c r="D1668" s="3" t="str">
        <f ca="1">IFERROR(__xludf.UNSUPPORTED("""COMPUTED_VALUE"""),"🚢 REGULAR")</f>
        <v>🚢 REGULAR</v>
      </c>
      <c r="E1668" s="3" t="str">
        <f ca="1">IFERROR(__xludf.UNSUPPORTED("""COMPUTED_VALUE"""),"🚛 LIBERADO")</f>
        <v>🚛 LIBERADO</v>
      </c>
      <c r="F1668" s="5">
        <f ca="1">IFERROR(__xludf.UNSUPPORTED("""COMPUTED_VALUE"""),0)</f>
        <v>0</v>
      </c>
      <c r="G1668" s="3" t="str">
        <f ca="1">IFERROR(__xludf.UNSUPPORTED("""COMPUTED_VALUE"""),"Normalidade")</f>
        <v>Normalidade</v>
      </c>
      <c r="H1668" s="4">
        <f ca="1">IFERROR(__xludf.UNSUPPORTED("""COMPUTED_VALUE"""),45244.6206597222)</f>
        <v>45244.620659722197</v>
      </c>
      <c r="I1668" s="3">
        <f ca="1">IFERROR(__xludf.UNSUPPORTED("""COMPUTED_VALUE"""),24)</f>
        <v>24</v>
      </c>
      <c r="J1668" s="4">
        <f ca="1">IFERROR(__xludf.UNSUPPORTED("""COMPUTED_VALUE"""),45245.6206597222)</f>
        <v>45245.620659722197</v>
      </c>
    </row>
    <row r="1669" spans="1:12" ht="12.75">
      <c r="A1669" s="3" t="str">
        <f ca="1">IFERROR(__xludf.UNSUPPORTED("""COMPUTED_VALUE"""),"dd96a46e")</f>
        <v>dd96a46e</v>
      </c>
      <c r="B1669" s="4">
        <f ca="1">IFERROR(__xludf.UNSUPPORTED("""COMPUTED_VALUE"""),45246.8455902777)</f>
        <v>45246.845590277699</v>
      </c>
      <c r="C1669" s="8" t="str">
        <f ca="1">IFERROR(__xludf.UNSUPPORTED("""COMPUTED_VALUE"""),"Recife")</f>
        <v>Recife</v>
      </c>
      <c r="D1669" s="3" t="str">
        <f ca="1">IFERROR(__xludf.UNSUPPORTED("""COMPUTED_VALUE"""),"🚢 REGULAR")</f>
        <v>🚢 REGULAR</v>
      </c>
      <c r="E1669" s="3" t="str">
        <f ca="1">IFERROR(__xludf.UNSUPPORTED("""COMPUTED_VALUE"""),"🚛 LIBERADO")</f>
        <v>🚛 LIBERADO</v>
      </c>
      <c r="F1669" s="5">
        <f ca="1">IFERROR(__xludf.UNSUPPORTED("""COMPUTED_VALUE"""),0.25)</f>
        <v>0.25</v>
      </c>
      <c r="G1669" s="3" t="str">
        <f ca="1">IFERROR(__xludf.UNSUPPORTED("""COMPUTED_VALUE"""),"Regular")</f>
        <v>Regular</v>
      </c>
      <c r="H1669" s="4">
        <f ca="1">IFERROR(__xludf.UNSUPPORTED("""COMPUTED_VALUE"""),45246.8455902777)</f>
        <v>45246.845590277699</v>
      </c>
      <c r="I1669" s="3">
        <f ca="1">IFERROR(__xludf.UNSUPPORTED("""COMPUTED_VALUE"""),6)</f>
        <v>6</v>
      </c>
      <c r="J1669" s="4">
        <f ca="1">IFERROR(__xludf.UNSUPPORTED("""COMPUTED_VALUE"""),45247.0955902777)</f>
        <v>45247.095590277699</v>
      </c>
      <c r="K1669" s="3" t="str">
        <f ca="1">IFERROR(__xludf.UNSUPPORTED("""COMPUTED_VALUE"""),"Porto do Recife")</f>
        <v>Porto do Recife</v>
      </c>
      <c r="L1669" s="3" t="str">
        <f ca="1">IFERROR(__xludf.UNSUPPORTED("""COMPUTED_VALUE"""),"Crítico")</f>
        <v>Crítico</v>
      </c>
    </row>
    <row r="1670" spans="1:12" ht="12.75">
      <c r="A1670" s="3" t="str">
        <f ca="1">IFERROR(__xludf.UNSUPPORTED("""COMPUTED_VALUE"""),"a69ccf59")</f>
        <v>a69ccf59</v>
      </c>
      <c r="B1670" s="4">
        <f ca="1">IFERROR(__xludf.UNSUPPORTED("""COMPUTED_VALUE"""),45247.3287268518)</f>
        <v>45247.328726851803</v>
      </c>
      <c r="C1670" s="8" t="str">
        <f ca="1">IFERROR(__xludf.UNSUPPORTED("""COMPUTED_VALUE"""),"Recife")</f>
        <v>Recife</v>
      </c>
      <c r="D1670" s="3" t="str">
        <f ca="1">IFERROR(__xludf.UNSUPPORTED("""COMPUTED_VALUE"""),"🚢 REGULAR")</f>
        <v>🚢 REGULAR</v>
      </c>
      <c r="E1670" s="3" t="str">
        <f ca="1">IFERROR(__xludf.UNSUPPORTED("""COMPUTED_VALUE"""),"🚛 LIBERADO")</f>
        <v>🚛 LIBERADO</v>
      </c>
      <c r="F1670" s="5">
        <f ca="1">IFERROR(__xludf.UNSUPPORTED("""COMPUTED_VALUE"""),0.25)</f>
        <v>0.25</v>
      </c>
      <c r="G1670" s="3" t="str">
        <f ca="1">IFERROR(__xludf.UNSUPPORTED("""COMPUTED_VALUE"""),"Regular")</f>
        <v>Regular</v>
      </c>
      <c r="H1670" s="4">
        <f ca="1">IFERROR(__xludf.UNSUPPORTED("""COMPUTED_VALUE"""),45247.3287268518)</f>
        <v>45247.328726851803</v>
      </c>
      <c r="I1670" s="3">
        <f ca="1">IFERROR(__xludf.UNSUPPORTED("""COMPUTED_VALUE"""),6)</f>
        <v>6</v>
      </c>
      <c r="J1670" s="4">
        <f ca="1">IFERROR(__xludf.UNSUPPORTED("""COMPUTED_VALUE"""),45247.5787268518)</f>
        <v>45247.578726851803</v>
      </c>
      <c r="K1670" s="3" t="str">
        <f ca="1">IFERROR(__xludf.UNSUPPORTED("""COMPUTED_VALUE"""),"Porto do Recife")</f>
        <v>Porto do Recife</v>
      </c>
      <c r="L1670" s="3" t="str">
        <f ca="1">IFERROR(__xludf.UNSUPPORTED("""COMPUTED_VALUE"""),"Crítico")</f>
        <v>Crítico</v>
      </c>
    </row>
    <row r="1671" spans="1:12" ht="12.75">
      <c r="A1671" s="3" t="str">
        <f ca="1">IFERROR(__xludf.UNSUPPORTED("""COMPUTED_VALUE"""),"0fff6149")</f>
        <v>0fff6149</v>
      </c>
      <c r="B1671" s="4">
        <f ca="1">IFERROR(__xludf.UNSUPPORTED("""COMPUTED_VALUE"""),45248.4258912037)</f>
        <v>45248.425891203697</v>
      </c>
      <c r="C1671" s="7" t="str">
        <f ca="1">IFERROR(__xludf.UNSUPPORTED("""COMPUTED_VALUE"""),"Recife")</f>
        <v>Recife</v>
      </c>
      <c r="D1671" s="3" t="str">
        <f ca="1">IFERROR(__xludf.UNSUPPORTED("""COMPUTED_VALUE"""),"🚢 REGULAR")</f>
        <v>🚢 REGULAR</v>
      </c>
      <c r="E1671" s="3" t="str">
        <f ca="1">IFERROR(__xludf.UNSUPPORTED("""COMPUTED_VALUE"""),"🚛 LIBERADO")</f>
        <v>🚛 LIBERADO</v>
      </c>
      <c r="F1671" s="5">
        <f ca="1">IFERROR(__xludf.UNSUPPORTED("""COMPUTED_VALUE"""),0.25)</f>
        <v>0.25</v>
      </c>
      <c r="G1671" s="3" t="str">
        <f ca="1">IFERROR(__xludf.UNSUPPORTED("""COMPUTED_VALUE"""),"Regular")</f>
        <v>Regular</v>
      </c>
      <c r="H1671" s="4">
        <f ca="1">IFERROR(__xludf.UNSUPPORTED("""COMPUTED_VALUE"""),45248.4258912037)</f>
        <v>45248.425891203697</v>
      </c>
      <c r="I1671" s="3">
        <f ca="1">IFERROR(__xludf.UNSUPPORTED("""COMPUTED_VALUE"""),6)</f>
        <v>6</v>
      </c>
      <c r="J1671" s="4">
        <f ca="1">IFERROR(__xludf.UNSUPPORTED("""COMPUTED_VALUE"""),45248.6758912037)</f>
        <v>45248.675891203697</v>
      </c>
      <c r="K1671" s="3" t="str">
        <f ca="1">IFERROR(__xludf.UNSUPPORTED("""COMPUTED_VALUE"""),"Porto do Recife")</f>
        <v>Porto do Recife</v>
      </c>
      <c r="L1671" s="3" t="str">
        <f ca="1">IFERROR(__xludf.UNSUPPORTED("""COMPUTED_VALUE"""),"Crítico")</f>
        <v>Crítico</v>
      </c>
    </row>
    <row r="1672" spans="1:12" ht="12.75">
      <c r="A1672" s="3" t="str">
        <f ca="1">IFERROR(__xludf.UNSUPPORTED("""COMPUTED_VALUE"""),"0d1d62d6")</f>
        <v>0d1d62d6</v>
      </c>
      <c r="B1672" s="4">
        <f ca="1">IFERROR(__xludf.UNSUPPORTED("""COMPUTED_VALUE"""),45249.4947800925)</f>
        <v>45249.4947800925</v>
      </c>
      <c r="C1672" s="8" t="str">
        <f ca="1">IFERROR(__xludf.UNSUPPORTED("""COMPUTED_VALUE"""),"Recife")</f>
        <v>Recife</v>
      </c>
      <c r="D1672" s="3" t="str">
        <f ca="1">IFERROR(__xludf.UNSUPPORTED("""COMPUTED_VALUE"""),"🚢 REGULAR")</f>
        <v>🚢 REGULAR</v>
      </c>
      <c r="E1672" s="3" t="str">
        <f ca="1">IFERROR(__xludf.UNSUPPORTED("""COMPUTED_VALUE"""),"🚛 LIBERADO")</f>
        <v>🚛 LIBERADO</v>
      </c>
      <c r="F1672" s="5">
        <f ca="1">IFERROR(__xludf.UNSUPPORTED("""COMPUTED_VALUE"""),0.25)</f>
        <v>0.25</v>
      </c>
      <c r="G1672" s="3" t="str">
        <f ca="1">IFERROR(__xludf.UNSUPPORTED("""COMPUTED_VALUE"""),"Regular")</f>
        <v>Regular</v>
      </c>
      <c r="H1672" s="4">
        <f ca="1">IFERROR(__xludf.UNSUPPORTED("""COMPUTED_VALUE"""),45249.4947800925)</f>
        <v>45249.4947800925</v>
      </c>
      <c r="I1672" s="3">
        <f ca="1">IFERROR(__xludf.UNSUPPORTED("""COMPUTED_VALUE"""),6)</f>
        <v>6</v>
      </c>
      <c r="J1672" s="4">
        <f ca="1">IFERROR(__xludf.UNSUPPORTED("""COMPUTED_VALUE"""),45249.7447800925)</f>
        <v>45249.7447800925</v>
      </c>
      <c r="K1672" s="3" t="str">
        <f ca="1">IFERROR(__xludf.UNSUPPORTED("""COMPUTED_VALUE"""),"Porto do Recife")</f>
        <v>Porto do Recife</v>
      </c>
      <c r="L1672" s="3" t="str">
        <f ca="1">IFERROR(__xludf.UNSUPPORTED("""COMPUTED_VALUE"""),"Crítico")</f>
        <v>Crítico</v>
      </c>
    </row>
    <row r="1673" spans="1:12" ht="12.75">
      <c r="A1673" s="3" t="str">
        <f ca="1">IFERROR(__xludf.UNSUPPORTED("""COMPUTED_VALUE"""),"2654575f")</f>
        <v>2654575f</v>
      </c>
      <c r="B1673" s="4">
        <f ca="1">IFERROR(__xludf.UNSUPPORTED("""COMPUTED_VALUE"""),45250.3281597222)</f>
        <v>45250.328159722201</v>
      </c>
      <c r="C1673" s="7" t="str">
        <f ca="1">IFERROR(__xludf.UNSUPPORTED("""COMPUTED_VALUE"""),"Recife")</f>
        <v>Recife</v>
      </c>
      <c r="D1673" s="3" t="str">
        <f ca="1">IFERROR(__xludf.UNSUPPORTED("""COMPUTED_VALUE"""),"🚢 REGULAR")</f>
        <v>🚢 REGULAR</v>
      </c>
      <c r="E1673" s="3" t="str">
        <f ca="1">IFERROR(__xludf.UNSUPPORTED("""COMPUTED_VALUE"""),"🚛 LIBERADO")</f>
        <v>🚛 LIBERADO</v>
      </c>
      <c r="F1673" s="5">
        <f ca="1">IFERROR(__xludf.UNSUPPORTED("""COMPUTED_VALUE"""),0.25)</f>
        <v>0.25</v>
      </c>
      <c r="G1673" s="3" t="str">
        <f ca="1">IFERROR(__xludf.UNSUPPORTED("""COMPUTED_VALUE"""),"Regular")</f>
        <v>Regular</v>
      </c>
      <c r="H1673" s="4">
        <f ca="1">IFERROR(__xludf.UNSUPPORTED("""COMPUTED_VALUE"""),45250.3281597222)</f>
        <v>45250.328159722201</v>
      </c>
      <c r="I1673" s="3">
        <f ca="1">IFERROR(__xludf.UNSUPPORTED("""COMPUTED_VALUE"""),6)</f>
        <v>6</v>
      </c>
      <c r="J1673" s="4">
        <f ca="1">IFERROR(__xludf.UNSUPPORTED("""COMPUTED_VALUE"""),45250.5781597222)</f>
        <v>45250.578159722201</v>
      </c>
      <c r="K1673" s="3" t="str">
        <f ca="1">IFERROR(__xludf.UNSUPPORTED("""COMPUTED_VALUE"""),"Porto do Recife")</f>
        <v>Porto do Recife</v>
      </c>
      <c r="L1673" s="3" t="str">
        <f ca="1">IFERROR(__xludf.UNSUPPORTED("""COMPUTED_VALUE"""),"Crítico")</f>
        <v>Crítico</v>
      </c>
    </row>
    <row r="1674" spans="1:12" ht="12.75">
      <c r="A1674" s="3" t="str">
        <f ca="1">IFERROR(__xludf.UNSUPPORTED("""COMPUTED_VALUE"""),"7cbb1b98")</f>
        <v>7cbb1b98</v>
      </c>
      <c r="B1674" s="4">
        <f ca="1">IFERROR(__xludf.UNSUPPORTED("""COMPUTED_VALUE"""),45251.3610763888)</f>
        <v>45251.361076388799</v>
      </c>
      <c r="C1674" s="8" t="str">
        <f ca="1">IFERROR(__xludf.UNSUPPORTED("""COMPUTED_VALUE"""),"Recife")</f>
        <v>Recife</v>
      </c>
      <c r="D1674" s="3" t="str">
        <f ca="1">IFERROR(__xludf.UNSUPPORTED("""COMPUTED_VALUE"""),"🚢 REGULAR")</f>
        <v>🚢 REGULAR</v>
      </c>
      <c r="E1674" s="3" t="str">
        <f ca="1">IFERROR(__xludf.UNSUPPORTED("""COMPUTED_VALUE"""),"🚛 LIBERADO")</f>
        <v>🚛 LIBERADO</v>
      </c>
      <c r="F1674" s="5">
        <f ca="1">IFERROR(__xludf.UNSUPPORTED("""COMPUTED_VALUE"""),0.25)</f>
        <v>0.25</v>
      </c>
      <c r="G1674" s="3" t="str">
        <f ca="1">IFERROR(__xludf.UNSUPPORTED("""COMPUTED_VALUE"""),"Regular")</f>
        <v>Regular</v>
      </c>
      <c r="H1674" s="4">
        <f ca="1">IFERROR(__xludf.UNSUPPORTED("""COMPUTED_VALUE"""),45251.3610763888)</f>
        <v>45251.361076388799</v>
      </c>
      <c r="I1674" s="3">
        <f ca="1">IFERROR(__xludf.UNSUPPORTED("""COMPUTED_VALUE"""),6)</f>
        <v>6</v>
      </c>
      <c r="J1674" s="4">
        <f ca="1">IFERROR(__xludf.UNSUPPORTED("""COMPUTED_VALUE"""),45251.6110763888)</f>
        <v>45251.611076388799</v>
      </c>
      <c r="K1674" s="3" t="str">
        <f ca="1">IFERROR(__xludf.UNSUPPORTED("""COMPUTED_VALUE"""),"Porto do Recife")</f>
        <v>Porto do Recife</v>
      </c>
      <c r="L1674" s="3" t="str">
        <f ca="1">IFERROR(__xludf.UNSUPPORTED("""COMPUTED_VALUE"""),"Crítico")</f>
        <v>Crítico</v>
      </c>
    </row>
    <row r="1675" spans="1:12" ht="12.75">
      <c r="A1675" s="3" t="str">
        <f ca="1">IFERROR(__xludf.UNSUPPORTED("""COMPUTED_VALUE"""),"19fdb758")</f>
        <v>19fdb758</v>
      </c>
      <c r="B1675" s="4">
        <f ca="1">IFERROR(__xludf.UNSUPPORTED("""COMPUTED_VALUE"""),45252.3684837962)</f>
        <v>45252.368483796199</v>
      </c>
      <c r="C1675" s="7" t="str">
        <f ca="1">IFERROR(__xludf.UNSUPPORTED("""COMPUTED_VALUE"""),"Recife")</f>
        <v>Recife</v>
      </c>
      <c r="D1675" s="3" t="str">
        <f ca="1">IFERROR(__xludf.UNSUPPORTED("""COMPUTED_VALUE"""),"🚢 REGULAR")</f>
        <v>🚢 REGULAR</v>
      </c>
      <c r="E1675" s="3" t="str">
        <f ca="1">IFERROR(__xludf.UNSUPPORTED("""COMPUTED_VALUE"""),"🚛 LIBERADO")</f>
        <v>🚛 LIBERADO</v>
      </c>
      <c r="F1675" s="5">
        <f ca="1">IFERROR(__xludf.UNSUPPORTED("""COMPUTED_VALUE"""),0.25)</f>
        <v>0.25</v>
      </c>
      <c r="G1675" s="3" t="str">
        <f ca="1">IFERROR(__xludf.UNSUPPORTED("""COMPUTED_VALUE"""),"Regular")</f>
        <v>Regular</v>
      </c>
      <c r="H1675" s="4">
        <f ca="1">IFERROR(__xludf.UNSUPPORTED("""COMPUTED_VALUE"""),45252.3684837962)</f>
        <v>45252.368483796199</v>
      </c>
      <c r="I1675" s="3">
        <f ca="1">IFERROR(__xludf.UNSUPPORTED("""COMPUTED_VALUE"""),6)</f>
        <v>6</v>
      </c>
      <c r="J1675" s="4">
        <f ca="1">IFERROR(__xludf.UNSUPPORTED("""COMPUTED_VALUE"""),45252.6184837962)</f>
        <v>45252.618483796199</v>
      </c>
      <c r="K1675" s="3" t="str">
        <f ca="1">IFERROR(__xludf.UNSUPPORTED("""COMPUTED_VALUE"""),"Porto do Recife")</f>
        <v>Porto do Recife</v>
      </c>
      <c r="L1675" s="3" t="str">
        <f ca="1">IFERROR(__xludf.UNSUPPORTED("""COMPUTED_VALUE"""),"Crítico")</f>
        <v>Crítico</v>
      </c>
    </row>
    <row r="1676" spans="1:12" ht="12.75">
      <c r="A1676" s="3" t="str">
        <f ca="1">IFERROR(__xludf.UNSUPPORTED("""COMPUTED_VALUE"""),"7179cafb")</f>
        <v>7179cafb</v>
      </c>
      <c r="B1676" s="4">
        <f ca="1">IFERROR(__xludf.UNSUPPORTED("""COMPUTED_VALUE"""),45253.290636574)</f>
        <v>45253.290636573998</v>
      </c>
      <c r="C1676" s="8" t="str">
        <f ca="1">IFERROR(__xludf.UNSUPPORTED("""COMPUTED_VALUE"""),"Recife")</f>
        <v>Recife</v>
      </c>
      <c r="D1676" s="3" t="str">
        <f ca="1">IFERROR(__xludf.UNSUPPORTED("""COMPUTED_VALUE"""),"🚢 REGULAR")</f>
        <v>🚢 REGULAR</v>
      </c>
      <c r="E1676" s="3" t="str">
        <f ca="1">IFERROR(__xludf.UNSUPPORTED("""COMPUTED_VALUE"""),"🚛 LIBERADO")</f>
        <v>🚛 LIBERADO</v>
      </c>
      <c r="F1676" s="5">
        <f ca="1">IFERROR(__xludf.UNSUPPORTED("""COMPUTED_VALUE"""),0.25)</f>
        <v>0.25</v>
      </c>
      <c r="G1676" s="3" t="str">
        <f ca="1">IFERROR(__xludf.UNSUPPORTED("""COMPUTED_VALUE"""),"Regular")</f>
        <v>Regular</v>
      </c>
      <c r="H1676" s="4">
        <f ca="1">IFERROR(__xludf.UNSUPPORTED("""COMPUTED_VALUE"""),45253.290636574)</f>
        <v>45253.290636573998</v>
      </c>
      <c r="I1676" s="3">
        <f ca="1">IFERROR(__xludf.UNSUPPORTED("""COMPUTED_VALUE"""),6)</f>
        <v>6</v>
      </c>
      <c r="J1676" s="4">
        <f ca="1">IFERROR(__xludf.UNSUPPORTED("""COMPUTED_VALUE"""),45253.540636574)</f>
        <v>45253.540636573998</v>
      </c>
      <c r="K1676" s="3" t="str">
        <f ca="1">IFERROR(__xludf.UNSUPPORTED("""COMPUTED_VALUE"""),"Porto do Recife")</f>
        <v>Porto do Recife</v>
      </c>
      <c r="L1676" s="3" t="str">
        <f ca="1">IFERROR(__xludf.UNSUPPORTED("""COMPUTED_VALUE"""),"Crítico")</f>
        <v>Crítico</v>
      </c>
    </row>
    <row r="1677" spans="1:12" ht="12.75">
      <c r="A1677" s="3" t="str">
        <f ca="1">IFERROR(__xludf.UNSUPPORTED("""COMPUTED_VALUE"""),"761ba4f1")</f>
        <v>761ba4f1</v>
      </c>
      <c r="B1677" s="4">
        <f ca="1">IFERROR(__xludf.UNSUPPORTED("""COMPUTED_VALUE"""),45254.3231712962)</f>
        <v>45254.323171296201</v>
      </c>
      <c r="C1677" s="7" t="str">
        <f ca="1">IFERROR(__xludf.UNSUPPORTED("""COMPUTED_VALUE"""),"Recife")</f>
        <v>Recife</v>
      </c>
      <c r="D1677" s="3" t="str">
        <f ca="1">IFERROR(__xludf.UNSUPPORTED("""COMPUTED_VALUE"""),"🚢 REGULAR")</f>
        <v>🚢 REGULAR</v>
      </c>
      <c r="E1677" s="3" t="str">
        <f ca="1">IFERROR(__xludf.UNSUPPORTED("""COMPUTED_VALUE"""),"🚛 LIBERADO")</f>
        <v>🚛 LIBERADO</v>
      </c>
      <c r="F1677" s="5">
        <f ca="1">IFERROR(__xludf.UNSUPPORTED("""COMPUTED_VALUE"""),0.25)</f>
        <v>0.25</v>
      </c>
      <c r="G1677" s="3" t="str">
        <f ca="1">IFERROR(__xludf.UNSUPPORTED("""COMPUTED_VALUE"""),"Regular")</f>
        <v>Regular</v>
      </c>
      <c r="H1677" s="4">
        <f ca="1">IFERROR(__xludf.UNSUPPORTED("""COMPUTED_VALUE"""),45254.3231712962)</f>
        <v>45254.323171296201</v>
      </c>
      <c r="I1677" s="3">
        <f ca="1">IFERROR(__xludf.UNSUPPORTED("""COMPUTED_VALUE"""),6)</f>
        <v>6</v>
      </c>
      <c r="J1677" s="4">
        <f ca="1">IFERROR(__xludf.UNSUPPORTED("""COMPUTED_VALUE"""),45254.5731712962)</f>
        <v>45254.573171296201</v>
      </c>
      <c r="K1677" s="3" t="str">
        <f ca="1">IFERROR(__xludf.UNSUPPORTED("""COMPUTED_VALUE"""),"Porto do Recife")</f>
        <v>Porto do Recife</v>
      </c>
      <c r="L1677" s="3" t="str">
        <f ca="1">IFERROR(__xludf.UNSUPPORTED("""COMPUTED_VALUE"""),"Crítico")</f>
        <v>Crítico</v>
      </c>
    </row>
    <row r="1678" spans="1:12" ht="12.75">
      <c r="A1678" s="3" t="str">
        <f ca="1">IFERROR(__xludf.UNSUPPORTED("""COMPUTED_VALUE"""),"40bc1379")</f>
        <v>40bc1379</v>
      </c>
      <c r="B1678" s="4">
        <f ca="1">IFERROR(__xludf.UNSUPPORTED("""COMPUTED_VALUE"""),45255.3807407407)</f>
        <v>45255.3807407407</v>
      </c>
      <c r="C1678" s="7" t="str">
        <f ca="1">IFERROR(__xludf.UNSUPPORTED("""COMPUTED_VALUE"""),"Recife")</f>
        <v>Recife</v>
      </c>
      <c r="D1678" s="3" t="str">
        <f ca="1">IFERROR(__xludf.UNSUPPORTED("""COMPUTED_VALUE"""),"🚢 REGULAR")</f>
        <v>🚢 REGULAR</v>
      </c>
      <c r="E1678" s="3" t="str">
        <f ca="1">IFERROR(__xludf.UNSUPPORTED("""COMPUTED_VALUE"""),"🚛 LIBERADO")</f>
        <v>🚛 LIBERADO</v>
      </c>
      <c r="F1678" s="5">
        <f ca="1">IFERROR(__xludf.UNSUPPORTED("""COMPUTED_VALUE"""),0.25)</f>
        <v>0.25</v>
      </c>
      <c r="G1678" s="3" t="str">
        <f ca="1">IFERROR(__xludf.UNSUPPORTED("""COMPUTED_VALUE"""),"Regular")</f>
        <v>Regular</v>
      </c>
      <c r="H1678" s="4">
        <f ca="1">IFERROR(__xludf.UNSUPPORTED("""COMPUTED_VALUE"""),45255.3807407407)</f>
        <v>45255.3807407407</v>
      </c>
      <c r="I1678" s="3">
        <f ca="1">IFERROR(__xludf.UNSUPPORTED("""COMPUTED_VALUE"""),6)</f>
        <v>6</v>
      </c>
      <c r="J1678" s="4">
        <f ca="1">IFERROR(__xludf.UNSUPPORTED("""COMPUTED_VALUE"""),45255.6307407407)</f>
        <v>45255.6307407407</v>
      </c>
      <c r="K1678" s="3" t="str">
        <f ca="1">IFERROR(__xludf.UNSUPPORTED("""COMPUTED_VALUE"""),"Porto do Recife")</f>
        <v>Porto do Recife</v>
      </c>
      <c r="L1678" s="3" t="str">
        <f ca="1">IFERROR(__xludf.UNSUPPORTED("""COMPUTED_VALUE"""),"Crítico")</f>
        <v>Crítico</v>
      </c>
    </row>
    <row r="1679" spans="1:12" ht="12.75">
      <c r="A1679" s="3" t="str">
        <f ca="1">IFERROR(__xludf.UNSUPPORTED("""COMPUTED_VALUE"""),"2ef8d658")</f>
        <v>2ef8d658</v>
      </c>
      <c r="B1679" s="4">
        <f ca="1">IFERROR(__xludf.UNSUPPORTED("""COMPUTED_VALUE"""),45256.7092939814)</f>
        <v>45256.709293981403</v>
      </c>
      <c r="C1679" s="8" t="str">
        <f ca="1">IFERROR(__xludf.UNSUPPORTED("""COMPUTED_VALUE"""),"Recife")</f>
        <v>Recife</v>
      </c>
      <c r="D1679" s="3" t="str">
        <f ca="1">IFERROR(__xludf.UNSUPPORTED("""COMPUTED_VALUE"""),"🚢 REGULAR")</f>
        <v>🚢 REGULAR</v>
      </c>
      <c r="E1679" s="3" t="str">
        <f ca="1">IFERROR(__xludf.UNSUPPORTED("""COMPUTED_VALUE"""),"🚛 LIBERADO")</f>
        <v>🚛 LIBERADO</v>
      </c>
      <c r="F1679" s="5">
        <f ca="1">IFERROR(__xludf.UNSUPPORTED("""COMPUTED_VALUE"""),0.25)</f>
        <v>0.25</v>
      </c>
      <c r="G1679" s="3" t="str">
        <f ca="1">IFERROR(__xludf.UNSUPPORTED("""COMPUTED_VALUE"""),"Regular")</f>
        <v>Regular</v>
      </c>
      <c r="H1679" s="4">
        <f ca="1">IFERROR(__xludf.UNSUPPORTED("""COMPUTED_VALUE"""),45256.7092939814)</f>
        <v>45256.709293981403</v>
      </c>
      <c r="I1679" s="3">
        <f ca="1">IFERROR(__xludf.UNSUPPORTED("""COMPUTED_VALUE"""),6)</f>
        <v>6</v>
      </c>
      <c r="J1679" s="4">
        <f ca="1">IFERROR(__xludf.UNSUPPORTED("""COMPUTED_VALUE"""),45256.9592939814)</f>
        <v>45256.959293981403</v>
      </c>
      <c r="K1679" s="3" t="str">
        <f ca="1">IFERROR(__xludf.UNSUPPORTED("""COMPUTED_VALUE"""),"Porto do Recife")</f>
        <v>Porto do Recife</v>
      </c>
      <c r="L1679" s="3" t="str">
        <f ca="1">IFERROR(__xludf.UNSUPPORTED("""COMPUTED_VALUE"""),"Crítico")</f>
        <v>Crítico</v>
      </c>
    </row>
    <row r="1680" spans="1:12" ht="12.75">
      <c r="A1680" s="3" t="str">
        <f ca="1">IFERROR(__xludf.UNSUPPORTED("""COMPUTED_VALUE"""),"e13aabdf")</f>
        <v>e13aabdf</v>
      </c>
      <c r="B1680" s="4">
        <f ca="1">IFERROR(__xludf.UNSUPPORTED("""COMPUTED_VALUE"""),45257.3595254629)</f>
        <v>45257.359525462904</v>
      </c>
      <c r="C1680" s="7" t="str">
        <f ca="1">IFERROR(__xludf.UNSUPPORTED("""COMPUTED_VALUE"""),"Recife")</f>
        <v>Recife</v>
      </c>
      <c r="D1680" s="3" t="str">
        <f ca="1">IFERROR(__xludf.UNSUPPORTED("""COMPUTED_VALUE"""),"🚢 REGULAR")</f>
        <v>🚢 REGULAR</v>
      </c>
      <c r="E1680" s="3" t="str">
        <f ca="1">IFERROR(__xludf.UNSUPPORTED("""COMPUTED_VALUE"""),"🚛 LIBERADO")</f>
        <v>🚛 LIBERADO</v>
      </c>
      <c r="F1680" s="5">
        <f ca="1">IFERROR(__xludf.UNSUPPORTED("""COMPUTED_VALUE"""),0.25)</f>
        <v>0.25</v>
      </c>
      <c r="G1680" s="3" t="str">
        <f ca="1">IFERROR(__xludf.UNSUPPORTED("""COMPUTED_VALUE"""),"Regular")</f>
        <v>Regular</v>
      </c>
      <c r="H1680" s="4">
        <f ca="1">IFERROR(__xludf.UNSUPPORTED("""COMPUTED_VALUE"""),45257.3595254629)</f>
        <v>45257.359525462904</v>
      </c>
      <c r="I1680" s="3">
        <f ca="1">IFERROR(__xludf.UNSUPPORTED("""COMPUTED_VALUE"""),6)</f>
        <v>6</v>
      </c>
      <c r="J1680" s="4">
        <f ca="1">IFERROR(__xludf.UNSUPPORTED("""COMPUTED_VALUE"""),45257.6095254629)</f>
        <v>45257.609525462904</v>
      </c>
      <c r="K1680" s="3" t="str">
        <f ca="1">IFERROR(__xludf.UNSUPPORTED("""COMPUTED_VALUE"""),"Porto do Recife")</f>
        <v>Porto do Recife</v>
      </c>
      <c r="L1680" s="3" t="str">
        <f ca="1">IFERROR(__xludf.UNSUPPORTED("""COMPUTED_VALUE"""),"Crítico")</f>
        <v>Crítico</v>
      </c>
    </row>
    <row r="1681" spans="1:12" ht="12.75">
      <c r="A1681" s="3" t="str">
        <f ca="1">IFERROR(__xludf.UNSUPPORTED("""COMPUTED_VALUE"""),"3283a84a")</f>
        <v>3283a84a</v>
      </c>
      <c r="B1681" s="4">
        <f ca="1">IFERROR(__xludf.UNSUPPORTED("""COMPUTED_VALUE"""),45258.3892592592)</f>
        <v>45258.389259259202</v>
      </c>
      <c r="C1681" s="8" t="str">
        <f ca="1">IFERROR(__xludf.UNSUPPORTED("""COMPUTED_VALUE"""),"Recife")</f>
        <v>Recife</v>
      </c>
      <c r="D1681" s="3" t="str">
        <f ca="1">IFERROR(__xludf.UNSUPPORTED("""COMPUTED_VALUE"""),"🚢 REGULAR")</f>
        <v>🚢 REGULAR</v>
      </c>
      <c r="E1681" s="3" t="str">
        <f ca="1">IFERROR(__xludf.UNSUPPORTED("""COMPUTED_VALUE"""),"🚛 LIBERADO")</f>
        <v>🚛 LIBERADO</v>
      </c>
      <c r="F1681" s="5">
        <f ca="1">IFERROR(__xludf.UNSUPPORTED("""COMPUTED_VALUE"""),0.25)</f>
        <v>0.25</v>
      </c>
      <c r="G1681" s="3" t="str">
        <f ca="1">IFERROR(__xludf.UNSUPPORTED("""COMPUTED_VALUE"""),"Regular")</f>
        <v>Regular</v>
      </c>
      <c r="H1681" s="4">
        <f ca="1">IFERROR(__xludf.UNSUPPORTED("""COMPUTED_VALUE"""),45258.3892592592)</f>
        <v>45258.389259259202</v>
      </c>
      <c r="I1681" s="3">
        <f ca="1">IFERROR(__xludf.UNSUPPORTED("""COMPUTED_VALUE"""),6)</f>
        <v>6</v>
      </c>
      <c r="J1681" s="4">
        <f ca="1">IFERROR(__xludf.UNSUPPORTED("""COMPUTED_VALUE"""),45258.6392592592)</f>
        <v>45258.639259259202</v>
      </c>
      <c r="K1681" s="3" t="str">
        <f ca="1">IFERROR(__xludf.UNSUPPORTED("""COMPUTED_VALUE"""),"Porto do Recife")</f>
        <v>Porto do Recife</v>
      </c>
      <c r="L1681" s="3" t="str">
        <f ca="1">IFERROR(__xludf.UNSUPPORTED("""COMPUTED_VALUE"""),"Crítico")</f>
        <v>Crítico</v>
      </c>
    </row>
    <row r="1682" spans="1:12" ht="12.75">
      <c r="A1682" s="3" t="str">
        <f ca="1">IFERROR(__xludf.UNSUPPORTED("""COMPUTED_VALUE"""),"57448a33")</f>
        <v>57448a33</v>
      </c>
      <c r="B1682" s="4">
        <f ca="1">IFERROR(__xludf.UNSUPPORTED("""COMPUTED_VALUE"""),45259.3805324074)</f>
        <v>45259.380532407398</v>
      </c>
      <c r="C1682" s="7" t="str">
        <f ca="1">IFERROR(__xludf.UNSUPPORTED("""COMPUTED_VALUE"""),"Recife")</f>
        <v>Recife</v>
      </c>
      <c r="D1682" s="3" t="str">
        <f ca="1">IFERROR(__xludf.UNSUPPORTED("""COMPUTED_VALUE"""),"🚢 REGULAR")</f>
        <v>🚢 REGULAR</v>
      </c>
      <c r="E1682" s="3" t="str">
        <f ca="1">IFERROR(__xludf.UNSUPPORTED("""COMPUTED_VALUE"""),"🚛 LIBERADO")</f>
        <v>🚛 LIBERADO</v>
      </c>
      <c r="F1682" s="5">
        <f ca="1">IFERROR(__xludf.UNSUPPORTED("""COMPUTED_VALUE"""),0.25)</f>
        <v>0.25</v>
      </c>
      <c r="G1682" s="3" t="str">
        <f ca="1">IFERROR(__xludf.UNSUPPORTED("""COMPUTED_VALUE"""),"Regular")</f>
        <v>Regular</v>
      </c>
      <c r="H1682" s="4">
        <f ca="1">IFERROR(__xludf.UNSUPPORTED("""COMPUTED_VALUE"""),45259.3805324074)</f>
        <v>45259.380532407398</v>
      </c>
      <c r="I1682" s="3">
        <f ca="1">IFERROR(__xludf.UNSUPPORTED("""COMPUTED_VALUE"""),6)</f>
        <v>6</v>
      </c>
      <c r="J1682" s="4">
        <f ca="1">IFERROR(__xludf.UNSUPPORTED("""COMPUTED_VALUE"""),45259.6305324074)</f>
        <v>45259.630532407398</v>
      </c>
      <c r="K1682" s="3" t="str">
        <f ca="1">IFERROR(__xludf.UNSUPPORTED("""COMPUTED_VALUE"""),"Porto do Recife")</f>
        <v>Porto do Recife</v>
      </c>
      <c r="L1682" s="3" t="str">
        <f ca="1">IFERROR(__xludf.UNSUPPORTED("""COMPUTED_VALUE"""),"Crítico")</f>
        <v>Crítico</v>
      </c>
    </row>
    <row r="1683" spans="1:12" ht="12.75">
      <c r="A1683" s="3" t="str">
        <f ca="1">IFERROR(__xludf.UNSUPPORTED("""COMPUTED_VALUE"""),"24b903a6")</f>
        <v>24b903a6</v>
      </c>
      <c r="B1683" s="4">
        <f ca="1">IFERROR(__xludf.UNSUPPORTED("""COMPUTED_VALUE"""),45260.4006018518)</f>
        <v>45260.400601851798</v>
      </c>
      <c r="C1683" s="7" t="str">
        <f ca="1">IFERROR(__xludf.UNSUPPORTED("""COMPUTED_VALUE"""),"Recife")</f>
        <v>Recife</v>
      </c>
      <c r="D1683" s="3" t="str">
        <f ca="1">IFERROR(__xludf.UNSUPPORTED("""COMPUTED_VALUE"""),"🚢 REGULAR")</f>
        <v>🚢 REGULAR</v>
      </c>
      <c r="E1683" s="3" t="str">
        <f ca="1">IFERROR(__xludf.UNSUPPORTED("""COMPUTED_VALUE"""),"🚛 LIBERADO")</f>
        <v>🚛 LIBERADO</v>
      </c>
      <c r="F1683" s="5">
        <f ca="1">IFERROR(__xludf.UNSUPPORTED("""COMPUTED_VALUE"""),0.25)</f>
        <v>0.25</v>
      </c>
      <c r="G1683" s="3" t="str">
        <f ca="1">IFERROR(__xludf.UNSUPPORTED("""COMPUTED_VALUE"""),"Regular")</f>
        <v>Regular</v>
      </c>
      <c r="H1683" s="4">
        <f ca="1">IFERROR(__xludf.UNSUPPORTED("""COMPUTED_VALUE"""),45260.4006018518)</f>
        <v>45260.400601851798</v>
      </c>
      <c r="I1683" s="3">
        <f ca="1">IFERROR(__xludf.UNSUPPORTED("""COMPUTED_VALUE"""),6)</f>
        <v>6</v>
      </c>
      <c r="J1683" s="4">
        <f ca="1">IFERROR(__xludf.UNSUPPORTED("""COMPUTED_VALUE"""),45260.6506018518)</f>
        <v>45260.650601851798</v>
      </c>
      <c r="K1683" s="3" t="str">
        <f ca="1">IFERROR(__xludf.UNSUPPORTED("""COMPUTED_VALUE"""),"Porto do Recife")</f>
        <v>Porto do Recife</v>
      </c>
      <c r="L1683" s="3" t="str">
        <f ca="1">IFERROR(__xludf.UNSUPPORTED("""COMPUTED_VALUE"""),"Crítico")</f>
        <v>Crítico</v>
      </c>
    </row>
    <row r="1684" spans="1:12" ht="12.75">
      <c r="A1684" s="3" t="str">
        <f ca="1">IFERROR(__xludf.UNSUPPORTED("""COMPUTED_VALUE"""),"4088b579")</f>
        <v>4088b579</v>
      </c>
      <c r="B1684" s="4">
        <f ca="1">IFERROR(__xludf.UNSUPPORTED("""COMPUTED_VALUE"""),45261.3907523148)</f>
        <v>45261.390752314801</v>
      </c>
      <c r="C1684" s="8" t="str">
        <f ca="1">IFERROR(__xludf.UNSUPPORTED("""COMPUTED_VALUE"""),"Recife")</f>
        <v>Recife</v>
      </c>
      <c r="D1684" s="3" t="str">
        <f ca="1">IFERROR(__xludf.UNSUPPORTED("""COMPUTED_VALUE"""),"🚢 REGULAR")</f>
        <v>🚢 REGULAR</v>
      </c>
      <c r="E1684" s="3" t="str">
        <f ca="1">IFERROR(__xludf.UNSUPPORTED("""COMPUTED_VALUE"""),"🚛 LIBERADO")</f>
        <v>🚛 LIBERADO</v>
      </c>
      <c r="F1684" s="5">
        <f ca="1">IFERROR(__xludf.UNSUPPORTED("""COMPUTED_VALUE"""),0)</f>
        <v>0</v>
      </c>
      <c r="G1684" s="3" t="str">
        <f ca="1">IFERROR(__xludf.UNSUPPORTED("""COMPUTED_VALUE"""),"Normalidade")</f>
        <v>Normalidade</v>
      </c>
      <c r="H1684" s="4">
        <f ca="1">IFERROR(__xludf.UNSUPPORTED("""COMPUTED_VALUE"""),45261.3907523148)</f>
        <v>45261.390752314801</v>
      </c>
      <c r="I1684" s="3">
        <f ca="1">IFERROR(__xludf.UNSUPPORTED("""COMPUTED_VALUE"""),24)</f>
        <v>24</v>
      </c>
      <c r="J1684" s="4">
        <f ca="1">IFERROR(__xludf.UNSUPPORTED("""COMPUTED_VALUE"""),45262.3907523148)</f>
        <v>45262.390752314801</v>
      </c>
    </row>
    <row r="1685" spans="1:12" ht="12.75">
      <c r="A1685" s="3" t="str">
        <f ca="1">IFERROR(__xludf.UNSUPPORTED("""COMPUTED_VALUE"""),"bdb16827")</f>
        <v>bdb16827</v>
      </c>
      <c r="B1685" s="4">
        <f ca="1">IFERROR(__xludf.UNSUPPORTED("""COMPUTED_VALUE"""),45264.9134722222)</f>
        <v>45264.913472222201</v>
      </c>
      <c r="C1685" s="7" t="str">
        <f ca="1">IFERROR(__xludf.UNSUPPORTED("""COMPUTED_VALUE"""),"Recife")</f>
        <v>Recife</v>
      </c>
      <c r="D1685" s="3" t="str">
        <f ca="1">IFERROR(__xludf.UNSUPPORTED("""COMPUTED_VALUE"""),"🚢 REGULAR")</f>
        <v>🚢 REGULAR</v>
      </c>
      <c r="E1685" s="3" t="str">
        <f ca="1">IFERROR(__xludf.UNSUPPORTED("""COMPUTED_VALUE"""),"🚛 LIBERADO")</f>
        <v>🚛 LIBERADO</v>
      </c>
      <c r="F1685" s="5">
        <f ca="1">IFERROR(__xludf.UNSUPPORTED("""COMPUTED_VALUE"""),0)</f>
        <v>0</v>
      </c>
      <c r="G1685" s="3" t="str">
        <f ca="1">IFERROR(__xludf.UNSUPPORTED("""COMPUTED_VALUE"""),"Normalidade")</f>
        <v>Normalidade</v>
      </c>
      <c r="H1685" s="4">
        <f ca="1">IFERROR(__xludf.UNSUPPORTED("""COMPUTED_VALUE"""),45264.9134722222)</f>
        <v>45264.913472222201</v>
      </c>
      <c r="I1685" s="3">
        <f ca="1">IFERROR(__xludf.UNSUPPORTED("""COMPUTED_VALUE"""),24)</f>
        <v>24</v>
      </c>
      <c r="J1685" s="4">
        <f ca="1">IFERROR(__xludf.UNSUPPORTED("""COMPUTED_VALUE"""),45265.9134722222)</f>
        <v>45265.913472222201</v>
      </c>
    </row>
    <row r="1686" spans="1:12" ht="12.75">
      <c r="A1686" s="3" t="str">
        <f ca="1">IFERROR(__xludf.UNSUPPORTED("""COMPUTED_VALUE"""),"d37a794b")</f>
        <v>d37a794b</v>
      </c>
      <c r="B1686" s="4">
        <f ca="1">IFERROR(__xludf.UNSUPPORTED("""COMPUTED_VALUE"""),45265.3413773148)</f>
        <v>45265.341377314799</v>
      </c>
      <c r="C1686" s="8" t="str">
        <f ca="1">IFERROR(__xludf.UNSUPPORTED("""COMPUTED_VALUE"""),"Recife")</f>
        <v>Recife</v>
      </c>
      <c r="D1686" s="3" t="str">
        <f ca="1">IFERROR(__xludf.UNSUPPORTED("""COMPUTED_VALUE"""),"🚢 REGULAR")</f>
        <v>🚢 REGULAR</v>
      </c>
      <c r="E1686" s="3" t="str">
        <f ca="1">IFERROR(__xludf.UNSUPPORTED("""COMPUTED_VALUE"""),"🚛 LIBERADO")</f>
        <v>🚛 LIBERADO</v>
      </c>
      <c r="F1686" s="5">
        <f ca="1">IFERROR(__xludf.UNSUPPORTED("""COMPUTED_VALUE"""),0)</f>
        <v>0</v>
      </c>
      <c r="G1686" s="3" t="str">
        <f ca="1">IFERROR(__xludf.UNSUPPORTED("""COMPUTED_VALUE"""),"Normalidade")</f>
        <v>Normalidade</v>
      </c>
      <c r="H1686" s="4">
        <f ca="1">IFERROR(__xludf.UNSUPPORTED("""COMPUTED_VALUE"""),45265.3413773148)</f>
        <v>45265.341377314799</v>
      </c>
      <c r="I1686" s="3">
        <f ca="1">IFERROR(__xludf.UNSUPPORTED("""COMPUTED_VALUE"""),24)</f>
        <v>24</v>
      </c>
      <c r="J1686" s="4">
        <f ca="1">IFERROR(__xludf.UNSUPPORTED("""COMPUTED_VALUE"""),45266.3413773148)</f>
        <v>45266.341377314799</v>
      </c>
    </row>
    <row r="1687" spans="1:12" ht="12.75">
      <c r="A1687" s="3" t="str">
        <f ca="1">IFERROR(__xludf.UNSUPPORTED("""COMPUTED_VALUE"""),"4ddf0061")</f>
        <v>4ddf0061</v>
      </c>
      <c r="B1687" s="4">
        <f ca="1">IFERROR(__xludf.UNSUPPORTED("""COMPUTED_VALUE"""),45266.785949074)</f>
        <v>45266.785949074001</v>
      </c>
      <c r="C1687" s="7" t="str">
        <f ca="1">IFERROR(__xludf.UNSUPPORTED("""COMPUTED_VALUE"""),"Recife")</f>
        <v>Recife</v>
      </c>
      <c r="D1687" s="3" t="str">
        <f ca="1">IFERROR(__xludf.UNSUPPORTED("""COMPUTED_VALUE"""),"🚢 REGULAR")</f>
        <v>🚢 REGULAR</v>
      </c>
      <c r="E1687" s="3" t="str">
        <f ca="1">IFERROR(__xludf.UNSUPPORTED("""COMPUTED_VALUE"""),"🚛 LIBERADO")</f>
        <v>🚛 LIBERADO</v>
      </c>
      <c r="F1687" s="5">
        <f ca="1">IFERROR(__xludf.UNSUPPORTED("""COMPUTED_VALUE"""),0)</f>
        <v>0</v>
      </c>
      <c r="G1687" s="3" t="str">
        <f ca="1">IFERROR(__xludf.UNSUPPORTED("""COMPUTED_VALUE"""),"Normalidade")</f>
        <v>Normalidade</v>
      </c>
      <c r="H1687" s="4">
        <f ca="1">IFERROR(__xludf.UNSUPPORTED("""COMPUTED_VALUE"""),45266.785949074)</f>
        <v>45266.785949074001</v>
      </c>
      <c r="I1687" s="3">
        <f ca="1">IFERROR(__xludf.UNSUPPORTED("""COMPUTED_VALUE"""),24)</f>
        <v>24</v>
      </c>
      <c r="J1687" s="4">
        <f ca="1">IFERROR(__xludf.UNSUPPORTED("""COMPUTED_VALUE"""),45267.785949074)</f>
        <v>45267.785949074001</v>
      </c>
    </row>
    <row r="1688" spans="1:12" ht="12.75">
      <c r="A1688" s="3" t="str">
        <f ca="1">IFERROR(__xludf.UNSUPPORTED("""COMPUTED_VALUE"""),"02d099c2")</f>
        <v>02d099c2</v>
      </c>
      <c r="B1688" s="4">
        <f ca="1">IFERROR(__xludf.UNSUPPORTED("""COMPUTED_VALUE"""),45267.4594212963)</f>
        <v>45267.459421296298</v>
      </c>
      <c r="C1688" s="8" t="str">
        <f ca="1">IFERROR(__xludf.UNSUPPORTED("""COMPUTED_VALUE"""),"Recife")</f>
        <v>Recife</v>
      </c>
      <c r="D1688" s="3" t="str">
        <f ca="1">IFERROR(__xludf.UNSUPPORTED("""COMPUTED_VALUE"""),"🚢 REGULAR")</f>
        <v>🚢 REGULAR</v>
      </c>
      <c r="E1688" s="3" t="str">
        <f ca="1">IFERROR(__xludf.UNSUPPORTED("""COMPUTED_VALUE"""),"🚛 LIBERADO")</f>
        <v>🚛 LIBERADO</v>
      </c>
      <c r="F1688" s="5">
        <f ca="1">IFERROR(__xludf.UNSUPPORTED("""COMPUTED_VALUE"""),0)</f>
        <v>0</v>
      </c>
      <c r="G1688" s="3" t="str">
        <f ca="1">IFERROR(__xludf.UNSUPPORTED("""COMPUTED_VALUE"""),"Normalidade")</f>
        <v>Normalidade</v>
      </c>
      <c r="H1688" s="4">
        <f ca="1">IFERROR(__xludf.UNSUPPORTED("""COMPUTED_VALUE"""),45267.4594212963)</f>
        <v>45267.459421296298</v>
      </c>
      <c r="I1688" s="3">
        <f ca="1">IFERROR(__xludf.UNSUPPORTED("""COMPUTED_VALUE"""),24)</f>
        <v>24</v>
      </c>
      <c r="J1688" s="4">
        <f ca="1">IFERROR(__xludf.UNSUPPORTED("""COMPUTED_VALUE"""),45268.4594212963)</f>
        <v>45268.459421296298</v>
      </c>
    </row>
    <row r="1689" spans="1:12" ht="12.75">
      <c r="A1689" s="3" t="str">
        <f ca="1">IFERROR(__xludf.UNSUPPORTED("""COMPUTED_VALUE"""),"55e74f53")</f>
        <v>55e74f53</v>
      </c>
      <c r="B1689" s="4">
        <f ca="1">IFERROR(__xludf.UNSUPPORTED("""COMPUTED_VALUE"""),45271.3614930555)</f>
        <v>45271.361493055498</v>
      </c>
      <c r="C1689" s="7" t="str">
        <f ca="1">IFERROR(__xludf.UNSUPPORTED("""COMPUTED_VALUE"""),"Recife")</f>
        <v>Recife</v>
      </c>
      <c r="D1689" s="3" t="str">
        <f ca="1">IFERROR(__xludf.UNSUPPORTED("""COMPUTED_VALUE"""),"🚢 REGULAR")</f>
        <v>🚢 REGULAR</v>
      </c>
      <c r="E1689" s="3" t="str">
        <f ca="1">IFERROR(__xludf.UNSUPPORTED("""COMPUTED_VALUE"""),"🚛 LIBERADO")</f>
        <v>🚛 LIBERADO</v>
      </c>
      <c r="F1689" s="5">
        <f ca="1">IFERROR(__xludf.UNSUPPORTED("""COMPUTED_VALUE"""),0)</f>
        <v>0</v>
      </c>
      <c r="G1689" s="3" t="str">
        <f ca="1">IFERROR(__xludf.UNSUPPORTED("""COMPUTED_VALUE"""),"Normalidade")</f>
        <v>Normalidade</v>
      </c>
      <c r="H1689" s="4">
        <f ca="1">IFERROR(__xludf.UNSUPPORTED("""COMPUTED_VALUE"""),45271.3614930555)</f>
        <v>45271.361493055498</v>
      </c>
      <c r="I1689" s="3">
        <f ca="1">IFERROR(__xludf.UNSUPPORTED("""COMPUTED_VALUE"""),24)</f>
        <v>24</v>
      </c>
      <c r="J1689" s="4">
        <f ca="1">IFERROR(__xludf.UNSUPPORTED("""COMPUTED_VALUE"""),45272.3614930555)</f>
        <v>45272.361493055498</v>
      </c>
    </row>
    <row r="1690" spans="1:12" ht="12.75">
      <c r="A1690" s="3" t="str">
        <f ca="1">IFERROR(__xludf.UNSUPPORTED("""COMPUTED_VALUE"""),"df1a97e9")</f>
        <v>df1a97e9</v>
      </c>
      <c r="B1690" s="4">
        <f ca="1">IFERROR(__xludf.UNSUPPORTED("""COMPUTED_VALUE"""),45272.520787037)</f>
        <v>45272.520787037</v>
      </c>
      <c r="C1690" s="7" t="str">
        <f ca="1">IFERROR(__xludf.UNSUPPORTED("""COMPUTED_VALUE"""),"Recife")</f>
        <v>Recife</v>
      </c>
      <c r="D1690" s="3" t="str">
        <f ca="1">IFERROR(__xludf.UNSUPPORTED("""COMPUTED_VALUE"""),"🚢 REGULAR")</f>
        <v>🚢 REGULAR</v>
      </c>
      <c r="E1690" s="3" t="str">
        <f ca="1">IFERROR(__xludf.UNSUPPORTED("""COMPUTED_VALUE"""),"🚛 LIBERADO")</f>
        <v>🚛 LIBERADO</v>
      </c>
      <c r="F1690" s="5">
        <f ca="1">IFERROR(__xludf.UNSUPPORTED("""COMPUTED_VALUE"""),0)</f>
        <v>0</v>
      </c>
      <c r="G1690" s="3" t="str">
        <f ca="1">IFERROR(__xludf.UNSUPPORTED("""COMPUTED_VALUE"""),"Normalidade")</f>
        <v>Normalidade</v>
      </c>
      <c r="H1690" s="4">
        <f ca="1">IFERROR(__xludf.UNSUPPORTED("""COMPUTED_VALUE"""),45272.520787037)</f>
        <v>45272.520787037</v>
      </c>
      <c r="I1690" s="3">
        <f ca="1">IFERROR(__xludf.UNSUPPORTED("""COMPUTED_VALUE"""),24)</f>
        <v>24</v>
      </c>
      <c r="J1690" s="4">
        <f ca="1">IFERROR(__xludf.UNSUPPORTED("""COMPUTED_VALUE"""),45273.520787037)</f>
        <v>45273.520787037</v>
      </c>
    </row>
    <row r="1691" spans="1:12" ht="12.75">
      <c r="A1691" s="3" t="str">
        <f ca="1">IFERROR(__xludf.UNSUPPORTED("""COMPUTED_VALUE"""),"72498292")</f>
        <v>72498292</v>
      </c>
      <c r="B1691" s="4">
        <f ca="1">IFERROR(__xludf.UNSUPPORTED("""COMPUTED_VALUE"""),45273.3774537037)</f>
        <v>45273.377453703702</v>
      </c>
      <c r="C1691" s="7" t="str">
        <f ca="1">IFERROR(__xludf.UNSUPPORTED("""COMPUTED_VALUE"""),"Recife")</f>
        <v>Recife</v>
      </c>
      <c r="D1691" s="3" t="str">
        <f ca="1">IFERROR(__xludf.UNSUPPORTED("""COMPUTED_VALUE"""),"🚢 REGULAR")</f>
        <v>🚢 REGULAR</v>
      </c>
      <c r="E1691" s="3" t="str">
        <f ca="1">IFERROR(__xludf.UNSUPPORTED("""COMPUTED_VALUE"""),"🚛 LIBERADO")</f>
        <v>🚛 LIBERADO</v>
      </c>
      <c r="F1691" s="5">
        <f ca="1">IFERROR(__xludf.UNSUPPORTED("""COMPUTED_VALUE"""),0)</f>
        <v>0</v>
      </c>
      <c r="G1691" s="3" t="str">
        <f ca="1">IFERROR(__xludf.UNSUPPORTED("""COMPUTED_VALUE"""),"Normalidade")</f>
        <v>Normalidade</v>
      </c>
      <c r="H1691" s="4">
        <f ca="1">IFERROR(__xludf.UNSUPPORTED("""COMPUTED_VALUE"""),45273.3774537037)</f>
        <v>45273.377453703702</v>
      </c>
      <c r="I1691" s="3">
        <f ca="1">IFERROR(__xludf.UNSUPPORTED("""COMPUTED_VALUE"""),24)</f>
        <v>24</v>
      </c>
      <c r="J1691" s="4">
        <f ca="1">IFERROR(__xludf.UNSUPPORTED("""COMPUTED_VALUE"""),45274.3774537037)</f>
        <v>45274.377453703702</v>
      </c>
    </row>
    <row r="1692" spans="1:12" ht="12.75">
      <c r="A1692" s="3" t="str">
        <f ca="1">IFERROR(__xludf.UNSUPPORTED("""COMPUTED_VALUE"""),"dc137409")</f>
        <v>dc137409</v>
      </c>
      <c r="B1692" s="4">
        <f ca="1">IFERROR(__xludf.UNSUPPORTED("""COMPUTED_VALUE"""),45275.3464467592)</f>
        <v>45275.346446759198</v>
      </c>
      <c r="C1692" s="7" t="str">
        <f ca="1">IFERROR(__xludf.UNSUPPORTED("""COMPUTED_VALUE"""),"Recife")</f>
        <v>Recife</v>
      </c>
      <c r="D1692" s="3" t="str">
        <f ca="1">IFERROR(__xludf.UNSUPPORTED("""COMPUTED_VALUE"""),"🚢 REGULAR")</f>
        <v>🚢 REGULAR</v>
      </c>
      <c r="E1692" s="3" t="str">
        <f ca="1">IFERROR(__xludf.UNSUPPORTED("""COMPUTED_VALUE"""),"🚛 LIBERADO")</f>
        <v>🚛 LIBERADO</v>
      </c>
      <c r="F1692" s="5">
        <f ca="1">IFERROR(__xludf.UNSUPPORTED("""COMPUTED_VALUE"""),0)</f>
        <v>0</v>
      </c>
      <c r="G1692" s="3" t="str">
        <f ca="1">IFERROR(__xludf.UNSUPPORTED("""COMPUTED_VALUE"""),"Normalidade")</f>
        <v>Normalidade</v>
      </c>
      <c r="H1692" s="4">
        <f ca="1">IFERROR(__xludf.UNSUPPORTED("""COMPUTED_VALUE"""),45275.3464467592)</f>
        <v>45275.346446759198</v>
      </c>
      <c r="I1692" s="3">
        <f ca="1">IFERROR(__xludf.UNSUPPORTED("""COMPUTED_VALUE"""),24)</f>
        <v>24</v>
      </c>
      <c r="J1692" s="4">
        <f ca="1">IFERROR(__xludf.UNSUPPORTED("""COMPUTED_VALUE"""),45276.3464467592)</f>
        <v>45276.346446759198</v>
      </c>
    </row>
    <row r="1693" spans="1:12" ht="12.75">
      <c r="A1693" s="3" t="str">
        <f ca="1">IFERROR(__xludf.UNSUPPORTED("""COMPUTED_VALUE"""),"6264f909")</f>
        <v>6264f909</v>
      </c>
      <c r="B1693" s="4">
        <f ca="1">IFERROR(__xludf.UNSUPPORTED("""COMPUTED_VALUE"""),45276.3765277777)</f>
        <v>45276.376527777698</v>
      </c>
      <c r="C1693" s="8" t="str">
        <f ca="1">IFERROR(__xludf.UNSUPPORTED("""COMPUTED_VALUE"""),"Recife")</f>
        <v>Recife</v>
      </c>
      <c r="D1693" s="3" t="str">
        <f ca="1">IFERROR(__xludf.UNSUPPORTED("""COMPUTED_VALUE"""),"🚢 REGULAR")</f>
        <v>🚢 REGULAR</v>
      </c>
      <c r="E1693" s="3" t="str">
        <f ca="1">IFERROR(__xludf.UNSUPPORTED("""COMPUTED_VALUE"""),"🚛 LIBERADO")</f>
        <v>🚛 LIBERADO</v>
      </c>
      <c r="F1693" s="5">
        <f ca="1">IFERROR(__xludf.UNSUPPORTED("""COMPUTED_VALUE"""),0.25)</f>
        <v>0.25</v>
      </c>
      <c r="G1693" s="3" t="str">
        <f ca="1">IFERROR(__xludf.UNSUPPORTED("""COMPUTED_VALUE"""),"Regular")</f>
        <v>Regular</v>
      </c>
      <c r="H1693" s="4">
        <f ca="1">IFERROR(__xludf.UNSUPPORTED("""COMPUTED_VALUE"""),45276.3765277777)</f>
        <v>45276.376527777698</v>
      </c>
      <c r="I1693" s="3">
        <f ca="1">IFERROR(__xludf.UNSUPPORTED("""COMPUTED_VALUE"""),6)</f>
        <v>6</v>
      </c>
      <c r="J1693" s="4">
        <f ca="1">IFERROR(__xludf.UNSUPPORTED("""COMPUTED_VALUE"""),45276.6265277777)</f>
        <v>45276.626527777698</v>
      </c>
      <c r="K1693" s="3" t="str">
        <f ca="1">IFERROR(__xludf.UNSUPPORTED("""COMPUTED_VALUE"""),"Porto do Recife")</f>
        <v>Porto do Recife</v>
      </c>
      <c r="L1693" s="3" t="str">
        <f ca="1">IFERROR(__xludf.UNSUPPORTED("""COMPUTED_VALUE"""),"Crítico")</f>
        <v>Crítico</v>
      </c>
    </row>
    <row r="1694" spans="1:12" ht="12.75">
      <c r="A1694" s="3" t="str">
        <f ca="1">IFERROR(__xludf.UNSUPPORTED("""COMPUTED_VALUE"""),"efe824f2")</f>
        <v>efe824f2</v>
      </c>
      <c r="B1694" s="4">
        <f ca="1">IFERROR(__xludf.UNSUPPORTED("""COMPUTED_VALUE"""),45277.4527893518)</f>
        <v>45277.452789351802</v>
      </c>
      <c r="C1694" s="7" t="str">
        <f ca="1">IFERROR(__xludf.UNSUPPORTED("""COMPUTED_VALUE"""),"Recife")</f>
        <v>Recife</v>
      </c>
      <c r="D1694" s="3" t="str">
        <f ca="1">IFERROR(__xludf.UNSUPPORTED("""COMPUTED_VALUE"""),"🚢 REGULAR")</f>
        <v>🚢 REGULAR</v>
      </c>
      <c r="E1694" s="3" t="str">
        <f ca="1">IFERROR(__xludf.UNSUPPORTED("""COMPUTED_VALUE"""),"🚛 LIBERADO")</f>
        <v>🚛 LIBERADO</v>
      </c>
      <c r="F1694" s="5">
        <f ca="1">IFERROR(__xludf.UNSUPPORTED("""COMPUTED_VALUE"""),0.25)</f>
        <v>0.25</v>
      </c>
      <c r="G1694" s="3" t="str">
        <f ca="1">IFERROR(__xludf.UNSUPPORTED("""COMPUTED_VALUE"""),"Regular")</f>
        <v>Regular</v>
      </c>
      <c r="H1694" s="4">
        <f ca="1">IFERROR(__xludf.UNSUPPORTED("""COMPUTED_VALUE"""),45277.4527893518)</f>
        <v>45277.452789351802</v>
      </c>
      <c r="I1694" s="3">
        <f ca="1">IFERROR(__xludf.UNSUPPORTED("""COMPUTED_VALUE"""),6)</f>
        <v>6</v>
      </c>
      <c r="J1694" s="4">
        <f ca="1">IFERROR(__xludf.UNSUPPORTED("""COMPUTED_VALUE"""),45277.7027893518)</f>
        <v>45277.702789351802</v>
      </c>
      <c r="K1694" s="3" t="str">
        <f ca="1">IFERROR(__xludf.UNSUPPORTED("""COMPUTED_VALUE"""),"Porto do Recife")</f>
        <v>Porto do Recife</v>
      </c>
      <c r="L1694" s="3" t="str">
        <f ca="1">IFERROR(__xludf.UNSUPPORTED("""COMPUTED_VALUE"""),"Crítico")</f>
        <v>Crítico</v>
      </c>
    </row>
    <row r="1695" spans="1:12" ht="12.75">
      <c r="A1695" s="3" t="str">
        <f ca="1">IFERROR(__xludf.UNSUPPORTED("""COMPUTED_VALUE"""),"5ef032aa")</f>
        <v>5ef032aa</v>
      </c>
      <c r="B1695" s="4">
        <f ca="1">IFERROR(__xludf.UNSUPPORTED("""COMPUTED_VALUE"""),45278.3859143518)</f>
        <v>45278.385914351798</v>
      </c>
      <c r="C1695" s="8" t="str">
        <f ca="1">IFERROR(__xludf.UNSUPPORTED("""COMPUTED_VALUE"""),"Recife")</f>
        <v>Recife</v>
      </c>
      <c r="D1695" s="3" t="str">
        <f ca="1">IFERROR(__xludf.UNSUPPORTED("""COMPUTED_VALUE"""),"🚢 REGULAR")</f>
        <v>🚢 REGULAR</v>
      </c>
      <c r="E1695" s="3" t="str">
        <f ca="1">IFERROR(__xludf.UNSUPPORTED("""COMPUTED_VALUE"""),"🚛 LIBERADO")</f>
        <v>🚛 LIBERADO</v>
      </c>
      <c r="F1695" s="5">
        <f ca="1">IFERROR(__xludf.UNSUPPORTED("""COMPUTED_VALUE"""),0.25)</f>
        <v>0.25</v>
      </c>
      <c r="G1695" s="3" t="str">
        <f ca="1">IFERROR(__xludf.UNSUPPORTED("""COMPUTED_VALUE"""),"Regular")</f>
        <v>Regular</v>
      </c>
      <c r="H1695" s="4">
        <f ca="1">IFERROR(__xludf.UNSUPPORTED("""COMPUTED_VALUE"""),45278.3859143518)</f>
        <v>45278.385914351798</v>
      </c>
      <c r="I1695" s="3">
        <f ca="1">IFERROR(__xludf.UNSUPPORTED("""COMPUTED_VALUE"""),6)</f>
        <v>6</v>
      </c>
      <c r="J1695" s="4">
        <f ca="1">IFERROR(__xludf.UNSUPPORTED("""COMPUTED_VALUE"""),45278.6359143518)</f>
        <v>45278.635914351798</v>
      </c>
      <c r="K1695" s="3" t="str">
        <f ca="1">IFERROR(__xludf.UNSUPPORTED("""COMPUTED_VALUE"""),"Porto do Recife")</f>
        <v>Porto do Recife</v>
      </c>
      <c r="L1695" s="3" t="str">
        <f ca="1">IFERROR(__xludf.UNSUPPORTED("""COMPUTED_VALUE"""),"Crítico")</f>
        <v>Crítico</v>
      </c>
    </row>
    <row r="1696" spans="1:12" ht="12.75">
      <c r="A1696" s="3" t="str">
        <f ca="1">IFERROR(__xludf.UNSUPPORTED("""COMPUTED_VALUE"""),"b057ea14")</f>
        <v>b057ea14</v>
      </c>
      <c r="B1696" s="4">
        <f ca="1">IFERROR(__xludf.UNSUPPORTED("""COMPUTED_VALUE"""),45279.4618981481)</f>
        <v>45279.461898148104</v>
      </c>
      <c r="C1696" s="7" t="str">
        <f ca="1">IFERROR(__xludf.UNSUPPORTED("""COMPUTED_VALUE"""),"Recife")</f>
        <v>Recife</v>
      </c>
      <c r="D1696" s="3" t="str">
        <f ca="1">IFERROR(__xludf.UNSUPPORTED("""COMPUTED_VALUE"""),"🚢 REGULAR")</f>
        <v>🚢 REGULAR</v>
      </c>
      <c r="E1696" s="3" t="str">
        <f ca="1">IFERROR(__xludf.UNSUPPORTED("""COMPUTED_VALUE"""),"🚛 LIBERADO")</f>
        <v>🚛 LIBERADO</v>
      </c>
      <c r="F1696" s="5">
        <f ca="1">IFERROR(__xludf.UNSUPPORTED("""COMPUTED_VALUE"""),0.25)</f>
        <v>0.25</v>
      </c>
      <c r="G1696" s="3" t="str">
        <f ca="1">IFERROR(__xludf.UNSUPPORTED("""COMPUTED_VALUE"""),"Regular")</f>
        <v>Regular</v>
      </c>
      <c r="H1696" s="4">
        <f ca="1">IFERROR(__xludf.UNSUPPORTED("""COMPUTED_VALUE"""),45279.4618981481)</f>
        <v>45279.461898148104</v>
      </c>
      <c r="I1696" s="3">
        <f ca="1">IFERROR(__xludf.UNSUPPORTED("""COMPUTED_VALUE"""),6)</f>
        <v>6</v>
      </c>
      <c r="J1696" s="4">
        <f ca="1">IFERROR(__xludf.UNSUPPORTED("""COMPUTED_VALUE"""),45279.7118981481)</f>
        <v>45279.711898148104</v>
      </c>
      <c r="K1696" s="3" t="str">
        <f ca="1">IFERROR(__xludf.UNSUPPORTED("""COMPUTED_VALUE"""),"Porto do Recife")</f>
        <v>Porto do Recife</v>
      </c>
      <c r="L1696" s="3" t="str">
        <f ca="1">IFERROR(__xludf.UNSUPPORTED("""COMPUTED_VALUE"""),"Crítico")</f>
        <v>Crítico</v>
      </c>
    </row>
    <row r="1697" spans="1:12" ht="12.75">
      <c r="A1697" s="3" t="str">
        <f ca="1">IFERROR(__xludf.UNSUPPORTED("""COMPUTED_VALUE"""),"aadaa8bd")</f>
        <v>aadaa8bd</v>
      </c>
      <c r="B1697" s="4">
        <f ca="1">IFERROR(__xludf.UNSUPPORTED("""COMPUTED_VALUE"""),45280.7514004629)</f>
        <v>45280.751400462897</v>
      </c>
      <c r="C1697" s="8" t="str">
        <f ca="1">IFERROR(__xludf.UNSUPPORTED("""COMPUTED_VALUE"""),"Recife")</f>
        <v>Recife</v>
      </c>
      <c r="D1697" s="3" t="str">
        <f ca="1">IFERROR(__xludf.UNSUPPORTED("""COMPUTED_VALUE"""),"🚢 REGULAR")</f>
        <v>🚢 REGULAR</v>
      </c>
      <c r="E1697" s="3" t="str">
        <f ca="1">IFERROR(__xludf.UNSUPPORTED("""COMPUTED_VALUE"""),"🚛 LIBERADO")</f>
        <v>🚛 LIBERADO</v>
      </c>
      <c r="F1697" s="5">
        <f ca="1">IFERROR(__xludf.UNSUPPORTED("""COMPUTED_VALUE"""),0.25)</f>
        <v>0.25</v>
      </c>
      <c r="G1697" s="3" t="str">
        <f ca="1">IFERROR(__xludf.UNSUPPORTED("""COMPUTED_VALUE"""),"Regular")</f>
        <v>Regular</v>
      </c>
      <c r="H1697" s="4">
        <f ca="1">IFERROR(__xludf.UNSUPPORTED("""COMPUTED_VALUE"""),45280.7514004629)</f>
        <v>45280.751400462897</v>
      </c>
      <c r="I1697" s="3">
        <f ca="1">IFERROR(__xludf.UNSUPPORTED("""COMPUTED_VALUE"""),6)</f>
        <v>6</v>
      </c>
      <c r="J1697" s="4">
        <f ca="1">IFERROR(__xludf.UNSUPPORTED("""COMPUTED_VALUE"""),45281.0014004629)</f>
        <v>45281.001400462897</v>
      </c>
      <c r="K1697" s="3" t="str">
        <f ca="1">IFERROR(__xludf.UNSUPPORTED("""COMPUTED_VALUE"""),"Porto do Recife")</f>
        <v>Porto do Recife</v>
      </c>
      <c r="L1697" s="3" t="str">
        <f ca="1">IFERROR(__xludf.UNSUPPORTED("""COMPUTED_VALUE"""),"Crítico")</f>
        <v>Crítico</v>
      </c>
    </row>
    <row r="1698" spans="1:12" ht="12.75">
      <c r="A1698" s="3" t="str">
        <f ca="1">IFERROR(__xludf.UNSUPPORTED("""COMPUTED_VALUE"""),"51f9bb0e")</f>
        <v>51f9bb0e</v>
      </c>
      <c r="B1698" s="4">
        <f ca="1">IFERROR(__xludf.UNSUPPORTED("""COMPUTED_VALUE"""),45281.3595601851)</f>
        <v>45281.359560185098</v>
      </c>
      <c r="C1698" s="7" t="str">
        <f ca="1">IFERROR(__xludf.UNSUPPORTED("""COMPUTED_VALUE"""),"Recife")</f>
        <v>Recife</v>
      </c>
      <c r="D1698" s="3" t="str">
        <f ca="1">IFERROR(__xludf.UNSUPPORTED("""COMPUTED_VALUE"""),"🚢 REGULAR")</f>
        <v>🚢 REGULAR</v>
      </c>
      <c r="E1698" s="3" t="str">
        <f ca="1">IFERROR(__xludf.UNSUPPORTED("""COMPUTED_VALUE"""),"🚛 LIBERADO")</f>
        <v>🚛 LIBERADO</v>
      </c>
      <c r="F1698" s="5">
        <f ca="1">IFERROR(__xludf.UNSUPPORTED("""COMPUTED_VALUE"""),0.25)</f>
        <v>0.25</v>
      </c>
      <c r="G1698" s="3" t="str">
        <f ca="1">IFERROR(__xludf.UNSUPPORTED("""COMPUTED_VALUE"""),"Regular")</f>
        <v>Regular</v>
      </c>
      <c r="H1698" s="4">
        <f ca="1">IFERROR(__xludf.UNSUPPORTED("""COMPUTED_VALUE"""),45281.3595601851)</f>
        <v>45281.359560185098</v>
      </c>
      <c r="I1698" s="3">
        <f ca="1">IFERROR(__xludf.UNSUPPORTED("""COMPUTED_VALUE"""),6)</f>
        <v>6</v>
      </c>
      <c r="J1698" s="4">
        <f ca="1">IFERROR(__xludf.UNSUPPORTED("""COMPUTED_VALUE"""),45281.6095601851)</f>
        <v>45281.609560185098</v>
      </c>
      <c r="K1698" s="3" t="str">
        <f ca="1">IFERROR(__xludf.UNSUPPORTED("""COMPUTED_VALUE"""),"Porto do Recife")</f>
        <v>Porto do Recife</v>
      </c>
      <c r="L1698" s="3" t="str">
        <f ca="1">IFERROR(__xludf.UNSUPPORTED("""COMPUTED_VALUE"""),"Crítico")</f>
        <v>Crítico</v>
      </c>
    </row>
    <row r="1699" spans="1:12" ht="12.75">
      <c r="A1699" s="3" t="str">
        <f ca="1">IFERROR(__xludf.UNSUPPORTED("""COMPUTED_VALUE"""),"4b1b09d5")</f>
        <v>4b1b09d5</v>
      </c>
      <c r="B1699" s="4">
        <f ca="1">IFERROR(__xludf.UNSUPPORTED("""COMPUTED_VALUE"""),45282.3551736111)</f>
        <v>45282.355173611097</v>
      </c>
      <c r="C1699" s="8" t="str">
        <f ca="1">IFERROR(__xludf.UNSUPPORTED("""COMPUTED_VALUE"""),"Recife")</f>
        <v>Recife</v>
      </c>
      <c r="D1699" s="3" t="str">
        <f ca="1">IFERROR(__xludf.UNSUPPORTED("""COMPUTED_VALUE"""),"🚢 REGULAR")</f>
        <v>🚢 REGULAR</v>
      </c>
      <c r="E1699" s="3" t="str">
        <f ca="1">IFERROR(__xludf.UNSUPPORTED("""COMPUTED_VALUE"""),"🚛 LIBERADO")</f>
        <v>🚛 LIBERADO</v>
      </c>
      <c r="F1699" s="5">
        <f ca="1">IFERROR(__xludf.UNSUPPORTED("""COMPUTED_VALUE"""),0.25)</f>
        <v>0.25</v>
      </c>
      <c r="G1699" s="3" t="str">
        <f ca="1">IFERROR(__xludf.UNSUPPORTED("""COMPUTED_VALUE"""),"Regular")</f>
        <v>Regular</v>
      </c>
      <c r="H1699" s="4">
        <f ca="1">IFERROR(__xludf.UNSUPPORTED("""COMPUTED_VALUE"""),45282.3551736111)</f>
        <v>45282.355173611097</v>
      </c>
      <c r="I1699" s="3">
        <f ca="1">IFERROR(__xludf.UNSUPPORTED("""COMPUTED_VALUE"""),6)</f>
        <v>6</v>
      </c>
      <c r="J1699" s="4">
        <f ca="1">IFERROR(__xludf.UNSUPPORTED("""COMPUTED_VALUE"""),45282.6051736111)</f>
        <v>45282.605173611097</v>
      </c>
      <c r="K1699" s="3" t="str">
        <f ca="1">IFERROR(__xludf.UNSUPPORTED("""COMPUTED_VALUE"""),"Porto do Recife")</f>
        <v>Porto do Recife</v>
      </c>
      <c r="L1699" s="3" t="str">
        <f ca="1">IFERROR(__xludf.UNSUPPORTED("""COMPUTED_VALUE"""),"Crítico")</f>
        <v>Crítico</v>
      </c>
    </row>
    <row r="1700" spans="1:12" ht="12.75">
      <c r="A1700" s="3" t="str">
        <f ca="1">IFERROR(__xludf.UNSUPPORTED("""COMPUTED_VALUE"""),"1e85ad69")</f>
        <v>1e85ad69</v>
      </c>
      <c r="B1700" s="4">
        <f ca="1">IFERROR(__xludf.UNSUPPORTED("""COMPUTED_VALUE"""),45284.3637152777)</f>
        <v>45284.363715277701</v>
      </c>
      <c r="C1700" s="8" t="str">
        <f ca="1">IFERROR(__xludf.UNSUPPORTED("""COMPUTED_VALUE"""),"Recife")</f>
        <v>Recife</v>
      </c>
      <c r="D1700" s="3" t="str">
        <f ca="1">IFERROR(__xludf.UNSUPPORTED("""COMPUTED_VALUE"""),"🚢 REGULAR")</f>
        <v>🚢 REGULAR</v>
      </c>
      <c r="E1700" s="3" t="str">
        <f ca="1">IFERROR(__xludf.UNSUPPORTED("""COMPUTED_VALUE"""),"🚛 LIBERADO")</f>
        <v>🚛 LIBERADO</v>
      </c>
      <c r="F1700" s="5">
        <f ca="1">IFERROR(__xludf.UNSUPPORTED("""COMPUTED_VALUE"""),0.25)</f>
        <v>0.25</v>
      </c>
      <c r="G1700" s="3" t="str">
        <f ca="1">IFERROR(__xludf.UNSUPPORTED("""COMPUTED_VALUE"""),"Regular")</f>
        <v>Regular</v>
      </c>
      <c r="H1700" s="4">
        <f ca="1">IFERROR(__xludf.UNSUPPORTED("""COMPUTED_VALUE"""),45283.3637152777)</f>
        <v>45283.363715277701</v>
      </c>
      <c r="I1700" s="3">
        <f ca="1">IFERROR(__xludf.UNSUPPORTED("""COMPUTED_VALUE"""),6)</f>
        <v>6</v>
      </c>
      <c r="J1700" s="4">
        <f ca="1">IFERROR(__xludf.UNSUPPORTED("""COMPUTED_VALUE"""),45283.6137152777)</f>
        <v>45283.613715277701</v>
      </c>
      <c r="K1700" s="3" t="str">
        <f ca="1">IFERROR(__xludf.UNSUPPORTED("""COMPUTED_VALUE"""),"Porto do Recife")</f>
        <v>Porto do Recife</v>
      </c>
      <c r="L1700" s="3" t="str">
        <f ca="1">IFERROR(__xludf.UNSUPPORTED("""COMPUTED_VALUE"""),"Crítico")</f>
        <v>Crítico</v>
      </c>
    </row>
    <row r="1701" spans="1:12" ht="12.75">
      <c r="A1701" s="3" t="str">
        <f ca="1">IFERROR(__xludf.UNSUPPORTED("""COMPUTED_VALUE"""),"3c016171")</f>
        <v>3c016171</v>
      </c>
      <c r="B1701" s="4">
        <f ca="1">IFERROR(__xludf.UNSUPPORTED("""COMPUTED_VALUE"""),45284.3980902777)</f>
        <v>45284.398090277697</v>
      </c>
      <c r="C1701" s="7" t="str">
        <f ca="1">IFERROR(__xludf.UNSUPPORTED("""COMPUTED_VALUE"""),"Recife")</f>
        <v>Recife</v>
      </c>
      <c r="D1701" s="3" t="str">
        <f ca="1">IFERROR(__xludf.UNSUPPORTED("""COMPUTED_VALUE"""),"🚢 REGULAR")</f>
        <v>🚢 REGULAR</v>
      </c>
      <c r="E1701" s="3" t="str">
        <f ca="1">IFERROR(__xludf.UNSUPPORTED("""COMPUTED_VALUE"""),"🚛 LIBERADO")</f>
        <v>🚛 LIBERADO</v>
      </c>
      <c r="F1701" s="5">
        <f ca="1">IFERROR(__xludf.UNSUPPORTED("""COMPUTED_VALUE"""),0.25)</f>
        <v>0.25</v>
      </c>
      <c r="G1701" s="3" t="str">
        <f ca="1">IFERROR(__xludf.UNSUPPORTED("""COMPUTED_VALUE"""),"Regular")</f>
        <v>Regular</v>
      </c>
      <c r="H1701" s="4">
        <f ca="1">IFERROR(__xludf.UNSUPPORTED("""COMPUTED_VALUE"""),45284.3980902777)</f>
        <v>45284.398090277697</v>
      </c>
      <c r="I1701" s="3">
        <f ca="1">IFERROR(__xludf.UNSUPPORTED("""COMPUTED_VALUE"""),6)</f>
        <v>6</v>
      </c>
      <c r="J1701" s="4">
        <f ca="1">IFERROR(__xludf.UNSUPPORTED("""COMPUTED_VALUE"""),45284.6480902777)</f>
        <v>45284.648090277697</v>
      </c>
      <c r="K1701" s="3" t="str">
        <f ca="1">IFERROR(__xludf.UNSUPPORTED("""COMPUTED_VALUE"""),"Porto do Recife")</f>
        <v>Porto do Recife</v>
      </c>
      <c r="L1701" s="3" t="str">
        <f ca="1">IFERROR(__xludf.UNSUPPORTED("""COMPUTED_VALUE"""),"Crítico")</f>
        <v>Crítico</v>
      </c>
    </row>
    <row r="1702" spans="1:12" ht="12.75">
      <c r="A1702" s="3" t="str">
        <f ca="1">IFERROR(__xludf.UNSUPPORTED("""COMPUTED_VALUE"""),"006fc43f")</f>
        <v>006fc43f</v>
      </c>
      <c r="B1702" s="4">
        <f ca="1">IFERROR(__xludf.UNSUPPORTED("""COMPUTED_VALUE"""),45285.4944212962)</f>
        <v>45285.4944212962</v>
      </c>
      <c r="C1702" s="8" t="str">
        <f ca="1">IFERROR(__xludf.UNSUPPORTED("""COMPUTED_VALUE"""),"Recife")</f>
        <v>Recife</v>
      </c>
      <c r="D1702" s="3" t="str">
        <f ca="1">IFERROR(__xludf.UNSUPPORTED("""COMPUTED_VALUE"""),"🚢 REGULAR")</f>
        <v>🚢 REGULAR</v>
      </c>
      <c r="E1702" s="3" t="str">
        <f ca="1">IFERROR(__xludf.UNSUPPORTED("""COMPUTED_VALUE"""),"🚛 LIBERADO")</f>
        <v>🚛 LIBERADO</v>
      </c>
      <c r="F1702" s="5">
        <f ca="1">IFERROR(__xludf.UNSUPPORTED("""COMPUTED_VALUE"""),0.25)</f>
        <v>0.25</v>
      </c>
      <c r="G1702" s="3" t="str">
        <f ca="1">IFERROR(__xludf.UNSUPPORTED("""COMPUTED_VALUE"""),"Regular")</f>
        <v>Regular</v>
      </c>
      <c r="H1702" s="4">
        <f ca="1">IFERROR(__xludf.UNSUPPORTED("""COMPUTED_VALUE"""),45285.4944212962)</f>
        <v>45285.4944212962</v>
      </c>
      <c r="I1702" s="3">
        <f ca="1">IFERROR(__xludf.UNSUPPORTED("""COMPUTED_VALUE"""),6)</f>
        <v>6</v>
      </c>
      <c r="J1702" s="4">
        <f ca="1">IFERROR(__xludf.UNSUPPORTED("""COMPUTED_VALUE"""),45285.7444212962)</f>
        <v>45285.7444212962</v>
      </c>
      <c r="K1702" s="3" t="str">
        <f ca="1">IFERROR(__xludf.UNSUPPORTED("""COMPUTED_VALUE"""),"Porto do Recife")</f>
        <v>Porto do Recife</v>
      </c>
      <c r="L1702" s="3" t="str">
        <f ca="1">IFERROR(__xludf.UNSUPPORTED("""COMPUTED_VALUE"""),"Crítico")</f>
        <v>Crítico</v>
      </c>
    </row>
    <row r="1703" spans="1:12" ht="12.75">
      <c r="A1703" s="3" t="str">
        <f ca="1">IFERROR(__xludf.UNSUPPORTED("""COMPUTED_VALUE"""),"08c03b25")</f>
        <v>08c03b25</v>
      </c>
      <c r="B1703" s="4">
        <f ca="1">IFERROR(__xludf.UNSUPPORTED("""COMPUTED_VALUE"""),45286.8559143518)</f>
        <v>45286.8559143518</v>
      </c>
      <c r="C1703" s="7" t="str">
        <f ca="1">IFERROR(__xludf.UNSUPPORTED("""COMPUTED_VALUE"""),"Recife")</f>
        <v>Recife</v>
      </c>
      <c r="D1703" s="3" t="str">
        <f ca="1">IFERROR(__xludf.UNSUPPORTED("""COMPUTED_VALUE"""),"🚢 REGULAR")</f>
        <v>🚢 REGULAR</v>
      </c>
      <c r="E1703" s="3" t="str">
        <f ca="1">IFERROR(__xludf.UNSUPPORTED("""COMPUTED_VALUE"""),"🚛 LIBERADO")</f>
        <v>🚛 LIBERADO</v>
      </c>
      <c r="F1703" s="5">
        <f ca="1">IFERROR(__xludf.UNSUPPORTED("""COMPUTED_VALUE"""),0.25)</f>
        <v>0.25</v>
      </c>
      <c r="G1703" s="3" t="str">
        <f ca="1">IFERROR(__xludf.UNSUPPORTED("""COMPUTED_VALUE"""),"Regular")</f>
        <v>Regular</v>
      </c>
      <c r="H1703" s="4">
        <f ca="1">IFERROR(__xludf.UNSUPPORTED("""COMPUTED_VALUE"""),45286.8559143518)</f>
        <v>45286.8559143518</v>
      </c>
      <c r="I1703" s="3">
        <f ca="1">IFERROR(__xludf.UNSUPPORTED("""COMPUTED_VALUE"""),6)</f>
        <v>6</v>
      </c>
      <c r="J1703" s="4">
        <f ca="1">IFERROR(__xludf.UNSUPPORTED("""COMPUTED_VALUE"""),45287.1059143518)</f>
        <v>45287.1059143518</v>
      </c>
      <c r="K1703" s="3" t="str">
        <f ca="1">IFERROR(__xludf.UNSUPPORTED("""COMPUTED_VALUE"""),"Porto do Recife")</f>
        <v>Porto do Recife</v>
      </c>
      <c r="L1703" s="3" t="str">
        <f ca="1">IFERROR(__xludf.UNSUPPORTED("""COMPUTED_VALUE"""),"Crítico")</f>
        <v>Crítico</v>
      </c>
    </row>
    <row r="1704" spans="1:12" ht="12.75">
      <c r="A1704" s="3" t="str">
        <f ca="1">IFERROR(__xludf.UNSUPPORTED("""COMPUTED_VALUE"""),"a6beaf56")</f>
        <v>a6beaf56</v>
      </c>
      <c r="B1704" s="4">
        <f ca="1">IFERROR(__xludf.UNSUPPORTED("""COMPUTED_VALUE"""),45287.564398148)</f>
        <v>45287.564398148003</v>
      </c>
      <c r="C1704" s="8" t="str">
        <f ca="1">IFERROR(__xludf.UNSUPPORTED("""COMPUTED_VALUE"""),"Recife")</f>
        <v>Recife</v>
      </c>
      <c r="D1704" s="3" t="str">
        <f ca="1">IFERROR(__xludf.UNSUPPORTED("""COMPUTED_VALUE"""),"🚢 REGULAR")</f>
        <v>🚢 REGULAR</v>
      </c>
      <c r="E1704" s="3" t="str">
        <f ca="1">IFERROR(__xludf.UNSUPPORTED("""COMPUTED_VALUE"""),"🚛 LIBERADO")</f>
        <v>🚛 LIBERADO</v>
      </c>
      <c r="F1704" s="5">
        <f ca="1">IFERROR(__xludf.UNSUPPORTED("""COMPUTED_VALUE"""),0.25)</f>
        <v>0.25</v>
      </c>
      <c r="G1704" s="3" t="str">
        <f ca="1">IFERROR(__xludf.UNSUPPORTED("""COMPUTED_VALUE"""),"Regular")</f>
        <v>Regular</v>
      </c>
      <c r="H1704" s="4">
        <f ca="1">IFERROR(__xludf.UNSUPPORTED("""COMPUTED_VALUE"""),45287.564398148)</f>
        <v>45287.564398148003</v>
      </c>
      <c r="I1704" s="3">
        <f ca="1">IFERROR(__xludf.UNSUPPORTED("""COMPUTED_VALUE"""),6)</f>
        <v>6</v>
      </c>
      <c r="J1704" s="4">
        <f ca="1">IFERROR(__xludf.UNSUPPORTED("""COMPUTED_VALUE"""),45287.814398148)</f>
        <v>45287.814398148003</v>
      </c>
      <c r="K1704" s="3" t="str">
        <f ca="1">IFERROR(__xludf.UNSUPPORTED("""COMPUTED_VALUE"""),"Porto do Recife")</f>
        <v>Porto do Recife</v>
      </c>
      <c r="L1704" s="3" t="str">
        <f ca="1">IFERROR(__xludf.UNSUPPORTED("""COMPUTED_VALUE"""),"Crítico")</f>
        <v>Crítico</v>
      </c>
    </row>
    <row r="1705" spans="1:12" ht="12.75">
      <c r="A1705" s="3" t="str">
        <f ca="1">IFERROR(__xludf.UNSUPPORTED("""COMPUTED_VALUE"""),"e46ba5d8")</f>
        <v>e46ba5d8</v>
      </c>
      <c r="B1705" s="4">
        <f ca="1">IFERROR(__xludf.UNSUPPORTED("""COMPUTED_VALUE"""),45288.3948611111)</f>
        <v>45288.394861111097</v>
      </c>
      <c r="C1705" s="7" t="str">
        <f ca="1">IFERROR(__xludf.UNSUPPORTED("""COMPUTED_VALUE"""),"Recife")</f>
        <v>Recife</v>
      </c>
      <c r="D1705" s="3" t="str">
        <f ca="1">IFERROR(__xludf.UNSUPPORTED("""COMPUTED_VALUE"""),"🚢 REGULAR")</f>
        <v>🚢 REGULAR</v>
      </c>
      <c r="E1705" s="3" t="str">
        <f ca="1">IFERROR(__xludf.UNSUPPORTED("""COMPUTED_VALUE"""),"🚛 LIBERADO")</f>
        <v>🚛 LIBERADO</v>
      </c>
      <c r="F1705" s="5">
        <f ca="1">IFERROR(__xludf.UNSUPPORTED("""COMPUTED_VALUE"""),0.25)</f>
        <v>0.25</v>
      </c>
      <c r="G1705" s="3" t="str">
        <f ca="1">IFERROR(__xludf.UNSUPPORTED("""COMPUTED_VALUE"""),"Regular")</f>
        <v>Regular</v>
      </c>
      <c r="H1705" s="4">
        <f ca="1">IFERROR(__xludf.UNSUPPORTED("""COMPUTED_VALUE"""),45288.3948611111)</f>
        <v>45288.394861111097</v>
      </c>
      <c r="I1705" s="3">
        <f ca="1">IFERROR(__xludf.UNSUPPORTED("""COMPUTED_VALUE"""),6)</f>
        <v>6</v>
      </c>
      <c r="J1705" s="4">
        <f ca="1">IFERROR(__xludf.UNSUPPORTED("""COMPUTED_VALUE"""),45288.6448611111)</f>
        <v>45288.644861111097</v>
      </c>
      <c r="K1705" s="3" t="str">
        <f ca="1">IFERROR(__xludf.UNSUPPORTED("""COMPUTED_VALUE"""),"Porto do Recife")</f>
        <v>Porto do Recife</v>
      </c>
      <c r="L1705" s="3" t="str">
        <f ca="1">IFERROR(__xludf.UNSUPPORTED("""COMPUTED_VALUE"""),"Crítico")</f>
        <v>Crítico</v>
      </c>
    </row>
    <row r="1706" spans="1:12" ht="12.75">
      <c r="A1706" s="3" t="str">
        <f ca="1">IFERROR(__xludf.UNSUPPORTED("""COMPUTED_VALUE"""),"6f17dffe")</f>
        <v>6f17dffe</v>
      </c>
      <c r="B1706" s="4">
        <f ca="1">IFERROR(__xludf.UNSUPPORTED("""COMPUTED_VALUE"""),45289.3733796296)</f>
        <v>45289.3733796296</v>
      </c>
      <c r="C1706" s="8" t="str">
        <f ca="1">IFERROR(__xludf.UNSUPPORTED("""COMPUTED_VALUE"""),"Recife")</f>
        <v>Recife</v>
      </c>
      <c r="D1706" s="3" t="str">
        <f ca="1">IFERROR(__xludf.UNSUPPORTED("""COMPUTED_VALUE"""),"🚢 REGULAR")</f>
        <v>🚢 REGULAR</v>
      </c>
      <c r="E1706" s="3" t="str">
        <f ca="1">IFERROR(__xludf.UNSUPPORTED("""COMPUTED_VALUE"""),"🚛 LIBERADO")</f>
        <v>🚛 LIBERADO</v>
      </c>
      <c r="F1706" s="5">
        <f ca="1">IFERROR(__xludf.UNSUPPORTED("""COMPUTED_VALUE"""),0.25)</f>
        <v>0.25</v>
      </c>
      <c r="G1706" s="3" t="str">
        <f ca="1">IFERROR(__xludf.UNSUPPORTED("""COMPUTED_VALUE"""),"Regular")</f>
        <v>Regular</v>
      </c>
      <c r="H1706" s="4">
        <f ca="1">IFERROR(__xludf.UNSUPPORTED("""COMPUTED_VALUE"""),45289.3733796296)</f>
        <v>45289.3733796296</v>
      </c>
      <c r="I1706" s="3">
        <f ca="1">IFERROR(__xludf.UNSUPPORTED("""COMPUTED_VALUE"""),6)</f>
        <v>6</v>
      </c>
      <c r="J1706" s="4">
        <f ca="1">IFERROR(__xludf.UNSUPPORTED("""COMPUTED_VALUE"""),45289.6233796296)</f>
        <v>45289.6233796296</v>
      </c>
      <c r="K1706" s="3" t="str">
        <f ca="1">IFERROR(__xludf.UNSUPPORTED("""COMPUTED_VALUE"""),"Porto do Recife")</f>
        <v>Porto do Recife</v>
      </c>
      <c r="L1706" s="3" t="str">
        <f ca="1">IFERROR(__xludf.UNSUPPORTED("""COMPUTED_VALUE"""),"Crítico")</f>
        <v>Crítico</v>
      </c>
    </row>
    <row r="1707" spans="1:12" ht="12.75">
      <c r="A1707" s="3" t="str">
        <f ca="1">IFERROR(__xludf.UNSUPPORTED("""COMPUTED_VALUE"""),"3a6e99d0")</f>
        <v>3a6e99d0</v>
      </c>
      <c r="B1707" s="4">
        <f ca="1">IFERROR(__xludf.UNSUPPORTED("""COMPUTED_VALUE"""),45294.4649421296)</f>
        <v>45294.464942129598</v>
      </c>
      <c r="C1707" s="8" t="str">
        <f ca="1">IFERROR(__xludf.UNSUPPORTED("""COMPUTED_VALUE"""),"Recife")</f>
        <v>Recife</v>
      </c>
      <c r="D1707" s="3" t="str">
        <f ca="1">IFERROR(__xludf.UNSUPPORTED("""COMPUTED_VALUE"""),"🚢 REGULAR")</f>
        <v>🚢 REGULAR</v>
      </c>
      <c r="E1707" s="3" t="str">
        <f ca="1">IFERROR(__xludf.UNSUPPORTED("""COMPUTED_VALUE"""),"🚛 LIBERADO")</f>
        <v>🚛 LIBERADO</v>
      </c>
      <c r="F1707" s="5">
        <f ca="1">IFERROR(__xludf.UNSUPPORTED("""COMPUTED_VALUE"""),0)</f>
        <v>0</v>
      </c>
      <c r="G1707" s="3" t="str">
        <f ca="1">IFERROR(__xludf.UNSUPPORTED("""COMPUTED_VALUE"""),"Normalidade")</f>
        <v>Normalidade</v>
      </c>
      <c r="H1707" s="4">
        <f ca="1">IFERROR(__xludf.UNSUPPORTED("""COMPUTED_VALUE"""),45294.4649421296)</f>
        <v>45294.464942129598</v>
      </c>
      <c r="I1707" s="3">
        <f ca="1">IFERROR(__xludf.UNSUPPORTED("""COMPUTED_VALUE"""),24)</f>
        <v>24</v>
      </c>
      <c r="J1707" s="4">
        <f ca="1">IFERROR(__xludf.UNSUPPORTED("""COMPUTED_VALUE"""),45295.4649421296)</f>
        <v>45295.464942129598</v>
      </c>
    </row>
    <row r="1708" spans="1:12" ht="12.75">
      <c r="A1708" s="3" t="str">
        <f ca="1">IFERROR(__xludf.UNSUPPORTED("""COMPUTED_VALUE"""),"c45717c5")</f>
        <v>c45717c5</v>
      </c>
      <c r="B1708" s="4">
        <f ca="1">IFERROR(__xludf.UNSUPPORTED("""COMPUTED_VALUE"""),45295.6375578703)</f>
        <v>45295.637557870301</v>
      </c>
      <c r="C1708" s="7" t="str">
        <f ca="1">IFERROR(__xludf.UNSUPPORTED("""COMPUTED_VALUE"""),"Recife")</f>
        <v>Recife</v>
      </c>
      <c r="D1708" s="3" t="str">
        <f ca="1">IFERROR(__xludf.UNSUPPORTED("""COMPUTED_VALUE"""),"🚢 REGULAR")</f>
        <v>🚢 REGULAR</v>
      </c>
      <c r="E1708" s="3" t="str">
        <f ca="1">IFERROR(__xludf.UNSUPPORTED("""COMPUTED_VALUE"""),"🚛 LIBERADO")</f>
        <v>🚛 LIBERADO</v>
      </c>
      <c r="F1708" s="5">
        <f ca="1">IFERROR(__xludf.UNSUPPORTED("""COMPUTED_VALUE"""),0.25)</f>
        <v>0.25</v>
      </c>
      <c r="G1708" s="3" t="str">
        <f ca="1">IFERROR(__xludf.UNSUPPORTED("""COMPUTED_VALUE"""),"Regular")</f>
        <v>Regular</v>
      </c>
      <c r="H1708" s="4">
        <f ca="1">IFERROR(__xludf.UNSUPPORTED("""COMPUTED_VALUE"""),45295.6375578703)</f>
        <v>45295.637557870301</v>
      </c>
      <c r="I1708" s="3">
        <f ca="1">IFERROR(__xludf.UNSUPPORTED("""COMPUTED_VALUE"""),6)</f>
        <v>6</v>
      </c>
      <c r="J1708" s="4">
        <f ca="1">IFERROR(__xludf.UNSUPPORTED("""COMPUTED_VALUE"""),45295.8875578703)</f>
        <v>45295.887557870301</v>
      </c>
      <c r="K1708" s="3" t="str">
        <f ca="1">IFERROR(__xludf.UNSUPPORTED("""COMPUTED_VALUE"""),"Porto do Recife")</f>
        <v>Porto do Recife</v>
      </c>
      <c r="L1708" s="3" t="str">
        <f ca="1">IFERROR(__xludf.UNSUPPORTED("""COMPUTED_VALUE"""),"Crítico")</f>
        <v>Crítico</v>
      </c>
    </row>
    <row r="1709" spans="1:12" ht="12.75">
      <c r="A1709" s="3" t="str">
        <f ca="1">IFERROR(__xludf.UNSUPPORTED("""COMPUTED_VALUE"""),"de13c83f")</f>
        <v>de13c83f</v>
      </c>
      <c r="B1709" s="4">
        <f ca="1">IFERROR(__xludf.UNSUPPORTED("""COMPUTED_VALUE"""),45296.3577199074)</f>
        <v>45296.357719907399</v>
      </c>
      <c r="C1709" s="8" t="str">
        <f ca="1">IFERROR(__xludf.UNSUPPORTED("""COMPUTED_VALUE"""),"Recife")</f>
        <v>Recife</v>
      </c>
      <c r="D1709" s="3" t="str">
        <f ca="1">IFERROR(__xludf.UNSUPPORTED("""COMPUTED_VALUE"""),"🚢 REGULAR")</f>
        <v>🚢 REGULAR</v>
      </c>
      <c r="E1709" s="3" t="str">
        <f ca="1">IFERROR(__xludf.UNSUPPORTED("""COMPUTED_VALUE"""),"🚛 LIBERADO")</f>
        <v>🚛 LIBERADO</v>
      </c>
      <c r="F1709" s="5">
        <f ca="1">IFERROR(__xludf.UNSUPPORTED("""COMPUTED_VALUE"""),0)</f>
        <v>0</v>
      </c>
      <c r="G1709" s="3" t="str">
        <f ca="1">IFERROR(__xludf.UNSUPPORTED("""COMPUTED_VALUE"""),"Normalidade")</f>
        <v>Normalidade</v>
      </c>
      <c r="H1709" s="4">
        <f ca="1">IFERROR(__xludf.UNSUPPORTED("""COMPUTED_VALUE"""),45296.3577199074)</f>
        <v>45296.357719907399</v>
      </c>
      <c r="I1709" s="3">
        <f ca="1">IFERROR(__xludf.UNSUPPORTED("""COMPUTED_VALUE"""),24)</f>
        <v>24</v>
      </c>
      <c r="J1709" s="4">
        <f ca="1">IFERROR(__xludf.UNSUPPORTED("""COMPUTED_VALUE"""),45297.3577199074)</f>
        <v>45297.357719907399</v>
      </c>
    </row>
    <row r="1710" spans="1:12" ht="12.75">
      <c r="A1710" s="3" t="str">
        <f ca="1">IFERROR(__xludf.UNSUPPORTED("""COMPUTED_VALUE"""),"5840b85f")</f>
        <v>5840b85f</v>
      </c>
      <c r="B1710" s="4">
        <f ca="1">IFERROR(__xludf.UNSUPPORTED("""COMPUTED_VALUE"""),45299.3591666666)</f>
        <v>45299.359166666603</v>
      </c>
      <c r="C1710" s="8" t="str">
        <f ca="1">IFERROR(__xludf.UNSUPPORTED("""COMPUTED_VALUE"""),"Recife")</f>
        <v>Recife</v>
      </c>
      <c r="D1710" s="3" t="str">
        <f ca="1">IFERROR(__xludf.UNSUPPORTED("""COMPUTED_VALUE"""),"🚢 REGULAR")</f>
        <v>🚢 REGULAR</v>
      </c>
      <c r="E1710" s="3" t="str">
        <f ca="1">IFERROR(__xludf.UNSUPPORTED("""COMPUTED_VALUE"""),"🚛 LIBERADO")</f>
        <v>🚛 LIBERADO</v>
      </c>
      <c r="F1710" s="5">
        <f ca="1">IFERROR(__xludf.UNSUPPORTED("""COMPUTED_VALUE"""),0)</f>
        <v>0</v>
      </c>
      <c r="G1710" s="3" t="str">
        <f ca="1">IFERROR(__xludf.UNSUPPORTED("""COMPUTED_VALUE"""),"Normalidade")</f>
        <v>Normalidade</v>
      </c>
      <c r="H1710" s="4">
        <f ca="1">IFERROR(__xludf.UNSUPPORTED("""COMPUTED_VALUE"""),45299.3591666666)</f>
        <v>45299.359166666603</v>
      </c>
      <c r="I1710" s="3">
        <f ca="1">IFERROR(__xludf.UNSUPPORTED("""COMPUTED_VALUE"""),24)</f>
        <v>24</v>
      </c>
      <c r="J1710" s="4">
        <f ca="1">IFERROR(__xludf.UNSUPPORTED("""COMPUTED_VALUE"""),45300.3591666666)</f>
        <v>45300.359166666603</v>
      </c>
    </row>
    <row r="1711" spans="1:12" ht="12.75">
      <c r="A1711" s="3" t="str">
        <f ca="1">IFERROR(__xludf.UNSUPPORTED("""COMPUTED_VALUE"""),"a171bfb8")</f>
        <v>a171bfb8</v>
      </c>
      <c r="B1711" s="4">
        <f ca="1">IFERROR(__xludf.UNSUPPORTED("""COMPUTED_VALUE"""),45301.354224537)</f>
        <v>45301.354224536997</v>
      </c>
      <c r="C1711" s="7" t="str">
        <f ca="1">IFERROR(__xludf.UNSUPPORTED("""COMPUTED_VALUE"""),"Recife")</f>
        <v>Recife</v>
      </c>
      <c r="D1711" s="3" t="str">
        <f ca="1">IFERROR(__xludf.UNSUPPORTED("""COMPUTED_VALUE"""),"🚢 REGULAR")</f>
        <v>🚢 REGULAR</v>
      </c>
      <c r="E1711" s="3" t="str">
        <f ca="1">IFERROR(__xludf.UNSUPPORTED("""COMPUTED_VALUE"""),"🚛 LIBERADO")</f>
        <v>🚛 LIBERADO</v>
      </c>
      <c r="F1711" s="5">
        <f ca="1">IFERROR(__xludf.UNSUPPORTED("""COMPUTED_VALUE"""),0)</f>
        <v>0</v>
      </c>
      <c r="G1711" s="3" t="str">
        <f ca="1">IFERROR(__xludf.UNSUPPORTED("""COMPUTED_VALUE"""),"Normalidade")</f>
        <v>Normalidade</v>
      </c>
      <c r="H1711" s="4">
        <f ca="1">IFERROR(__xludf.UNSUPPORTED("""COMPUTED_VALUE"""),45301.354224537)</f>
        <v>45301.354224536997</v>
      </c>
      <c r="I1711" s="3">
        <f ca="1">IFERROR(__xludf.UNSUPPORTED("""COMPUTED_VALUE"""),24)</f>
        <v>24</v>
      </c>
      <c r="J1711" s="4">
        <f ca="1">IFERROR(__xludf.UNSUPPORTED("""COMPUTED_VALUE"""),45302.354224537)</f>
        <v>45302.354224536997</v>
      </c>
    </row>
    <row r="1712" spans="1:12" ht="12.75">
      <c r="A1712" s="3" t="str">
        <f ca="1">IFERROR(__xludf.UNSUPPORTED("""COMPUTED_VALUE"""),"df494f34")</f>
        <v>df494f34</v>
      </c>
      <c r="B1712" s="4">
        <f ca="1">IFERROR(__xludf.UNSUPPORTED("""COMPUTED_VALUE"""),45303.4184953703)</f>
        <v>45303.418495370301</v>
      </c>
      <c r="C1712" s="8" t="str">
        <f ca="1">IFERROR(__xludf.UNSUPPORTED("""COMPUTED_VALUE"""),"Recife")</f>
        <v>Recife</v>
      </c>
      <c r="D1712" s="3" t="str">
        <f ca="1">IFERROR(__xludf.UNSUPPORTED("""COMPUTED_VALUE"""),"🚢 REGULAR")</f>
        <v>🚢 REGULAR</v>
      </c>
      <c r="E1712" s="3" t="str">
        <f ca="1">IFERROR(__xludf.UNSUPPORTED("""COMPUTED_VALUE"""),"🚛 LIBERADO")</f>
        <v>🚛 LIBERADO</v>
      </c>
      <c r="F1712" s="5">
        <f ca="1">IFERROR(__xludf.UNSUPPORTED("""COMPUTED_VALUE"""),0)</f>
        <v>0</v>
      </c>
      <c r="G1712" s="3" t="str">
        <f ca="1">IFERROR(__xludf.UNSUPPORTED("""COMPUTED_VALUE"""),"Normalidade")</f>
        <v>Normalidade</v>
      </c>
      <c r="H1712" s="4">
        <f ca="1">IFERROR(__xludf.UNSUPPORTED("""COMPUTED_VALUE"""),45303.4184953703)</f>
        <v>45303.418495370301</v>
      </c>
      <c r="I1712" s="3">
        <f ca="1">IFERROR(__xludf.UNSUPPORTED("""COMPUTED_VALUE"""),24)</f>
        <v>24</v>
      </c>
      <c r="J1712" s="4">
        <f ca="1">IFERROR(__xludf.UNSUPPORTED("""COMPUTED_VALUE"""),45304.4184953703)</f>
        <v>45304.418495370301</v>
      </c>
    </row>
    <row r="1713" spans="1:12" ht="12.75">
      <c r="A1713" s="3" t="str">
        <f ca="1">IFERROR(__xludf.UNSUPPORTED("""COMPUTED_VALUE"""),"7a456561")</f>
        <v>7a456561</v>
      </c>
      <c r="B1713" s="4">
        <f ca="1">IFERROR(__xludf.UNSUPPORTED("""COMPUTED_VALUE"""),45306.4236458333)</f>
        <v>45306.423645833303</v>
      </c>
      <c r="C1713" s="7" t="str">
        <f ca="1">IFERROR(__xludf.UNSUPPORTED("""COMPUTED_VALUE"""),"Recife")</f>
        <v>Recife</v>
      </c>
      <c r="D1713" s="3" t="str">
        <f ca="1">IFERROR(__xludf.UNSUPPORTED("""COMPUTED_VALUE"""),"🚢 REGULAR")</f>
        <v>🚢 REGULAR</v>
      </c>
      <c r="E1713" s="3" t="str">
        <f ca="1">IFERROR(__xludf.UNSUPPORTED("""COMPUTED_VALUE"""),"🚛 LIBERADO")</f>
        <v>🚛 LIBERADO</v>
      </c>
      <c r="F1713" s="5">
        <f ca="1">IFERROR(__xludf.UNSUPPORTED("""COMPUTED_VALUE"""),0)</f>
        <v>0</v>
      </c>
      <c r="G1713" s="3" t="str">
        <f ca="1">IFERROR(__xludf.UNSUPPORTED("""COMPUTED_VALUE"""),"Normalidade")</f>
        <v>Normalidade</v>
      </c>
      <c r="H1713" s="4">
        <f ca="1">IFERROR(__xludf.UNSUPPORTED("""COMPUTED_VALUE"""),45306.4236458333)</f>
        <v>45306.423645833303</v>
      </c>
      <c r="I1713" s="3">
        <f ca="1">IFERROR(__xludf.UNSUPPORTED("""COMPUTED_VALUE"""),24)</f>
        <v>24</v>
      </c>
      <c r="J1713" s="4">
        <f ca="1">IFERROR(__xludf.UNSUPPORTED("""COMPUTED_VALUE"""),45307.4236458333)</f>
        <v>45307.423645833303</v>
      </c>
    </row>
    <row r="1714" spans="1:12" ht="12.75">
      <c r="A1714" s="3" t="str">
        <f ca="1">IFERROR(__xludf.UNSUPPORTED("""COMPUTED_VALUE"""),"82ea51dd")</f>
        <v>82ea51dd</v>
      </c>
      <c r="B1714" s="4">
        <f ca="1">IFERROR(__xludf.UNSUPPORTED("""COMPUTED_VALUE"""),45307.4509953703)</f>
        <v>45307.450995370302</v>
      </c>
      <c r="C1714" s="8" t="str">
        <f ca="1">IFERROR(__xludf.UNSUPPORTED("""COMPUTED_VALUE"""),"Recife")</f>
        <v>Recife</v>
      </c>
      <c r="D1714" s="3" t="str">
        <f ca="1">IFERROR(__xludf.UNSUPPORTED("""COMPUTED_VALUE"""),"🚢 REGULAR")</f>
        <v>🚢 REGULAR</v>
      </c>
      <c r="E1714" s="3" t="str">
        <f ca="1">IFERROR(__xludf.UNSUPPORTED("""COMPUTED_VALUE"""),"🚛 LIBERADO")</f>
        <v>🚛 LIBERADO</v>
      </c>
      <c r="F1714" s="5">
        <f ca="1">IFERROR(__xludf.UNSUPPORTED("""COMPUTED_VALUE"""),0.25)</f>
        <v>0.25</v>
      </c>
      <c r="G1714" s="3" t="str">
        <f ca="1">IFERROR(__xludf.UNSUPPORTED("""COMPUTED_VALUE"""),"Regular")</f>
        <v>Regular</v>
      </c>
      <c r="H1714" s="4">
        <f ca="1">IFERROR(__xludf.UNSUPPORTED("""COMPUTED_VALUE"""),45307.4509953703)</f>
        <v>45307.450995370302</v>
      </c>
      <c r="I1714" s="3">
        <f ca="1">IFERROR(__xludf.UNSUPPORTED("""COMPUTED_VALUE"""),6)</f>
        <v>6</v>
      </c>
      <c r="J1714" s="4">
        <f ca="1">IFERROR(__xludf.UNSUPPORTED("""COMPUTED_VALUE"""),45307.7009953703)</f>
        <v>45307.700995370302</v>
      </c>
      <c r="K1714" s="3" t="str">
        <f ca="1">IFERROR(__xludf.UNSUPPORTED("""COMPUTED_VALUE"""),"Porto do Recife")</f>
        <v>Porto do Recife</v>
      </c>
      <c r="L1714" s="3" t="str">
        <f ca="1">IFERROR(__xludf.UNSUPPORTED("""COMPUTED_VALUE"""),"Crítico")</f>
        <v>Crítico</v>
      </c>
    </row>
    <row r="1715" spans="1:12" ht="12.75">
      <c r="A1715" s="3" t="str">
        <f ca="1">IFERROR(__xludf.UNSUPPORTED("""COMPUTED_VALUE"""),"319a2ccb")</f>
        <v>319a2ccb</v>
      </c>
      <c r="B1715" s="4">
        <f ca="1">IFERROR(__xludf.UNSUPPORTED("""COMPUTED_VALUE"""),45308.3947222222)</f>
        <v>45308.394722222198</v>
      </c>
      <c r="C1715" s="7" t="str">
        <f ca="1">IFERROR(__xludf.UNSUPPORTED("""COMPUTED_VALUE"""),"Recife")</f>
        <v>Recife</v>
      </c>
      <c r="D1715" s="3" t="str">
        <f ca="1">IFERROR(__xludf.UNSUPPORTED("""COMPUTED_VALUE"""),"🚢 REGULAR")</f>
        <v>🚢 REGULAR</v>
      </c>
      <c r="E1715" s="3" t="str">
        <f ca="1">IFERROR(__xludf.UNSUPPORTED("""COMPUTED_VALUE"""),"🚛 LIBERADO")</f>
        <v>🚛 LIBERADO</v>
      </c>
      <c r="F1715" s="5">
        <f ca="1">IFERROR(__xludf.UNSUPPORTED("""COMPUTED_VALUE"""),0.25)</f>
        <v>0.25</v>
      </c>
      <c r="G1715" s="3" t="str">
        <f ca="1">IFERROR(__xludf.UNSUPPORTED("""COMPUTED_VALUE"""),"Regular")</f>
        <v>Regular</v>
      </c>
      <c r="H1715" s="4">
        <f ca="1">IFERROR(__xludf.UNSUPPORTED("""COMPUTED_VALUE"""),45308.3947222222)</f>
        <v>45308.394722222198</v>
      </c>
      <c r="I1715" s="3">
        <f ca="1">IFERROR(__xludf.UNSUPPORTED("""COMPUTED_VALUE"""),6)</f>
        <v>6</v>
      </c>
      <c r="J1715" s="4">
        <f ca="1">IFERROR(__xludf.UNSUPPORTED("""COMPUTED_VALUE"""),45308.6447222222)</f>
        <v>45308.644722222198</v>
      </c>
      <c r="K1715" s="3" t="str">
        <f ca="1">IFERROR(__xludf.UNSUPPORTED("""COMPUTED_VALUE"""),"Porto do Recife")</f>
        <v>Porto do Recife</v>
      </c>
      <c r="L1715" s="3" t="str">
        <f ca="1">IFERROR(__xludf.UNSUPPORTED("""COMPUTED_VALUE"""),"Crítico")</f>
        <v>Crítico</v>
      </c>
    </row>
    <row r="1716" spans="1:12" ht="12.75">
      <c r="A1716" s="3" t="str">
        <f ca="1">IFERROR(__xludf.UNSUPPORTED("""COMPUTED_VALUE"""),"23c2f5f6")</f>
        <v>23c2f5f6</v>
      </c>
      <c r="B1716" s="4">
        <f ca="1">IFERROR(__xludf.UNSUPPORTED("""COMPUTED_VALUE"""),45309.4291087962)</f>
        <v>45309.429108796197</v>
      </c>
      <c r="C1716" s="8" t="str">
        <f ca="1">IFERROR(__xludf.UNSUPPORTED("""COMPUTED_VALUE"""),"Recife")</f>
        <v>Recife</v>
      </c>
      <c r="D1716" s="3" t="str">
        <f ca="1">IFERROR(__xludf.UNSUPPORTED("""COMPUTED_VALUE"""),"🚢 REGULAR")</f>
        <v>🚢 REGULAR</v>
      </c>
      <c r="E1716" s="3" t="str">
        <f ca="1">IFERROR(__xludf.UNSUPPORTED("""COMPUTED_VALUE"""),"🚛 LIBERADO")</f>
        <v>🚛 LIBERADO</v>
      </c>
      <c r="F1716" s="5">
        <f ca="1">IFERROR(__xludf.UNSUPPORTED("""COMPUTED_VALUE"""),0.25)</f>
        <v>0.25</v>
      </c>
      <c r="G1716" s="3" t="str">
        <f ca="1">IFERROR(__xludf.UNSUPPORTED("""COMPUTED_VALUE"""),"Regular")</f>
        <v>Regular</v>
      </c>
      <c r="H1716" s="4">
        <f ca="1">IFERROR(__xludf.UNSUPPORTED("""COMPUTED_VALUE"""),45309.4291087962)</f>
        <v>45309.429108796197</v>
      </c>
      <c r="I1716" s="3">
        <f ca="1">IFERROR(__xludf.UNSUPPORTED("""COMPUTED_VALUE"""),6)</f>
        <v>6</v>
      </c>
      <c r="J1716" s="4">
        <f ca="1">IFERROR(__xludf.UNSUPPORTED("""COMPUTED_VALUE"""),45309.6791087962)</f>
        <v>45309.679108796197</v>
      </c>
      <c r="K1716" s="3" t="str">
        <f ca="1">IFERROR(__xludf.UNSUPPORTED("""COMPUTED_VALUE"""),"Porto do Recife")</f>
        <v>Porto do Recife</v>
      </c>
      <c r="L1716" s="3" t="str">
        <f ca="1">IFERROR(__xludf.UNSUPPORTED("""COMPUTED_VALUE"""),"Crítico")</f>
        <v>Crítico</v>
      </c>
    </row>
    <row r="1717" spans="1:12" ht="12.75">
      <c r="A1717" s="3" t="str">
        <f ca="1">IFERROR(__xludf.UNSUPPORTED("""COMPUTED_VALUE"""),"8cfb92f7")</f>
        <v>8cfb92f7</v>
      </c>
      <c r="B1717" s="4">
        <f ca="1">IFERROR(__xludf.UNSUPPORTED("""COMPUTED_VALUE"""),45310.5629282407)</f>
        <v>45310.562928240703</v>
      </c>
      <c r="C1717" s="8" t="str">
        <f ca="1">IFERROR(__xludf.UNSUPPORTED("""COMPUTED_VALUE"""),"Recife")</f>
        <v>Recife</v>
      </c>
      <c r="D1717" s="3" t="str">
        <f ca="1">IFERROR(__xludf.UNSUPPORTED("""COMPUTED_VALUE"""),"🚢 REGULAR")</f>
        <v>🚢 REGULAR</v>
      </c>
      <c r="E1717" s="3" t="str">
        <f ca="1">IFERROR(__xludf.UNSUPPORTED("""COMPUTED_VALUE"""),"🚛 LIBERADO")</f>
        <v>🚛 LIBERADO</v>
      </c>
      <c r="F1717" s="5">
        <f ca="1">IFERROR(__xludf.UNSUPPORTED("""COMPUTED_VALUE"""),0.25)</f>
        <v>0.25</v>
      </c>
      <c r="G1717" s="3" t="str">
        <f ca="1">IFERROR(__xludf.UNSUPPORTED("""COMPUTED_VALUE"""),"Regular")</f>
        <v>Regular</v>
      </c>
      <c r="H1717" s="4">
        <f ca="1">IFERROR(__xludf.UNSUPPORTED("""COMPUTED_VALUE"""),45310.5629282407)</f>
        <v>45310.562928240703</v>
      </c>
      <c r="I1717" s="3">
        <f ca="1">IFERROR(__xludf.UNSUPPORTED("""COMPUTED_VALUE"""),6)</f>
        <v>6</v>
      </c>
      <c r="J1717" s="4">
        <f ca="1">IFERROR(__xludf.UNSUPPORTED("""COMPUTED_VALUE"""),45310.8129282407)</f>
        <v>45310.812928240703</v>
      </c>
      <c r="K1717" s="3" t="str">
        <f ca="1">IFERROR(__xludf.UNSUPPORTED("""COMPUTED_VALUE"""),"Porto do Recife")</f>
        <v>Porto do Recife</v>
      </c>
      <c r="L1717" s="3" t="str">
        <f ca="1">IFERROR(__xludf.UNSUPPORTED("""COMPUTED_VALUE"""),"Crítico")</f>
        <v>Crítico</v>
      </c>
    </row>
    <row r="1718" spans="1:12" ht="12.75">
      <c r="A1718" s="3" t="str">
        <f ca="1">IFERROR(__xludf.UNSUPPORTED("""COMPUTED_VALUE"""),"8eb6fe57")</f>
        <v>8eb6fe57</v>
      </c>
      <c r="B1718" s="4">
        <f ca="1">IFERROR(__xludf.UNSUPPORTED("""COMPUTED_VALUE"""),45311.5443055555)</f>
        <v>45311.544305555501</v>
      </c>
      <c r="C1718" s="7" t="str">
        <f ca="1">IFERROR(__xludf.UNSUPPORTED("""COMPUTED_VALUE"""),"Recife")</f>
        <v>Recife</v>
      </c>
      <c r="D1718" s="3" t="str">
        <f ca="1">IFERROR(__xludf.UNSUPPORTED("""COMPUTED_VALUE"""),"🚢 REGULAR")</f>
        <v>🚢 REGULAR</v>
      </c>
      <c r="E1718" s="3" t="str">
        <f ca="1">IFERROR(__xludf.UNSUPPORTED("""COMPUTED_VALUE"""),"🚛 LIBERADO")</f>
        <v>🚛 LIBERADO</v>
      </c>
      <c r="F1718" s="5">
        <f ca="1">IFERROR(__xludf.UNSUPPORTED("""COMPUTED_VALUE"""),0.25)</f>
        <v>0.25</v>
      </c>
      <c r="G1718" s="3" t="str">
        <f ca="1">IFERROR(__xludf.UNSUPPORTED("""COMPUTED_VALUE"""),"Regular")</f>
        <v>Regular</v>
      </c>
      <c r="H1718" s="4">
        <f ca="1">IFERROR(__xludf.UNSUPPORTED("""COMPUTED_VALUE"""),45311.5443055555)</f>
        <v>45311.544305555501</v>
      </c>
      <c r="I1718" s="3">
        <f ca="1">IFERROR(__xludf.UNSUPPORTED("""COMPUTED_VALUE"""),6)</f>
        <v>6</v>
      </c>
      <c r="J1718" s="4">
        <f ca="1">IFERROR(__xludf.UNSUPPORTED("""COMPUTED_VALUE"""),45311.7943055555)</f>
        <v>45311.794305555501</v>
      </c>
      <c r="K1718" s="3" t="str">
        <f ca="1">IFERROR(__xludf.UNSUPPORTED("""COMPUTED_VALUE"""),"Porto do Recife")</f>
        <v>Porto do Recife</v>
      </c>
      <c r="L1718" s="3" t="str">
        <f ca="1">IFERROR(__xludf.UNSUPPORTED("""COMPUTED_VALUE"""),"Crítico")</f>
        <v>Crítico</v>
      </c>
    </row>
    <row r="1719" spans="1:12" ht="12.75">
      <c r="A1719" s="3" t="str">
        <f ca="1">IFERROR(__xludf.UNSUPPORTED("""COMPUTED_VALUE"""),"da1fc260")</f>
        <v>da1fc260</v>
      </c>
      <c r="B1719" s="4">
        <f ca="1">IFERROR(__xludf.UNSUPPORTED("""COMPUTED_VALUE"""),45312.7714351851)</f>
        <v>45312.771435185103</v>
      </c>
      <c r="C1719" s="8" t="str">
        <f ca="1">IFERROR(__xludf.UNSUPPORTED("""COMPUTED_VALUE"""),"Recife")</f>
        <v>Recife</v>
      </c>
      <c r="D1719" s="3" t="str">
        <f ca="1">IFERROR(__xludf.UNSUPPORTED("""COMPUTED_VALUE"""),"🚢 REGULAR")</f>
        <v>🚢 REGULAR</v>
      </c>
      <c r="E1719" s="3" t="str">
        <f ca="1">IFERROR(__xludf.UNSUPPORTED("""COMPUTED_VALUE"""),"🚛 LIBERADO")</f>
        <v>🚛 LIBERADO</v>
      </c>
      <c r="F1719" s="5">
        <f ca="1">IFERROR(__xludf.UNSUPPORTED("""COMPUTED_VALUE"""),0.25)</f>
        <v>0.25</v>
      </c>
      <c r="G1719" s="3" t="str">
        <f ca="1">IFERROR(__xludf.UNSUPPORTED("""COMPUTED_VALUE"""),"Regular")</f>
        <v>Regular</v>
      </c>
      <c r="H1719" s="4">
        <f ca="1">IFERROR(__xludf.UNSUPPORTED("""COMPUTED_VALUE"""),45312.7714351851)</f>
        <v>45312.771435185103</v>
      </c>
      <c r="I1719" s="3">
        <f ca="1">IFERROR(__xludf.UNSUPPORTED("""COMPUTED_VALUE"""),6)</f>
        <v>6</v>
      </c>
      <c r="J1719" s="4">
        <f ca="1">IFERROR(__xludf.UNSUPPORTED("""COMPUTED_VALUE"""),45313.0214351851)</f>
        <v>45313.021435185103</v>
      </c>
      <c r="K1719" s="3" t="str">
        <f ca="1">IFERROR(__xludf.UNSUPPORTED("""COMPUTED_VALUE"""),"Porto do Recife")</f>
        <v>Porto do Recife</v>
      </c>
      <c r="L1719" s="3" t="str">
        <f ca="1">IFERROR(__xludf.UNSUPPORTED("""COMPUTED_VALUE"""),"Crítico")</f>
        <v>Crítico</v>
      </c>
    </row>
    <row r="1720" spans="1:12" ht="12.75">
      <c r="A1720" s="3" t="str">
        <f ca="1">IFERROR(__xludf.UNSUPPORTED("""COMPUTED_VALUE"""),"b8826d4d")</f>
        <v>b8826d4d</v>
      </c>
      <c r="B1720" s="4">
        <f ca="1">IFERROR(__xludf.UNSUPPORTED("""COMPUTED_VALUE"""),45313.7140046296)</f>
        <v>45313.714004629597</v>
      </c>
      <c r="C1720" s="8" t="str">
        <f ca="1">IFERROR(__xludf.UNSUPPORTED("""COMPUTED_VALUE"""),"Recife")</f>
        <v>Recife</v>
      </c>
      <c r="D1720" s="3" t="str">
        <f ca="1">IFERROR(__xludf.UNSUPPORTED("""COMPUTED_VALUE"""),"🚢 REGULAR")</f>
        <v>🚢 REGULAR</v>
      </c>
      <c r="E1720" s="3" t="str">
        <f ca="1">IFERROR(__xludf.UNSUPPORTED("""COMPUTED_VALUE"""),"🚛 LIBERADO")</f>
        <v>🚛 LIBERADO</v>
      </c>
      <c r="F1720" s="5">
        <f ca="1">IFERROR(__xludf.UNSUPPORTED("""COMPUTED_VALUE"""),0.25)</f>
        <v>0.25</v>
      </c>
      <c r="G1720" s="3" t="str">
        <f ca="1">IFERROR(__xludf.UNSUPPORTED("""COMPUTED_VALUE"""),"Regular")</f>
        <v>Regular</v>
      </c>
      <c r="H1720" s="4">
        <f ca="1">IFERROR(__xludf.UNSUPPORTED("""COMPUTED_VALUE"""),45313.7140046296)</f>
        <v>45313.714004629597</v>
      </c>
      <c r="I1720" s="3">
        <f ca="1">IFERROR(__xludf.UNSUPPORTED("""COMPUTED_VALUE"""),6)</f>
        <v>6</v>
      </c>
      <c r="J1720" s="4">
        <f ca="1">IFERROR(__xludf.UNSUPPORTED("""COMPUTED_VALUE"""),45313.9640046296)</f>
        <v>45313.964004629597</v>
      </c>
      <c r="K1720" s="3" t="str">
        <f ca="1">IFERROR(__xludf.UNSUPPORTED("""COMPUTED_VALUE"""),"Porto do Recife")</f>
        <v>Porto do Recife</v>
      </c>
      <c r="L1720" s="3" t="str">
        <f ca="1">IFERROR(__xludf.UNSUPPORTED("""COMPUTED_VALUE"""),"Crítico")</f>
        <v>Crítico</v>
      </c>
    </row>
    <row r="1721" spans="1:12" ht="12.75">
      <c r="A1721" s="3" t="str">
        <f ca="1">IFERROR(__xludf.UNSUPPORTED("""COMPUTED_VALUE"""),"8a8484cc")</f>
        <v>8a8484cc</v>
      </c>
      <c r="B1721" s="4">
        <f ca="1">IFERROR(__xludf.UNSUPPORTED("""COMPUTED_VALUE"""),45314.4857754629)</f>
        <v>45314.485775462897</v>
      </c>
      <c r="C1721" s="8" t="str">
        <f ca="1">IFERROR(__xludf.UNSUPPORTED("""COMPUTED_VALUE"""),"Recife")</f>
        <v>Recife</v>
      </c>
      <c r="D1721" s="3" t="str">
        <f ca="1">IFERROR(__xludf.UNSUPPORTED("""COMPUTED_VALUE"""),"🚢 REGULAR")</f>
        <v>🚢 REGULAR</v>
      </c>
      <c r="E1721" s="3" t="str">
        <f ca="1">IFERROR(__xludf.UNSUPPORTED("""COMPUTED_VALUE"""),"🚛 LIBERADO")</f>
        <v>🚛 LIBERADO</v>
      </c>
      <c r="F1721" s="5">
        <f ca="1">IFERROR(__xludf.UNSUPPORTED("""COMPUTED_VALUE"""),0.25)</f>
        <v>0.25</v>
      </c>
      <c r="G1721" s="3" t="str">
        <f ca="1">IFERROR(__xludf.UNSUPPORTED("""COMPUTED_VALUE"""),"Regular")</f>
        <v>Regular</v>
      </c>
      <c r="H1721" s="4">
        <f ca="1">IFERROR(__xludf.UNSUPPORTED("""COMPUTED_VALUE"""),45314.4857754629)</f>
        <v>45314.485775462897</v>
      </c>
      <c r="I1721" s="3">
        <f ca="1">IFERROR(__xludf.UNSUPPORTED("""COMPUTED_VALUE"""),6)</f>
        <v>6</v>
      </c>
      <c r="J1721" s="4">
        <f ca="1">IFERROR(__xludf.UNSUPPORTED("""COMPUTED_VALUE"""),45314.7357754629)</f>
        <v>45314.735775462897</v>
      </c>
      <c r="K1721" s="3" t="str">
        <f ca="1">IFERROR(__xludf.UNSUPPORTED("""COMPUTED_VALUE"""),"Porto do Recife")</f>
        <v>Porto do Recife</v>
      </c>
      <c r="L1721" s="3" t="str">
        <f ca="1">IFERROR(__xludf.UNSUPPORTED("""COMPUTED_VALUE"""),"Crítico")</f>
        <v>Crítico</v>
      </c>
    </row>
    <row r="1722" spans="1:12" ht="12.75">
      <c r="A1722" s="3" t="str">
        <f ca="1">IFERROR(__xludf.UNSUPPORTED("""COMPUTED_VALUE"""),"ad8712f3")</f>
        <v>ad8712f3</v>
      </c>
      <c r="B1722" s="4">
        <f ca="1">IFERROR(__xludf.UNSUPPORTED("""COMPUTED_VALUE"""),45315.4376504629)</f>
        <v>45315.437650462904</v>
      </c>
      <c r="C1722" s="7" t="str">
        <f ca="1">IFERROR(__xludf.UNSUPPORTED("""COMPUTED_VALUE"""),"Recife")</f>
        <v>Recife</v>
      </c>
      <c r="D1722" s="3" t="str">
        <f ca="1">IFERROR(__xludf.UNSUPPORTED("""COMPUTED_VALUE"""),"🚢 REGULAR")</f>
        <v>🚢 REGULAR</v>
      </c>
      <c r="E1722" s="3" t="str">
        <f ca="1">IFERROR(__xludf.UNSUPPORTED("""COMPUTED_VALUE"""),"🚛 LIBERADO")</f>
        <v>🚛 LIBERADO</v>
      </c>
      <c r="F1722" s="5">
        <f ca="1">IFERROR(__xludf.UNSUPPORTED("""COMPUTED_VALUE"""),0.25)</f>
        <v>0.25</v>
      </c>
      <c r="G1722" s="3" t="str">
        <f ca="1">IFERROR(__xludf.UNSUPPORTED("""COMPUTED_VALUE"""),"Regular")</f>
        <v>Regular</v>
      </c>
      <c r="H1722" s="4">
        <f ca="1">IFERROR(__xludf.UNSUPPORTED("""COMPUTED_VALUE"""),45315.4376504629)</f>
        <v>45315.437650462904</v>
      </c>
      <c r="I1722" s="3">
        <f ca="1">IFERROR(__xludf.UNSUPPORTED("""COMPUTED_VALUE"""),6)</f>
        <v>6</v>
      </c>
      <c r="J1722" s="4">
        <f ca="1">IFERROR(__xludf.UNSUPPORTED("""COMPUTED_VALUE"""),45315.6876504629)</f>
        <v>45315.687650462904</v>
      </c>
      <c r="K1722" s="3" t="str">
        <f ca="1">IFERROR(__xludf.UNSUPPORTED("""COMPUTED_VALUE"""),"Porto do Recife")</f>
        <v>Porto do Recife</v>
      </c>
      <c r="L1722" s="3" t="str">
        <f ca="1">IFERROR(__xludf.UNSUPPORTED("""COMPUTED_VALUE"""),"Crítico")</f>
        <v>Crítico</v>
      </c>
    </row>
    <row r="1723" spans="1:12" ht="12.75">
      <c r="A1723" s="3" t="str">
        <f ca="1">IFERROR(__xludf.UNSUPPORTED("""COMPUTED_VALUE"""),"9d037083")</f>
        <v>9d037083</v>
      </c>
      <c r="B1723" s="4">
        <f ca="1">IFERROR(__xludf.UNSUPPORTED("""COMPUTED_VALUE"""),45316.4387037037)</f>
        <v>45316.438703703701</v>
      </c>
      <c r="C1723" s="8" t="str">
        <f ca="1">IFERROR(__xludf.UNSUPPORTED("""COMPUTED_VALUE"""),"Recife")</f>
        <v>Recife</v>
      </c>
      <c r="D1723" s="3" t="str">
        <f ca="1">IFERROR(__xludf.UNSUPPORTED("""COMPUTED_VALUE"""),"🚢 REGULAR")</f>
        <v>🚢 REGULAR</v>
      </c>
      <c r="E1723" s="3" t="str">
        <f ca="1">IFERROR(__xludf.UNSUPPORTED("""COMPUTED_VALUE"""),"🚛 LIBERADO")</f>
        <v>🚛 LIBERADO</v>
      </c>
      <c r="F1723" s="5">
        <f ca="1">IFERROR(__xludf.UNSUPPORTED("""COMPUTED_VALUE"""),0.25)</f>
        <v>0.25</v>
      </c>
      <c r="G1723" s="3" t="str">
        <f ca="1">IFERROR(__xludf.UNSUPPORTED("""COMPUTED_VALUE"""),"Regular")</f>
        <v>Regular</v>
      </c>
      <c r="H1723" s="4">
        <f ca="1">IFERROR(__xludf.UNSUPPORTED("""COMPUTED_VALUE"""),45316.4387037037)</f>
        <v>45316.438703703701</v>
      </c>
      <c r="I1723" s="3">
        <f ca="1">IFERROR(__xludf.UNSUPPORTED("""COMPUTED_VALUE"""),6)</f>
        <v>6</v>
      </c>
      <c r="J1723" s="4">
        <f ca="1">IFERROR(__xludf.UNSUPPORTED("""COMPUTED_VALUE"""),45316.6887037037)</f>
        <v>45316.688703703701</v>
      </c>
      <c r="K1723" s="3" t="str">
        <f ca="1">IFERROR(__xludf.UNSUPPORTED("""COMPUTED_VALUE"""),"Porto do Recife")</f>
        <v>Porto do Recife</v>
      </c>
      <c r="L1723" s="3" t="str">
        <f ca="1">IFERROR(__xludf.UNSUPPORTED("""COMPUTED_VALUE"""),"Crítico")</f>
        <v>Crítico</v>
      </c>
    </row>
    <row r="1724" spans="1:12" ht="12.75">
      <c r="A1724" s="3" t="str">
        <f ca="1">IFERROR(__xludf.UNSUPPORTED("""COMPUTED_VALUE"""),"5baee2a3")</f>
        <v>5baee2a3</v>
      </c>
      <c r="B1724" s="4">
        <f ca="1">IFERROR(__xludf.UNSUPPORTED("""COMPUTED_VALUE"""),45317.3478356481)</f>
        <v>45317.347835648099</v>
      </c>
      <c r="C1724" s="7" t="str">
        <f ca="1">IFERROR(__xludf.UNSUPPORTED("""COMPUTED_VALUE"""),"Recife")</f>
        <v>Recife</v>
      </c>
      <c r="D1724" s="3" t="str">
        <f ca="1">IFERROR(__xludf.UNSUPPORTED("""COMPUTED_VALUE"""),"🚢 REGULAR")</f>
        <v>🚢 REGULAR</v>
      </c>
      <c r="E1724" s="3" t="str">
        <f ca="1">IFERROR(__xludf.UNSUPPORTED("""COMPUTED_VALUE"""),"🚛 LIBERADO")</f>
        <v>🚛 LIBERADO</v>
      </c>
      <c r="F1724" s="5">
        <f ca="1">IFERROR(__xludf.UNSUPPORTED("""COMPUTED_VALUE"""),0.25)</f>
        <v>0.25</v>
      </c>
      <c r="G1724" s="3" t="str">
        <f ca="1">IFERROR(__xludf.UNSUPPORTED("""COMPUTED_VALUE"""),"Regular")</f>
        <v>Regular</v>
      </c>
      <c r="H1724" s="4">
        <f ca="1">IFERROR(__xludf.UNSUPPORTED("""COMPUTED_VALUE"""),45317.3478356481)</f>
        <v>45317.347835648099</v>
      </c>
      <c r="I1724" s="3">
        <f ca="1">IFERROR(__xludf.UNSUPPORTED("""COMPUTED_VALUE"""),6)</f>
        <v>6</v>
      </c>
      <c r="J1724" s="4">
        <f ca="1">IFERROR(__xludf.UNSUPPORTED("""COMPUTED_VALUE"""),45317.5978356481)</f>
        <v>45317.597835648099</v>
      </c>
      <c r="K1724" s="3" t="str">
        <f ca="1">IFERROR(__xludf.UNSUPPORTED("""COMPUTED_VALUE"""),"Porto do Recife")</f>
        <v>Porto do Recife</v>
      </c>
      <c r="L1724" s="3" t="str">
        <f ca="1">IFERROR(__xludf.UNSUPPORTED("""COMPUTED_VALUE"""),"Crítico")</f>
        <v>Crítico</v>
      </c>
    </row>
    <row r="1725" spans="1:12" ht="12.75">
      <c r="A1725" s="3" t="str">
        <f ca="1">IFERROR(__xludf.UNSUPPORTED("""COMPUTED_VALUE"""),"cca8892d")</f>
        <v>cca8892d</v>
      </c>
      <c r="B1725" s="4">
        <f ca="1">IFERROR(__xludf.UNSUPPORTED("""COMPUTED_VALUE"""),45318.2899421296)</f>
        <v>45318.289942129602</v>
      </c>
      <c r="C1725" s="8" t="str">
        <f ca="1">IFERROR(__xludf.UNSUPPORTED("""COMPUTED_VALUE"""),"Recife")</f>
        <v>Recife</v>
      </c>
      <c r="D1725" s="3" t="str">
        <f ca="1">IFERROR(__xludf.UNSUPPORTED("""COMPUTED_VALUE"""),"🚢 REGULAR")</f>
        <v>🚢 REGULAR</v>
      </c>
      <c r="E1725" s="3" t="str">
        <f ca="1">IFERROR(__xludf.UNSUPPORTED("""COMPUTED_VALUE"""),"🚛 LIBERADO")</f>
        <v>🚛 LIBERADO</v>
      </c>
      <c r="F1725" s="5">
        <f ca="1">IFERROR(__xludf.UNSUPPORTED("""COMPUTED_VALUE"""),0.25)</f>
        <v>0.25</v>
      </c>
      <c r="G1725" s="3" t="str">
        <f ca="1">IFERROR(__xludf.UNSUPPORTED("""COMPUTED_VALUE"""),"Regular")</f>
        <v>Regular</v>
      </c>
      <c r="H1725" s="4">
        <f ca="1">IFERROR(__xludf.UNSUPPORTED("""COMPUTED_VALUE"""),45318.2899421296)</f>
        <v>45318.289942129602</v>
      </c>
      <c r="I1725" s="3">
        <f ca="1">IFERROR(__xludf.UNSUPPORTED("""COMPUTED_VALUE"""),6)</f>
        <v>6</v>
      </c>
      <c r="J1725" s="4">
        <f ca="1">IFERROR(__xludf.UNSUPPORTED("""COMPUTED_VALUE"""),45318.5399421296)</f>
        <v>45318.539942129602</v>
      </c>
      <c r="K1725" s="3" t="str">
        <f ca="1">IFERROR(__xludf.UNSUPPORTED("""COMPUTED_VALUE"""),"Porto do Recife")</f>
        <v>Porto do Recife</v>
      </c>
      <c r="L1725" s="3" t="str">
        <f ca="1">IFERROR(__xludf.UNSUPPORTED("""COMPUTED_VALUE"""),"Crítico")</f>
        <v>Crítico</v>
      </c>
    </row>
    <row r="1726" spans="1:12" ht="12.75">
      <c r="A1726" s="3" t="str">
        <f ca="1">IFERROR(__xludf.UNSUPPORTED("""COMPUTED_VALUE"""),"dd79ea8a")</f>
        <v>dd79ea8a</v>
      </c>
      <c r="B1726" s="4">
        <f ca="1">IFERROR(__xludf.UNSUPPORTED("""COMPUTED_VALUE"""),45319.4977199074)</f>
        <v>45319.497719907398</v>
      </c>
      <c r="C1726" s="7" t="str">
        <f ca="1">IFERROR(__xludf.UNSUPPORTED("""COMPUTED_VALUE"""),"Recife")</f>
        <v>Recife</v>
      </c>
      <c r="D1726" s="3" t="str">
        <f ca="1">IFERROR(__xludf.UNSUPPORTED("""COMPUTED_VALUE"""),"🚢 REGULAR")</f>
        <v>🚢 REGULAR</v>
      </c>
      <c r="E1726" s="3" t="str">
        <f ca="1">IFERROR(__xludf.UNSUPPORTED("""COMPUTED_VALUE"""),"🚛 LIBERADO")</f>
        <v>🚛 LIBERADO</v>
      </c>
      <c r="F1726" s="5">
        <f ca="1">IFERROR(__xludf.UNSUPPORTED("""COMPUTED_VALUE"""),0.25)</f>
        <v>0.25</v>
      </c>
      <c r="G1726" s="3" t="str">
        <f ca="1">IFERROR(__xludf.UNSUPPORTED("""COMPUTED_VALUE"""),"Regular")</f>
        <v>Regular</v>
      </c>
      <c r="H1726" s="4">
        <f ca="1">IFERROR(__xludf.UNSUPPORTED("""COMPUTED_VALUE"""),45319.4977199074)</f>
        <v>45319.497719907398</v>
      </c>
      <c r="I1726" s="3">
        <f ca="1">IFERROR(__xludf.UNSUPPORTED("""COMPUTED_VALUE"""),6)</f>
        <v>6</v>
      </c>
      <c r="J1726" s="4">
        <f ca="1">IFERROR(__xludf.UNSUPPORTED("""COMPUTED_VALUE"""),45319.7477199074)</f>
        <v>45319.747719907398</v>
      </c>
      <c r="K1726" s="3" t="str">
        <f ca="1">IFERROR(__xludf.UNSUPPORTED("""COMPUTED_VALUE"""),"Porto do Recife")</f>
        <v>Porto do Recife</v>
      </c>
      <c r="L1726" s="3" t="str">
        <f ca="1">IFERROR(__xludf.UNSUPPORTED("""COMPUTED_VALUE"""),"Crítico")</f>
        <v>Crítico</v>
      </c>
    </row>
    <row r="1727" spans="1:12" ht="12.75">
      <c r="A1727" s="3" t="str">
        <f ca="1">IFERROR(__xludf.UNSUPPORTED("""COMPUTED_VALUE"""),"3e8cc89f")</f>
        <v>3e8cc89f</v>
      </c>
      <c r="B1727" s="4">
        <f ca="1">IFERROR(__xludf.UNSUPPORTED("""COMPUTED_VALUE"""),45320.4237037037)</f>
        <v>45320.423703703702</v>
      </c>
      <c r="C1727" s="8" t="str">
        <f ca="1">IFERROR(__xludf.UNSUPPORTED("""COMPUTED_VALUE"""),"Recife")</f>
        <v>Recife</v>
      </c>
      <c r="D1727" s="3" t="str">
        <f ca="1">IFERROR(__xludf.UNSUPPORTED("""COMPUTED_VALUE"""),"🚢 REGULAR")</f>
        <v>🚢 REGULAR</v>
      </c>
      <c r="E1727" s="3" t="str">
        <f ca="1">IFERROR(__xludf.UNSUPPORTED("""COMPUTED_VALUE"""),"🚛 LIBERADO")</f>
        <v>🚛 LIBERADO</v>
      </c>
      <c r="F1727" s="5">
        <f ca="1">IFERROR(__xludf.UNSUPPORTED("""COMPUTED_VALUE"""),0.25)</f>
        <v>0.25</v>
      </c>
      <c r="G1727" s="3" t="str">
        <f ca="1">IFERROR(__xludf.UNSUPPORTED("""COMPUTED_VALUE"""),"Regular")</f>
        <v>Regular</v>
      </c>
      <c r="H1727" s="4">
        <f ca="1">IFERROR(__xludf.UNSUPPORTED("""COMPUTED_VALUE"""),45320.4237037037)</f>
        <v>45320.423703703702</v>
      </c>
      <c r="I1727" s="3">
        <f ca="1">IFERROR(__xludf.UNSUPPORTED("""COMPUTED_VALUE"""),6)</f>
        <v>6</v>
      </c>
      <c r="J1727" s="4">
        <f ca="1">IFERROR(__xludf.UNSUPPORTED("""COMPUTED_VALUE"""),45320.6737037037)</f>
        <v>45320.673703703702</v>
      </c>
      <c r="K1727" s="3" t="str">
        <f ca="1">IFERROR(__xludf.UNSUPPORTED("""COMPUTED_VALUE"""),"Porto do Recife")</f>
        <v>Porto do Recife</v>
      </c>
      <c r="L1727" s="3" t="str">
        <f ca="1">IFERROR(__xludf.UNSUPPORTED("""COMPUTED_VALUE"""),"Crítico")</f>
        <v>Crítico</v>
      </c>
    </row>
    <row r="1728" spans="1:12" ht="12.75">
      <c r="A1728" s="3" t="str">
        <f ca="1">IFERROR(__xludf.UNSUPPORTED("""COMPUTED_VALUE"""),"ec6cc0e3")</f>
        <v>ec6cc0e3</v>
      </c>
      <c r="B1728" s="4">
        <f ca="1">IFERROR(__xludf.UNSUPPORTED("""COMPUTED_VALUE"""),45321.438912037)</f>
        <v>45321.438912037003</v>
      </c>
      <c r="C1728" s="7" t="str">
        <f ca="1">IFERROR(__xludf.UNSUPPORTED("""COMPUTED_VALUE"""),"Recife")</f>
        <v>Recife</v>
      </c>
      <c r="D1728" s="3" t="str">
        <f ca="1">IFERROR(__xludf.UNSUPPORTED("""COMPUTED_VALUE"""),"🚢 REGULAR")</f>
        <v>🚢 REGULAR</v>
      </c>
      <c r="E1728" s="3" t="str">
        <f ca="1">IFERROR(__xludf.UNSUPPORTED("""COMPUTED_VALUE"""),"🚛 LIBERADO")</f>
        <v>🚛 LIBERADO</v>
      </c>
      <c r="F1728" s="5">
        <f ca="1">IFERROR(__xludf.UNSUPPORTED("""COMPUTED_VALUE"""),0.25)</f>
        <v>0.25</v>
      </c>
      <c r="G1728" s="3" t="str">
        <f ca="1">IFERROR(__xludf.UNSUPPORTED("""COMPUTED_VALUE"""),"Regular")</f>
        <v>Regular</v>
      </c>
      <c r="H1728" s="4">
        <f ca="1">IFERROR(__xludf.UNSUPPORTED("""COMPUTED_VALUE"""),45321.438912037)</f>
        <v>45321.438912037003</v>
      </c>
      <c r="I1728" s="3">
        <f ca="1">IFERROR(__xludf.UNSUPPORTED("""COMPUTED_VALUE"""),6)</f>
        <v>6</v>
      </c>
      <c r="J1728" s="4">
        <f ca="1">IFERROR(__xludf.UNSUPPORTED("""COMPUTED_VALUE"""),45321.688912037)</f>
        <v>45321.688912037003</v>
      </c>
      <c r="K1728" s="3" t="str">
        <f ca="1">IFERROR(__xludf.UNSUPPORTED("""COMPUTED_VALUE"""),"Porto do Recife")</f>
        <v>Porto do Recife</v>
      </c>
      <c r="L1728" s="3" t="str">
        <f ca="1">IFERROR(__xludf.UNSUPPORTED("""COMPUTED_VALUE"""),"Crítico")</f>
        <v>Crítico</v>
      </c>
    </row>
    <row r="1729" spans="1:12" ht="12.75">
      <c r="A1729" s="3" t="str">
        <f ca="1">IFERROR(__xludf.UNSUPPORTED("""COMPUTED_VALUE"""),"57e465e1")</f>
        <v>57e465e1</v>
      </c>
      <c r="B1729" s="4">
        <f ca="1">IFERROR(__xludf.UNSUPPORTED("""COMPUTED_VALUE"""),45322.4706712962)</f>
        <v>45322.4706712962</v>
      </c>
      <c r="C1729" s="8" t="str">
        <f ca="1">IFERROR(__xludf.UNSUPPORTED("""COMPUTED_VALUE"""),"Recife")</f>
        <v>Recife</v>
      </c>
      <c r="D1729" s="3" t="str">
        <f ca="1">IFERROR(__xludf.UNSUPPORTED("""COMPUTED_VALUE"""),"🚢 REGULAR")</f>
        <v>🚢 REGULAR</v>
      </c>
      <c r="E1729" s="3" t="str">
        <f ca="1">IFERROR(__xludf.UNSUPPORTED("""COMPUTED_VALUE"""),"🚛 LIBERADO")</f>
        <v>🚛 LIBERADO</v>
      </c>
      <c r="F1729" s="5">
        <f ca="1">IFERROR(__xludf.UNSUPPORTED("""COMPUTED_VALUE"""),0.25)</f>
        <v>0.25</v>
      </c>
      <c r="G1729" s="3" t="str">
        <f ca="1">IFERROR(__xludf.UNSUPPORTED("""COMPUTED_VALUE"""),"Regular")</f>
        <v>Regular</v>
      </c>
      <c r="H1729" s="4">
        <f ca="1">IFERROR(__xludf.UNSUPPORTED("""COMPUTED_VALUE"""),45322.4706712962)</f>
        <v>45322.4706712962</v>
      </c>
      <c r="I1729" s="3">
        <f ca="1">IFERROR(__xludf.UNSUPPORTED("""COMPUTED_VALUE"""),6)</f>
        <v>6</v>
      </c>
      <c r="J1729" s="4">
        <f ca="1">IFERROR(__xludf.UNSUPPORTED("""COMPUTED_VALUE"""),45322.7206712962)</f>
        <v>45322.7206712962</v>
      </c>
      <c r="K1729" s="3" t="str">
        <f ca="1">IFERROR(__xludf.UNSUPPORTED("""COMPUTED_VALUE"""),"Porto do Recife")</f>
        <v>Porto do Recife</v>
      </c>
      <c r="L1729" s="3" t="str">
        <f ca="1">IFERROR(__xludf.UNSUPPORTED("""COMPUTED_VALUE"""),"Crítico")</f>
        <v>Crítico</v>
      </c>
    </row>
    <row r="1730" spans="1:12" ht="12.75">
      <c r="A1730" s="3" t="str">
        <f ca="1">IFERROR(__xludf.UNSUPPORTED("""COMPUTED_VALUE"""),"fc635eb6")</f>
        <v>fc635eb6</v>
      </c>
      <c r="B1730" s="4">
        <f ca="1">IFERROR(__xludf.UNSUPPORTED("""COMPUTED_VALUE"""),45323.3964583333)</f>
        <v>45323.3964583333</v>
      </c>
      <c r="C1730" s="7" t="str">
        <f ca="1">IFERROR(__xludf.UNSUPPORTED("""COMPUTED_VALUE"""),"Recife")</f>
        <v>Recife</v>
      </c>
      <c r="D1730" s="3" t="str">
        <f ca="1">IFERROR(__xludf.UNSUPPORTED("""COMPUTED_VALUE"""),"🚢 REGULAR")</f>
        <v>🚢 REGULAR</v>
      </c>
      <c r="E1730" s="3" t="str">
        <f ca="1">IFERROR(__xludf.UNSUPPORTED("""COMPUTED_VALUE"""),"🚛 LIBERADO")</f>
        <v>🚛 LIBERADO</v>
      </c>
      <c r="F1730" s="5">
        <f ca="1">IFERROR(__xludf.UNSUPPORTED("""COMPUTED_VALUE"""),0)</f>
        <v>0</v>
      </c>
      <c r="G1730" s="3" t="str">
        <f ca="1">IFERROR(__xludf.UNSUPPORTED("""COMPUTED_VALUE"""),"Normalidade")</f>
        <v>Normalidade</v>
      </c>
      <c r="H1730" s="4">
        <f ca="1">IFERROR(__xludf.UNSUPPORTED("""COMPUTED_VALUE"""),45323.3964583333)</f>
        <v>45323.3964583333</v>
      </c>
      <c r="I1730" s="3">
        <f ca="1">IFERROR(__xludf.UNSUPPORTED("""COMPUTED_VALUE"""),24)</f>
        <v>24</v>
      </c>
      <c r="J1730" s="4">
        <f ca="1">IFERROR(__xludf.UNSUPPORTED("""COMPUTED_VALUE"""),45324.3964583333)</f>
        <v>45324.3964583333</v>
      </c>
    </row>
    <row r="1731" spans="1:12" ht="12.75">
      <c r="A1731" s="3" t="str">
        <f ca="1">IFERROR(__xludf.UNSUPPORTED("""COMPUTED_VALUE"""),"d5aa28ab")</f>
        <v>d5aa28ab</v>
      </c>
      <c r="B1731" s="4">
        <f ca="1">IFERROR(__xludf.UNSUPPORTED("""COMPUTED_VALUE"""),45324.3782291666)</f>
        <v>45324.378229166599</v>
      </c>
      <c r="C1731" s="8" t="str">
        <f ca="1">IFERROR(__xludf.UNSUPPORTED("""COMPUTED_VALUE"""),"Recife")</f>
        <v>Recife</v>
      </c>
      <c r="D1731" s="3" t="str">
        <f ca="1">IFERROR(__xludf.UNSUPPORTED("""COMPUTED_VALUE"""),"🚢 REGULAR")</f>
        <v>🚢 REGULAR</v>
      </c>
      <c r="E1731" s="3" t="str">
        <f ca="1">IFERROR(__xludf.UNSUPPORTED("""COMPUTED_VALUE"""),"🚛 LIBERADO")</f>
        <v>🚛 LIBERADO</v>
      </c>
      <c r="F1731" s="5">
        <f ca="1">IFERROR(__xludf.UNSUPPORTED("""COMPUTED_VALUE"""),0)</f>
        <v>0</v>
      </c>
      <c r="G1731" s="3" t="str">
        <f ca="1">IFERROR(__xludf.UNSUPPORTED("""COMPUTED_VALUE"""),"Normalidade")</f>
        <v>Normalidade</v>
      </c>
      <c r="H1731" s="4">
        <f ca="1">IFERROR(__xludf.UNSUPPORTED("""COMPUTED_VALUE"""),45324.3782291666)</f>
        <v>45324.378229166599</v>
      </c>
      <c r="I1731" s="3">
        <f ca="1">IFERROR(__xludf.UNSUPPORTED("""COMPUTED_VALUE"""),24)</f>
        <v>24</v>
      </c>
      <c r="J1731" s="4">
        <f ca="1">IFERROR(__xludf.UNSUPPORTED("""COMPUTED_VALUE"""),45325.3782291666)</f>
        <v>45325.378229166599</v>
      </c>
    </row>
    <row r="1732" spans="1:12" ht="12.75">
      <c r="A1732" s="3" t="str">
        <f ca="1">IFERROR(__xludf.UNSUPPORTED("""COMPUTED_VALUE"""),"8e08fa06")</f>
        <v>8e08fa06</v>
      </c>
      <c r="B1732" s="4">
        <f ca="1">IFERROR(__xludf.UNSUPPORTED("""COMPUTED_VALUE"""),45327.3389583333)</f>
        <v>45327.338958333297</v>
      </c>
      <c r="C1732" s="7" t="str">
        <f ca="1">IFERROR(__xludf.UNSUPPORTED("""COMPUTED_VALUE"""),"Recife")</f>
        <v>Recife</v>
      </c>
      <c r="D1732" s="3" t="str">
        <f ca="1">IFERROR(__xludf.UNSUPPORTED("""COMPUTED_VALUE"""),"🚢 REGULAR")</f>
        <v>🚢 REGULAR</v>
      </c>
      <c r="E1732" s="3" t="str">
        <f ca="1">IFERROR(__xludf.UNSUPPORTED("""COMPUTED_VALUE"""),"🚛 LIBERADO")</f>
        <v>🚛 LIBERADO</v>
      </c>
      <c r="F1732" s="5">
        <f ca="1">IFERROR(__xludf.UNSUPPORTED("""COMPUTED_VALUE"""),0)</f>
        <v>0</v>
      </c>
      <c r="G1732" s="3" t="str">
        <f ca="1">IFERROR(__xludf.UNSUPPORTED("""COMPUTED_VALUE"""),"Normalidade")</f>
        <v>Normalidade</v>
      </c>
      <c r="H1732" s="4">
        <f ca="1">IFERROR(__xludf.UNSUPPORTED("""COMPUTED_VALUE"""),45327.3389583333)</f>
        <v>45327.338958333297</v>
      </c>
      <c r="I1732" s="3">
        <f ca="1">IFERROR(__xludf.UNSUPPORTED("""COMPUTED_VALUE"""),24)</f>
        <v>24</v>
      </c>
      <c r="J1732" s="4">
        <f ca="1">IFERROR(__xludf.UNSUPPORTED("""COMPUTED_VALUE"""),45328.3389583333)</f>
        <v>45328.338958333297</v>
      </c>
    </row>
    <row r="1733" spans="1:12" ht="12.75">
      <c r="A1733" s="3" t="str">
        <f ca="1">IFERROR(__xludf.UNSUPPORTED("""COMPUTED_VALUE"""),"1e6816de")</f>
        <v>1e6816de</v>
      </c>
      <c r="B1733" s="4">
        <f ca="1">IFERROR(__xludf.UNSUPPORTED("""COMPUTED_VALUE"""),45329.4020486111)</f>
        <v>45329.402048611097</v>
      </c>
      <c r="C1733" s="8" t="str">
        <f ca="1">IFERROR(__xludf.UNSUPPORTED("""COMPUTED_VALUE"""),"Recife")</f>
        <v>Recife</v>
      </c>
      <c r="D1733" s="3" t="str">
        <f ca="1">IFERROR(__xludf.UNSUPPORTED("""COMPUTED_VALUE"""),"🚢 REGULAR")</f>
        <v>🚢 REGULAR</v>
      </c>
      <c r="E1733" s="3" t="str">
        <f ca="1">IFERROR(__xludf.UNSUPPORTED("""COMPUTED_VALUE"""),"🚛 LIBERADO")</f>
        <v>🚛 LIBERADO</v>
      </c>
      <c r="F1733" s="5">
        <f ca="1">IFERROR(__xludf.UNSUPPORTED("""COMPUTED_VALUE"""),0)</f>
        <v>0</v>
      </c>
      <c r="G1733" s="3" t="str">
        <f ca="1">IFERROR(__xludf.UNSUPPORTED("""COMPUTED_VALUE"""),"Normalidade")</f>
        <v>Normalidade</v>
      </c>
      <c r="H1733" s="4">
        <f ca="1">IFERROR(__xludf.UNSUPPORTED("""COMPUTED_VALUE"""),45329.4020486111)</f>
        <v>45329.402048611097</v>
      </c>
      <c r="I1733" s="3">
        <f ca="1">IFERROR(__xludf.UNSUPPORTED("""COMPUTED_VALUE"""),24)</f>
        <v>24</v>
      </c>
      <c r="J1733" s="4">
        <f ca="1">IFERROR(__xludf.UNSUPPORTED("""COMPUTED_VALUE"""),45330.4020486111)</f>
        <v>45330.402048611097</v>
      </c>
    </row>
    <row r="1734" spans="1:12" ht="12.75">
      <c r="A1734" s="3" t="str">
        <f ca="1">IFERROR(__xludf.UNSUPPORTED("""COMPUTED_VALUE"""),"537973c3")</f>
        <v>537973c3</v>
      </c>
      <c r="B1734" s="4">
        <f ca="1">IFERROR(__xludf.UNSUPPORTED("""COMPUTED_VALUE"""),45331.4191203703)</f>
        <v>45331.419120370301</v>
      </c>
      <c r="C1734" s="8" t="str">
        <f ca="1">IFERROR(__xludf.UNSUPPORTED("""COMPUTED_VALUE"""),"Recife")</f>
        <v>Recife</v>
      </c>
      <c r="D1734" s="3" t="str">
        <f ca="1">IFERROR(__xludf.UNSUPPORTED("""COMPUTED_VALUE"""),"🚢 REGULAR")</f>
        <v>🚢 REGULAR</v>
      </c>
      <c r="E1734" s="3" t="str">
        <f ca="1">IFERROR(__xludf.UNSUPPORTED("""COMPUTED_VALUE"""),"🚛 LIBERADO")</f>
        <v>🚛 LIBERADO</v>
      </c>
      <c r="F1734" s="5">
        <f ca="1">IFERROR(__xludf.UNSUPPORTED("""COMPUTED_VALUE"""),0)</f>
        <v>0</v>
      </c>
      <c r="G1734" s="3" t="str">
        <f ca="1">IFERROR(__xludf.UNSUPPORTED("""COMPUTED_VALUE"""),"Normalidade")</f>
        <v>Normalidade</v>
      </c>
      <c r="H1734" s="4">
        <f ca="1">IFERROR(__xludf.UNSUPPORTED("""COMPUTED_VALUE"""),45331.4191203703)</f>
        <v>45331.419120370301</v>
      </c>
      <c r="I1734" s="3">
        <f ca="1">IFERROR(__xludf.UNSUPPORTED("""COMPUTED_VALUE"""),24)</f>
        <v>24</v>
      </c>
      <c r="J1734" s="4">
        <f ca="1">IFERROR(__xludf.UNSUPPORTED("""COMPUTED_VALUE"""),45332.4191203703)</f>
        <v>45332.419120370301</v>
      </c>
    </row>
    <row r="1735" spans="1:12" ht="12.75">
      <c r="A1735" s="3" t="str">
        <f ca="1">IFERROR(__xludf.UNSUPPORTED("""COMPUTED_VALUE"""),"0028ea61")</f>
        <v>0028ea61</v>
      </c>
      <c r="B1735" s="4">
        <f ca="1">IFERROR(__xludf.UNSUPPORTED("""COMPUTED_VALUE"""),45336.4567129629)</f>
        <v>45336.456712962899</v>
      </c>
      <c r="C1735" s="7" t="str">
        <f ca="1">IFERROR(__xludf.UNSUPPORTED("""COMPUTED_VALUE"""),"Recife")</f>
        <v>Recife</v>
      </c>
      <c r="D1735" s="3" t="str">
        <f ca="1">IFERROR(__xludf.UNSUPPORTED("""COMPUTED_VALUE"""),"🚢 REGULAR")</f>
        <v>🚢 REGULAR</v>
      </c>
      <c r="E1735" s="3" t="str">
        <f ca="1">IFERROR(__xludf.UNSUPPORTED("""COMPUTED_VALUE"""),"🚛 LIBERADO")</f>
        <v>🚛 LIBERADO</v>
      </c>
      <c r="F1735" s="5">
        <f ca="1">IFERROR(__xludf.UNSUPPORTED("""COMPUTED_VALUE"""),0)</f>
        <v>0</v>
      </c>
      <c r="G1735" s="3" t="str">
        <f ca="1">IFERROR(__xludf.UNSUPPORTED("""COMPUTED_VALUE"""),"Normalidade")</f>
        <v>Normalidade</v>
      </c>
      <c r="H1735" s="4">
        <f ca="1">IFERROR(__xludf.UNSUPPORTED("""COMPUTED_VALUE"""),45336.4567129629)</f>
        <v>45336.456712962899</v>
      </c>
      <c r="I1735" s="3">
        <f ca="1">IFERROR(__xludf.UNSUPPORTED("""COMPUTED_VALUE"""),24)</f>
        <v>24</v>
      </c>
      <c r="J1735" s="4">
        <f ca="1">IFERROR(__xludf.UNSUPPORTED("""COMPUTED_VALUE"""),45337.4567129629)</f>
        <v>45337.456712962899</v>
      </c>
    </row>
    <row r="1736" spans="1:12" ht="12.75">
      <c r="A1736" s="3" t="str">
        <f ca="1">IFERROR(__xludf.UNSUPPORTED("""COMPUTED_VALUE"""),"9983b538")</f>
        <v>9983b538</v>
      </c>
      <c r="B1736" s="4">
        <f ca="1">IFERROR(__xludf.UNSUPPORTED("""COMPUTED_VALUE"""),45338.3364583333)</f>
        <v>45338.336458333302</v>
      </c>
      <c r="C1736" s="8" t="str">
        <f ca="1">IFERROR(__xludf.UNSUPPORTED("""COMPUTED_VALUE"""),"Recife")</f>
        <v>Recife</v>
      </c>
      <c r="D1736" s="3" t="str">
        <f ca="1">IFERROR(__xludf.UNSUPPORTED("""COMPUTED_VALUE"""),"🚢 REGULAR")</f>
        <v>🚢 REGULAR</v>
      </c>
      <c r="E1736" s="3" t="str">
        <f ca="1">IFERROR(__xludf.UNSUPPORTED("""COMPUTED_VALUE"""),"🚛 LIBERADO")</f>
        <v>🚛 LIBERADO</v>
      </c>
      <c r="F1736" s="5">
        <f ca="1">IFERROR(__xludf.UNSUPPORTED("""COMPUTED_VALUE"""),0.25)</f>
        <v>0.25</v>
      </c>
      <c r="G1736" s="3" t="str">
        <f ca="1">IFERROR(__xludf.UNSUPPORTED("""COMPUTED_VALUE"""),"Regular")</f>
        <v>Regular</v>
      </c>
      <c r="H1736" s="4">
        <f ca="1">IFERROR(__xludf.UNSUPPORTED("""COMPUTED_VALUE"""),45338.3364583333)</f>
        <v>45338.336458333302</v>
      </c>
      <c r="I1736" s="3">
        <f ca="1">IFERROR(__xludf.UNSUPPORTED("""COMPUTED_VALUE"""),6)</f>
        <v>6</v>
      </c>
      <c r="J1736" s="4">
        <f ca="1">IFERROR(__xludf.UNSUPPORTED("""COMPUTED_VALUE"""),45338.5864583333)</f>
        <v>45338.586458333302</v>
      </c>
      <c r="K1736" s="3" t="str">
        <f ca="1">IFERROR(__xludf.UNSUPPORTED("""COMPUTED_VALUE"""),"Porto do Recife")</f>
        <v>Porto do Recife</v>
      </c>
      <c r="L1736" s="3" t="str">
        <f ca="1">IFERROR(__xludf.UNSUPPORTED("""COMPUTED_VALUE"""),"Crítico")</f>
        <v>Crítico</v>
      </c>
    </row>
    <row r="1737" spans="1:12" ht="12.75">
      <c r="A1737" s="3" t="str">
        <f ca="1">IFERROR(__xludf.UNSUPPORTED("""COMPUTED_VALUE"""),"fa9af5ee")</f>
        <v>fa9af5ee</v>
      </c>
      <c r="B1737" s="4">
        <f ca="1">IFERROR(__xludf.UNSUPPORTED("""COMPUTED_VALUE"""),45339.4057291666)</f>
        <v>45339.405729166603</v>
      </c>
      <c r="C1737" s="8" t="str">
        <f ca="1">IFERROR(__xludf.UNSUPPORTED("""COMPUTED_VALUE"""),"Recife")</f>
        <v>Recife</v>
      </c>
      <c r="D1737" s="3" t="str">
        <f ca="1">IFERROR(__xludf.UNSUPPORTED("""COMPUTED_VALUE"""),"🚢 REGULAR")</f>
        <v>🚢 REGULAR</v>
      </c>
      <c r="E1737" s="3" t="str">
        <f ca="1">IFERROR(__xludf.UNSUPPORTED("""COMPUTED_VALUE"""),"🚛 LIBERADO")</f>
        <v>🚛 LIBERADO</v>
      </c>
      <c r="F1737" s="5">
        <f ca="1">IFERROR(__xludf.UNSUPPORTED("""COMPUTED_VALUE"""),0.25)</f>
        <v>0.25</v>
      </c>
      <c r="G1737" s="3" t="str">
        <f ca="1">IFERROR(__xludf.UNSUPPORTED("""COMPUTED_VALUE"""),"Regular")</f>
        <v>Regular</v>
      </c>
      <c r="H1737" s="4">
        <f ca="1">IFERROR(__xludf.UNSUPPORTED("""COMPUTED_VALUE"""),45339.4057291666)</f>
        <v>45339.405729166603</v>
      </c>
      <c r="I1737" s="3">
        <f ca="1">IFERROR(__xludf.UNSUPPORTED("""COMPUTED_VALUE"""),6)</f>
        <v>6</v>
      </c>
      <c r="J1737" s="4">
        <f ca="1">IFERROR(__xludf.UNSUPPORTED("""COMPUTED_VALUE"""),45339.6557291666)</f>
        <v>45339.655729166603</v>
      </c>
      <c r="K1737" s="3" t="str">
        <f ca="1">IFERROR(__xludf.UNSUPPORTED("""COMPUTED_VALUE"""),"Porto do Recife")</f>
        <v>Porto do Recife</v>
      </c>
      <c r="L1737" s="3" t="str">
        <f ca="1">IFERROR(__xludf.UNSUPPORTED("""COMPUTED_VALUE"""),"Crítico")</f>
        <v>Crítico</v>
      </c>
    </row>
    <row r="1738" spans="1:12" ht="12.75">
      <c r="A1738" s="3" t="str">
        <f ca="1">IFERROR(__xludf.UNSUPPORTED("""COMPUTED_VALUE"""),"a23259b1")</f>
        <v>a23259b1</v>
      </c>
      <c r="B1738" s="4">
        <f ca="1">IFERROR(__xludf.UNSUPPORTED("""COMPUTED_VALUE"""),45340.4763541666)</f>
        <v>45340.476354166603</v>
      </c>
      <c r="C1738" s="7" t="str">
        <f ca="1">IFERROR(__xludf.UNSUPPORTED("""COMPUTED_VALUE"""),"Recife")</f>
        <v>Recife</v>
      </c>
      <c r="D1738" s="3" t="str">
        <f ca="1">IFERROR(__xludf.UNSUPPORTED("""COMPUTED_VALUE"""),"🚢 REGULAR")</f>
        <v>🚢 REGULAR</v>
      </c>
      <c r="E1738" s="3" t="str">
        <f ca="1">IFERROR(__xludf.UNSUPPORTED("""COMPUTED_VALUE"""),"🚛 LIBERADO")</f>
        <v>🚛 LIBERADO</v>
      </c>
      <c r="F1738" s="5">
        <f ca="1">IFERROR(__xludf.UNSUPPORTED("""COMPUTED_VALUE"""),0.25)</f>
        <v>0.25</v>
      </c>
      <c r="G1738" s="3" t="str">
        <f ca="1">IFERROR(__xludf.UNSUPPORTED("""COMPUTED_VALUE"""),"Regular")</f>
        <v>Regular</v>
      </c>
      <c r="H1738" s="4">
        <f ca="1">IFERROR(__xludf.UNSUPPORTED("""COMPUTED_VALUE"""),45340.4763541666)</f>
        <v>45340.476354166603</v>
      </c>
      <c r="I1738" s="3">
        <f ca="1">IFERROR(__xludf.UNSUPPORTED("""COMPUTED_VALUE"""),6)</f>
        <v>6</v>
      </c>
      <c r="J1738" s="4">
        <f ca="1">IFERROR(__xludf.UNSUPPORTED("""COMPUTED_VALUE"""),45340.7263541666)</f>
        <v>45340.726354166603</v>
      </c>
      <c r="K1738" s="3" t="str">
        <f ca="1">IFERROR(__xludf.UNSUPPORTED("""COMPUTED_VALUE"""),"Porto do Recife")</f>
        <v>Porto do Recife</v>
      </c>
      <c r="L1738" s="3" t="str">
        <f ca="1">IFERROR(__xludf.UNSUPPORTED("""COMPUTED_VALUE"""),"Crítico")</f>
        <v>Crítico</v>
      </c>
    </row>
    <row r="1739" spans="1:12" ht="12.75">
      <c r="A1739" s="3" t="str">
        <f ca="1">IFERROR(__xludf.UNSUPPORTED("""COMPUTED_VALUE"""),"4af953dc")</f>
        <v>4af953dc</v>
      </c>
      <c r="B1739" s="4">
        <f ca="1">IFERROR(__xludf.UNSUPPORTED("""COMPUTED_VALUE"""),45341.354074074)</f>
        <v>45341.354074073999</v>
      </c>
      <c r="C1739" s="8" t="str">
        <f ca="1">IFERROR(__xludf.UNSUPPORTED("""COMPUTED_VALUE"""),"Recife")</f>
        <v>Recife</v>
      </c>
      <c r="D1739" s="3" t="str">
        <f ca="1">IFERROR(__xludf.UNSUPPORTED("""COMPUTED_VALUE"""),"🚢 REGULAR")</f>
        <v>🚢 REGULAR</v>
      </c>
      <c r="E1739" s="3" t="str">
        <f ca="1">IFERROR(__xludf.UNSUPPORTED("""COMPUTED_VALUE"""),"🚛 LIBERADO")</f>
        <v>🚛 LIBERADO</v>
      </c>
      <c r="F1739" s="5">
        <f ca="1">IFERROR(__xludf.UNSUPPORTED("""COMPUTED_VALUE"""),0.25)</f>
        <v>0.25</v>
      </c>
      <c r="G1739" s="3" t="str">
        <f ca="1">IFERROR(__xludf.UNSUPPORTED("""COMPUTED_VALUE"""),"Regular")</f>
        <v>Regular</v>
      </c>
      <c r="H1739" s="4">
        <f ca="1">IFERROR(__xludf.UNSUPPORTED("""COMPUTED_VALUE"""),45341.354074074)</f>
        <v>45341.354074073999</v>
      </c>
      <c r="I1739" s="3">
        <f ca="1">IFERROR(__xludf.UNSUPPORTED("""COMPUTED_VALUE"""),6)</f>
        <v>6</v>
      </c>
      <c r="J1739" s="4">
        <f ca="1">IFERROR(__xludf.UNSUPPORTED("""COMPUTED_VALUE"""),45341.604074074)</f>
        <v>45341.604074073999</v>
      </c>
      <c r="K1739" s="3" t="str">
        <f ca="1">IFERROR(__xludf.UNSUPPORTED("""COMPUTED_VALUE"""),"Porto do Recife")</f>
        <v>Porto do Recife</v>
      </c>
      <c r="L1739" s="3" t="str">
        <f ca="1">IFERROR(__xludf.UNSUPPORTED("""COMPUTED_VALUE"""),"Crítico")</f>
        <v>Crítico</v>
      </c>
    </row>
    <row r="1740" spans="1:12" ht="12.75">
      <c r="A1740" s="3" t="str">
        <f ca="1">IFERROR(__xludf.UNSUPPORTED("""COMPUTED_VALUE"""),"d8f718c3")</f>
        <v>d8f718c3</v>
      </c>
      <c r="B1740" s="4">
        <f ca="1">IFERROR(__xludf.UNSUPPORTED("""COMPUTED_VALUE"""),45342.7140625)</f>
        <v>45342.714062500003</v>
      </c>
      <c r="C1740" s="7" t="str">
        <f ca="1">IFERROR(__xludf.UNSUPPORTED("""COMPUTED_VALUE"""),"Recife")</f>
        <v>Recife</v>
      </c>
      <c r="D1740" s="3" t="str">
        <f ca="1">IFERROR(__xludf.UNSUPPORTED("""COMPUTED_VALUE"""),"🚢 REGULAR")</f>
        <v>🚢 REGULAR</v>
      </c>
      <c r="E1740" s="3" t="str">
        <f ca="1">IFERROR(__xludf.UNSUPPORTED("""COMPUTED_VALUE"""),"🚛 LIBERADO")</f>
        <v>🚛 LIBERADO</v>
      </c>
      <c r="F1740" s="5">
        <f ca="1">IFERROR(__xludf.UNSUPPORTED("""COMPUTED_VALUE"""),0.25)</f>
        <v>0.25</v>
      </c>
      <c r="G1740" s="3" t="str">
        <f ca="1">IFERROR(__xludf.UNSUPPORTED("""COMPUTED_VALUE"""),"Regular")</f>
        <v>Regular</v>
      </c>
      <c r="H1740" s="4">
        <f ca="1">IFERROR(__xludf.UNSUPPORTED("""COMPUTED_VALUE"""),45342.7140625)</f>
        <v>45342.714062500003</v>
      </c>
      <c r="I1740" s="3">
        <f ca="1">IFERROR(__xludf.UNSUPPORTED("""COMPUTED_VALUE"""),6)</f>
        <v>6</v>
      </c>
      <c r="J1740" s="4">
        <f ca="1">IFERROR(__xludf.UNSUPPORTED("""COMPUTED_VALUE"""),45342.9640625)</f>
        <v>45342.964062500003</v>
      </c>
      <c r="K1740" s="3" t="str">
        <f ca="1">IFERROR(__xludf.UNSUPPORTED("""COMPUTED_VALUE"""),"Porto do Recife")</f>
        <v>Porto do Recife</v>
      </c>
      <c r="L1740" s="3" t="str">
        <f ca="1">IFERROR(__xludf.UNSUPPORTED("""COMPUTED_VALUE"""),"Crítico")</f>
        <v>Crítico</v>
      </c>
    </row>
    <row r="1741" spans="1:12" ht="12.75">
      <c r="A1741" s="3" t="str">
        <f ca="1">IFERROR(__xludf.UNSUPPORTED("""COMPUTED_VALUE"""),"a2ede135")</f>
        <v>a2ede135</v>
      </c>
      <c r="B1741" s="4">
        <f ca="1">IFERROR(__xludf.UNSUPPORTED("""COMPUTED_VALUE"""),45343.4949768518)</f>
        <v>45343.494976851798</v>
      </c>
      <c r="C1741" s="8" t="str">
        <f ca="1">IFERROR(__xludf.UNSUPPORTED("""COMPUTED_VALUE"""),"Recife")</f>
        <v>Recife</v>
      </c>
      <c r="D1741" s="3" t="str">
        <f ca="1">IFERROR(__xludf.UNSUPPORTED("""COMPUTED_VALUE"""),"🚢 REGULAR")</f>
        <v>🚢 REGULAR</v>
      </c>
      <c r="E1741" s="3" t="str">
        <f ca="1">IFERROR(__xludf.UNSUPPORTED("""COMPUTED_VALUE"""),"🚛 LIBERADO")</f>
        <v>🚛 LIBERADO</v>
      </c>
      <c r="F1741" s="5">
        <f ca="1">IFERROR(__xludf.UNSUPPORTED("""COMPUTED_VALUE"""),0.25)</f>
        <v>0.25</v>
      </c>
      <c r="G1741" s="3" t="str">
        <f ca="1">IFERROR(__xludf.UNSUPPORTED("""COMPUTED_VALUE"""),"Regular")</f>
        <v>Regular</v>
      </c>
      <c r="H1741" s="4">
        <f ca="1">IFERROR(__xludf.UNSUPPORTED("""COMPUTED_VALUE"""),45343.4949768518)</f>
        <v>45343.494976851798</v>
      </c>
      <c r="I1741" s="3">
        <f ca="1">IFERROR(__xludf.UNSUPPORTED("""COMPUTED_VALUE"""),6)</f>
        <v>6</v>
      </c>
      <c r="J1741" s="4">
        <f ca="1">IFERROR(__xludf.UNSUPPORTED("""COMPUTED_VALUE"""),45343.7449768518)</f>
        <v>45343.744976851798</v>
      </c>
      <c r="K1741" s="3" t="str">
        <f ca="1">IFERROR(__xludf.UNSUPPORTED("""COMPUTED_VALUE"""),"Porto do Recife")</f>
        <v>Porto do Recife</v>
      </c>
      <c r="L1741" s="3" t="str">
        <f ca="1">IFERROR(__xludf.UNSUPPORTED("""COMPUTED_VALUE"""),"Crítico")</f>
        <v>Crítico</v>
      </c>
    </row>
    <row r="1742" spans="1:12" ht="12.75">
      <c r="A1742" s="3" t="str">
        <f ca="1">IFERROR(__xludf.UNSUPPORTED("""COMPUTED_VALUE"""),"ee84c3a5")</f>
        <v>ee84c3a5</v>
      </c>
      <c r="B1742" s="4">
        <f ca="1">IFERROR(__xludf.UNSUPPORTED("""COMPUTED_VALUE"""),45344.3501041666)</f>
        <v>45344.350104166602</v>
      </c>
      <c r="C1742" s="7" t="str">
        <f ca="1">IFERROR(__xludf.UNSUPPORTED("""COMPUTED_VALUE"""),"Recife")</f>
        <v>Recife</v>
      </c>
      <c r="D1742" s="3" t="str">
        <f ca="1">IFERROR(__xludf.UNSUPPORTED("""COMPUTED_VALUE"""),"🚢 REGULAR")</f>
        <v>🚢 REGULAR</v>
      </c>
      <c r="E1742" s="3" t="str">
        <f ca="1">IFERROR(__xludf.UNSUPPORTED("""COMPUTED_VALUE"""),"🚛 LIBERADO")</f>
        <v>🚛 LIBERADO</v>
      </c>
      <c r="F1742" s="5">
        <f ca="1">IFERROR(__xludf.UNSUPPORTED("""COMPUTED_VALUE"""),0.25)</f>
        <v>0.25</v>
      </c>
      <c r="G1742" s="3" t="str">
        <f ca="1">IFERROR(__xludf.UNSUPPORTED("""COMPUTED_VALUE"""),"Regular")</f>
        <v>Regular</v>
      </c>
      <c r="H1742" s="4">
        <f ca="1">IFERROR(__xludf.UNSUPPORTED("""COMPUTED_VALUE"""),45344.3501041666)</f>
        <v>45344.350104166602</v>
      </c>
      <c r="I1742" s="3">
        <f ca="1">IFERROR(__xludf.UNSUPPORTED("""COMPUTED_VALUE"""),6)</f>
        <v>6</v>
      </c>
      <c r="J1742" s="4">
        <f ca="1">IFERROR(__xludf.UNSUPPORTED("""COMPUTED_VALUE"""),45344.6001041666)</f>
        <v>45344.600104166602</v>
      </c>
      <c r="K1742" s="3" t="str">
        <f ca="1">IFERROR(__xludf.UNSUPPORTED("""COMPUTED_VALUE"""),"Porto do Recife")</f>
        <v>Porto do Recife</v>
      </c>
      <c r="L1742" s="3" t="str">
        <f ca="1">IFERROR(__xludf.UNSUPPORTED("""COMPUTED_VALUE"""),"Crítico")</f>
        <v>Crítico</v>
      </c>
    </row>
    <row r="1743" spans="1:12" ht="12.75">
      <c r="A1743" s="3" t="str">
        <f ca="1">IFERROR(__xludf.UNSUPPORTED("""COMPUTED_VALUE"""),"be049bbe")</f>
        <v>be049bbe</v>
      </c>
      <c r="B1743" s="4">
        <f ca="1">IFERROR(__xludf.UNSUPPORTED("""COMPUTED_VALUE"""),45345.342511574)</f>
        <v>45345.342511574003</v>
      </c>
      <c r="C1743" s="8" t="str">
        <f ca="1">IFERROR(__xludf.UNSUPPORTED("""COMPUTED_VALUE"""),"Recife")</f>
        <v>Recife</v>
      </c>
      <c r="D1743" s="3" t="str">
        <f ca="1">IFERROR(__xludf.UNSUPPORTED("""COMPUTED_VALUE"""),"🚢 REGULAR")</f>
        <v>🚢 REGULAR</v>
      </c>
      <c r="E1743" s="3" t="str">
        <f ca="1">IFERROR(__xludf.UNSUPPORTED("""COMPUTED_VALUE"""),"🚛 LIBERADO")</f>
        <v>🚛 LIBERADO</v>
      </c>
      <c r="F1743" s="5">
        <f ca="1">IFERROR(__xludf.UNSUPPORTED("""COMPUTED_VALUE"""),0.25)</f>
        <v>0.25</v>
      </c>
      <c r="G1743" s="3" t="str">
        <f ca="1">IFERROR(__xludf.UNSUPPORTED("""COMPUTED_VALUE"""),"Regular")</f>
        <v>Regular</v>
      </c>
      <c r="H1743" s="4">
        <f ca="1">IFERROR(__xludf.UNSUPPORTED("""COMPUTED_VALUE"""),45345.342511574)</f>
        <v>45345.342511574003</v>
      </c>
      <c r="I1743" s="3">
        <f ca="1">IFERROR(__xludf.UNSUPPORTED("""COMPUTED_VALUE"""),6)</f>
        <v>6</v>
      </c>
      <c r="J1743" s="4">
        <f ca="1">IFERROR(__xludf.UNSUPPORTED("""COMPUTED_VALUE"""),45345.592511574)</f>
        <v>45345.592511574003</v>
      </c>
      <c r="K1743" s="3" t="str">
        <f ca="1">IFERROR(__xludf.UNSUPPORTED("""COMPUTED_VALUE"""),"Porto do Recife")</f>
        <v>Porto do Recife</v>
      </c>
      <c r="L1743" s="3" t="str">
        <f ca="1">IFERROR(__xludf.UNSUPPORTED("""COMPUTED_VALUE"""),"Crítico")</f>
        <v>Crítico</v>
      </c>
    </row>
    <row r="1744" spans="1:12" ht="12.75">
      <c r="A1744" s="3" t="str">
        <f ca="1">IFERROR(__xludf.UNSUPPORTED("""COMPUTED_VALUE"""),"cca8d90f")</f>
        <v>cca8d90f</v>
      </c>
      <c r="B1744" s="4">
        <f ca="1">IFERROR(__xludf.UNSUPPORTED("""COMPUTED_VALUE"""),45346.3270138888)</f>
        <v>45346.327013888797</v>
      </c>
      <c r="C1744" s="7" t="str">
        <f ca="1">IFERROR(__xludf.UNSUPPORTED("""COMPUTED_VALUE"""),"Recife")</f>
        <v>Recife</v>
      </c>
      <c r="D1744" s="3" t="str">
        <f ca="1">IFERROR(__xludf.UNSUPPORTED("""COMPUTED_VALUE"""),"🚢 REGULAR")</f>
        <v>🚢 REGULAR</v>
      </c>
      <c r="E1744" s="3" t="str">
        <f ca="1">IFERROR(__xludf.UNSUPPORTED("""COMPUTED_VALUE"""),"🚛 LIBERADO")</f>
        <v>🚛 LIBERADO</v>
      </c>
      <c r="F1744" s="5">
        <f ca="1">IFERROR(__xludf.UNSUPPORTED("""COMPUTED_VALUE"""),0.25)</f>
        <v>0.25</v>
      </c>
      <c r="G1744" s="3" t="str">
        <f ca="1">IFERROR(__xludf.UNSUPPORTED("""COMPUTED_VALUE"""),"Regular")</f>
        <v>Regular</v>
      </c>
      <c r="H1744" s="4">
        <f ca="1">IFERROR(__xludf.UNSUPPORTED("""COMPUTED_VALUE"""),45346.3270138888)</f>
        <v>45346.327013888797</v>
      </c>
      <c r="I1744" s="3">
        <f ca="1">IFERROR(__xludf.UNSUPPORTED("""COMPUTED_VALUE"""),6)</f>
        <v>6</v>
      </c>
      <c r="J1744" s="4">
        <f ca="1">IFERROR(__xludf.UNSUPPORTED("""COMPUTED_VALUE"""),45346.5770138888)</f>
        <v>45346.577013888797</v>
      </c>
      <c r="K1744" s="3" t="str">
        <f ca="1">IFERROR(__xludf.UNSUPPORTED("""COMPUTED_VALUE"""),"Porto do Recife")</f>
        <v>Porto do Recife</v>
      </c>
      <c r="L1744" s="3" t="str">
        <f ca="1">IFERROR(__xludf.UNSUPPORTED("""COMPUTED_VALUE"""),"Crítico")</f>
        <v>Crítico</v>
      </c>
    </row>
    <row r="1745" spans="1:12" ht="12.75">
      <c r="A1745" s="3" t="str">
        <f ca="1">IFERROR(__xludf.UNSUPPORTED("""COMPUTED_VALUE"""),"15807ccd")</f>
        <v>15807ccd</v>
      </c>
      <c r="B1745" s="4">
        <f ca="1">IFERROR(__xludf.UNSUPPORTED("""COMPUTED_VALUE"""),45347.4099884259)</f>
        <v>45347.409988425898</v>
      </c>
      <c r="C1745" s="8" t="str">
        <f ca="1">IFERROR(__xludf.UNSUPPORTED("""COMPUTED_VALUE"""),"Recife")</f>
        <v>Recife</v>
      </c>
      <c r="D1745" s="3" t="str">
        <f ca="1">IFERROR(__xludf.UNSUPPORTED("""COMPUTED_VALUE"""),"🚢 REGULAR")</f>
        <v>🚢 REGULAR</v>
      </c>
      <c r="E1745" s="3" t="str">
        <f ca="1">IFERROR(__xludf.UNSUPPORTED("""COMPUTED_VALUE"""),"🚛 LIBERADO")</f>
        <v>🚛 LIBERADO</v>
      </c>
      <c r="F1745" s="5">
        <f ca="1">IFERROR(__xludf.UNSUPPORTED("""COMPUTED_VALUE"""),0.25)</f>
        <v>0.25</v>
      </c>
      <c r="G1745" s="3" t="str">
        <f ca="1">IFERROR(__xludf.UNSUPPORTED("""COMPUTED_VALUE"""),"Regular")</f>
        <v>Regular</v>
      </c>
      <c r="H1745" s="4">
        <f ca="1">IFERROR(__xludf.UNSUPPORTED("""COMPUTED_VALUE"""),45347.4099884259)</f>
        <v>45347.409988425898</v>
      </c>
      <c r="I1745" s="3">
        <f ca="1">IFERROR(__xludf.UNSUPPORTED("""COMPUTED_VALUE"""),6)</f>
        <v>6</v>
      </c>
      <c r="J1745" s="4">
        <f ca="1">IFERROR(__xludf.UNSUPPORTED("""COMPUTED_VALUE"""),45347.6599884259)</f>
        <v>45347.659988425898</v>
      </c>
      <c r="K1745" s="3" t="str">
        <f ca="1">IFERROR(__xludf.UNSUPPORTED("""COMPUTED_VALUE"""),"Porto do Recife")</f>
        <v>Porto do Recife</v>
      </c>
      <c r="L1745" s="3" t="str">
        <f ca="1">IFERROR(__xludf.UNSUPPORTED("""COMPUTED_VALUE"""),"Crítico")</f>
        <v>Crítico</v>
      </c>
    </row>
    <row r="1746" spans="1:12" ht="12.75">
      <c r="A1746" s="3" t="str">
        <f ca="1">IFERROR(__xludf.UNSUPPORTED("""COMPUTED_VALUE"""),"09ee4482")</f>
        <v>09ee4482</v>
      </c>
      <c r="B1746" s="4">
        <f ca="1">IFERROR(__xludf.UNSUPPORTED("""COMPUTED_VALUE"""),45348.3600810185)</f>
        <v>45348.360081018502</v>
      </c>
      <c r="C1746" s="7" t="str">
        <f ca="1">IFERROR(__xludf.UNSUPPORTED("""COMPUTED_VALUE"""),"Recife")</f>
        <v>Recife</v>
      </c>
      <c r="D1746" s="3" t="str">
        <f ca="1">IFERROR(__xludf.UNSUPPORTED("""COMPUTED_VALUE"""),"🚢 REGULAR")</f>
        <v>🚢 REGULAR</v>
      </c>
      <c r="E1746" s="3" t="str">
        <f ca="1">IFERROR(__xludf.UNSUPPORTED("""COMPUTED_VALUE"""),"🚛 LIBERADO")</f>
        <v>🚛 LIBERADO</v>
      </c>
      <c r="F1746" s="5">
        <f ca="1">IFERROR(__xludf.UNSUPPORTED("""COMPUTED_VALUE"""),0.25)</f>
        <v>0.25</v>
      </c>
      <c r="G1746" s="3" t="str">
        <f ca="1">IFERROR(__xludf.UNSUPPORTED("""COMPUTED_VALUE"""),"Regular")</f>
        <v>Regular</v>
      </c>
      <c r="H1746" s="4">
        <f ca="1">IFERROR(__xludf.UNSUPPORTED("""COMPUTED_VALUE"""),45348.3600810185)</f>
        <v>45348.360081018502</v>
      </c>
      <c r="I1746" s="3">
        <f ca="1">IFERROR(__xludf.UNSUPPORTED("""COMPUTED_VALUE"""),6)</f>
        <v>6</v>
      </c>
      <c r="J1746" s="4">
        <f ca="1">IFERROR(__xludf.UNSUPPORTED("""COMPUTED_VALUE"""),45348.6100810185)</f>
        <v>45348.610081018502</v>
      </c>
      <c r="K1746" s="3" t="str">
        <f ca="1">IFERROR(__xludf.UNSUPPORTED("""COMPUTED_VALUE"""),"Porto do Recife")</f>
        <v>Porto do Recife</v>
      </c>
      <c r="L1746" s="3" t="str">
        <f ca="1">IFERROR(__xludf.UNSUPPORTED("""COMPUTED_VALUE"""),"Crítico")</f>
        <v>Crítico</v>
      </c>
    </row>
    <row r="1747" spans="1:12" ht="12.75">
      <c r="A1747" s="3" t="str">
        <f ca="1">IFERROR(__xludf.UNSUPPORTED("""COMPUTED_VALUE"""),"eacf17f8")</f>
        <v>eacf17f8</v>
      </c>
      <c r="B1747" s="4">
        <f ca="1">IFERROR(__xludf.UNSUPPORTED("""COMPUTED_VALUE"""),45349.3372106481)</f>
        <v>45349.337210648097</v>
      </c>
      <c r="C1747" s="8" t="str">
        <f ca="1">IFERROR(__xludf.UNSUPPORTED("""COMPUTED_VALUE"""),"Recife")</f>
        <v>Recife</v>
      </c>
      <c r="D1747" s="3" t="str">
        <f ca="1">IFERROR(__xludf.UNSUPPORTED("""COMPUTED_VALUE"""),"🚢 REGULAR")</f>
        <v>🚢 REGULAR</v>
      </c>
      <c r="E1747" s="3" t="str">
        <f ca="1">IFERROR(__xludf.UNSUPPORTED("""COMPUTED_VALUE"""),"🚛 LIBERADO")</f>
        <v>🚛 LIBERADO</v>
      </c>
      <c r="F1747" s="5">
        <f ca="1">IFERROR(__xludf.UNSUPPORTED("""COMPUTED_VALUE"""),0.25)</f>
        <v>0.25</v>
      </c>
      <c r="G1747" s="3" t="str">
        <f ca="1">IFERROR(__xludf.UNSUPPORTED("""COMPUTED_VALUE"""),"Regular")</f>
        <v>Regular</v>
      </c>
      <c r="H1747" s="4">
        <f ca="1">IFERROR(__xludf.UNSUPPORTED("""COMPUTED_VALUE"""),45349.3372106481)</f>
        <v>45349.337210648097</v>
      </c>
      <c r="I1747" s="3">
        <f ca="1">IFERROR(__xludf.UNSUPPORTED("""COMPUTED_VALUE"""),6)</f>
        <v>6</v>
      </c>
      <c r="J1747" s="4">
        <f ca="1">IFERROR(__xludf.UNSUPPORTED("""COMPUTED_VALUE"""),45349.5872106481)</f>
        <v>45349.587210648097</v>
      </c>
      <c r="K1747" s="3" t="str">
        <f ca="1">IFERROR(__xludf.UNSUPPORTED("""COMPUTED_VALUE"""),"Porto do Recife")</f>
        <v>Porto do Recife</v>
      </c>
      <c r="L1747" s="3" t="str">
        <f ca="1">IFERROR(__xludf.UNSUPPORTED("""COMPUTED_VALUE"""),"Crítico")</f>
        <v>Crítico</v>
      </c>
    </row>
    <row r="1748" spans="1:12" ht="12.75">
      <c r="A1748" s="3" t="str">
        <f ca="1">IFERROR(__xludf.UNSUPPORTED("""COMPUTED_VALUE"""),"9a7d8716")</f>
        <v>9a7d8716</v>
      </c>
      <c r="B1748" s="4">
        <f ca="1">IFERROR(__xludf.UNSUPPORTED("""COMPUTED_VALUE"""),45350.3460532407)</f>
        <v>45350.346053240697</v>
      </c>
      <c r="C1748" s="7" t="str">
        <f ca="1">IFERROR(__xludf.UNSUPPORTED("""COMPUTED_VALUE"""),"Recife")</f>
        <v>Recife</v>
      </c>
      <c r="D1748" s="3" t="str">
        <f ca="1">IFERROR(__xludf.UNSUPPORTED("""COMPUTED_VALUE"""),"🚢 REGULAR")</f>
        <v>🚢 REGULAR</v>
      </c>
      <c r="E1748" s="3" t="str">
        <f ca="1">IFERROR(__xludf.UNSUPPORTED("""COMPUTED_VALUE"""),"🚛 LIBERADO")</f>
        <v>🚛 LIBERADO</v>
      </c>
      <c r="F1748" s="5">
        <f ca="1">IFERROR(__xludf.UNSUPPORTED("""COMPUTED_VALUE"""),0.25)</f>
        <v>0.25</v>
      </c>
      <c r="G1748" s="3" t="str">
        <f ca="1">IFERROR(__xludf.UNSUPPORTED("""COMPUTED_VALUE"""),"Regular")</f>
        <v>Regular</v>
      </c>
      <c r="H1748" s="4">
        <f ca="1">IFERROR(__xludf.UNSUPPORTED("""COMPUTED_VALUE"""),45350.3460532407)</f>
        <v>45350.346053240697</v>
      </c>
      <c r="I1748" s="3">
        <f ca="1">IFERROR(__xludf.UNSUPPORTED("""COMPUTED_VALUE"""),6)</f>
        <v>6</v>
      </c>
      <c r="J1748" s="4">
        <f ca="1">IFERROR(__xludf.UNSUPPORTED("""COMPUTED_VALUE"""),45350.5960532407)</f>
        <v>45350.596053240697</v>
      </c>
      <c r="K1748" s="3" t="str">
        <f ca="1">IFERROR(__xludf.UNSUPPORTED("""COMPUTED_VALUE"""),"Porto do Recife")</f>
        <v>Porto do Recife</v>
      </c>
      <c r="L1748" s="3" t="str">
        <f ca="1">IFERROR(__xludf.UNSUPPORTED("""COMPUTED_VALUE"""),"Crítico")</f>
        <v>Crítico</v>
      </c>
    </row>
    <row r="1749" spans="1:12" ht="12.75">
      <c r="A1749" s="3" t="str">
        <f ca="1">IFERROR(__xludf.UNSUPPORTED("""COMPUTED_VALUE"""),"861a2433")</f>
        <v>861a2433</v>
      </c>
      <c r="B1749" s="4">
        <f ca="1">IFERROR(__xludf.UNSUPPORTED("""COMPUTED_VALUE"""),45351.3627893518)</f>
        <v>45351.362789351799</v>
      </c>
      <c r="C1749" s="8" t="str">
        <f ca="1">IFERROR(__xludf.UNSUPPORTED("""COMPUTED_VALUE"""),"Recife")</f>
        <v>Recife</v>
      </c>
      <c r="D1749" s="3" t="str">
        <f ca="1">IFERROR(__xludf.UNSUPPORTED("""COMPUTED_VALUE"""),"🚢 REGULAR")</f>
        <v>🚢 REGULAR</v>
      </c>
      <c r="E1749" s="3" t="str">
        <f ca="1">IFERROR(__xludf.UNSUPPORTED("""COMPUTED_VALUE"""),"🚛 LIBERADO")</f>
        <v>🚛 LIBERADO</v>
      </c>
      <c r="F1749" s="5">
        <f ca="1">IFERROR(__xludf.UNSUPPORTED("""COMPUTED_VALUE"""),0.25)</f>
        <v>0.25</v>
      </c>
      <c r="G1749" s="3" t="str">
        <f ca="1">IFERROR(__xludf.UNSUPPORTED("""COMPUTED_VALUE"""),"Regular")</f>
        <v>Regular</v>
      </c>
      <c r="H1749" s="4">
        <f ca="1">IFERROR(__xludf.UNSUPPORTED("""COMPUTED_VALUE"""),45351.3627893518)</f>
        <v>45351.362789351799</v>
      </c>
      <c r="I1749" s="3">
        <f ca="1">IFERROR(__xludf.UNSUPPORTED("""COMPUTED_VALUE"""),6)</f>
        <v>6</v>
      </c>
      <c r="J1749" s="4">
        <f ca="1">IFERROR(__xludf.UNSUPPORTED("""COMPUTED_VALUE"""),45351.6127893518)</f>
        <v>45351.612789351799</v>
      </c>
      <c r="K1749" s="3" t="str">
        <f ca="1">IFERROR(__xludf.UNSUPPORTED("""COMPUTED_VALUE"""),"Porto do Recife")</f>
        <v>Porto do Recife</v>
      </c>
      <c r="L1749" s="3" t="str">
        <f ca="1">IFERROR(__xludf.UNSUPPORTED("""COMPUTED_VALUE"""),"Crítico")</f>
        <v>Crítico</v>
      </c>
    </row>
    <row r="1750" spans="1:12" ht="12.75">
      <c r="A1750" s="3" t="str">
        <f ca="1">IFERROR(__xludf.UNSUPPORTED("""COMPUTED_VALUE"""),"f33c5f83")</f>
        <v>f33c5f83</v>
      </c>
      <c r="B1750" s="4">
        <f ca="1">IFERROR(__xludf.UNSUPPORTED("""COMPUTED_VALUE"""),45352.327824074)</f>
        <v>45352.327824073996</v>
      </c>
      <c r="C1750" s="7" t="str">
        <f ca="1">IFERROR(__xludf.UNSUPPORTED("""COMPUTED_VALUE"""),"Recife")</f>
        <v>Recife</v>
      </c>
      <c r="D1750" s="3" t="str">
        <f ca="1">IFERROR(__xludf.UNSUPPORTED("""COMPUTED_VALUE"""),"🚢 REGULAR")</f>
        <v>🚢 REGULAR</v>
      </c>
      <c r="E1750" s="3" t="str">
        <f ca="1">IFERROR(__xludf.UNSUPPORTED("""COMPUTED_VALUE"""),"🚛 LIBERADO")</f>
        <v>🚛 LIBERADO</v>
      </c>
      <c r="F1750" s="5">
        <f ca="1">IFERROR(__xludf.UNSUPPORTED("""COMPUTED_VALUE"""),0.25)</f>
        <v>0.25</v>
      </c>
      <c r="G1750" s="3" t="str">
        <f ca="1">IFERROR(__xludf.UNSUPPORTED("""COMPUTED_VALUE"""),"Regular")</f>
        <v>Regular</v>
      </c>
      <c r="H1750" s="4">
        <f ca="1">IFERROR(__xludf.UNSUPPORTED("""COMPUTED_VALUE"""),45352.327824074)</f>
        <v>45352.327824073996</v>
      </c>
      <c r="I1750" s="3">
        <f ca="1">IFERROR(__xludf.UNSUPPORTED("""COMPUTED_VALUE"""),6)</f>
        <v>6</v>
      </c>
      <c r="J1750" s="4">
        <f ca="1">IFERROR(__xludf.UNSUPPORTED("""COMPUTED_VALUE"""),45352.577824074)</f>
        <v>45352.577824073996</v>
      </c>
      <c r="K1750" s="3" t="str">
        <f ca="1">IFERROR(__xludf.UNSUPPORTED("""COMPUTED_VALUE"""),"Porto do Recife")</f>
        <v>Porto do Recife</v>
      </c>
      <c r="L1750" s="3" t="str">
        <f ca="1">IFERROR(__xludf.UNSUPPORTED("""COMPUTED_VALUE"""),"Crítico")</f>
        <v>Crítico</v>
      </c>
    </row>
    <row r="1751" spans="1:12" ht="12.75">
      <c r="A1751" s="3" t="str">
        <f ca="1">IFERROR(__xludf.UNSUPPORTED("""COMPUTED_VALUE"""),"1ad27255")</f>
        <v>1ad27255</v>
      </c>
      <c r="B1751" s="4">
        <f ca="1">IFERROR(__xludf.UNSUPPORTED("""COMPUTED_VALUE"""),45355.399375)</f>
        <v>45355.399375000001</v>
      </c>
      <c r="C1751" s="8" t="str">
        <f ca="1">IFERROR(__xludf.UNSUPPORTED("""COMPUTED_VALUE"""),"Recife")</f>
        <v>Recife</v>
      </c>
      <c r="D1751" s="3" t="str">
        <f ca="1">IFERROR(__xludf.UNSUPPORTED("""COMPUTED_VALUE"""),"🚢 REGULAR")</f>
        <v>🚢 REGULAR</v>
      </c>
      <c r="E1751" s="3" t="str">
        <f ca="1">IFERROR(__xludf.UNSUPPORTED("""COMPUTED_VALUE"""),"🚛 LIBERADO")</f>
        <v>🚛 LIBERADO</v>
      </c>
      <c r="F1751" s="5">
        <f ca="1">IFERROR(__xludf.UNSUPPORTED("""COMPUTED_VALUE"""),0)</f>
        <v>0</v>
      </c>
      <c r="G1751" s="3" t="str">
        <f ca="1">IFERROR(__xludf.UNSUPPORTED("""COMPUTED_VALUE"""),"Normalidade")</f>
        <v>Normalidade</v>
      </c>
      <c r="H1751" s="4">
        <f ca="1">IFERROR(__xludf.UNSUPPORTED("""COMPUTED_VALUE"""),45355.399375)</f>
        <v>45355.399375000001</v>
      </c>
      <c r="I1751" s="3">
        <f ca="1">IFERROR(__xludf.UNSUPPORTED("""COMPUTED_VALUE"""),24)</f>
        <v>24</v>
      </c>
      <c r="J1751" s="4">
        <f ca="1">IFERROR(__xludf.UNSUPPORTED("""COMPUTED_VALUE"""),45356.399375)</f>
        <v>45356.399375000001</v>
      </c>
    </row>
    <row r="1752" spans="1:12" ht="12.75">
      <c r="A1752" s="3" t="str">
        <f ca="1">IFERROR(__xludf.UNSUPPORTED("""COMPUTED_VALUE"""),"4bbb6ba5")</f>
        <v>4bbb6ba5</v>
      </c>
      <c r="B1752" s="4">
        <f ca="1">IFERROR(__xludf.UNSUPPORTED("""COMPUTED_VALUE"""),45356.3849421296)</f>
        <v>45356.384942129604</v>
      </c>
      <c r="C1752" s="7" t="str">
        <f ca="1">IFERROR(__xludf.UNSUPPORTED("""COMPUTED_VALUE"""),"Recife")</f>
        <v>Recife</v>
      </c>
      <c r="D1752" s="3" t="str">
        <f ca="1">IFERROR(__xludf.UNSUPPORTED("""COMPUTED_VALUE"""),"🚢 REGULAR")</f>
        <v>🚢 REGULAR</v>
      </c>
      <c r="E1752" s="3" t="str">
        <f ca="1">IFERROR(__xludf.UNSUPPORTED("""COMPUTED_VALUE"""),"🚛 LIBERADO")</f>
        <v>🚛 LIBERADO</v>
      </c>
      <c r="F1752" s="5">
        <f ca="1">IFERROR(__xludf.UNSUPPORTED("""COMPUTED_VALUE"""),0)</f>
        <v>0</v>
      </c>
      <c r="G1752" s="3" t="str">
        <f ca="1">IFERROR(__xludf.UNSUPPORTED("""COMPUTED_VALUE"""),"Normalidade")</f>
        <v>Normalidade</v>
      </c>
      <c r="H1752" s="4">
        <f ca="1">IFERROR(__xludf.UNSUPPORTED("""COMPUTED_VALUE"""),45356.3849421296)</f>
        <v>45356.384942129604</v>
      </c>
      <c r="I1752" s="3">
        <f ca="1">IFERROR(__xludf.UNSUPPORTED("""COMPUTED_VALUE"""),24)</f>
        <v>24</v>
      </c>
      <c r="J1752" s="4">
        <f ca="1">IFERROR(__xludf.UNSUPPORTED("""COMPUTED_VALUE"""),45357.3849421296)</f>
        <v>45357.384942129604</v>
      </c>
    </row>
    <row r="1753" spans="1:12" ht="12.75">
      <c r="A1753" s="3" t="str">
        <f ca="1">IFERROR(__xludf.UNSUPPORTED("""COMPUTED_VALUE"""),"c704eaf6")</f>
        <v>c704eaf6</v>
      </c>
      <c r="B1753" s="4">
        <f ca="1">IFERROR(__xludf.UNSUPPORTED("""COMPUTED_VALUE"""),45358.4327662037)</f>
        <v>45358.432766203703</v>
      </c>
      <c r="C1753" s="8" t="str">
        <f ca="1">IFERROR(__xludf.UNSUPPORTED("""COMPUTED_VALUE"""),"Recife")</f>
        <v>Recife</v>
      </c>
      <c r="D1753" s="3" t="str">
        <f ca="1">IFERROR(__xludf.UNSUPPORTED("""COMPUTED_VALUE"""),"🚢 REGULAR")</f>
        <v>🚢 REGULAR</v>
      </c>
      <c r="E1753" s="3" t="str">
        <f ca="1">IFERROR(__xludf.UNSUPPORTED("""COMPUTED_VALUE"""),"🚛 LIBERADO")</f>
        <v>🚛 LIBERADO</v>
      </c>
      <c r="F1753" s="5">
        <f ca="1">IFERROR(__xludf.UNSUPPORTED("""COMPUTED_VALUE"""),0)</f>
        <v>0</v>
      </c>
      <c r="G1753" s="3" t="str">
        <f ca="1">IFERROR(__xludf.UNSUPPORTED("""COMPUTED_VALUE"""),"Normalidade")</f>
        <v>Normalidade</v>
      </c>
      <c r="H1753" s="4">
        <f ca="1">IFERROR(__xludf.UNSUPPORTED("""COMPUTED_VALUE"""),45358.4327662037)</f>
        <v>45358.432766203703</v>
      </c>
      <c r="I1753" s="3">
        <f ca="1">IFERROR(__xludf.UNSUPPORTED("""COMPUTED_VALUE"""),24)</f>
        <v>24</v>
      </c>
      <c r="J1753" s="4">
        <f ca="1">IFERROR(__xludf.UNSUPPORTED("""COMPUTED_VALUE"""),45359.4327662037)</f>
        <v>45359.432766203703</v>
      </c>
    </row>
    <row r="1754" spans="1:12" ht="12.75">
      <c r="A1754" s="3" t="str">
        <f ca="1">IFERROR(__xludf.UNSUPPORTED("""COMPUTED_VALUE"""),"97450af2")</f>
        <v>97450af2</v>
      </c>
      <c r="B1754" s="4">
        <f ca="1">IFERROR(__xludf.UNSUPPORTED("""COMPUTED_VALUE"""),45359.4045833333)</f>
        <v>45359.4045833333</v>
      </c>
      <c r="C1754" s="7" t="str">
        <f ca="1">IFERROR(__xludf.UNSUPPORTED("""COMPUTED_VALUE"""),"Recife")</f>
        <v>Recife</v>
      </c>
      <c r="D1754" s="3" t="str">
        <f ca="1">IFERROR(__xludf.UNSUPPORTED("""COMPUTED_VALUE"""),"🚢 REGULAR")</f>
        <v>🚢 REGULAR</v>
      </c>
      <c r="E1754" s="3" t="str">
        <f ca="1">IFERROR(__xludf.UNSUPPORTED("""COMPUTED_VALUE"""),"🚛 LIBERADO")</f>
        <v>🚛 LIBERADO</v>
      </c>
      <c r="F1754" s="5">
        <f ca="1">IFERROR(__xludf.UNSUPPORTED("""COMPUTED_VALUE"""),0)</f>
        <v>0</v>
      </c>
      <c r="G1754" s="3" t="str">
        <f ca="1">IFERROR(__xludf.UNSUPPORTED("""COMPUTED_VALUE"""),"Normalidade")</f>
        <v>Normalidade</v>
      </c>
      <c r="H1754" s="4">
        <f ca="1">IFERROR(__xludf.UNSUPPORTED("""COMPUTED_VALUE"""),45359.4045833333)</f>
        <v>45359.4045833333</v>
      </c>
      <c r="I1754" s="3">
        <f ca="1">IFERROR(__xludf.UNSUPPORTED("""COMPUTED_VALUE"""),24)</f>
        <v>24</v>
      </c>
      <c r="J1754" s="4">
        <f ca="1">IFERROR(__xludf.UNSUPPORTED("""COMPUTED_VALUE"""),45360.4045833333)</f>
        <v>45360.4045833333</v>
      </c>
    </row>
    <row r="1755" spans="1:12" ht="12.75">
      <c r="A1755" s="3" t="str">
        <f ca="1">IFERROR(__xludf.UNSUPPORTED("""COMPUTED_VALUE"""),"92f9d606")</f>
        <v>92f9d606</v>
      </c>
      <c r="B1755" s="4">
        <f ca="1">IFERROR(__xludf.UNSUPPORTED("""COMPUTED_VALUE"""),45362.6023379629)</f>
        <v>45362.602337962897</v>
      </c>
      <c r="C1755" s="7" t="str">
        <f ca="1">IFERROR(__xludf.UNSUPPORTED("""COMPUTED_VALUE"""),"Recife")</f>
        <v>Recife</v>
      </c>
      <c r="D1755" s="3" t="str">
        <f ca="1">IFERROR(__xludf.UNSUPPORTED("""COMPUTED_VALUE"""),"🚢 REGULAR")</f>
        <v>🚢 REGULAR</v>
      </c>
      <c r="E1755" s="3" t="str">
        <f ca="1">IFERROR(__xludf.UNSUPPORTED("""COMPUTED_VALUE"""),"🚛 LIBERADO")</f>
        <v>🚛 LIBERADO</v>
      </c>
      <c r="F1755" s="5">
        <f ca="1">IFERROR(__xludf.UNSUPPORTED("""COMPUTED_VALUE"""),0)</f>
        <v>0</v>
      </c>
      <c r="G1755" s="3" t="str">
        <f ca="1">IFERROR(__xludf.UNSUPPORTED("""COMPUTED_VALUE"""),"Normalidade")</f>
        <v>Normalidade</v>
      </c>
      <c r="H1755" s="4">
        <f ca="1">IFERROR(__xludf.UNSUPPORTED("""COMPUTED_VALUE"""),45362.6023379629)</f>
        <v>45362.602337962897</v>
      </c>
      <c r="I1755" s="3">
        <f ca="1">IFERROR(__xludf.UNSUPPORTED("""COMPUTED_VALUE"""),24)</f>
        <v>24</v>
      </c>
      <c r="J1755" s="4">
        <f ca="1">IFERROR(__xludf.UNSUPPORTED("""COMPUTED_VALUE"""),45363.6023379629)</f>
        <v>45363.602337962897</v>
      </c>
    </row>
    <row r="1756" spans="1:12" ht="12.75">
      <c r="A1756" s="3" t="str">
        <f ca="1">IFERROR(__xludf.UNSUPPORTED("""COMPUTED_VALUE"""),"1d5d68be")</f>
        <v>1d5d68be</v>
      </c>
      <c r="B1756" s="4">
        <f ca="1">IFERROR(__xludf.UNSUPPORTED("""COMPUTED_VALUE"""),45363.5750694444)</f>
        <v>45363.5750694444</v>
      </c>
      <c r="C1756" s="7" t="str">
        <f ca="1">IFERROR(__xludf.UNSUPPORTED("""COMPUTED_VALUE"""),"Recife")</f>
        <v>Recife</v>
      </c>
      <c r="D1756" s="3" t="str">
        <f ca="1">IFERROR(__xludf.UNSUPPORTED("""COMPUTED_VALUE"""),"🚢 REGULAR")</f>
        <v>🚢 REGULAR</v>
      </c>
      <c r="E1756" s="3" t="str">
        <f ca="1">IFERROR(__xludf.UNSUPPORTED("""COMPUTED_VALUE"""),"🚛 LIBERADO")</f>
        <v>🚛 LIBERADO</v>
      </c>
      <c r="F1756" s="5">
        <f ca="1">IFERROR(__xludf.UNSUPPORTED("""COMPUTED_VALUE"""),0)</f>
        <v>0</v>
      </c>
      <c r="G1756" s="3" t="str">
        <f ca="1">IFERROR(__xludf.UNSUPPORTED("""COMPUTED_VALUE"""),"Normalidade")</f>
        <v>Normalidade</v>
      </c>
      <c r="H1756" s="4">
        <f ca="1">IFERROR(__xludf.UNSUPPORTED("""COMPUTED_VALUE"""),45363.5750694444)</f>
        <v>45363.5750694444</v>
      </c>
      <c r="I1756" s="3">
        <f ca="1">IFERROR(__xludf.UNSUPPORTED("""COMPUTED_VALUE"""),24)</f>
        <v>24</v>
      </c>
      <c r="J1756" s="4">
        <f ca="1">IFERROR(__xludf.UNSUPPORTED("""COMPUTED_VALUE"""),45364.5750694444)</f>
        <v>45364.5750694444</v>
      </c>
    </row>
    <row r="1757" spans="1:12" ht="12.75">
      <c r="A1757" s="3" t="str">
        <f ca="1">IFERROR(__xludf.UNSUPPORTED("""COMPUTED_VALUE"""),"1d25e364")</f>
        <v>1d25e364</v>
      </c>
      <c r="B1757" s="4">
        <f ca="1">IFERROR(__xludf.UNSUPPORTED("""COMPUTED_VALUE"""),45364.9466319444)</f>
        <v>45364.946631944404</v>
      </c>
      <c r="C1757" s="8" t="str">
        <f ca="1">IFERROR(__xludf.UNSUPPORTED("""COMPUTED_VALUE"""),"Recife")</f>
        <v>Recife</v>
      </c>
      <c r="D1757" s="3" t="str">
        <f ca="1">IFERROR(__xludf.UNSUPPORTED("""COMPUTED_VALUE"""),"🚢 REGULAR")</f>
        <v>🚢 REGULAR</v>
      </c>
      <c r="E1757" s="3" t="str">
        <f ca="1">IFERROR(__xludf.UNSUPPORTED("""COMPUTED_VALUE"""),"🚛 LIBERADO")</f>
        <v>🚛 LIBERADO</v>
      </c>
      <c r="F1757" s="5">
        <f ca="1">IFERROR(__xludf.UNSUPPORTED("""COMPUTED_VALUE"""),0)</f>
        <v>0</v>
      </c>
      <c r="G1757" s="3" t="str">
        <f ca="1">IFERROR(__xludf.UNSUPPORTED("""COMPUTED_VALUE"""),"Normalidade")</f>
        <v>Normalidade</v>
      </c>
      <c r="H1757" s="4">
        <f ca="1">IFERROR(__xludf.UNSUPPORTED("""COMPUTED_VALUE"""),45364.9466319444)</f>
        <v>45364.946631944404</v>
      </c>
      <c r="I1757" s="3">
        <f ca="1">IFERROR(__xludf.UNSUPPORTED("""COMPUTED_VALUE"""),24)</f>
        <v>24</v>
      </c>
      <c r="J1757" s="4">
        <f ca="1">IFERROR(__xludf.UNSUPPORTED("""COMPUTED_VALUE"""),45365.9466319444)</f>
        <v>45365.946631944404</v>
      </c>
      <c r="L1757" s="3" t="str">
        <f ca="1">IFERROR(__xludf.UNSUPPORTED("""COMPUTED_VALUE"""),"Normalidade")</f>
        <v>Normalidade</v>
      </c>
    </row>
    <row r="1758" spans="1:12" ht="12.75">
      <c r="A1758" s="3" t="str">
        <f ca="1">IFERROR(__xludf.UNSUPPORTED("""COMPUTED_VALUE"""),"6b8284c1")</f>
        <v>6b8284c1</v>
      </c>
      <c r="B1758" s="4">
        <f ca="1">IFERROR(__xludf.UNSUPPORTED("""COMPUTED_VALUE"""),45365.3911689814)</f>
        <v>45365.391168981398</v>
      </c>
      <c r="C1758" s="7" t="str">
        <f ca="1">IFERROR(__xludf.UNSUPPORTED("""COMPUTED_VALUE"""),"Recife")</f>
        <v>Recife</v>
      </c>
      <c r="D1758" s="3" t="str">
        <f ca="1">IFERROR(__xludf.UNSUPPORTED("""COMPUTED_VALUE"""),"🚢 REGULAR")</f>
        <v>🚢 REGULAR</v>
      </c>
      <c r="E1758" s="3" t="str">
        <f ca="1">IFERROR(__xludf.UNSUPPORTED("""COMPUTED_VALUE"""),"🚛 LIBERADO")</f>
        <v>🚛 LIBERADO</v>
      </c>
      <c r="F1758" s="5">
        <f ca="1">IFERROR(__xludf.UNSUPPORTED("""COMPUTED_VALUE"""),0)</f>
        <v>0</v>
      </c>
      <c r="G1758" s="3" t="str">
        <f ca="1">IFERROR(__xludf.UNSUPPORTED("""COMPUTED_VALUE"""),"Normalidade")</f>
        <v>Normalidade</v>
      </c>
      <c r="H1758" s="4">
        <f ca="1">IFERROR(__xludf.UNSUPPORTED("""COMPUTED_VALUE"""),45365.3911689814)</f>
        <v>45365.391168981398</v>
      </c>
      <c r="I1758" s="3">
        <f ca="1">IFERROR(__xludf.UNSUPPORTED("""COMPUTED_VALUE"""),24)</f>
        <v>24</v>
      </c>
      <c r="J1758" s="4">
        <f ca="1">IFERROR(__xludf.UNSUPPORTED("""COMPUTED_VALUE"""),45366.3911689814)</f>
        <v>45366.391168981398</v>
      </c>
    </row>
    <row r="1759" spans="1:12" ht="12.75">
      <c r="A1759" s="3" t="str">
        <f ca="1">IFERROR(__xludf.UNSUPPORTED("""COMPUTED_VALUE"""),"1d202b3c")</f>
        <v>1d202b3c</v>
      </c>
      <c r="B1759" s="4">
        <f ca="1">IFERROR(__xludf.UNSUPPORTED("""COMPUTED_VALUE"""),45366.3892013888)</f>
        <v>45366.389201388803</v>
      </c>
      <c r="C1759" s="8" t="str">
        <f ca="1">IFERROR(__xludf.UNSUPPORTED("""COMPUTED_VALUE"""),"Recife")</f>
        <v>Recife</v>
      </c>
      <c r="D1759" s="3" t="str">
        <f ca="1">IFERROR(__xludf.UNSUPPORTED("""COMPUTED_VALUE"""),"🚢 REGULAR")</f>
        <v>🚢 REGULAR</v>
      </c>
      <c r="E1759" s="3" t="str">
        <f ca="1">IFERROR(__xludf.UNSUPPORTED("""COMPUTED_VALUE"""),"🚛 LIBERADO")</f>
        <v>🚛 LIBERADO</v>
      </c>
      <c r="F1759" s="5">
        <f ca="1">IFERROR(__xludf.UNSUPPORTED("""COMPUTED_VALUE"""),0)</f>
        <v>0</v>
      </c>
      <c r="G1759" s="3" t="str">
        <f ca="1">IFERROR(__xludf.UNSUPPORTED("""COMPUTED_VALUE"""),"Normalidade")</f>
        <v>Normalidade</v>
      </c>
      <c r="H1759" s="4">
        <f ca="1">IFERROR(__xludf.UNSUPPORTED("""COMPUTED_VALUE"""),45366.3892013888)</f>
        <v>45366.389201388803</v>
      </c>
      <c r="I1759" s="3">
        <f ca="1">IFERROR(__xludf.UNSUPPORTED("""COMPUTED_VALUE"""),24)</f>
        <v>24</v>
      </c>
      <c r="J1759" s="4">
        <f ca="1">IFERROR(__xludf.UNSUPPORTED("""COMPUTED_VALUE"""),45367.3892013888)</f>
        <v>45367.389201388803</v>
      </c>
      <c r="L1759" s="3" t="str">
        <f ca="1">IFERROR(__xludf.UNSUPPORTED("""COMPUTED_VALUE"""),"Normalidade")</f>
        <v>Normalidade</v>
      </c>
    </row>
    <row r="1760" spans="1:12" ht="12.75">
      <c r="A1760" s="3" t="str">
        <f ca="1">IFERROR(__xludf.UNSUPPORTED("""COMPUTED_VALUE"""),"3dea959b")</f>
        <v>3dea959b</v>
      </c>
      <c r="B1760" s="4">
        <f ca="1">IFERROR(__xludf.UNSUPPORTED("""COMPUTED_VALUE"""),45367.351875)</f>
        <v>45367.351875</v>
      </c>
      <c r="C1760" s="7" t="str">
        <f ca="1">IFERROR(__xludf.UNSUPPORTED("""COMPUTED_VALUE"""),"Recife")</f>
        <v>Recife</v>
      </c>
      <c r="D1760" s="3" t="str">
        <f ca="1">IFERROR(__xludf.UNSUPPORTED("""COMPUTED_VALUE"""),"🚢 REGULAR")</f>
        <v>🚢 REGULAR</v>
      </c>
      <c r="E1760" s="3" t="str">
        <f ca="1">IFERROR(__xludf.UNSUPPORTED("""COMPUTED_VALUE"""),"🚛 LIBERADO")</f>
        <v>🚛 LIBERADO</v>
      </c>
      <c r="F1760" s="5">
        <f ca="1">IFERROR(__xludf.UNSUPPORTED("""COMPUTED_VALUE"""),0.25)</f>
        <v>0.25</v>
      </c>
      <c r="G1760" s="3" t="str">
        <f ca="1">IFERROR(__xludf.UNSUPPORTED("""COMPUTED_VALUE"""),"Regular")</f>
        <v>Regular</v>
      </c>
      <c r="H1760" s="4">
        <f ca="1">IFERROR(__xludf.UNSUPPORTED("""COMPUTED_VALUE"""),45367.351875)</f>
        <v>45367.351875</v>
      </c>
      <c r="I1760" s="3">
        <f ca="1">IFERROR(__xludf.UNSUPPORTED("""COMPUTED_VALUE"""),6)</f>
        <v>6</v>
      </c>
      <c r="J1760" s="4">
        <f ca="1">IFERROR(__xludf.UNSUPPORTED("""COMPUTED_VALUE"""),45367.601875)</f>
        <v>45367.601875</v>
      </c>
      <c r="K1760" s="3" t="str">
        <f ca="1">IFERROR(__xludf.UNSUPPORTED("""COMPUTED_VALUE"""),"Porto do Recife")</f>
        <v>Porto do Recife</v>
      </c>
      <c r="L1760" s="3" t="str">
        <f ca="1">IFERROR(__xludf.UNSUPPORTED("""COMPUTED_VALUE"""),"Crítico")</f>
        <v>Crítico</v>
      </c>
    </row>
    <row r="1761" spans="1:12" ht="12.75">
      <c r="A1761" s="3" t="str">
        <f ca="1">IFERROR(__xludf.UNSUPPORTED("""COMPUTED_VALUE"""),"4d0c3151")</f>
        <v>4d0c3151</v>
      </c>
      <c r="B1761" s="4">
        <f ca="1">IFERROR(__xludf.UNSUPPORTED("""COMPUTED_VALUE"""),45368.5778703703)</f>
        <v>45368.577870370304</v>
      </c>
      <c r="C1761" s="8" t="str">
        <f ca="1">IFERROR(__xludf.UNSUPPORTED("""COMPUTED_VALUE"""),"Recife")</f>
        <v>Recife</v>
      </c>
      <c r="D1761" s="3" t="str">
        <f ca="1">IFERROR(__xludf.UNSUPPORTED("""COMPUTED_VALUE"""),"🚢 REGULAR")</f>
        <v>🚢 REGULAR</v>
      </c>
      <c r="E1761" s="3" t="str">
        <f ca="1">IFERROR(__xludf.UNSUPPORTED("""COMPUTED_VALUE"""),"🚛 LIBERADO")</f>
        <v>🚛 LIBERADO</v>
      </c>
      <c r="F1761" s="5">
        <f ca="1">IFERROR(__xludf.UNSUPPORTED("""COMPUTED_VALUE"""),0.25)</f>
        <v>0.25</v>
      </c>
      <c r="G1761" s="3" t="str">
        <f ca="1">IFERROR(__xludf.UNSUPPORTED("""COMPUTED_VALUE"""),"Regular")</f>
        <v>Regular</v>
      </c>
      <c r="H1761" s="4">
        <f ca="1">IFERROR(__xludf.UNSUPPORTED("""COMPUTED_VALUE"""),45368.5778703703)</f>
        <v>45368.577870370304</v>
      </c>
      <c r="I1761" s="3">
        <f ca="1">IFERROR(__xludf.UNSUPPORTED("""COMPUTED_VALUE"""),6)</f>
        <v>6</v>
      </c>
      <c r="J1761" s="4">
        <f ca="1">IFERROR(__xludf.UNSUPPORTED("""COMPUTED_VALUE"""),45368.8278703703)</f>
        <v>45368.827870370304</v>
      </c>
      <c r="K1761" s="3" t="str">
        <f ca="1">IFERROR(__xludf.UNSUPPORTED("""COMPUTED_VALUE"""),"Porto do Recife")</f>
        <v>Porto do Recife</v>
      </c>
      <c r="L1761" s="3" t="str">
        <f ca="1">IFERROR(__xludf.UNSUPPORTED("""COMPUTED_VALUE"""),"Crítico")</f>
        <v>Crítico</v>
      </c>
    </row>
    <row r="1762" spans="1:12" ht="12.75">
      <c r="A1762" s="3" t="str">
        <f ca="1">IFERROR(__xludf.UNSUPPORTED("""COMPUTED_VALUE"""),"df5ced62")</f>
        <v>df5ced62</v>
      </c>
      <c r="B1762" s="4">
        <f ca="1">IFERROR(__xludf.UNSUPPORTED("""COMPUTED_VALUE"""),45379.8984606481)</f>
        <v>45379.898460648103</v>
      </c>
      <c r="C1762" s="7" t="str">
        <f ca="1">IFERROR(__xludf.UNSUPPORTED("""COMPUTED_VALUE"""),"Recife")</f>
        <v>Recife</v>
      </c>
      <c r="D1762" s="3" t="str">
        <f ca="1">IFERROR(__xludf.UNSUPPORTED("""COMPUTED_VALUE"""),"🚢 REGULAR")</f>
        <v>🚢 REGULAR</v>
      </c>
      <c r="E1762" s="3" t="str">
        <f ca="1">IFERROR(__xludf.UNSUPPORTED("""COMPUTED_VALUE"""),"🚛 LIBERADO")</f>
        <v>🚛 LIBERADO</v>
      </c>
      <c r="F1762" s="5">
        <f ca="1">IFERROR(__xludf.UNSUPPORTED("""COMPUTED_VALUE"""),0.25)</f>
        <v>0.25</v>
      </c>
      <c r="G1762" s="3" t="str">
        <f ca="1">IFERROR(__xludf.UNSUPPORTED("""COMPUTED_VALUE"""),"Regular")</f>
        <v>Regular</v>
      </c>
      <c r="H1762" s="4">
        <f ca="1">IFERROR(__xludf.UNSUPPORTED("""COMPUTED_VALUE"""),45379.8984606481)</f>
        <v>45379.898460648103</v>
      </c>
      <c r="I1762" s="3">
        <f ca="1">IFERROR(__xludf.UNSUPPORTED("""COMPUTED_VALUE"""),6)</f>
        <v>6</v>
      </c>
      <c r="J1762" s="4">
        <f ca="1">IFERROR(__xludf.UNSUPPORTED("""COMPUTED_VALUE"""),45380.1484606481)</f>
        <v>45380.148460648103</v>
      </c>
      <c r="K1762" s="3" t="str">
        <f ca="1">IFERROR(__xludf.UNSUPPORTED("""COMPUTED_VALUE"""),"Porto do recife")</f>
        <v>Porto do recife</v>
      </c>
      <c r="L1762" s="3" t="str">
        <f ca="1">IFERROR(__xludf.UNSUPPORTED("""COMPUTED_VALUE"""),"Crítico")</f>
        <v>Crítico</v>
      </c>
    </row>
    <row r="1763" spans="1:12" ht="12.75">
      <c r="A1763" s="3" t="str">
        <f ca="1">IFERROR(__xludf.UNSUPPORTED("""COMPUTED_VALUE"""),"b1293043")</f>
        <v>b1293043</v>
      </c>
      <c r="B1763" s="4">
        <f ca="1">IFERROR(__xludf.UNSUPPORTED("""COMPUTED_VALUE"""),45380.5251504629)</f>
        <v>45380.525150462898</v>
      </c>
      <c r="C1763" s="8" t="str">
        <f ca="1">IFERROR(__xludf.UNSUPPORTED("""COMPUTED_VALUE"""),"Recife")</f>
        <v>Recife</v>
      </c>
      <c r="D1763" s="3" t="str">
        <f ca="1">IFERROR(__xludf.UNSUPPORTED("""COMPUTED_VALUE"""),"🚢 REGULAR")</f>
        <v>🚢 REGULAR</v>
      </c>
      <c r="E1763" s="3" t="str">
        <f ca="1">IFERROR(__xludf.UNSUPPORTED("""COMPUTED_VALUE"""),"🚛 LIBERADO")</f>
        <v>🚛 LIBERADO</v>
      </c>
      <c r="F1763" s="5">
        <f ca="1">IFERROR(__xludf.UNSUPPORTED("""COMPUTED_VALUE"""),0.25)</f>
        <v>0.25</v>
      </c>
      <c r="G1763" s="3" t="str">
        <f ca="1">IFERROR(__xludf.UNSUPPORTED("""COMPUTED_VALUE"""),"Regular")</f>
        <v>Regular</v>
      </c>
      <c r="H1763" s="4">
        <f ca="1">IFERROR(__xludf.UNSUPPORTED("""COMPUTED_VALUE"""),45380.5251504629)</f>
        <v>45380.525150462898</v>
      </c>
      <c r="I1763" s="3">
        <f ca="1">IFERROR(__xludf.UNSUPPORTED("""COMPUTED_VALUE"""),6)</f>
        <v>6</v>
      </c>
      <c r="J1763" s="4">
        <f ca="1">IFERROR(__xludf.UNSUPPORTED("""COMPUTED_VALUE"""),45380.7751504629)</f>
        <v>45380.775150462898</v>
      </c>
      <c r="K1763" s="3" t="str">
        <f ca="1">IFERROR(__xludf.UNSUPPORTED("""COMPUTED_VALUE"""),"Porto do Recife")</f>
        <v>Porto do Recife</v>
      </c>
      <c r="L1763" s="3" t="str">
        <f ca="1">IFERROR(__xludf.UNSUPPORTED("""COMPUTED_VALUE"""),"Crítico")</f>
        <v>Crítico</v>
      </c>
    </row>
    <row r="1764" spans="1:12" ht="12.75">
      <c r="A1764" s="3" t="str">
        <f ca="1">IFERROR(__xludf.UNSUPPORTED("""COMPUTED_VALUE"""),"6fea96d4")</f>
        <v>6fea96d4</v>
      </c>
      <c r="B1764" s="4">
        <f ca="1">IFERROR(__xludf.UNSUPPORTED("""COMPUTED_VALUE"""),45381.5084143518)</f>
        <v>45381.508414351803</v>
      </c>
      <c r="C1764" s="7" t="str">
        <f ca="1">IFERROR(__xludf.UNSUPPORTED("""COMPUTED_VALUE"""),"Recife")</f>
        <v>Recife</v>
      </c>
      <c r="D1764" s="3" t="str">
        <f ca="1">IFERROR(__xludf.UNSUPPORTED("""COMPUTED_VALUE"""),"🚢 REGULAR")</f>
        <v>🚢 REGULAR</v>
      </c>
      <c r="E1764" s="3" t="str">
        <f ca="1">IFERROR(__xludf.UNSUPPORTED("""COMPUTED_VALUE"""),"🚛 LIBERADO")</f>
        <v>🚛 LIBERADO</v>
      </c>
      <c r="F1764" s="5">
        <f ca="1">IFERROR(__xludf.UNSUPPORTED("""COMPUTED_VALUE"""),0.25)</f>
        <v>0.25</v>
      </c>
      <c r="G1764" s="3" t="str">
        <f ca="1">IFERROR(__xludf.UNSUPPORTED("""COMPUTED_VALUE"""),"Regular")</f>
        <v>Regular</v>
      </c>
      <c r="H1764" s="4">
        <f ca="1">IFERROR(__xludf.UNSUPPORTED("""COMPUTED_VALUE"""),45381.5084143518)</f>
        <v>45381.508414351803</v>
      </c>
      <c r="I1764" s="3">
        <f ca="1">IFERROR(__xludf.UNSUPPORTED("""COMPUTED_VALUE"""),6)</f>
        <v>6</v>
      </c>
      <c r="J1764" s="4">
        <f ca="1">IFERROR(__xludf.UNSUPPORTED("""COMPUTED_VALUE"""),45381.7584143518)</f>
        <v>45381.758414351803</v>
      </c>
      <c r="K1764" s="3" t="str">
        <f ca="1">IFERROR(__xludf.UNSUPPORTED("""COMPUTED_VALUE"""),"Porto do Recife")</f>
        <v>Porto do Recife</v>
      </c>
      <c r="L1764" s="3" t="str">
        <f ca="1">IFERROR(__xludf.UNSUPPORTED("""COMPUTED_VALUE"""),"Crítico")</f>
        <v>Crítico</v>
      </c>
    </row>
    <row r="1765" spans="1:12" ht="12.75">
      <c r="A1765" s="3" t="str">
        <f ca="1">IFERROR(__xludf.UNSUPPORTED("""COMPUTED_VALUE"""),"7247bf1b")</f>
        <v>7247bf1b</v>
      </c>
      <c r="B1765" s="4">
        <f ca="1">IFERROR(__xludf.UNSUPPORTED("""COMPUTED_VALUE"""),45382.5505555555)</f>
        <v>45382.550555555499</v>
      </c>
      <c r="C1765" s="8" t="str">
        <f ca="1">IFERROR(__xludf.UNSUPPORTED("""COMPUTED_VALUE"""),"Recife")</f>
        <v>Recife</v>
      </c>
      <c r="D1765" s="3" t="str">
        <f ca="1">IFERROR(__xludf.UNSUPPORTED("""COMPUTED_VALUE"""),"🚢 REGULAR")</f>
        <v>🚢 REGULAR</v>
      </c>
      <c r="E1765" s="3" t="str">
        <f ca="1">IFERROR(__xludf.UNSUPPORTED("""COMPUTED_VALUE"""),"🚛 LIBERADO")</f>
        <v>🚛 LIBERADO</v>
      </c>
      <c r="F1765" s="5">
        <f ca="1">IFERROR(__xludf.UNSUPPORTED("""COMPUTED_VALUE"""),0.25)</f>
        <v>0.25</v>
      </c>
      <c r="G1765" s="3" t="str">
        <f ca="1">IFERROR(__xludf.UNSUPPORTED("""COMPUTED_VALUE"""),"Regular")</f>
        <v>Regular</v>
      </c>
      <c r="H1765" s="4">
        <f ca="1">IFERROR(__xludf.UNSUPPORTED("""COMPUTED_VALUE"""),45382.5505555555)</f>
        <v>45382.550555555499</v>
      </c>
      <c r="I1765" s="3">
        <f ca="1">IFERROR(__xludf.UNSUPPORTED("""COMPUTED_VALUE"""),6)</f>
        <v>6</v>
      </c>
      <c r="J1765" s="4">
        <f ca="1">IFERROR(__xludf.UNSUPPORTED("""COMPUTED_VALUE"""),45382.8005555555)</f>
        <v>45382.800555555499</v>
      </c>
      <c r="K1765" s="3" t="str">
        <f ca="1">IFERROR(__xludf.UNSUPPORTED("""COMPUTED_VALUE"""),"Porto do Recife")</f>
        <v>Porto do Recife</v>
      </c>
      <c r="L1765" s="3" t="str">
        <f ca="1">IFERROR(__xludf.UNSUPPORTED("""COMPUTED_VALUE"""),"Crítico")</f>
        <v>Crítico</v>
      </c>
    </row>
    <row r="1766" spans="1:12" ht="12.75">
      <c r="A1766" s="3" t="str">
        <f ca="1">IFERROR(__xludf.UNSUPPORTED("""COMPUTED_VALUE"""),"47ead420")</f>
        <v>47ead420</v>
      </c>
      <c r="B1766" s="4">
        <f ca="1">IFERROR(__xludf.UNSUPPORTED("""COMPUTED_VALUE"""),45384.3405787037)</f>
        <v>45384.340578703697</v>
      </c>
      <c r="C1766" s="7" t="str">
        <f ca="1">IFERROR(__xludf.UNSUPPORTED("""COMPUTED_VALUE"""),"Recife")</f>
        <v>Recife</v>
      </c>
      <c r="D1766" s="3" t="str">
        <f ca="1">IFERROR(__xludf.UNSUPPORTED("""COMPUTED_VALUE"""),"🚢 REGULAR")</f>
        <v>🚢 REGULAR</v>
      </c>
      <c r="E1766" s="3" t="str">
        <f ca="1">IFERROR(__xludf.UNSUPPORTED("""COMPUTED_VALUE"""),"🚛 LIBERADO")</f>
        <v>🚛 LIBERADO</v>
      </c>
      <c r="F1766" s="5">
        <f ca="1">IFERROR(__xludf.UNSUPPORTED("""COMPUTED_VALUE"""),0.25)</f>
        <v>0.25</v>
      </c>
      <c r="G1766" s="3" t="str">
        <f ca="1">IFERROR(__xludf.UNSUPPORTED("""COMPUTED_VALUE"""),"Regular")</f>
        <v>Regular</v>
      </c>
      <c r="H1766" s="4">
        <f ca="1">IFERROR(__xludf.UNSUPPORTED("""COMPUTED_VALUE"""),45384.3405787037)</f>
        <v>45384.340578703697</v>
      </c>
      <c r="I1766" s="3">
        <f ca="1">IFERROR(__xludf.UNSUPPORTED("""COMPUTED_VALUE"""),6)</f>
        <v>6</v>
      </c>
      <c r="J1766" s="4">
        <f ca="1">IFERROR(__xludf.UNSUPPORTED("""COMPUTED_VALUE"""),45384.5905787037)</f>
        <v>45384.590578703697</v>
      </c>
      <c r="K1766" s="3" t="str">
        <f ca="1">IFERROR(__xludf.UNSUPPORTED("""COMPUTED_VALUE"""),"Porto do Recife")</f>
        <v>Porto do Recife</v>
      </c>
      <c r="L1766" s="3" t="str">
        <f ca="1">IFERROR(__xludf.UNSUPPORTED("""COMPUTED_VALUE"""),"Crítico")</f>
        <v>Crítico</v>
      </c>
    </row>
    <row r="1767" spans="1:12" ht="12.75">
      <c r="A1767" s="3" t="str">
        <f ca="1">IFERROR(__xludf.UNSUPPORTED("""COMPUTED_VALUE"""),"4f4d5a03")</f>
        <v>4f4d5a03</v>
      </c>
      <c r="B1767" s="4">
        <f ca="1">IFERROR(__xludf.UNSUPPORTED("""COMPUTED_VALUE"""),45385.3899537037)</f>
        <v>45385.3899537037</v>
      </c>
      <c r="C1767" s="8" t="str">
        <f ca="1">IFERROR(__xludf.UNSUPPORTED("""COMPUTED_VALUE"""),"Recife")</f>
        <v>Recife</v>
      </c>
      <c r="D1767" s="3" t="str">
        <f ca="1">IFERROR(__xludf.UNSUPPORTED("""COMPUTED_VALUE"""),"🚢 REGULAR")</f>
        <v>🚢 REGULAR</v>
      </c>
      <c r="E1767" s="3" t="str">
        <f ca="1">IFERROR(__xludf.UNSUPPORTED("""COMPUTED_VALUE"""),"🚛 LIBERADO")</f>
        <v>🚛 LIBERADO</v>
      </c>
      <c r="F1767" s="5">
        <f ca="1">IFERROR(__xludf.UNSUPPORTED("""COMPUTED_VALUE"""),0.25)</f>
        <v>0.25</v>
      </c>
      <c r="G1767" s="3" t="str">
        <f ca="1">IFERROR(__xludf.UNSUPPORTED("""COMPUTED_VALUE"""),"Regular")</f>
        <v>Regular</v>
      </c>
      <c r="H1767" s="4">
        <f ca="1">IFERROR(__xludf.UNSUPPORTED("""COMPUTED_VALUE"""),45385.3899537037)</f>
        <v>45385.3899537037</v>
      </c>
      <c r="I1767" s="3">
        <f ca="1">IFERROR(__xludf.UNSUPPORTED("""COMPUTED_VALUE"""),6)</f>
        <v>6</v>
      </c>
      <c r="J1767" s="4">
        <f ca="1">IFERROR(__xludf.UNSUPPORTED("""COMPUTED_VALUE"""),45385.6399537037)</f>
        <v>45385.6399537037</v>
      </c>
      <c r="K1767" s="3" t="str">
        <f ca="1">IFERROR(__xludf.UNSUPPORTED("""COMPUTED_VALUE"""),"Porto do Recife")</f>
        <v>Porto do Recife</v>
      </c>
      <c r="L1767" s="3" t="str">
        <f ca="1">IFERROR(__xludf.UNSUPPORTED("""COMPUTED_VALUE"""),"Crítico")</f>
        <v>Crítico</v>
      </c>
    </row>
    <row r="1768" spans="1:12" ht="12.75">
      <c r="A1768" s="3" t="str">
        <f ca="1">IFERROR(__xludf.UNSUPPORTED("""COMPUTED_VALUE"""),"2ac5baf6")</f>
        <v>2ac5baf6</v>
      </c>
      <c r="B1768" s="4">
        <f ca="1">IFERROR(__xludf.UNSUPPORTED("""COMPUTED_VALUE"""),45386.8267361111)</f>
        <v>45386.826736111099</v>
      </c>
      <c r="C1768" s="7" t="str">
        <f ca="1">IFERROR(__xludf.UNSUPPORTED("""COMPUTED_VALUE"""),"Recife")</f>
        <v>Recife</v>
      </c>
      <c r="D1768" s="3" t="str">
        <f ca="1">IFERROR(__xludf.UNSUPPORTED("""COMPUTED_VALUE"""),"🚢 REGULAR")</f>
        <v>🚢 REGULAR</v>
      </c>
      <c r="E1768" s="3" t="str">
        <f ca="1">IFERROR(__xludf.UNSUPPORTED("""COMPUTED_VALUE"""),"🚛 LIBERADO")</f>
        <v>🚛 LIBERADO</v>
      </c>
      <c r="F1768" s="5">
        <f ca="1">IFERROR(__xludf.UNSUPPORTED("""COMPUTED_VALUE"""),0.25)</f>
        <v>0.25</v>
      </c>
      <c r="G1768" s="3" t="str">
        <f ca="1">IFERROR(__xludf.UNSUPPORTED("""COMPUTED_VALUE"""),"Regular")</f>
        <v>Regular</v>
      </c>
      <c r="H1768" s="4">
        <f ca="1">IFERROR(__xludf.UNSUPPORTED("""COMPUTED_VALUE"""),45386.8267361111)</f>
        <v>45386.826736111099</v>
      </c>
      <c r="I1768" s="3">
        <f ca="1">IFERROR(__xludf.UNSUPPORTED("""COMPUTED_VALUE"""),6)</f>
        <v>6</v>
      </c>
      <c r="J1768" s="4">
        <f ca="1">IFERROR(__xludf.UNSUPPORTED("""COMPUTED_VALUE"""),45387.0767361111)</f>
        <v>45387.076736111099</v>
      </c>
      <c r="K1768" s="3" t="str">
        <f ca="1">IFERROR(__xludf.UNSUPPORTED("""COMPUTED_VALUE"""),"Porto do Recife")</f>
        <v>Porto do Recife</v>
      </c>
      <c r="L1768" s="3" t="str">
        <f ca="1">IFERROR(__xludf.UNSUPPORTED("""COMPUTED_VALUE"""),"Crítico")</f>
        <v>Crítico</v>
      </c>
    </row>
    <row r="1769" spans="1:12" ht="12.75">
      <c r="A1769" s="3" t="str">
        <f ca="1">IFERROR(__xludf.UNSUPPORTED("""COMPUTED_VALUE"""),"11c70654")</f>
        <v>11c70654</v>
      </c>
      <c r="B1769" s="4">
        <f ca="1">IFERROR(__xludf.UNSUPPORTED("""COMPUTED_VALUE"""),45387.8723611111)</f>
        <v>45387.872361111098</v>
      </c>
      <c r="C1769" s="8" t="str">
        <f ca="1">IFERROR(__xludf.UNSUPPORTED("""COMPUTED_VALUE"""),"Recife")</f>
        <v>Recife</v>
      </c>
      <c r="D1769" s="3" t="str">
        <f ca="1">IFERROR(__xludf.UNSUPPORTED("""COMPUTED_VALUE"""),"🚢 REGULAR")</f>
        <v>🚢 REGULAR</v>
      </c>
      <c r="E1769" s="3" t="str">
        <f ca="1">IFERROR(__xludf.UNSUPPORTED("""COMPUTED_VALUE"""),"🚛 LIBERADO")</f>
        <v>🚛 LIBERADO</v>
      </c>
      <c r="F1769" s="5">
        <f ca="1">IFERROR(__xludf.UNSUPPORTED("""COMPUTED_VALUE"""),0.25)</f>
        <v>0.25</v>
      </c>
      <c r="G1769" s="3" t="str">
        <f ca="1">IFERROR(__xludf.UNSUPPORTED("""COMPUTED_VALUE"""),"Regular")</f>
        <v>Regular</v>
      </c>
      <c r="H1769" s="4">
        <f ca="1">IFERROR(__xludf.UNSUPPORTED("""COMPUTED_VALUE"""),45387.8723611111)</f>
        <v>45387.872361111098</v>
      </c>
      <c r="I1769" s="3">
        <f ca="1">IFERROR(__xludf.UNSUPPORTED("""COMPUTED_VALUE"""),6)</f>
        <v>6</v>
      </c>
      <c r="J1769" s="4">
        <f ca="1">IFERROR(__xludf.UNSUPPORTED("""COMPUTED_VALUE"""),45388.1223611111)</f>
        <v>45388.122361111098</v>
      </c>
      <c r="K1769" s="3" t="str">
        <f ca="1">IFERROR(__xludf.UNSUPPORTED("""COMPUTED_VALUE"""),"Porto do Recife")</f>
        <v>Porto do Recife</v>
      </c>
      <c r="L1769" s="3" t="str">
        <f ca="1">IFERROR(__xludf.UNSUPPORTED("""COMPUTED_VALUE"""),"Crítico")</f>
        <v>Crítico</v>
      </c>
    </row>
    <row r="1770" spans="1:12" ht="12.75">
      <c r="A1770" s="3" t="str">
        <f ca="1">IFERROR(__xludf.UNSUPPORTED("""COMPUTED_VALUE"""),"31abb81c")</f>
        <v>31abb81c</v>
      </c>
      <c r="B1770" s="4">
        <f ca="1">IFERROR(__xludf.UNSUPPORTED("""COMPUTED_VALUE"""),45388.4743171296)</f>
        <v>45388.4743171296</v>
      </c>
      <c r="C1770" s="7" t="str">
        <f ca="1">IFERROR(__xludf.UNSUPPORTED("""COMPUTED_VALUE"""),"Recife")</f>
        <v>Recife</v>
      </c>
      <c r="D1770" s="3" t="str">
        <f ca="1">IFERROR(__xludf.UNSUPPORTED("""COMPUTED_VALUE"""),"🚢 REGULAR")</f>
        <v>🚢 REGULAR</v>
      </c>
      <c r="E1770" s="3" t="str">
        <f ca="1">IFERROR(__xludf.UNSUPPORTED("""COMPUTED_VALUE"""),"🚛 LIBERADO")</f>
        <v>🚛 LIBERADO</v>
      </c>
      <c r="F1770" s="5">
        <f ca="1">IFERROR(__xludf.UNSUPPORTED("""COMPUTED_VALUE"""),0.25)</f>
        <v>0.25</v>
      </c>
      <c r="G1770" s="3" t="str">
        <f ca="1">IFERROR(__xludf.UNSUPPORTED("""COMPUTED_VALUE"""),"Regular")</f>
        <v>Regular</v>
      </c>
      <c r="H1770" s="4">
        <f ca="1">IFERROR(__xludf.UNSUPPORTED("""COMPUTED_VALUE"""),45388.4743171296)</f>
        <v>45388.4743171296</v>
      </c>
      <c r="I1770" s="3">
        <f ca="1">IFERROR(__xludf.UNSUPPORTED("""COMPUTED_VALUE"""),6)</f>
        <v>6</v>
      </c>
      <c r="J1770" s="4">
        <f ca="1">IFERROR(__xludf.UNSUPPORTED("""COMPUTED_VALUE"""),45388.7243171296)</f>
        <v>45388.7243171296</v>
      </c>
      <c r="K1770" s="3" t="str">
        <f ca="1">IFERROR(__xludf.UNSUPPORTED("""COMPUTED_VALUE"""),"Porto do Recife")</f>
        <v>Porto do Recife</v>
      </c>
      <c r="L1770" s="3" t="str">
        <f ca="1">IFERROR(__xludf.UNSUPPORTED("""COMPUTED_VALUE"""),"Crítico")</f>
        <v>Crítico</v>
      </c>
    </row>
    <row r="1771" spans="1:12" ht="12.75">
      <c r="A1771" s="3" t="str">
        <f ca="1">IFERROR(__xludf.UNSUPPORTED("""COMPUTED_VALUE"""),"d52b9d72")</f>
        <v>d52b9d72</v>
      </c>
      <c r="B1771" s="4">
        <f ca="1">IFERROR(__xludf.UNSUPPORTED("""COMPUTED_VALUE"""),45390.3622337962)</f>
        <v>45390.362233796201</v>
      </c>
      <c r="C1771" s="8" t="str">
        <f ca="1">IFERROR(__xludf.UNSUPPORTED("""COMPUTED_VALUE"""),"Recife")</f>
        <v>Recife</v>
      </c>
      <c r="D1771" s="3" t="str">
        <f ca="1">IFERROR(__xludf.UNSUPPORTED("""COMPUTED_VALUE"""),"🚢 REGULAR")</f>
        <v>🚢 REGULAR</v>
      </c>
      <c r="E1771" s="3" t="str">
        <f ca="1">IFERROR(__xludf.UNSUPPORTED("""COMPUTED_VALUE"""),"🚛 LIBERADO")</f>
        <v>🚛 LIBERADO</v>
      </c>
      <c r="F1771" s="5">
        <f ca="1">IFERROR(__xludf.UNSUPPORTED("""COMPUTED_VALUE"""),0.25)</f>
        <v>0.25</v>
      </c>
      <c r="G1771" s="3" t="str">
        <f ca="1">IFERROR(__xludf.UNSUPPORTED("""COMPUTED_VALUE"""),"Regular")</f>
        <v>Regular</v>
      </c>
      <c r="H1771" s="4">
        <f ca="1">IFERROR(__xludf.UNSUPPORTED("""COMPUTED_VALUE"""),45390.3622337962)</f>
        <v>45390.362233796201</v>
      </c>
      <c r="I1771" s="3">
        <f ca="1">IFERROR(__xludf.UNSUPPORTED("""COMPUTED_VALUE"""),6)</f>
        <v>6</v>
      </c>
      <c r="J1771" s="4">
        <f ca="1">IFERROR(__xludf.UNSUPPORTED("""COMPUTED_VALUE"""),45390.6122337962)</f>
        <v>45390.612233796201</v>
      </c>
      <c r="K1771" s="3" t="str">
        <f ca="1">IFERROR(__xludf.UNSUPPORTED("""COMPUTED_VALUE"""),"Porto do Recife")</f>
        <v>Porto do Recife</v>
      </c>
      <c r="L1771" s="3" t="str">
        <f ca="1">IFERROR(__xludf.UNSUPPORTED("""COMPUTED_VALUE"""),"Crítico")</f>
        <v>Crítico</v>
      </c>
    </row>
    <row r="1772" spans="1:12" ht="12.75">
      <c r="A1772" s="3" t="str">
        <f ca="1">IFERROR(__xludf.UNSUPPORTED("""COMPUTED_VALUE"""),"5db975a3")</f>
        <v>5db975a3</v>
      </c>
      <c r="B1772" s="4">
        <f ca="1">IFERROR(__xludf.UNSUPPORTED("""COMPUTED_VALUE"""),45392.725)</f>
        <v>45392.724999999999</v>
      </c>
      <c r="C1772" s="7" t="str">
        <f ca="1">IFERROR(__xludf.UNSUPPORTED("""COMPUTED_VALUE"""),"Recife")</f>
        <v>Recife</v>
      </c>
      <c r="D1772" s="3" t="str">
        <f ca="1">IFERROR(__xludf.UNSUPPORTED("""COMPUTED_VALUE"""),"🚢 REGULAR")</f>
        <v>🚢 REGULAR</v>
      </c>
      <c r="E1772" s="3" t="str">
        <f ca="1">IFERROR(__xludf.UNSUPPORTED("""COMPUTED_VALUE"""),"🚛 LIBERADO")</f>
        <v>🚛 LIBERADO</v>
      </c>
      <c r="F1772" s="5">
        <f ca="1">IFERROR(__xludf.UNSUPPORTED("""COMPUTED_VALUE"""),0.25)</f>
        <v>0.25</v>
      </c>
      <c r="G1772" s="3" t="str">
        <f ca="1">IFERROR(__xludf.UNSUPPORTED("""COMPUTED_VALUE"""),"Regular")</f>
        <v>Regular</v>
      </c>
      <c r="H1772" s="4">
        <f ca="1">IFERROR(__xludf.UNSUPPORTED("""COMPUTED_VALUE"""),45392.725)</f>
        <v>45392.724999999999</v>
      </c>
      <c r="I1772" s="3">
        <f ca="1">IFERROR(__xludf.UNSUPPORTED("""COMPUTED_VALUE"""),6)</f>
        <v>6</v>
      </c>
      <c r="J1772" s="4">
        <f ca="1">IFERROR(__xludf.UNSUPPORTED("""COMPUTED_VALUE"""),45392.975)</f>
        <v>45392.974999999999</v>
      </c>
      <c r="K1772" s="3" t="str">
        <f ca="1">IFERROR(__xludf.UNSUPPORTED("""COMPUTED_VALUE"""),"Porto do Recife")</f>
        <v>Porto do Recife</v>
      </c>
      <c r="L1772" s="3" t="str">
        <f ca="1">IFERROR(__xludf.UNSUPPORTED("""COMPUTED_VALUE"""),"Crítico")</f>
        <v>Crítico</v>
      </c>
    </row>
    <row r="1773" spans="1:12" ht="12.75">
      <c r="A1773" s="3" t="str">
        <f ca="1">IFERROR(__xludf.UNSUPPORTED("""COMPUTED_VALUE"""),"a47840ac")</f>
        <v>a47840ac</v>
      </c>
      <c r="B1773" s="4">
        <f ca="1">IFERROR(__xludf.UNSUPPORTED("""COMPUTED_VALUE"""),45393.3890972222)</f>
        <v>45393.3890972222</v>
      </c>
      <c r="C1773" s="8" t="str">
        <f ca="1">IFERROR(__xludf.UNSUPPORTED("""COMPUTED_VALUE"""),"Recife")</f>
        <v>Recife</v>
      </c>
      <c r="D1773" s="3" t="str">
        <f ca="1">IFERROR(__xludf.UNSUPPORTED("""COMPUTED_VALUE"""),"🚢 REGULAR")</f>
        <v>🚢 REGULAR</v>
      </c>
      <c r="E1773" s="3" t="str">
        <f ca="1">IFERROR(__xludf.UNSUPPORTED("""COMPUTED_VALUE"""),"🚛 LIBERADO")</f>
        <v>🚛 LIBERADO</v>
      </c>
      <c r="F1773" s="5">
        <f ca="1">IFERROR(__xludf.UNSUPPORTED("""COMPUTED_VALUE"""),0.25)</f>
        <v>0.25</v>
      </c>
      <c r="G1773" s="3" t="str">
        <f ca="1">IFERROR(__xludf.UNSUPPORTED("""COMPUTED_VALUE"""),"Regular")</f>
        <v>Regular</v>
      </c>
      <c r="H1773" s="4">
        <f ca="1">IFERROR(__xludf.UNSUPPORTED("""COMPUTED_VALUE"""),45393.3890972222)</f>
        <v>45393.3890972222</v>
      </c>
      <c r="I1773" s="3">
        <f ca="1">IFERROR(__xludf.UNSUPPORTED("""COMPUTED_VALUE"""),6)</f>
        <v>6</v>
      </c>
      <c r="J1773" s="4">
        <f ca="1">IFERROR(__xludf.UNSUPPORTED("""COMPUTED_VALUE"""),45393.6390972222)</f>
        <v>45393.6390972222</v>
      </c>
      <c r="K1773" s="3" t="str">
        <f ca="1">IFERROR(__xludf.UNSUPPORTED("""COMPUTED_VALUE"""),"Porto do Recife")</f>
        <v>Porto do Recife</v>
      </c>
      <c r="L1773" s="3" t="str">
        <f ca="1">IFERROR(__xludf.UNSUPPORTED("""COMPUTED_VALUE"""),"Crítico")</f>
        <v>Crítico</v>
      </c>
    </row>
    <row r="1774" spans="1:12" ht="12.75">
      <c r="A1774" s="3" t="str">
        <f ca="1">IFERROR(__xludf.UNSUPPORTED("""COMPUTED_VALUE"""),"1ee6e836")</f>
        <v>1ee6e836</v>
      </c>
      <c r="B1774" s="4">
        <f ca="1">IFERROR(__xludf.UNSUPPORTED("""COMPUTED_VALUE"""),45394.3722337963)</f>
        <v>45394.372233796297</v>
      </c>
      <c r="C1774" s="7" t="str">
        <f ca="1">IFERROR(__xludf.UNSUPPORTED("""COMPUTED_VALUE"""),"Recife")</f>
        <v>Recife</v>
      </c>
      <c r="D1774" s="3" t="str">
        <f ca="1">IFERROR(__xludf.UNSUPPORTED("""COMPUTED_VALUE"""),"🚢 REGULAR")</f>
        <v>🚢 REGULAR</v>
      </c>
      <c r="E1774" s="3" t="str">
        <f ca="1">IFERROR(__xludf.UNSUPPORTED("""COMPUTED_VALUE"""),"🚛 LIBERADO")</f>
        <v>🚛 LIBERADO</v>
      </c>
      <c r="F1774" s="5">
        <f ca="1">IFERROR(__xludf.UNSUPPORTED("""COMPUTED_VALUE"""),0.25)</f>
        <v>0.25</v>
      </c>
      <c r="G1774" s="3" t="str">
        <f ca="1">IFERROR(__xludf.UNSUPPORTED("""COMPUTED_VALUE"""),"Regular")</f>
        <v>Regular</v>
      </c>
      <c r="H1774" s="4">
        <f ca="1">IFERROR(__xludf.UNSUPPORTED("""COMPUTED_VALUE"""),45394.3722337963)</f>
        <v>45394.372233796297</v>
      </c>
      <c r="I1774" s="3">
        <f ca="1">IFERROR(__xludf.UNSUPPORTED("""COMPUTED_VALUE"""),6)</f>
        <v>6</v>
      </c>
      <c r="J1774" s="4">
        <f ca="1">IFERROR(__xludf.UNSUPPORTED("""COMPUTED_VALUE"""),45394.6222337963)</f>
        <v>45394.622233796297</v>
      </c>
      <c r="K1774" s="3" t="str">
        <f ca="1">IFERROR(__xludf.UNSUPPORTED("""COMPUTED_VALUE"""),"Porto do Recife")</f>
        <v>Porto do Recife</v>
      </c>
      <c r="L1774" s="3" t="str">
        <f ca="1">IFERROR(__xludf.UNSUPPORTED("""COMPUTED_VALUE"""),"Crítico")</f>
        <v>Crítico</v>
      </c>
    </row>
    <row r="1775" spans="1:12" ht="12.75">
      <c r="A1775" s="3" t="str">
        <f ca="1">IFERROR(__xludf.UNSUPPORTED("""COMPUTED_VALUE"""),"d3cf65df")</f>
        <v>d3cf65df</v>
      </c>
      <c r="B1775" s="4">
        <f ca="1">IFERROR(__xludf.UNSUPPORTED("""COMPUTED_VALUE"""),45395.3838310185)</f>
        <v>45395.383831018502</v>
      </c>
      <c r="C1775" s="8" t="str">
        <f ca="1">IFERROR(__xludf.UNSUPPORTED("""COMPUTED_VALUE"""),"Recife")</f>
        <v>Recife</v>
      </c>
      <c r="D1775" s="3" t="str">
        <f ca="1">IFERROR(__xludf.UNSUPPORTED("""COMPUTED_VALUE"""),"🚢 REGULAR")</f>
        <v>🚢 REGULAR</v>
      </c>
      <c r="E1775" s="3" t="str">
        <f ca="1">IFERROR(__xludf.UNSUPPORTED("""COMPUTED_VALUE"""),"🚛 LIBERADO")</f>
        <v>🚛 LIBERADO</v>
      </c>
      <c r="F1775" s="5">
        <f ca="1">IFERROR(__xludf.UNSUPPORTED("""COMPUTED_VALUE"""),0.25)</f>
        <v>0.25</v>
      </c>
      <c r="G1775" s="3" t="str">
        <f ca="1">IFERROR(__xludf.UNSUPPORTED("""COMPUTED_VALUE"""),"Regular")</f>
        <v>Regular</v>
      </c>
      <c r="H1775" s="4">
        <f ca="1">IFERROR(__xludf.UNSUPPORTED("""COMPUTED_VALUE"""),45395.3838310185)</f>
        <v>45395.383831018502</v>
      </c>
      <c r="I1775" s="3">
        <f ca="1">IFERROR(__xludf.UNSUPPORTED("""COMPUTED_VALUE"""),6)</f>
        <v>6</v>
      </c>
      <c r="J1775" s="4">
        <f ca="1">IFERROR(__xludf.UNSUPPORTED("""COMPUTED_VALUE"""),45395.6338310185)</f>
        <v>45395.633831018502</v>
      </c>
      <c r="K1775" s="3" t="str">
        <f ca="1">IFERROR(__xludf.UNSUPPORTED("""COMPUTED_VALUE"""),"Porto do Recife")</f>
        <v>Porto do Recife</v>
      </c>
      <c r="L1775" s="3" t="str">
        <f ca="1">IFERROR(__xludf.UNSUPPORTED("""COMPUTED_VALUE"""),"Crítico")</f>
        <v>Crítico</v>
      </c>
    </row>
    <row r="1776" spans="1:12" ht="12.75">
      <c r="A1776" s="3" t="str">
        <f ca="1">IFERROR(__xludf.UNSUPPORTED("""COMPUTED_VALUE"""),"057f11c4")</f>
        <v>057f11c4</v>
      </c>
      <c r="B1776" s="4">
        <f ca="1">IFERROR(__xludf.UNSUPPORTED("""COMPUTED_VALUE"""),45396.4500810184)</f>
        <v>45396.450081018404</v>
      </c>
      <c r="C1776" s="7" t="str">
        <f ca="1">IFERROR(__xludf.UNSUPPORTED("""COMPUTED_VALUE"""),"Recife")</f>
        <v>Recife</v>
      </c>
      <c r="D1776" s="3" t="str">
        <f ca="1">IFERROR(__xludf.UNSUPPORTED("""COMPUTED_VALUE"""),"🚢 REGULAR")</f>
        <v>🚢 REGULAR</v>
      </c>
      <c r="E1776" s="3" t="str">
        <f ca="1">IFERROR(__xludf.UNSUPPORTED("""COMPUTED_VALUE"""),"🚛 LIBERADO")</f>
        <v>🚛 LIBERADO</v>
      </c>
      <c r="F1776" s="5">
        <f ca="1">IFERROR(__xludf.UNSUPPORTED("""COMPUTED_VALUE"""),0.25)</f>
        <v>0.25</v>
      </c>
      <c r="G1776" s="3" t="str">
        <f ca="1">IFERROR(__xludf.UNSUPPORTED("""COMPUTED_VALUE"""),"Regular")</f>
        <v>Regular</v>
      </c>
      <c r="H1776" s="4">
        <f ca="1">IFERROR(__xludf.UNSUPPORTED("""COMPUTED_VALUE"""),45396.4500810184)</f>
        <v>45396.450081018404</v>
      </c>
      <c r="I1776" s="3">
        <f ca="1">IFERROR(__xludf.UNSUPPORTED("""COMPUTED_VALUE"""),6)</f>
        <v>6</v>
      </c>
      <c r="J1776" s="4">
        <f ca="1">IFERROR(__xludf.UNSUPPORTED("""COMPUTED_VALUE"""),45396.7000810184)</f>
        <v>45396.700081018404</v>
      </c>
      <c r="K1776" s="3" t="str">
        <f ca="1">IFERROR(__xludf.UNSUPPORTED("""COMPUTED_VALUE"""),"Porto do Recife")</f>
        <v>Porto do Recife</v>
      </c>
      <c r="L1776" s="3" t="str">
        <f ca="1">IFERROR(__xludf.UNSUPPORTED("""COMPUTED_VALUE"""),"Crítico")</f>
        <v>Crítico</v>
      </c>
    </row>
    <row r="1777" spans="1:12" ht="12.75">
      <c r="A1777" s="3" t="str">
        <f ca="1">IFERROR(__xludf.UNSUPPORTED("""COMPUTED_VALUE"""),"508693ba")</f>
        <v>508693ba</v>
      </c>
      <c r="B1777" s="4">
        <f ca="1">IFERROR(__xludf.UNSUPPORTED("""COMPUTED_VALUE"""),45397.3108796296)</f>
        <v>45397.3108796296</v>
      </c>
      <c r="C1777" s="8" t="str">
        <f ca="1">IFERROR(__xludf.UNSUPPORTED("""COMPUTED_VALUE"""),"Recife")</f>
        <v>Recife</v>
      </c>
      <c r="D1777" s="3" t="str">
        <f ca="1">IFERROR(__xludf.UNSUPPORTED("""COMPUTED_VALUE"""),"🚢 REGULAR")</f>
        <v>🚢 REGULAR</v>
      </c>
      <c r="E1777" s="3" t="str">
        <f ca="1">IFERROR(__xludf.UNSUPPORTED("""COMPUTED_VALUE"""),"🚛 LIBERADO")</f>
        <v>🚛 LIBERADO</v>
      </c>
      <c r="F1777" s="5">
        <f ca="1">IFERROR(__xludf.UNSUPPORTED("""COMPUTED_VALUE"""),0.25)</f>
        <v>0.25</v>
      </c>
      <c r="G1777" s="3" t="str">
        <f ca="1">IFERROR(__xludf.UNSUPPORTED("""COMPUTED_VALUE"""),"Regular")</f>
        <v>Regular</v>
      </c>
      <c r="H1777" s="4">
        <f ca="1">IFERROR(__xludf.UNSUPPORTED("""COMPUTED_VALUE"""),45397.3108796296)</f>
        <v>45397.3108796296</v>
      </c>
      <c r="I1777" s="3">
        <f ca="1">IFERROR(__xludf.UNSUPPORTED("""COMPUTED_VALUE"""),6)</f>
        <v>6</v>
      </c>
      <c r="J1777" s="4">
        <f ca="1">IFERROR(__xludf.UNSUPPORTED("""COMPUTED_VALUE"""),45397.5608796296)</f>
        <v>45397.5608796296</v>
      </c>
      <c r="K1777" s="3" t="str">
        <f ca="1">IFERROR(__xludf.UNSUPPORTED("""COMPUTED_VALUE"""),"Porto do Recife")</f>
        <v>Porto do Recife</v>
      </c>
      <c r="L1777" s="3" t="str">
        <f ca="1">IFERROR(__xludf.UNSUPPORTED("""COMPUTED_VALUE"""),"Crítico")</f>
        <v>Crítico</v>
      </c>
    </row>
    <row r="1778" spans="1:12" ht="12.75">
      <c r="A1778" s="3" t="str">
        <f ca="1">IFERROR(__xludf.UNSUPPORTED("""COMPUTED_VALUE"""),"fbdf9a19")</f>
        <v>fbdf9a19</v>
      </c>
      <c r="B1778" s="4">
        <f ca="1">IFERROR(__xludf.UNSUPPORTED("""COMPUTED_VALUE"""),45398.3432407407)</f>
        <v>45398.343240740702</v>
      </c>
      <c r="C1778" s="7" t="str">
        <f ca="1">IFERROR(__xludf.UNSUPPORTED("""COMPUTED_VALUE"""),"Recife")</f>
        <v>Recife</v>
      </c>
      <c r="D1778" s="3" t="str">
        <f ca="1">IFERROR(__xludf.UNSUPPORTED("""COMPUTED_VALUE"""),"🚢 REGULAR")</f>
        <v>🚢 REGULAR</v>
      </c>
      <c r="E1778" s="3" t="str">
        <f ca="1">IFERROR(__xludf.UNSUPPORTED("""COMPUTED_VALUE"""),"🚛 LIBERADO")</f>
        <v>🚛 LIBERADO</v>
      </c>
      <c r="F1778" s="5">
        <f ca="1">IFERROR(__xludf.UNSUPPORTED("""COMPUTED_VALUE"""),0)</f>
        <v>0</v>
      </c>
      <c r="G1778" s="3" t="str">
        <f ca="1">IFERROR(__xludf.UNSUPPORTED("""COMPUTED_VALUE"""),"Normalidade")</f>
        <v>Normalidade</v>
      </c>
      <c r="H1778" s="4">
        <f ca="1">IFERROR(__xludf.UNSUPPORTED("""COMPUTED_VALUE"""),45398.3432407407)</f>
        <v>45398.343240740702</v>
      </c>
      <c r="I1778" s="3">
        <f ca="1">IFERROR(__xludf.UNSUPPORTED("""COMPUTED_VALUE"""),24)</f>
        <v>24</v>
      </c>
      <c r="J1778" s="4">
        <f ca="1">IFERROR(__xludf.UNSUPPORTED("""COMPUTED_VALUE"""),45399.3432407407)</f>
        <v>45399.343240740702</v>
      </c>
    </row>
    <row r="1779" spans="1:12" ht="12.75">
      <c r="A1779" s="3" t="str">
        <f ca="1">IFERROR(__xludf.UNSUPPORTED("""COMPUTED_VALUE"""),"b08f1f4f")</f>
        <v>b08f1f4f</v>
      </c>
      <c r="B1779" s="4">
        <f ca="1">IFERROR(__xludf.UNSUPPORTED("""COMPUTED_VALUE"""),45399.422037037)</f>
        <v>45399.422037037002</v>
      </c>
      <c r="C1779" s="8" t="str">
        <f ca="1">IFERROR(__xludf.UNSUPPORTED("""COMPUTED_VALUE"""),"Recife")</f>
        <v>Recife</v>
      </c>
      <c r="D1779" s="3" t="str">
        <f ca="1">IFERROR(__xludf.UNSUPPORTED("""COMPUTED_VALUE"""),"🚢 REGULAR")</f>
        <v>🚢 REGULAR</v>
      </c>
      <c r="E1779" s="3" t="str">
        <f ca="1">IFERROR(__xludf.UNSUPPORTED("""COMPUTED_VALUE"""),"🚛 LIBERADO")</f>
        <v>🚛 LIBERADO</v>
      </c>
      <c r="F1779" s="5">
        <f ca="1">IFERROR(__xludf.UNSUPPORTED("""COMPUTED_VALUE"""),0)</f>
        <v>0</v>
      </c>
      <c r="G1779" s="3" t="str">
        <f ca="1">IFERROR(__xludf.UNSUPPORTED("""COMPUTED_VALUE"""),"Normalidade")</f>
        <v>Normalidade</v>
      </c>
      <c r="H1779" s="4">
        <f ca="1">IFERROR(__xludf.UNSUPPORTED("""COMPUTED_VALUE"""),45399.422037037)</f>
        <v>45399.422037037002</v>
      </c>
      <c r="I1779" s="3">
        <f ca="1">IFERROR(__xludf.UNSUPPORTED("""COMPUTED_VALUE"""),24)</f>
        <v>24</v>
      </c>
      <c r="J1779" s="4">
        <f ca="1">IFERROR(__xludf.UNSUPPORTED("""COMPUTED_VALUE"""),45400.422037037)</f>
        <v>45400.422037037002</v>
      </c>
    </row>
    <row r="1780" spans="1:12" ht="12.75">
      <c r="A1780" s="3" t="str">
        <f ca="1">IFERROR(__xludf.UNSUPPORTED("""COMPUTED_VALUE"""),"49124cb9")</f>
        <v>49124cb9</v>
      </c>
      <c r="B1780" s="4">
        <f ca="1">IFERROR(__xludf.UNSUPPORTED("""COMPUTED_VALUE"""),45400.4503935185)</f>
        <v>45400.450393518498</v>
      </c>
      <c r="C1780" s="8" t="str">
        <f ca="1">IFERROR(__xludf.UNSUPPORTED("""COMPUTED_VALUE"""),"Recife")</f>
        <v>Recife</v>
      </c>
      <c r="D1780" s="3" t="str">
        <f ca="1">IFERROR(__xludf.UNSUPPORTED("""COMPUTED_VALUE"""),"🚢 REGULAR")</f>
        <v>🚢 REGULAR</v>
      </c>
      <c r="E1780" s="3" t="str">
        <f ca="1">IFERROR(__xludf.UNSUPPORTED("""COMPUTED_VALUE"""),"🚛 LIBERADO")</f>
        <v>🚛 LIBERADO</v>
      </c>
      <c r="F1780" s="5">
        <f ca="1">IFERROR(__xludf.UNSUPPORTED("""COMPUTED_VALUE"""),0)</f>
        <v>0</v>
      </c>
      <c r="G1780" s="3" t="str">
        <f ca="1">IFERROR(__xludf.UNSUPPORTED("""COMPUTED_VALUE"""),"Normalidade")</f>
        <v>Normalidade</v>
      </c>
      <c r="H1780" s="4">
        <f ca="1">IFERROR(__xludf.UNSUPPORTED("""COMPUTED_VALUE"""),45400.4503935185)</f>
        <v>45400.450393518498</v>
      </c>
      <c r="I1780" s="3">
        <f ca="1">IFERROR(__xludf.UNSUPPORTED("""COMPUTED_VALUE"""),24)</f>
        <v>24</v>
      </c>
      <c r="J1780" s="4">
        <f ca="1">IFERROR(__xludf.UNSUPPORTED("""COMPUTED_VALUE"""),45401.4503935185)</f>
        <v>45401.450393518498</v>
      </c>
    </row>
    <row r="1781" spans="1:12" ht="12.75">
      <c r="A1781" s="3" t="str">
        <f ca="1">IFERROR(__xludf.UNSUPPORTED("""COMPUTED_VALUE"""),"9cc30b49")</f>
        <v>9cc30b49</v>
      </c>
      <c r="B1781" s="4">
        <f ca="1">IFERROR(__xludf.UNSUPPORTED("""COMPUTED_VALUE"""),45400.8090393518)</f>
        <v>45400.8090393518</v>
      </c>
      <c r="C1781" s="8" t="str">
        <f ca="1">IFERROR(__xludf.UNSUPPORTED("""COMPUTED_VALUE"""),"Recife")</f>
        <v>Recife</v>
      </c>
      <c r="D1781" s="3" t="str">
        <f ca="1">IFERROR(__xludf.UNSUPPORTED("""COMPUTED_VALUE"""),"🚢 REGULAR")</f>
        <v>🚢 REGULAR</v>
      </c>
      <c r="E1781" s="3" t="str">
        <f ca="1">IFERROR(__xludf.UNSUPPORTED("""COMPUTED_VALUE"""),"🚛 LIBERADO")</f>
        <v>🚛 LIBERADO</v>
      </c>
      <c r="F1781" s="5">
        <f ca="1">IFERROR(__xludf.UNSUPPORTED("""COMPUTED_VALUE"""),0)</f>
        <v>0</v>
      </c>
      <c r="G1781" s="3" t="str">
        <f ca="1">IFERROR(__xludf.UNSUPPORTED("""COMPUTED_VALUE"""),"Normalidade")</f>
        <v>Normalidade</v>
      </c>
      <c r="H1781" s="4">
        <f ca="1">IFERROR(__xludf.UNSUPPORTED("""COMPUTED_VALUE"""),45400.8090393518)</f>
        <v>45400.8090393518</v>
      </c>
      <c r="I1781" s="3">
        <f ca="1">IFERROR(__xludf.UNSUPPORTED("""COMPUTED_VALUE"""),24)</f>
        <v>24</v>
      </c>
      <c r="J1781" s="4">
        <f ca="1">IFERROR(__xludf.UNSUPPORTED("""COMPUTED_VALUE"""),45401.8090393518)</f>
        <v>45401.8090393518</v>
      </c>
      <c r="L1781" s="3" t="str">
        <f ca="1">IFERROR(__xludf.UNSUPPORTED("""COMPUTED_VALUE"""),"Normalidade")</f>
        <v>Normalidade</v>
      </c>
    </row>
    <row r="1782" spans="1:12" ht="12.75">
      <c r="A1782" s="3" t="str">
        <f ca="1">IFERROR(__xludf.UNSUPPORTED("""COMPUTED_VALUE"""),"fe9e3186")</f>
        <v>fe9e3186</v>
      </c>
      <c r="B1782" s="4">
        <f ca="1">IFERROR(__xludf.UNSUPPORTED("""COMPUTED_VALUE"""),45400.8095138888)</f>
        <v>45400.809513888802</v>
      </c>
      <c r="C1782" s="7" t="str">
        <f ca="1">IFERROR(__xludf.UNSUPPORTED("""COMPUTED_VALUE"""),"Recife")</f>
        <v>Recife</v>
      </c>
      <c r="D1782" s="3" t="str">
        <f ca="1">IFERROR(__xludf.UNSUPPORTED("""COMPUTED_VALUE"""),"🚢 REGULAR")</f>
        <v>🚢 REGULAR</v>
      </c>
      <c r="E1782" s="3" t="str">
        <f ca="1">IFERROR(__xludf.UNSUPPORTED("""COMPUTED_VALUE"""),"🚛 LIBERADO")</f>
        <v>🚛 LIBERADO</v>
      </c>
      <c r="F1782" s="5">
        <f ca="1">IFERROR(__xludf.UNSUPPORTED("""COMPUTED_VALUE"""),0)</f>
        <v>0</v>
      </c>
      <c r="G1782" s="3" t="str">
        <f ca="1">IFERROR(__xludf.UNSUPPORTED("""COMPUTED_VALUE"""),"Normalidade")</f>
        <v>Normalidade</v>
      </c>
      <c r="H1782" s="4">
        <f ca="1">IFERROR(__xludf.UNSUPPORTED("""COMPUTED_VALUE"""),45400.8095138888)</f>
        <v>45400.809513888802</v>
      </c>
      <c r="I1782" s="3">
        <f ca="1">IFERROR(__xludf.UNSUPPORTED("""COMPUTED_VALUE"""),24)</f>
        <v>24</v>
      </c>
      <c r="J1782" s="4">
        <f ca="1">IFERROR(__xludf.UNSUPPORTED("""COMPUTED_VALUE"""),45401.8095138888)</f>
        <v>45401.809513888802</v>
      </c>
    </row>
    <row r="1783" spans="1:12" ht="12.75">
      <c r="A1783" s="3" t="str">
        <f ca="1">IFERROR(__xludf.UNSUPPORTED("""COMPUTED_VALUE"""),"6deb6cd6")</f>
        <v>6deb6cd6</v>
      </c>
      <c r="B1783" s="4">
        <f ca="1">IFERROR(__xludf.UNSUPPORTED("""COMPUTED_VALUE"""),45401.4226736111)</f>
        <v>45401.422673611101</v>
      </c>
      <c r="C1783" s="8" t="str">
        <f ca="1">IFERROR(__xludf.UNSUPPORTED("""COMPUTED_VALUE"""),"Recife")</f>
        <v>Recife</v>
      </c>
      <c r="D1783" s="3" t="str">
        <f ca="1">IFERROR(__xludf.UNSUPPORTED("""COMPUTED_VALUE"""),"🚢 REGULAR")</f>
        <v>🚢 REGULAR</v>
      </c>
      <c r="E1783" s="3" t="str">
        <f ca="1">IFERROR(__xludf.UNSUPPORTED("""COMPUTED_VALUE"""),"🚛 LIBERADO")</f>
        <v>🚛 LIBERADO</v>
      </c>
      <c r="F1783" s="5">
        <f ca="1">IFERROR(__xludf.UNSUPPORTED("""COMPUTED_VALUE"""),0)</f>
        <v>0</v>
      </c>
      <c r="G1783" s="3" t="str">
        <f ca="1">IFERROR(__xludf.UNSUPPORTED("""COMPUTED_VALUE"""),"Normalidade")</f>
        <v>Normalidade</v>
      </c>
      <c r="H1783" s="4">
        <f ca="1">IFERROR(__xludf.UNSUPPORTED("""COMPUTED_VALUE"""),45401.4226736111)</f>
        <v>45401.422673611101</v>
      </c>
      <c r="I1783" s="3">
        <f ca="1">IFERROR(__xludf.UNSUPPORTED("""COMPUTED_VALUE"""),24)</f>
        <v>24</v>
      </c>
      <c r="J1783" s="4">
        <f ca="1">IFERROR(__xludf.UNSUPPORTED("""COMPUTED_VALUE"""),45402.4226736111)</f>
        <v>45402.422673611101</v>
      </c>
    </row>
    <row r="1784" spans="1:12" ht="12.75">
      <c r="A1784" s="3" t="str">
        <f ca="1">IFERROR(__xludf.UNSUPPORTED("""COMPUTED_VALUE"""),"4401bc18")</f>
        <v>4401bc18</v>
      </c>
      <c r="B1784" s="4">
        <f ca="1">IFERROR(__xludf.UNSUPPORTED("""COMPUTED_VALUE"""),45404.4355671296)</f>
        <v>45404.4355671296</v>
      </c>
      <c r="C1784" s="7" t="str">
        <f ca="1">IFERROR(__xludf.UNSUPPORTED("""COMPUTED_VALUE"""),"Recife")</f>
        <v>Recife</v>
      </c>
      <c r="D1784" s="3" t="str">
        <f ca="1">IFERROR(__xludf.UNSUPPORTED("""COMPUTED_VALUE"""),"🚢 REGULAR")</f>
        <v>🚢 REGULAR</v>
      </c>
      <c r="E1784" s="3" t="str">
        <f ca="1">IFERROR(__xludf.UNSUPPORTED("""COMPUTED_VALUE"""),"🚛 LIBERADO")</f>
        <v>🚛 LIBERADO</v>
      </c>
      <c r="F1784" s="5">
        <f ca="1">IFERROR(__xludf.UNSUPPORTED("""COMPUTED_VALUE"""),0)</f>
        <v>0</v>
      </c>
      <c r="G1784" s="3" t="str">
        <f ca="1">IFERROR(__xludf.UNSUPPORTED("""COMPUTED_VALUE"""),"Normalidade")</f>
        <v>Normalidade</v>
      </c>
      <c r="H1784" s="4">
        <f ca="1">IFERROR(__xludf.UNSUPPORTED("""COMPUTED_VALUE"""),45404.4355671296)</f>
        <v>45404.4355671296</v>
      </c>
      <c r="I1784" s="3">
        <f ca="1">IFERROR(__xludf.UNSUPPORTED("""COMPUTED_VALUE"""),24)</f>
        <v>24</v>
      </c>
      <c r="J1784" s="4">
        <f ca="1">IFERROR(__xludf.UNSUPPORTED("""COMPUTED_VALUE"""),45405.4355671296)</f>
        <v>45405.4355671296</v>
      </c>
    </row>
    <row r="1785" spans="1:12" ht="12.75">
      <c r="A1785" s="3" t="str">
        <f ca="1">IFERROR(__xludf.UNSUPPORTED("""COMPUTED_VALUE"""),"f643d0d4")</f>
        <v>f643d0d4</v>
      </c>
      <c r="B1785" s="4">
        <f ca="1">IFERROR(__xludf.UNSUPPORTED("""COMPUTED_VALUE"""),45405.3406134259)</f>
        <v>45405.340613425898</v>
      </c>
      <c r="C1785" s="8" t="str">
        <f ca="1">IFERROR(__xludf.UNSUPPORTED("""COMPUTED_VALUE"""),"Recife")</f>
        <v>Recife</v>
      </c>
      <c r="D1785" s="3" t="str">
        <f ca="1">IFERROR(__xludf.UNSUPPORTED("""COMPUTED_VALUE"""),"🚢 REGULAR")</f>
        <v>🚢 REGULAR</v>
      </c>
      <c r="E1785" s="3" t="str">
        <f ca="1">IFERROR(__xludf.UNSUPPORTED("""COMPUTED_VALUE"""),"🚛 LIBERADO")</f>
        <v>🚛 LIBERADO</v>
      </c>
      <c r="F1785" s="5">
        <f ca="1">IFERROR(__xludf.UNSUPPORTED("""COMPUTED_VALUE"""),0)</f>
        <v>0</v>
      </c>
      <c r="G1785" s="3" t="str">
        <f ca="1">IFERROR(__xludf.UNSUPPORTED("""COMPUTED_VALUE"""),"Normalidade")</f>
        <v>Normalidade</v>
      </c>
      <c r="H1785" s="4">
        <f ca="1">IFERROR(__xludf.UNSUPPORTED("""COMPUTED_VALUE"""),45405.3406134259)</f>
        <v>45405.340613425898</v>
      </c>
      <c r="I1785" s="3">
        <f ca="1">IFERROR(__xludf.UNSUPPORTED("""COMPUTED_VALUE"""),24)</f>
        <v>24</v>
      </c>
      <c r="J1785" s="4">
        <f ca="1">IFERROR(__xludf.UNSUPPORTED("""COMPUTED_VALUE"""),45406.3406134259)</f>
        <v>45406.340613425898</v>
      </c>
    </row>
    <row r="1786" spans="1:12" ht="12.75">
      <c r="A1786" s="3" t="str">
        <f ca="1">IFERROR(__xludf.UNSUPPORTED("""COMPUTED_VALUE"""),"835fc2ef")</f>
        <v>835fc2ef</v>
      </c>
      <c r="B1786" s="4">
        <f ca="1">IFERROR(__xludf.UNSUPPORTED("""COMPUTED_VALUE"""),45406.4637847222)</f>
        <v>45406.463784722197</v>
      </c>
      <c r="C1786" s="7" t="str">
        <f ca="1">IFERROR(__xludf.UNSUPPORTED("""COMPUTED_VALUE"""),"Recife")</f>
        <v>Recife</v>
      </c>
      <c r="D1786" s="3" t="str">
        <f ca="1">IFERROR(__xludf.UNSUPPORTED("""COMPUTED_VALUE"""),"🚢 REGULAR")</f>
        <v>🚢 REGULAR</v>
      </c>
      <c r="E1786" s="3" t="str">
        <f ca="1">IFERROR(__xludf.UNSUPPORTED("""COMPUTED_VALUE"""),"🚛 LIBERADO")</f>
        <v>🚛 LIBERADO</v>
      </c>
      <c r="F1786" s="5">
        <f ca="1">IFERROR(__xludf.UNSUPPORTED("""COMPUTED_VALUE"""),0)</f>
        <v>0</v>
      </c>
      <c r="G1786" s="3" t="str">
        <f ca="1">IFERROR(__xludf.UNSUPPORTED("""COMPUTED_VALUE"""),"Normalidade")</f>
        <v>Normalidade</v>
      </c>
      <c r="H1786" s="4">
        <f ca="1">IFERROR(__xludf.UNSUPPORTED("""COMPUTED_VALUE"""),45406.4637847222)</f>
        <v>45406.463784722197</v>
      </c>
      <c r="I1786" s="3">
        <f ca="1">IFERROR(__xludf.UNSUPPORTED("""COMPUTED_VALUE"""),24)</f>
        <v>24</v>
      </c>
      <c r="J1786" s="4">
        <f ca="1">IFERROR(__xludf.UNSUPPORTED("""COMPUTED_VALUE"""),45407.4637847222)</f>
        <v>45407.463784722197</v>
      </c>
      <c r="L1786" s="3" t="str">
        <f ca="1">IFERROR(__xludf.UNSUPPORTED("""COMPUTED_VALUE"""),"Normalidade")</f>
        <v>Normalidade</v>
      </c>
    </row>
    <row r="1787" spans="1:12" ht="12.75">
      <c r="A1787" s="3" t="str">
        <f ca="1">IFERROR(__xludf.UNSUPPORTED("""COMPUTED_VALUE"""),"d3b7d1b9")</f>
        <v>d3b7d1b9</v>
      </c>
      <c r="B1787" s="4">
        <f ca="1">IFERROR(__xludf.UNSUPPORTED("""COMPUTED_VALUE"""),45408.3277893518)</f>
        <v>45408.327789351802</v>
      </c>
      <c r="C1787" s="7" t="str">
        <f ca="1">IFERROR(__xludf.UNSUPPORTED("""COMPUTED_VALUE"""),"Recife")</f>
        <v>Recife</v>
      </c>
      <c r="D1787" s="3" t="str">
        <f ca="1">IFERROR(__xludf.UNSUPPORTED("""COMPUTED_VALUE"""),"🚢 REGULAR")</f>
        <v>🚢 REGULAR</v>
      </c>
      <c r="E1787" s="3" t="str">
        <f ca="1">IFERROR(__xludf.UNSUPPORTED("""COMPUTED_VALUE"""),"🚛 LIBERADO")</f>
        <v>🚛 LIBERADO</v>
      </c>
      <c r="F1787" s="5">
        <f ca="1">IFERROR(__xludf.UNSUPPORTED("""COMPUTED_VALUE"""),0)</f>
        <v>0</v>
      </c>
      <c r="G1787" s="3" t="str">
        <f ca="1">IFERROR(__xludf.UNSUPPORTED("""COMPUTED_VALUE"""),"Normalidade")</f>
        <v>Normalidade</v>
      </c>
      <c r="H1787" s="4">
        <f ca="1">IFERROR(__xludf.UNSUPPORTED("""COMPUTED_VALUE"""),45408.3277893518)</f>
        <v>45408.327789351802</v>
      </c>
      <c r="I1787" s="3">
        <f ca="1">IFERROR(__xludf.UNSUPPORTED("""COMPUTED_VALUE"""),24)</f>
        <v>24</v>
      </c>
      <c r="J1787" s="4">
        <f ca="1">IFERROR(__xludf.UNSUPPORTED("""COMPUTED_VALUE"""),45409.3277893518)</f>
        <v>45409.327789351802</v>
      </c>
    </row>
    <row r="1788" spans="1:12" ht="12.75">
      <c r="A1788" s="3" t="str">
        <f ca="1">IFERROR(__xludf.UNSUPPORTED("""COMPUTED_VALUE"""),"d374ff46")</f>
        <v>d374ff46</v>
      </c>
      <c r="B1788" s="4">
        <f ca="1">IFERROR(__xludf.UNSUPPORTED("""COMPUTED_VALUE"""),45412.35125)</f>
        <v>45412.35125</v>
      </c>
      <c r="C1788" s="8" t="str">
        <f ca="1">IFERROR(__xludf.UNSUPPORTED("""COMPUTED_VALUE"""),"Recife")</f>
        <v>Recife</v>
      </c>
      <c r="D1788" s="3" t="str">
        <f ca="1">IFERROR(__xludf.UNSUPPORTED("""COMPUTED_VALUE"""),"🚢 REGULAR")</f>
        <v>🚢 REGULAR</v>
      </c>
      <c r="E1788" s="3" t="str">
        <f ca="1">IFERROR(__xludf.UNSUPPORTED("""COMPUTED_VALUE"""),"🚛 LIBERADO")</f>
        <v>🚛 LIBERADO</v>
      </c>
      <c r="F1788" s="5">
        <f ca="1">IFERROR(__xludf.UNSUPPORTED("""COMPUTED_VALUE"""),0)</f>
        <v>0</v>
      </c>
      <c r="G1788" s="3" t="str">
        <f ca="1">IFERROR(__xludf.UNSUPPORTED("""COMPUTED_VALUE"""),"Normalidade")</f>
        <v>Normalidade</v>
      </c>
      <c r="H1788" s="4">
        <f ca="1">IFERROR(__xludf.UNSUPPORTED("""COMPUTED_VALUE"""),45412.35125)</f>
        <v>45412.35125</v>
      </c>
      <c r="I1788" s="3">
        <f ca="1">IFERROR(__xludf.UNSUPPORTED("""COMPUTED_VALUE"""),24)</f>
        <v>24</v>
      </c>
      <c r="J1788" s="4">
        <f ca="1">IFERROR(__xludf.UNSUPPORTED("""COMPUTED_VALUE"""),45413.35125)</f>
        <v>45413.35125</v>
      </c>
    </row>
    <row r="1789" spans="1:12" ht="12.75">
      <c r="A1789" s="3" t="str">
        <f ca="1">IFERROR(__xludf.UNSUPPORTED("""COMPUTED_VALUE"""),"ae23f4b7")</f>
        <v>ae23f4b7</v>
      </c>
      <c r="B1789" s="4">
        <f ca="1">IFERROR(__xludf.UNSUPPORTED("""COMPUTED_VALUE"""),45413.8102199074)</f>
        <v>45413.810219907398</v>
      </c>
      <c r="C1789" s="7" t="str">
        <f ca="1">IFERROR(__xludf.UNSUPPORTED("""COMPUTED_VALUE"""),"Recife")</f>
        <v>Recife</v>
      </c>
      <c r="D1789" s="3" t="str">
        <f ca="1">IFERROR(__xludf.UNSUPPORTED("""COMPUTED_VALUE"""),"🚢 REGULAR")</f>
        <v>🚢 REGULAR</v>
      </c>
      <c r="E1789" s="3" t="str">
        <f ca="1">IFERROR(__xludf.UNSUPPORTED("""COMPUTED_VALUE"""),"🚛 LIBERADO")</f>
        <v>🚛 LIBERADO</v>
      </c>
      <c r="F1789" s="5">
        <f ca="1">IFERROR(__xludf.UNSUPPORTED("""COMPUTED_VALUE"""),0.25)</f>
        <v>0.25</v>
      </c>
      <c r="G1789" s="3" t="str">
        <f ca="1">IFERROR(__xludf.UNSUPPORTED("""COMPUTED_VALUE"""),"Regular")</f>
        <v>Regular</v>
      </c>
      <c r="H1789" s="4">
        <f ca="1">IFERROR(__xludf.UNSUPPORTED("""COMPUTED_VALUE"""),45413.8102199074)</f>
        <v>45413.810219907398</v>
      </c>
      <c r="I1789" s="3">
        <f ca="1">IFERROR(__xludf.UNSUPPORTED("""COMPUTED_VALUE"""),6)</f>
        <v>6</v>
      </c>
      <c r="J1789" s="4">
        <f ca="1">IFERROR(__xludf.UNSUPPORTED("""COMPUTED_VALUE"""),45414.0602199074)</f>
        <v>45414.060219907398</v>
      </c>
      <c r="K1789" s="3" t="str">
        <f ca="1">IFERROR(__xludf.UNSUPPORTED("""COMPUTED_VALUE"""),"Porto do Recife")</f>
        <v>Porto do Recife</v>
      </c>
      <c r="L1789" s="3" t="str">
        <f ca="1">IFERROR(__xludf.UNSUPPORTED("""COMPUTED_VALUE"""),"Crítico")</f>
        <v>Crítico</v>
      </c>
    </row>
    <row r="1790" spans="1:12" ht="12.75">
      <c r="A1790" s="3" t="str">
        <f ca="1">IFERROR(__xludf.UNSUPPORTED("""COMPUTED_VALUE"""),"8bc86cfa")</f>
        <v>8bc86cfa</v>
      </c>
      <c r="B1790" s="4">
        <f ca="1">IFERROR(__xludf.UNSUPPORTED("""COMPUTED_VALUE"""),45414.3886574074)</f>
        <v>45414.388657407399</v>
      </c>
      <c r="C1790" s="8" t="str">
        <f ca="1">IFERROR(__xludf.UNSUPPORTED("""COMPUTED_VALUE"""),"Recife")</f>
        <v>Recife</v>
      </c>
      <c r="D1790" s="3" t="str">
        <f ca="1">IFERROR(__xludf.UNSUPPORTED("""COMPUTED_VALUE"""),"🚢 REGULAR")</f>
        <v>🚢 REGULAR</v>
      </c>
      <c r="E1790" s="3" t="str">
        <f ca="1">IFERROR(__xludf.UNSUPPORTED("""COMPUTED_VALUE"""),"🚛 LIBERADO")</f>
        <v>🚛 LIBERADO</v>
      </c>
      <c r="F1790" s="5">
        <f ca="1">IFERROR(__xludf.UNSUPPORTED("""COMPUTED_VALUE"""),0.25)</f>
        <v>0.25</v>
      </c>
      <c r="G1790" s="3" t="str">
        <f ca="1">IFERROR(__xludf.UNSUPPORTED("""COMPUTED_VALUE"""),"Regular")</f>
        <v>Regular</v>
      </c>
      <c r="H1790" s="4">
        <f ca="1">IFERROR(__xludf.UNSUPPORTED("""COMPUTED_VALUE"""),45414.3886574074)</f>
        <v>45414.388657407399</v>
      </c>
      <c r="I1790" s="3">
        <f ca="1">IFERROR(__xludf.UNSUPPORTED("""COMPUTED_VALUE"""),6)</f>
        <v>6</v>
      </c>
      <c r="J1790" s="4">
        <f ca="1">IFERROR(__xludf.UNSUPPORTED("""COMPUTED_VALUE"""),45414.6386574074)</f>
        <v>45414.638657407399</v>
      </c>
      <c r="K1790" s="3" t="str">
        <f ca="1">IFERROR(__xludf.UNSUPPORTED("""COMPUTED_VALUE"""),"Porto do Recife")</f>
        <v>Porto do Recife</v>
      </c>
      <c r="L1790" s="3" t="str">
        <f ca="1">IFERROR(__xludf.UNSUPPORTED("""COMPUTED_VALUE"""),"Crítico")</f>
        <v>Crítico</v>
      </c>
    </row>
    <row r="1791" spans="1:12" ht="12.75">
      <c r="A1791" s="3" t="str">
        <f ca="1">IFERROR(__xludf.UNSUPPORTED("""COMPUTED_VALUE"""),"9456cb69")</f>
        <v>9456cb69</v>
      </c>
      <c r="B1791" s="4">
        <f ca="1">IFERROR(__xludf.UNSUPPORTED("""COMPUTED_VALUE"""),45415.3526736111)</f>
        <v>45415.352673611102</v>
      </c>
      <c r="C1791" s="8" t="str">
        <f ca="1">IFERROR(__xludf.UNSUPPORTED("""COMPUTED_VALUE"""),"Recife")</f>
        <v>Recife</v>
      </c>
      <c r="D1791" s="3" t="str">
        <f ca="1">IFERROR(__xludf.UNSUPPORTED("""COMPUTED_VALUE"""),"🚢 REGULAR")</f>
        <v>🚢 REGULAR</v>
      </c>
      <c r="E1791" s="3" t="str">
        <f ca="1">IFERROR(__xludf.UNSUPPORTED("""COMPUTED_VALUE"""),"🚛 LIBERADO")</f>
        <v>🚛 LIBERADO</v>
      </c>
      <c r="F1791" s="5">
        <f ca="1">IFERROR(__xludf.UNSUPPORTED("""COMPUTED_VALUE"""),0.25)</f>
        <v>0.25</v>
      </c>
      <c r="G1791" s="3" t="str">
        <f ca="1">IFERROR(__xludf.UNSUPPORTED("""COMPUTED_VALUE"""),"Regular")</f>
        <v>Regular</v>
      </c>
      <c r="H1791" s="4">
        <f ca="1">IFERROR(__xludf.UNSUPPORTED("""COMPUTED_VALUE"""),45415.3526736111)</f>
        <v>45415.352673611102</v>
      </c>
      <c r="I1791" s="3">
        <f ca="1">IFERROR(__xludf.UNSUPPORTED("""COMPUTED_VALUE"""),6)</f>
        <v>6</v>
      </c>
      <c r="J1791" s="4">
        <f ca="1">IFERROR(__xludf.UNSUPPORTED("""COMPUTED_VALUE"""),45415.6026736111)</f>
        <v>45415.602673611102</v>
      </c>
      <c r="K1791" s="3" t="str">
        <f ca="1">IFERROR(__xludf.UNSUPPORTED("""COMPUTED_VALUE"""),"Porto do Recife")</f>
        <v>Porto do Recife</v>
      </c>
      <c r="L1791" s="3" t="str">
        <f ca="1">IFERROR(__xludf.UNSUPPORTED("""COMPUTED_VALUE"""),"Crítico")</f>
        <v>Crítico</v>
      </c>
    </row>
    <row r="1792" spans="1:12" ht="12.75">
      <c r="A1792" s="3" t="str">
        <f ca="1">IFERROR(__xludf.UNSUPPORTED("""COMPUTED_VALUE"""),"1fe07be2")</f>
        <v>1fe07be2</v>
      </c>
      <c r="B1792" s="4">
        <f ca="1">IFERROR(__xludf.UNSUPPORTED("""COMPUTED_VALUE"""),45416.3189699074)</f>
        <v>45416.318969907399</v>
      </c>
      <c r="C1792" s="7" t="str">
        <f ca="1">IFERROR(__xludf.UNSUPPORTED("""COMPUTED_VALUE"""),"Recife")</f>
        <v>Recife</v>
      </c>
      <c r="D1792" s="3" t="str">
        <f ca="1">IFERROR(__xludf.UNSUPPORTED("""COMPUTED_VALUE"""),"🚢 REGULAR")</f>
        <v>🚢 REGULAR</v>
      </c>
      <c r="E1792" s="3" t="str">
        <f ca="1">IFERROR(__xludf.UNSUPPORTED("""COMPUTED_VALUE"""),"🚛 LIBERADO")</f>
        <v>🚛 LIBERADO</v>
      </c>
      <c r="F1792" s="5">
        <f ca="1">IFERROR(__xludf.UNSUPPORTED("""COMPUTED_VALUE"""),0.25)</f>
        <v>0.25</v>
      </c>
      <c r="G1792" s="3" t="str">
        <f ca="1">IFERROR(__xludf.UNSUPPORTED("""COMPUTED_VALUE"""),"Regular")</f>
        <v>Regular</v>
      </c>
      <c r="H1792" s="4">
        <f ca="1">IFERROR(__xludf.UNSUPPORTED("""COMPUTED_VALUE"""),45416.3189699074)</f>
        <v>45416.318969907399</v>
      </c>
      <c r="I1792" s="3">
        <f ca="1">IFERROR(__xludf.UNSUPPORTED("""COMPUTED_VALUE"""),6)</f>
        <v>6</v>
      </c>
      <c r="J1792" s="4">
        <f ca="1">IFERROR(__xludf.UNSUPPORTED("""COMPUTED_VALUE"""),45416.5689699074)</f>
        <v>45416.568969907399</v>
      </c>
      <c r="K1792" s="3" t="str">
        <f ca="1">IFERROR(__xludf.UNSUPPORTED("""COMPUTED_VALUE"""),"Porto do Recife")</f>
        <v>Porto do Recife</v>
      </c>
      <c r="L1792" s="3" t="str">
        <f ca="1">IFERROR(__xludf.UNSUPPORTED("""COMPUTED_VALUE"""),"Crítico")</f>
        <v>Crítico</v>
      </c>
    </row>
    <row r="1793" spans="1:12" ht="12.75">
      <c r="A1793" s="3" t="str">
        <f ca="1">IFERROR(__xludf.UNSUPPORTED("""COMPUTED_VALUE"""),"a8d6df77")</f>
        <v>a8d6df77</v>
      </c>
      <c r="B1793" s="4">
        <f ca="1">IFERROR(__xludf.UNSUPPORTED("""COMPUTED_VALUE"""),45417.3832523148)</f>
        <v>45417.383252314801</v>
      </c>
      <c r="C1793" s="8" t="str">
        <f ca="1">IFERROR(__xludf.UNSUPPORTED("""COMPUTED_VALUE"""),"Recife")</f>
        <v>Recife</v>
      </c>
      <c r="D1793" s="3" t="str">
        <f ca="1">IFERROR(__xludf.UNSUPPORTED("""COMPUTED_VALUE"""),"🚢 REGULAR")</f>
        <v>🚢 REGULAR</v>
      </c>
      <c r="E1793" s="3" t="str">
        <f ca="1">IFERROR(__xludf.UNSUPPORTED("""COMPUTED_VALUE"""),"🚛 LIBERADO")</f>
        <v>🚛 LIBERADO</v>
      </c>
      <c r="F1793" s="5">
        <f ca="1">IFERROR(__xludf.UNSUPPORTED("""COMPUTED_VALUE"""),0.25)</f>
        <v>0.25</v>
      </c>
      <c r="G1793" s="3" t="str">
        <f ca="1">IFERROR(__xludf.UNSUPPORTED("""COMPUTED_VALUE"""),"Regular")</f>
        <v>Regular</v>
      </c>
      <c r="H1793" s="4">
        <f ca="1">IFERROR(__xludf.UNSUPPORTED("""COMPUTED_VALUE"""),45417.3832523148)</f>
        <v>45417.383252314801</v>
      </c>
      <c r="I1793" s="3">
        <f ca="1">IFERROR(__xludf.UNSUPPORTED("""COMPUTED_VALUE"""),6)</f>
        <v>6</v>
      </c>
      <c r="J1793" s="4">
        <f ca="1">IFERROR(__xludf.UNSUPPORTED("""COMPUTED_VALUE"""),45417.6332523148)</f>
        <v>45417.633252314801</v>
      </c>
      <c r="K1793" s="3" t="str">
        <f ca="1">IFERROR(__xludf.UNSUPPORTED("""COMPUTED_VALUE"""),"Porto do Recife")</f>
        <v>Porto do Recife</v>
      </c>
      <c r="L1793" s="3" t="str">
        <f ca="1">IFERROR(__xludf.UNSUPPORTED("""COMPUTED_VALUE"""),"Crítico")</f>
        <v>Crítico</v>
      </c>
    </row>
    <row r="1794" spans="1:12" ht="12.75">
      <c r="A1794" s="3" t="str">
        <f ca="1">IFERROR(__xludf.UNSUPPORTED("""COMPUTED_VALUE"""),"ef8b8715")</f>
        <v>ef8b8715</v>
      </c>
      <c r="B1794" s="4">
        <f ca="1">IFERROR(__xludf.UNSUPPORTED("""COMPUTED_VALUE"""),45418.5448611111)</f>
        <v>45418.544861111099</v>
      </c>
      <c r="C1794" s="7" t="str">
        <f ca="1">IFERROR(__xludf.UNSUPPORTED("""COMPUTED_VALUE"""),"Recife")</f>
        <v>Recife</v>
      </c>
      <c r="D1794" s="3" t="str">
        <f ca="1">IFERROR(__xludf.UNSUPPORTED("""COMPUTED_VALUE"""),"🚢 REGULAR")</f>
        <v>🚢 REGULAR</v>
      </c>
      <c r="E1794" s="3" t="str">
        <f ca="1">IFERROR(__xludf.UNSUPPORTED("""COMPUTED_VALUE"""),"🚛 LIBERADO")</f>
        <v>🚛 LIBERADO</v>
      </c>
      <c r="F1794" s="5">
        <f ca="1">IFERROR(__xludf.UNSUPPORTED("""COMPUTED_VALUE"""),0.25)</f>
        <v>0.25</v>
      </c>
      <c r="G1794" s="3" t="str">
        <f ca="1">IFERROR(__xludf.UNSUPPORTED("""COMPUTED_VALUE"""),"Regular")</f>
        <v>Regular</v>
      </c>
      <c r="H1794" s="4">
        <f ca="1">IFERROR(__xludf.UNSUPPORTED("""COMPUTED_VALUE"""),45418.5448611111)</f>
        <v>45418.544861111099</v>
      </c>
      <c r="I1794" s="3">
        <f ca="1">IFERROR(__xludf.UNSUPPORTED("""COMPUTED_VALUE"""),6)</f>
        <v>6</v>
      </c>
      <c r="J1794" s="4">
        <f ca="1">IFERROR(__xludf.UNSUPPORTED("""COMPUTED_VALUE"""),45418.7948611111)</f>
        <v>45418.794861111099</v>
      </c>
      <c r="K1794" s="3" t="str">
        <f ca="1">IFERROR(__xludf.UNSUPPORTED("""COMPUTED_VALUE"""),"Porto do Recife")</f>
        <v>Porto do Recife</v>
      </c>
      <c r="L1794" s="3" t="str">
        <f ca="1">IFERROR(__xludf.UNSUPPORTED("""COMPUTED_VALUE"""),"Crítico")</f>
        <v>Crítico</v>
      </c>
    </row>
    <row r="1795" spans="1:12" ht="12.75">
      <c r="A1795" s="3" t="str">
        <f ca="1">IFERROR(__xludf.UNSUPPORTED("""COMPUTED_VALUE"""),"c4503acf")</f>
        <v>c4503acf</v>
      </c>
      <c r="B1795" s="4">
        <f ca="1">IFERROR(__xludf.UNSUPPORTED("""COMPUTED_VALUE"""),45419.3620717592)</f>
        <v>45419.362071759198</v>
      </c>
      <c r="C1795" s="8" t="str">
        <f ca="1">IFERROR(__xludf.UNSUPPORTED("""COMPUTED_VALUE"""),"Recife")</f>
        <v>Recife</v>
      </c>
      <c r="D1795" s="3" t="str">
        <f ca="1">IFERROR(__xludf.UNSUPPORTED("""COMPUTED_VALUE"""),"🚢 REGULAR")</f>
        <v>🚢 REGULAR</v>
      </c>
      <c r="E1795" s="3" t="str">
        <f ca="1">IFERROR(__xludf.UNSUPPORTED("""COMPUTED_VALUE"""),"🚛 LIBERADO")</f>
        <v>🚛 LIBERADO</v>
      </c>
      <c r="F1795" s="5">
        <f ca="1">IFERROR(__xludf.UNSUPPORTED("""COMPUTED_VALUE"""),0.25)</f>
        <v>0.25</v>
      </c>
      <c r="G1795" s="3" t="str">
        <f ca="1">IFERROR(__xludf.UNSUPPORTED("""COMPUTED_VALUE"""),"Regular")</f>
        <v>Regular</v>
      </c>
      <c r="H1795" s="4">
        <f ca="1">IFERROR(__xludf.UNSUPPORTED("""COMPUTED_VALUE"""),45419.3620717592)</f>
        <v>45419.362071759198</v>
      </c>
      <c r="I1795" s="3">
        <f ca="1">IFERROR(__xludf.UNSUPPORTED("""COMPUTED_VALUE"""),6)</f>
        <v>6</v>
      </c>
      <c r="J1795" s="4">
        <f ca="1">IFERROR(__xludf.UNSUPPORTED("""COMPUTED_VALUE"""),45419.6120717592)</f>
        <v>45419.612071759198</v>
      </c>
      <c r="K1795" s="3" t="str">
        <f ca="1">IFERROR(__xludf.UNSUPPORTED("""COMPUTED_VALUE"""),"Porto do Recife")</f>
        <v>Porto do Recife</v>
      </c>
      <c r="L1795" s="3" t="str">
        <f ca="1">IFERROR(__xludf.UNSUPPORTED("""COMPUTED_VALUE"""),"Crítico")</f>
        <v>Crítico</v>
      </c>
    </row>
    <row r="1796" spans="1:12" ht="12.75">
      <c r="A1796" s="3" t="str">
        <f ca="1">IFERROR(__xludf.UNSUPPORTED("""COMPUTED_VALUE"""),"fcd51337")</f>
        <v>fcd51337</v>
      </c>
      <c r="B1796" s="4">
        <f ca="1">IFERROR(__xludf.UNSUPPORTED("""COMPUTED_VALUE"""),45420.4367824074)</f>
        <v>45420.4367824074</v>
      </c>
      <c r="C1796" s="8" t="str">
        <f ca="1">IFERROR(__xludf.UNSUPPORTED("""COMPUTED_VALUE"""),"Recife")</f>
        <v>Recife</v>
      </c>
      <c r="D1796" s="3" t="str">
        <f ca="1">IFERROR(__xludf.UNSUPPORTED("""COMPUTED_VALUE"""),"🚢 REGULAR")</f>
        <v>🚢 REGULAR</v>
      </c>
      <c r="E1796" s="3" t="str">
        <f ca="1">IFERROR(__xludf.UNSUPPORTED("""COMPUTED_VALUE"""),"🚛 LIBERADO")</f>
        <v>🚛 LIBERADO</v>
      </c>
      <c r="F1796" s="5">
        <f ca="1">IFERROR(__xludf.UNSUPPORTED("""COMPUTED_VALUE"""),0.25)</f>
        <v>0.25</v>
      </c>
      <c r="G1796" s="3" t="str">
        <f ca="1">IFERROR(__xludf.UNSUPPORTED("""COMPUTED_VALUE"""),"Regular")</f>
        <v>Regular</v>
      </c>
      <c r="H1796" s="4">
        <f ca="1">IFERROR(__xludf.UNSUPPORTED("""COMPUTED_VALUE"""),45420.4367824074)</f>
        <v>45420.4367824074</v>
      </c>
      <c r="I1796" s="3">
        <f ca="1">IFERROR(__xludf.UNSUPPORTED("""COMPUTED_VALUE"""),6)</f>
        <v>6</v>
      </c>
      <c r="J1796" s="4">
        <f ca="1">IFERROR(__xludf.UNSUPPORTED("""COMPUTED_VALUE"""),45420.6867824074)</f>
        <v>45420.6867824074</v>
      </c>
      <c r="K1796" s="3" t="str">
        <f ca="1">IFERROR(__xludf.UNSUPPORTED("""COMPUTED_VALUE"""),"Porto do Recife")</f>
        <v>Porto do Recife</v>
      </c>
      <c r="L1796" s="3" t="str">
        <f ca="1">IFERROR(__xludf.UNSUPPORTED("""COMPUTED_VALUE"""),"Crítico")</f>
        <v>Crítico</v>
      </c>
    </row>
    <row r="1797" spans="1:12" ht="12.75">
      <c r="A1797" s="3" t="str">
        <f ca="1">IFERROR(__xludf.UNSUPPORTED("""COMPUTED_VALUE"""),"577d2776")</f>
        <v>577d2776</v>
      </c>
      <c r="B1797" s="4">
        <f ca="1">IFERROR(__xludf.UNSUPPORTED("""COMPUTED_VALUE"""),45421.3588194444)</f>
        <v>45421.358819444402</v>
      </c>
      <c r="C1797" s="7" t="str">
        <f ca="1">IFERROR(__xludf.UNSUPPORTED("""COMPUTED_VALUE"""),"Recife")</f>
        <v>Recife</v>
      </c>
      <c r="D1797" s="3" t="str">
        <f ca="1">IFERROR(__xludf.UNSUPPORTED("""COMPUTED_VALUE"""),"🚢 REGULAR")</f>
        <v>🚢 REGULAR</v>
      </c>
      <c r="E1797" s="3" t="str">
        <f ca="1">IFERROR(__xludf.UNSUPPORTED("""COMPUTED_VALUE"""),"🚛 LIBERADO")</f>
        <v>🚛 LIBERADO</v>
      </c>
      <c r="F1797" s="5">
        <f ca="1">IFERROR(__xludf.UNSUPPORTED("""COMPUTED_VALUE"""),0.25)</f>
        <v>0.25</v>
      </c>
      <c r="G1797" s="3" t="str">
        <f ca="1">IFERROR(__xludf.UNSUPPORTED("""COMPUTED_VALUE"""),"Regular")</f>
        <v>Regular</v>
      </c>
      <c r="H1797" s="4">
        <f ca="1">IFERROR(__xludf.UNSUPPORTED("""COMPUTED_VALUE"""),45421.3588194444)</f>
        <v>45421.358819444402</v>
      </c>
      <c r="I1797" s="3">
        <f ca="1">IFERROR(__xludf.UNSUPPORTED("""COMPUTED_VALUE"""),6)</f>
        <v>6</v>
      </c>
      <c r="J1797" s="4">
        <f ca="1">IFERROR(__xludf.UNSUPPORTED("""COMPUTED_VALUE"""),45421.6088194444)</f>
        <v>45421.608819444402</v>
      </c>
      <c r="K1797" s="3" t="str">
        <f ca="1">IFERROR(__xludf.UNSUPPORTED("""COMPUTED_VALUE"""),"Porto do Recife")</f>
        <v>Porto do Recife</v>
      </c>
      <c r="L1797" s="3" t="str">
        <f ca="1">IFERROR(__xludf.UNSUPPORTED("""COMPUTED_VALUE"""),"Crítico")</f>
        <v>Crítico</v>
      </c>
    </row>
    <row r="1798" spans="1:12" ht="12.75">
      <c r="A1798" s="3" t="str">
        <f ca="1">IFERROR(__xludf.UNSUPPORTED("""COMPUTED_VALUE"""),"da86be5d")</f>
        <v>da86be5d</v>
      </c>
      <c r="B1798" s="4">
        <f ca="1">IFERROR(__xludf.UNSUPPORTED("""COMPUTED_VALUE"""),45422.3598032407)</f>
        <v>45422.359803240703</v>
      </c>
      <c r="C1798" s="8" t="str">
        <f ca="1">IFERROR(__xludf.UNSUPPORTED("""COMPUTED_VALUE"""),"Recife")</f>
        <v>Recife</v>
      </c>
      <c r="D1798" s="3" t="str">
        <f ca="1">IFERROR(__xludf.UNSUPPORTED("""COMPUTED_VALUE"""),"🚢 REGULAR")</f>
        <v>🚢 REGULAR</v>
      </c>
      <c r="E1798" s="3" t="str">
        <f ca="1">IFERROR(__xludf.UNSUPPORTED("""COMPUTED_VALUE"""),"🚛 LIBERADO")</f>
        <v>🚛 LIBERADO</v>
      </c>
      <c r="F1798" s="5">
        <f ca="1">IFERROR(__xludf.UNSUPPORTED("""COMPUTED_VALUE"""),0.25)</f>
        <v>0.25</v>
      </c>
      <c r="G1798" s="3" t="str">
        <f ca="1">IFERROR(__xludf.UNSUPPORTED("""COMPUTED_VALUE"""),"Regular")</f>
        <v>Regular</v>
      </c>
      <c r="H1798" s="4">
        <f ca="1">IFERROR(__xludf.UNSUPPORTED("""COMPUTED_VALUE"""),45422.3598032407)</f>
        <v>45422.359803240703</v>
      </c>
      <c r="I1798" s="3">
        <f ca="1">IFERROR(__xludf.UNSUPPORTED("""COMPUTED_VALUE"""),6)</f>
        <v>6</v>
      </c>
      <c r="J1798" s="4">
        <f ca="1">IFERROR(__xludf.UNSUPPORTED("""COMPUTED_VALUE"""),45422.6098032407)</f>
        <v>45422.609803240703</v>
      </c>
      <c r="K1798" s="3" t="str">
        <f ca="1">IFERROR(__xludf.UNSUPPORTED("""COMPUTED_VALUE"""),"Porto do Recife")</f>
        <v>Porto do Recife</v>
      </c>
      <c r="L1798" s="3" t="str">
        <f ca="1">IFERROR(__xludf.UNSUPPORTED("""COMPUTED_VALUE"""),"Crítico")</f>
        <v>Crítico</v>
      </c>
    </row>
    <row r="1799" spans="1:12" ht="12.75">
      <c r="A1799" s="3" t="str">
        <f ca="1">IFERROR(__xludf.UNSUPPORTED("""COMPUTED_VALUE"""),"1c017260")</f>
        <v>1c017260</v>
      </c>
      <c r="B1799" s="4">
        <f ca="1">IFERROR(__xludf.UNSUPPORTED("""COMPUTED_VALUE"""),45424.4140509259)</f>
        <v>45424.414050925901</v>
      </c>
      <c r="C1799" s="7" t="str">
        <f ca="1">IFERROR(__xludf.UNSUPPORTED("""COMPUTED_VALUE"""),"Recife")</f>
        <v>Recife</v>
      </c>
      <c r="D1799" s="3" t="str">
        <f ca="1">IFERROR(__xludf.UNSUPPORTED("""COMPUTED_VALUE"""),"🚢 REGULAR")</f>
        <v>🚢 REGULAR</v>
      </c>
      <c r="E1799" s="3" t="str">
        <f ca="1">IFERROR(__xludf.UNSUPPORTED("""COMPUTED_VALUE"""),"🚛 LIBERADO")</f>
        <v>🚛 LIBERADO</v>
      </c>
      <c r="F1799" s="5">
        <f ca="1">IFERROR(__xludf.UNSUPPORTED("""COMPUTED_VALUE"""),0.25)</f>
        <v>0.25</v>
      </c>
      <c r="G1799" s="3" t="str">
        <f ca="1">IFERROR(__xludf.UNSUPPORTED("""COMPUTED_VALUE"""),"Regular")</f>
        <v>Regular</v>
      </c>
      <c r="H1799" s="4">
        <f ca="1">IFERROR(__xludf.UNSUPPORTED("""COMPUTED_VALUE"""),45423.4140509259)</f>
        <v>45423.414050925901</v>
      </c>
      <c r="I1799" s="3">
        <f ca="1">IFERROR(__xludf.UNSUPPORTED("""COMPUTED_VALUE"""),6)</f>
        <v>6</v>
      </c>
      <c r="J1799" s="4">
        <f ca="1">IFERROR(__xludf.UNSUPPORTED("""COMPUTED_VALUE"""),45423.6640509259)</f>
        <v>45423.664050925901</v>
      </c>
      <c r="K1799" s="3" t="str">
        <f ca="1">IFERROR(__xludf.UNSUPPORTED("""COMPUTED_VALUE"""),"Porto do Recife")</f>
        <v>Porto do Recife</v>
      </c>
      <c r="L1799" s="3" t="str">
        <f ca="1">IFERROR(__xludf.UNSUPPORTED("""COMPUTED_VALUE"""),"Crítico")</f>
        <v>Crítico</v>
      </c>
    </row>
    <row r="1800" spans="1:12" ht="12.75">
      <c r="A1800" s="3" t="str">
        <f ca="1">IFERROR(__xludf.UNSUPPORTED("""COMPUTED_VALUE"""),"d12667aa")</f>
        <v>d12667aa</v>
      </c>
      <c r="B1800" s="4">
        <f ca="1">IFERROR(__xludf.UNSUPPORTED("""COMPUTED_VALUE"""),45424.4188773148)</f>
        <v>45424.418877314798</v>
      </c>
      <c r="C1800" s="8" t="str">
        <f ca="1">IFERROR(__xludf.UNSUPPORTED("""COMPUTED_VALUE"""),"Recife")</f>
        <v>Recife</v>
      </c>
      <c r="D1800" s="3" t="str">
        <f ca="1">IFERROR(__xludf.UNSUPPORTED("""COMPUTED_VALUE"""),"🚢 REGULAR")</f>
        <v>🚢 REGULAR</v>
      </c>
      <c r="E1800" s="3" t="str">
        <f ca="1">IFERROR(__xludf.UNSUPPORTED("""COMPUTED_VALUE"""),"🚛 LIBERADO")</f>
        <v>🚛 LIBERADO</v>
      </c>
      <c r="F1800" s="5">
        <f ca="1">IFERROR(__xludf.UNSUPPORTED("""COMPUTED_VALUE"""),0.25)</f>
        <v>0.25</v>
      </c>
      <c r="G1800" s="3" t="str">
        <f ca="1">IFERROR(__xludf.UNSUPPORTED("""COMPUTED_VALUE"""),"Regular")</f>
        <v>Regular</v>
      </c>
      <c r="H1800" s="4">
        <f ca="1">IFERROR(__xludf.UNSUPPORTED("""COMPUTED_VALUE"""),45424.4188773148)</f>
        <v>45424.418877314798</v>
      </c>
      <c r="I1800" s="3">
        <f ca="1">IFERROR(__xludf.UNSUPPORTED("""COMPUTED_VALUE"""),6)</f>
        <v>6</v>
      </c>
      <c r="J1800" s="4">
        <f ca="1">IFERROR(__xludf.UNSUPPORTED("""COMPUTED_VALUE"""),45424.6688773148)</f>
        <v>45424.668877314798</v>
      </c>
      <c r="K1800" s="3" t="str">
        <f ca="1">IFERROR(__xludf.UNSUPPORTED("""COMPUTED_VALUE"""),"Porto do Recife")</f>
        <v>Porto do Recife</v>
      </c>
      <c r="L1800" s="3" t="str">
        <f ca="1">IFERROR(__xludf.UNSUPPORTED("""COMPUTED_VALUE"""),"Crítico")</f>
        <v>Crítico</v>
      </c>
    </row>
    <row r="1801" spans="1:12" ht="12.75">
      <c r="A1801" s="3" t="str">
        <f ca="1">IFERROR(__xludf.UNSUPPORTED("""COMPUTED_VALUE"""),"b251960a")</f>
        <v>b251960a</v>
      </c>
      <c r="B1801" s="4">
        <f ca="1">IFERROR(__xludf.UNSUPPORTED("""COMPUTED_VALUE"""),45425.3954282407)</f>
        <v>45425.395428240699</v>
      </c>
      <c r="C1801" s="7" t="str">
        <f ca="1">IFERROR(__xludf.UNSUPPORTED("""COMPUTED_VALUE"""),"Recife")</f>
        <v>Recife</v>
      </c>
      <c r="D1801" s="3" t="str">
        <f ca="1">IFERROR(__xludf.UNSUPPORTED("""COMPUTED_VALUE"""),"🚢 REGULAR")</f>
        <v>🚢 REGULAR</v>
      </c>
      <c r="E1801" s="3" t="str">
        <f ca="1">IFERROR(__xludf.UNSUPPORTED("""COMPUTED_VALUE"""),"🚛 LIBERADO")</f>
        <v>🚛 LIBERADO</v>
      </c>
      <c r="F1801" s="5">
        <f ca="1">IFERROR(__xludf.UNSUPPORTED("""COMPUTED_VALUE"""),0.25)</f>
        <v>0.25</v>
      </c>
      <c r="G1801" s="3" t="str">
        <f ca="1">IFERROR(__xludf.UNSUPPORTED("""COMPUTED_VALUE"""),"Regular")</f>
        <v>Regular</v>
      </c>
      <c r="H1801" s="4">
        <f ca="1">IFERROR(__xludf.UNSUPPORTED("""COMPUTED_VALUE"""),45425.3954282407)</f>
        <v>45425.395428240699</v>
      </c>
      <c r="I1801" s="3">
        <f ca="1">IFERROR(__xludf.UNSUPPORTED("""COMPUTED_VALUE"""),6)</f>
        <v>6</v>
      </c>
      <c r="J1801" s="4">
        <f ca="1">IFERROR(__xludf.UNSUPPORTED("""COMPUTED_VALUE"""),45425.6454282407)</f>
        <v>45425.645428240699</v>
      </c>
      <c r="K1801" s="3" t="str">
        <f ca="1">IFERROR(__xludf.UNSUPPORTED("""COMPUTED_VALUE"""),"Porto do Recife")</f>
        <v>Porto do Recife</v>
      </c>
      <c r="L1801" s="3" t="str">
        <f ca="1">IFERROR(__xludf.UNSUPPORTED("""COMPUTED_VALUE"""),"Crítico")</f>
        <v>Crítico</v>
      </c>
    </row>
    <row r="1802" spans="1:12" ht="12.75">
      <c r="A1802" s="3" t="str">
        <f ca="1">IFERROR(__xludf.UNSUPPORTED("""COMPUTED_VALUE"""),"7857f205")</f>
        <v>7857f205</v>
      </c>
      <c r="B1802" s="4">
        <f ca="1">IFERROR(__xludf.UNSUPPORTED("""COMPUTED_VALUE"""),45427.7724189814)</f>
        <v>45427.772418981403</v>
      </c>
      <c r="C1802" s="8" t="str">
        <f ca="1">IFERROR(__xludf.UNSUPPORTED("""COMPUTED_VALUE"""),"Recife")</f>
        <v>Recife</v>
      </c>
      <c r="D1802" s="3" t="str">
        <f ca="1">IFERROR(__xludf.UNSUPPORTED("""COMPUTED_VALUE"""),"🚢 REGULAR")</f>
        <v>🚢 REGULAR</v>
      </c>
      <c r="E1802" s="3" t="str">
        <f ca="1">IFERROR(__xludf.UNSUPPORTED("""COMPUTED_VALUE"""),"🚛 LIBERADO")</f>
        <v>🚛 LIBERADO</v>
      </c>
      <c r="F1802" s="5">
        <f ca="1">IFERROR(__xludf.UNSUPPORTED("""COMPUTED_VALUE"""),0.25)</f>
        <v>0.25</v>
      </c>
      <c r="G1802" s="3" t="str">
        <f ca="1">IFERROR(__xludf.UNSUPPORTED("""COMPUTED_VALUE"""),"Regular")</f>
        <v>Regular</v>
      </c>
      <c r="H1802" s="4">
        <f ca="1">IFERROR(__xludf.UNSUPPORTED("""COMPUTED_VALUE"""),45427.7724189814)</f>
        <v>45427.772418981403</v>
      </c>
      <c r="I1802" s="3">
        <f ca="1">IFERROR(__xludf.UNSUPPORTED("""COMPUTED_VALUE"""),6)</f>
        <v>6</v>
      </c>
      <c r="J1802" s="4">
        <f ca="1">IFERROR(__xludf.UNSUPPORTED("""COMPUTED_VALUE"""),45428.0224189814)</f>
        <v>45428.022418981403</v>
      </c>
      <c r="K1802" s="3" t="str">
        <f ca="1">IFERROR(__xludf.UNSUPPORTED("""COMPUTED_VALUE"""),"Porto do Recife")</f>
        <v>Porto do Recife</v>
      </c>
      <c r="L1802" s="3" t="str">
        <f ca="1">IFERROR(__xludf.UNSUPPORTED("""COMPUTED_VALUE"""),"Crítico")</f>
        <v>Crítico</v>
      </c>
    </row>
    <row r="1803" spans="1:12" ht="12.75">
      <c r="A1803" s="3" t="str">
        <f ca="1">IFERROR(__xludf.UNSUPPORTED("""COMPUTED_VALUE"""),"81f431b1")</f>
        <v>81f431b1</v>
      </c>
      <c r="B1803" s="4">
        <f ca="1">IFERROR(__xludf.UNSUPPORTED("""COMPUTED_VALUE"""),45429.3287268518)</f>
        <v>45429.328726851803</v>
      </c>
      <c r="C1803" s="7" t="str">
        <f ca="1">IFERROR(__xludf.UNSUPPORTED("""COMPUTED_VALUE"""),"Recife")</f>
        <v>Recife</v>
      </c>
      <c r="D1803" s="3" t="str">
        <f ca="1">IFERROR(__xludf.UNSUPPORTED("""COMPUTED_VALUE"""),"🚢 REGULAR")</f>
        <v>🚢 REGULAR</v>
      </c>
      <c r="E1803" s="3" t="str">
        <f ca="1">IFERROR(__xludf.UNSUPPORTED("""COMPUTED_VALUE"""),"🚛 LIBERADO")</f>
        <v>🚛 LIBERADO</v>
      </c>
      <c r="F1803" s="5">
        <f ca="1">IFERROR(__xludf.UNSUPPORTED("""COMPUTED_VALUE"""),0)</f>
        <v>0</v>
      </c>
      <c r="G1803" s="3" t="str">
        <f ca="1">IFERROR(__xludf.UNSUPPORTED("""COMPUTED_VALUE"""),"Normalidade")</f>
        <v>Normalidade</v>
      </c>
      <c r="H1803" s="4">
        <f ca="1">IFERROR(__xludf.UNSUPPORTED("""COMPUTED_VALUE"""),45429.3287268518)</f>
        <v>45429.328726851803</v>
      </c>
      <c r="I1803" s="3">
        <f ca="1">IFERROR(__xludf.UNSUPPORTED("""COMPUTED_VALUE"""),24)</f>
        <v>24</v>
      </c>
      <c r="J1803" s="4">
        <f ca="1">IFERROR(__xludf.UNSUPPORTED("""COMPUTED_VALUE"""),45430.3287268518)</f>
        <v>45430.328726851803</v>
      </c>
    </row>
    <row r="1804" spans="1:12" ht="12.75">
      <c r="A1804" s="3" t="str">
        <f ca="1">IFERROR(__xludf.UNSUPPORTED("""COMPUTED_VALUE"""),"86095c10")</f>
        <v>86095c10</v>
      </c>
      <c r="B1804" s="4">
        <f ca="1">IFERROR(__xludf.UNSUPPORTED("""COMPUTED_VALUE"""),45429.3288657407)</f>
        <v>45429.328865740703</v>
      </c>
      <c r="C1804" s="8" t="str">
        <f ca="1">IFERROR(__xludf.UNSUPPORTED("""COMPUTED_VALUE"""),"Recife")</f>
        <v>Recife</v>
      </c>
      <c r="D1804" s="3" t="str">
        <f ca="1">IFERROR(__xludf.UNSUPPORTED("""COMPUTED_VALUE"""),"🚢 REGULAR")</f>
        <v>🚢 REGULAR</v>
      </c>
      <c r="E1804" s="3" t="str">
        <f ca="1">IFERROR(__xludf.UNSUPPORTED("""COMPUTED_VALUE"""),"🚛 LIBERADO")</f>
        <v>🚛 LIBERADO</v>
      </c>
      <c r="F1804" s="5">
        <f ca="1">IFERROR(__xludf.UNSUPPORTED("""COMPUTED_VALUE"""),0)</f>
        <v>0</v>
      </c>
      <c r="G1804" s="3" t="str">
        <f ca="1">IFERROR(__xludf.UNSUPPORTED("""COMPUTED_VALUE"""),"Normalidade")</f>
        <v>Normalidade</v>
      </c>
      <c r="H1804" s="4">
        <f ca="1">IFERROR(__xludf.UNSUPPORTED("""COMPUTED_VALUE"""),45429.3288657407)</f>
        <v>45429.328865740703</v>
      </c>
      <c r="I1804" s="3">
        <f ca="1">IFERROR(__xludf.UNSUPPORTED("""COMPUTED_VALUE"""),24)</f>
        <v>24</v>
      </c>
      <c r="J1804" s="4">
        <f ca="1">IFERROR(__xludf.UNSUPPORTED("""COMPUTED_VALUE"""),45430.3288657407)</f>
        <v>45430.328865740703</v>
      </c>
      <c r="L1804" s="3" t="str">
        <f ca="1">IFERROR(__xludf.UNSUPPORTED("""COMPUTED_VALUE"""),"Normalidade")</f>
        <v>Normalidade</v>
      </c>
    </row>
    <row r="1805" spans="1:12" ht="12.75">
      <c r="A1805" s="3" t="str">
        <f ca="1">IFERROR(__xludf.UNSUPPORTED("""COMPUTED_VALUE"""),"1ff49198")</f>
        <v>1ff49198</v>
      </c>
      <c r="B1805" s="4">
        <f ca="1">IFERROR(__xludf.UNSUPPORTED("""COMPUTED_VALUE"""),45432.3393981481)</f>
        <v>45432.339398148099</v>
      </c>
      <c r="C1805" s="7" t="str">
        <f ca="1">IFERROR(__xludf.UNSUPPORTED("""COMPUTED_VALUE"""),"Recife")</f>
        <v>Recife</v>
      </c>
      <c r="D1805" s="3" t="str">
        <f ca="1">IFERROR(__xludf.UNSUPPORTED("""COMPUTED_VALUE"""),"🚢 REGULAR")</f>
        <v>🚢 REGULAR</v>
      </c>
      <c r="E1805" s="3" t="str">
        <f ca="1">IFERROR(__xludf.UNSUPPORTED("""COMPUTED_VALUE"""),"🚛 LIBERADO")</f>
        <v>🚛 LIBERADO</v>
      </c>
      <c r="F1805" s="5">
        <f ca="1">IFERROR(__xludf.UNSUPPORTED("""COMPUTED_VALUE"""),0)</f>
        <v>0</v>
      </c>
      <c r="G1805" s="3" t="str">
        <f ca="1">IFERROR(__xludf.UNSUPPORTED("""COMPUTED_VALUE"""),"Normalidade")</f>
        <v>Normalidade</v>
      </c>
      <c r="H1805" s="4">
        <f ca="1">IFERROR(__xludf.UNSUPPORTED("""COMPUTED_VALUE"""),45432.3393981481)</f>
        <v>45432.339398148099</v>
      </c>
      <c r="I1805" s="3">
        <f ca="1">IFERROR(__xludf.UNSUPPORTED("""COMPUTED_VALUE"""),24)</f>
        <v>24</v>
      </c>
      <c r="J1805" s="4">
        <f ca="1">IFERROR(__xludf.UNSUPPORTED("""COMPUTED_VALUE"""),45433.3393981481)</f>
        <v>45433.339398148099</v>
      </c>
    </row>
    <row r="1806" spans="1:12" ht="12.75">
      <c r="A1806" s="3" t="str">
        <f ca="1">IFERROR(__xludf.UNSUPPORTED("""COMPUTED_VALUE"""),"038e8a14")</f>
        <v>038e8a14</v>
      </c>
      <c r="B1806" s="4">
        <f ca="1">IFERROR(__xludf.UNSUPPORTED("""COMPUTED_VALUE"""),45434.3525231481)</f>
        <v>45434.352523148104</v>
      </c>
      <c r="C1806" s="8" t="str">
        <f ca="1">IFERROR(__xludf.UNSUPPORTED("""COMPUTED_VALUE"""),"Recife")</f>
        <v>Recife</v>
      </c>
      <c r="D1806" s="3" t="str">
        <f ca="1">IFERROR(__xludf.UNSUPPORTED("""COMPUTED_VALUE"""),"🚢 REGULAR")</f>
        <v>🚢 REGULAR</v>
      </c>
      <c r="E1806" s="3" t="str">
        <f ca="1">IFERROR(__xludf.UNSUPPORTED("""COMPUTED_VALUE"""),"🚛 LIBERADO")</f>
        <v>🚛 LIBERADO</v>
      </c>
      <c r="F1806" s="5">
        <f ca="1">IFERROR(__xludf.UNSUPPORTED("""COMPUTED_VALUE"""),0)</f>
        <v>0</v>
      </c>
      <c r="G1806" s="3" t="str">
        <f ca="1">IFERROR(__xludf.UNSUPPORTED("""COMPUTED_VALUE"""),"Normalidade")</f>
        <v>Normalidade</v>
      </c>
      <c r="H1806" s="4">
        <f ca="1">IFERROR(__xludf.UNSUPPORTED("""COMPUTED_VALUE"""),45434.3525231481)</f>
        <v>45434.352523148104</v>
      </c>
      <c r="I1806" s="3">
        <f ca="1">IFERROR(__xludf.UNSUPPORTED("""COMPUTED_VALUE"""),24)</f>
        <v>24</v>
      </c>
      <c r="J1806" s="4">
        <f ca="1">IFERROR(__xludf.UNSUPPORTED("""COMPUTED_VALUE"""),45435.3525231481)</f>
        <v>45435.352523148104</v>
      </c>
    </row>
    <row r="1807" spans="1:12" ht="12.75">
      <c r="A1807" s="3" t="str">
        <f ca="1">IFERROR(__xludf.UNSUPPORTED("""COMPUTED_VALUE"""),"ff5f72bc")</f>
        <v>ff5f72bc</v>
      </c>
      <c r="B1807" s="4">
        <f ca="1">IFERROR(__xludf.UNSUPPORTED("""COMPUTED_VALUE"""),45435.3830902777)</f>
        <v>45435.383090277697</v>
      </c>
      <c r="C1807" s="7" t="str">
        <f ca="1">IFERROR(__xludf.UNSUPPORTED("""COMPUTED_VALUE"""),"Recife")</f>
        <v>Recife</v>
      </c>
      <c r="D1807" s="3" t="str">
        <f ca="1">IFERROR(__xludf.UNSUPPORTED("""COMPUTED_VALUE"""),"🚢 REGULAR")</f>
        <v>🚢 REGULAR</v>
      </c>
      <c r="E1807" s="3" t="str">
        <f ca="1">IFERROR(__xludf.UNSUPPORTED("""COMPUTED_VALUE"""),"🚛 LIBERADO")</f>
        <v>🚛 LIBERADO</v>
      </c>
      <c r="F1807" s="5">
        <f ca="1">IFERROR(__xludf.UNSUPPORTED("""COMPUTED_VALUE"""),0)</f>
        <v>0</v>
      </c>
      <c r="G1807" s="3" t="str">
        <f ca="1">IFERROR(__xludf.UNSUPPORTED("""COMPUTED_VALUE"""),"Normalidade")</f>
        <v>Normalidade</v>
      </c>
      <c r="H1807" s="4">
        <f ca="1">IFERROR(__xludf.UNSUPPORTED("""COMPUTED_VALUE"""),45435.3830902777)</f>
        <v>45435.383090277697</v>
      </c>
      <c r="I1807" s="3">
        <f ca="1">IFERROR(__xludf.UNSUPPORTED("""COMPUTED_VALUE"""),24)</f>
        <v>24</v>
      </c>
      <c r="J1807" s="4">
        <f ca="1">IFERROR(__xludf.UNSUPPORTED("""COMPUTED_VALUE"""),45436.3830902777)</f>
        <v>45436.383090277697</v>
      </c>
    </row>
    <row r="1808" spans="1:12" ht="12.75">
      <c r="A1808" s="3" t="str">
        <f ca="1">IFERROR(__xludf.UNSUPPORTED("""COMPUTED_VALUE"""),"61f173d8")</f>
        <v>61f173d8</v>
      </c>
      <c r="B1808" s="4">
        <f ca="1">IFERROR(__xludf.UNSUPPORTED("""COMPUTED_VALUE"""),45436.3953819444)</f>
        <v>45436.3953819444</v>
      </c>
      <c r="C1808" s="8" t="str">
        <f ca="1">IFERROR(__xludf.UNSUPPORTED("""COMPUTED_VALUE"""),"Recife")</f>
        <v>Recife</v>
      </c>
      <c r="D1808" s="3" t="str">
        <f ca="1">IFERROR(__xludf.UNSUPPORTED("""COMPUTED_VALUE"""),"🚢 REGULAR")</f>
        <v>🚢 REGULAR</v>
      </c>
      <c r="E1808" s="3" t="str">
        <f ca="1">IFERROR(__xludf.UNSUPPORTED("""COMPUTED_VALUE"""),"🚛 LIBERADO")</f>
        <v>🚛 LIBERADO</v>
      </c>
      <c r="F1808" s="5">
        <f ca="1">IFERROR(__xludf.UNSUPPORTED("""COMPUTED_VALUE"""),0)</f>
        <v>0</v>
      </c>
      <c r="G1808" s="3" t="str">
        <f ca="1">IFERROR(__xludf.UNSUPPORTED("""COMPUTED_VALUE"""),"Normalidade")</f>
        <v>Normalidade</v>
      </c>
      <c r="H1808" s="4">
        <f ca="1">IFERROR(__xludf.UNSUPPORTED("""COMPUTED_VALUE"""),45436.3953819444)</f>
        <v>45436.3953819444</v>
      </c>
      <c r="I1808" s="3">
        <f ca="1">IFERROR(__xludf.UNSUPPORTED("""COMPUTED_VALUE"""),24)</f>
        <v>24</v>
      </c>
      <c r="J1808" s="4">
        <f ca="1">IFERROR(__xludf.UNSUPPORTED("""COMPUTED_VALUE"""),45437.3953819444)</f>
        <v>45437.3953819444</v>
      </c>
    </row>
    <row r="1809" spans="1:12" ht="12.75">
      <c r="A1809" s="3" t="str">
        <f ca="1">IFERROR(__xludf.UNSUPPORTED("""COMPUTED_VALUE"""),"f9316ccc")</f>
        <v>f9316ccc</v>
      </c>
      <c r="B1809" s="4">
        <f ca="1">IFERROR(__xludf.UNSUPPORTED("""COMPUTED_VALUE"""),45439.367662037)</f>
        <v>45439.367662037002</v>
      </c>
      <c r="C1809" s="7" t="str">
        <f ca="1">IFERROR(__xludf.UNSUPPORTED("""COMPUTED_VALUE"""),"Recife")</f>
        <v>Recife</v>
      </c>
      <c r="D1809" s="3" t="str">
        <f ca="1">IFERROR(__xludf.UNSUPPORTED("""COMPUTED_VALUE"""),"🚢 REGULAR")</f>
        <v>🚢 REGULAR</v>
      </c>
      <c r="E1809" s="3" t="str">
        <f ca="1">IFERROR(__xludf.UNSUPPORTED("""COMPUTED_VALUE"""),"🚛 LIBERADO")</f>
        <v>🚛 LIBERADO</v>
      </c>
      <c r="F1809" s="5">
        <f ca="1">IFERROR(__xludf.UNSUPPORTED("""COMPUTED_VALUE"""),0)</f>
        <v>0</v>
      </c>
      <c r="G1809" s="3" t="str">
        <f ca="1">IFERROR(__xludf.UNSUPPORTED("""COMPUTED_VALUE"""),"Normalidade")</f>
        <v>Normalidade</v>
      </c>
      <c r="H1809" s="4">
        <f ca="1">IFERROR(__xludf.UNSUPPORTED("""COMPUTED_VALUE"""),45439.367662037)</f>
        <v>45439.367662037002</v>
      </c>
      <c r="I1809" s="3">
        <f ca="1">IFERROR(__xludf.UNSUPPORTED("""COMPUTED_VALUE"""),24)</f>
        <v>24</v>
      </c>
      <c r="J1809" s="4">
        <f ca="1">IFERROR(__xludf.UNSUPPORTED("""COMPUTED_VALUE"""),45440.367662037)</f>
        <v>45440.367662037002</v>
      </c>
    </row>
    <row r="1810" spans="1:12" ht="12.75">
      <c r="A1810" s="3" t="str">
        <f ca="1">IFERROR(__xludf.UNSUPPORTED("""COMPUTED_VALUE"""),"cd49bee6")</f>
        <v>cd49bee6</v>
      </c>
      <c r="B1810" s="4">
        <f ca="1">IFERROR(__xludf.UNSUPPORTED("""COMPUTED_VALUE"""),45442.3065277777)</f>
        <v>45442.306527777699</v>
      </c>
      <c r="C1810" s="7" t="str">
        <f ca="1">IFERROR(__xludf.UNSUPPORTED("""COMPUTED_VALUE"""),"Recife")</f>
        <v>Recife</v>
      </c>
      <c r="D1810" s="3" t="str">
        <f ca="1">IFERROR(__xludf.UNSUPPORTED("""COMPUTED_VALUE"""),"🚢 REGULAR")</f>
        <v>🚢 REGULAR</v>
      </c>
      <c r="E1810" s="3" t="str">
        <f ca="1">IFERROR(__xludf.UNSUPPORTED("""COMPUTED_VALUE"""),"🚛 LIBERADO")</f>
        <v>🚛 LIBERADO</v>
      </c>
      <c r="F1810" s="5">
        <f ca="1">IFERROR(__xludf.UNSUPPORTED("""COMPUTED_VALUE"""),0)</f>
        <v>0</v>
      </c>
      <c r="G1810" s="3" t="str">
        <f ca="1">IFERROR(__xludf.UNSUPPORTED("""COMPUTED_VALUE"""),"Normalidade")</f>
        <v>Normalidade</v>
      </c>
      <c r="H1810" s="4">
        <f ca="1">IFERROR(__xludf.UNSUPPORTED("""COMPUTED_VALUE"""),45442.3065277777)</f>
        <v>45442.306527777699</v>
      </c>
      <c r="I1810" s="3">
        <f ca="1">IFERROR(__xludf.UNSUPPORTED("""COMPUTED_VALUE"""),24)</f>
        <v>24</v>
      </c>
      <c r="J1810" s="4">
        <f ca="1">IFERROR(__xludf.UNSUPPORTED("""COMPUTED_VALUE"""),45443.3065277777)</f>
        <v>45443.306527777699</v>
      </c>
    </row>
    <row r="1811" spans="1:12" ht="12.75">
      <c r="A1811" s="3" t="str">
        <f ca="1">IFERROR(__xludf.UNSUPPORTED("""COMPUTED_VALUE"""),"b1ae8f54")</f>
        <v>b1ae8f54</v>
      </c>
      <c r="B1811" s="4">
        <f ca="1">IFERROR(__xludf.UNSUPPORTED("""COMPUTED_VALUE"""),45447.9029976851)</f>
        <v>45447.902997685102</v>
      </c>
      <c r="C1811" s="7" t="str">
        <f ca="1">IFERROR(__xludf.UNSUPPORTED("""COMPUTED_VALUE"""),"Recife")</f>
        <v>Recife</v>
      </c>
      <c r="D1811" s="3" t="str">
        <f ca="1">IFERROR(__xludf.UNSUPPORTED("""COMPUTED_VALUE"""),"🚢 REGULAR")</f>
        <v>🚢 REGULAR</v>
      </c>
      <c r="E1811" s="3" t="str">
        <f ca="1">IFERROR(__xludf.UNSUPPORTED("""COMPUTED_VALUE"""),"🚛 LIBERADO")</f>
        <v>🚛 LIBERADO</v>
      </c>
      <c r="F1811" s="5">
        <f ca="1">IFERROR(__xludf.UNSUPPORTED("""COMPUTED_VALUE"""),0.25)</f>
        <v>0.25</v>
      </c>
      <c r="G1811" s="3" t="str">
        <f ca="1">IFERROR(__xludf.UNSUPPORTED("""COMPUTED_VALUE"""),"Regular")</f>
        <v>Regular</v>
      </c>
      <c r="H1811" s="4">
        <f ca="1">IFERROR(__xludf.UNSUPPORTED("""COMPUTED_VALUE"""),45447.9029976851)</f>
        <v>45447.902997685102</v>
      </c>
      <c r="I1811" s="3">
        <f ca="1">IFERROR(__xludf.UNSUPPORTED("""COMPUTED_VALUE"""),6)</f>
        <v>6</v>
      </c>
      <c r="J1811" s="4">
        <f ca="1">IFERROR(__xludf.UNSUPPORTED("""COMPUTED_VALUE"""),45448.1529976851)</f>
        <v>45448.152997685102</v>
      </c>
      <c r="K1811" s="3" t="str">
        <f ca="1">IFERROR(__xludf.UNSUPPORTED("""COMPUTED_VALUE"""),"Porto do Recife")</f>
        <v>Porto do Recife</v>
      </c>
      <c r="L1811" s="3" t="str">
        <f ca="1">IFERROR(__xludf.UNSUPPORTED("""COMPUTED_VALUE"""),"Crítico")</f>
        <v>Crítico</v>
      </c>
    </row>
    <row r="1812" spans="1:12" ht="12.75">
      <c r="A1812" s="3" t="str">
        <f ca="1">IFERROR(__xludf.UNSUPPORTED("""COMPUTED_VALUE"""),"82992bcc")</f>
        <v>82992bcc</v>
      </c>
      <c r="B1812" s="4">
        <f ca="1">IFERROR(__xludf.UNSUPPORTED("""COMPUTED_VALUE"""),45448.7408101851)</f>
        <v>45448.740810185103</v>
      </c>
      <c r="C1812" s="8" t="str">
        <f ca="1">IFERROR(__xludf.UNSUPPORTED("""COMPUTED_VALUE"""),"Recife")</f>
        <v>Recife</v>
      </c>
      <c r="D1812" s="3" t="str">
        <f ca="1">IFERROR(__xludf.UNSUPPORTED("""COMPUTED_VALUE"""),"🚢 REGULAR")</f>
        <v>🚢 REGULAR</v>
      </c>
      <c r="E1812" s="3" t="str">
        <f ca="1">IFERROR(__xludf.UNSUPPORTED("""COMPUTED_VALUE"""),"🚛 LIBERADO")</f>
        <v>🚛 LIBERADO</v>
      </c>
      <c r="F1812" s="5">
        <f ca="1">IFERROR(__xludf.UNSUPPORTED("""COMPUTED_VALUE"""),0.25)</f>
        <v>0.25</v>
      </c>
      <c r="G1812" s="3" t="str">
        <f ca="1">IFERROR(__xludf.UNSUPPORTED("""COMPUTED_VALUE"""),"Regular")</f>
        <v>Regular</v>
      </c>
      <c r="H1812" s="4">
        <f ca="1">IFERROR(__xludf.UNSUPPORTED("""COMPUTED_VALUE"""),45448.7408101851)</f>
        <v>45448.740810185103</v>
      </c>
      <c r="I1812" s="3">
        <f ca="1">IFERROR(__xludf.UNSUPPORTED("""COMPUTED_VALUE"""),6)</f>
        <v>6</v>
      </c>
      <c r="J1812" s="4">
        <f ca="1">IFERROR(__xludf.UNSUPPORTED("""COMPUTED_VALUE"""),45448.9908101851)</f>
        <v>45448.990810185103</v>
      </c>
      <c r="K1812" s="3" t="str">
        <f ca="1">IFERROR(__xludf.UNSUPPORTED("""COMPUTED_VALUE"""),"Porto do Recife")</f>
        <v>Porto do Recife</v>
      </c>
      <c r="L1812" s="3" t="str">
        <f ca="1">IFERROR(__xludf.UNSUPPORTED("""COMPUTED_VALUE"""),"Crítico")</f>
        <v>Crítico</v>
      </c>
    </row>
    <row r="1813" spans="1:12" ht="12.75">
      <c r="A1813" s="3" t="str">
        <f ca="1">IFERROR(__xludf.UNSUPPORTED("""COMPUTED_VALUE"""),"adbf2381")</f>
        <v>adbf2381</v>
      </c>
      <c r="B1813" s="4">
        <f ca="1">IFERROR(__xludf.UNSUPPORTED("""COMPUTED_VALUE"""),45449.3918634259)</f>
        <v>45449.391863425903</v>
      </c>
      <c r="C1813" s="7" t="str">
        <f ca="1">IFERROR(__xludf.UNSUPPORTED("""COMPUTED_VALUE"""),"Recife")</f>
        <v>Recife</v>
      </c>
      <c r="D1813" s="3" t="str">
        <f ca="1">IFERROR(__xludf.UNSUPPORTED("""COMPUTED_VALUE"""),"🚢 REGULAR")</f>
        <v>🚢 REGULAR</v>
      </c>
      <c r="E1813" s="3" t="str">
        <f ca="1">IFERROR(__xludf.UNSUPPORTED("""COMPUTED_VALUE"""),"🚛 LIBERADO")</f>
        <v>🚛 LIBERADO</v>
      </c>
      <c r="F1813" s="5">
        <f ca="1">IFERROR(__xludf.UNSUPPORTED("""COMPUTED_VALUE"""),0.25)</f>
        <v>0.25</v>
      </c>
      <c r="G1813" s="3" t="str">
        <f ca="1">IFERROR(__xludf.UNSUPPORTED("""COMPUTED_VALUE"""),"Regular")</f>
        <v>Regular</v>
      </c>
      <c r="H1813" s="4">
        <f ca="1">IFERROR(__xludf.UNSUPPORTED("""COMPUTED_VALUE"""),45444.3918634259)</f>
        <v>45444.391863425903</v>
      </c>
      <c r="I1813" s="3">
        <f ca="1">IFERROR(__xludf.UNSUPPORTED("""COMPUTED_VALUE"""),6)</f>
        <v>6</v>
      </c>
      <c r="J1813" s="4">
        <f ca="1">IFERROR(__xludf.UNSUPPORTED("""COMPUTED_VALUE"""),45444.6418634259)</f>
        <v>45444.641863425903</v>
      </c>
      <c r="K1813" s="3" t="str">
        <f ca="1">IFERROR(__xludf.UNSUPPORTED("""COMPUTED_VALUE"""),"Porto do Recife")</f>
        <v>Porto do Recife</v>
      </c>
      <c r="L1813" s="3" t="str">
        <f ca="1">IFERROR(__xludf.UNSUPPORTED("""COMPUTED_VALUE"""),"Crítico")</f>
        <v>Crítico</v>
      </c>
    </row>
    <row r="1814" spans="1:12" ht="12.75">
      <c r="A1814" s="3" t="str">
        <f ca="1">IFERROR(__xludf.UNSUPPORTED("""COMPUTED_VALUE"""),"d7f37c3f")</f>
        <v>d7f37c3f</v>
      </c>
      <c r="B1814" s="4">
        <f ca="1">IFERROR(__xludf.UNSUPPORTED("""COMPUTED_VALUE"""),45449.4090046296)</f>
        <v>45449.409004629597</v>
      </c>
      <c r="C1814" s="8" t="str">
        <f ca="1">IFERROR(__xludf.UNSUPPORTED("""COMPUTED_VALUE"""),"Recife")</f>
        <v>Recife</v>
      </c>
      <c r="D1814" s="3" t="str">
        <f ca="1">IFERROR(__xludf.UNSUPPORTED("""COMPUTED_VALUE"""),"🚢 REGULAR")</f>
        <v>🚢 REGULAR</v>
      </c>
      <c r="E1814" s="3" t="str">
        <f ca="1">IFERROR(__xludf.UNSUPPORTED("""COMPUTED_VALUE"""),"🚛 LIBERADO")</f>
        <v>🚛 LIBERADO</v>
      </c>
      <c r="F1814" s="5">
        <f ca="1">IFERROR(__xludf.UNSUPPORTED("""COMPUTED_VALUE"""),0.25)</f>
        <v>0.25</v>
      </c>
      <c r="G1814" s="3" t="str">
        <f ca="1">IFERROR(__xludf.UNSUPPORTED("""COMPUTED_VALUE"""),"Regular")</f>
        <v>Regular</v>
      </c>
      <c r="H1814" s="4">
        <f ca="1">IFERROR(__xludf.UNSUPPORTED("""COMPUTED_VALUE"""),45449.4090046296)</f>
        <v>45449.409004629597</v>
      </c>
      <c r="I1814" s="3">
        <f ca="1">IFERROR(__xludf.UNSUPPORTED("""COMPUTED_VALUE"""),6)</f>
        <v>6</v>
      </c>
      <c r="J1814" s="4">
        <f ca="1">IFERROR(__xludf.UNSUPPORTED("""COMPUTED_VALUE"""),45449.6590046296)</f>
        <v>45449.659004629597</v>
      </c>
      <c r="K1814" s="3" t="str">
        <f ca="1">IFERROR(__xludf.UNSUPPORTED("""COMPUTED_VALUE"""),"Porto do recife")</f>
        <v>Porto do recife</v>
      </c>
      <c r="L1814" s="3" t="str">
        <f ca="1">IFERROR(__xludf.UNSUPPORTED("""COMPUTED_VALUE"""),"Crítico")</f>
        <v>Crítico</v>
      </c>
    </row>
    <row r="1815" spans="1:12" ht="12.75">
      <c r="A1815" s="3" t="str">
        <f ca="1">IFERROR(__xludf.UNSUPPORTED("""COMPUTED_VALUE"""),"cd639c36")</f>
        <v>cd639c36</v>
      </c>
      <c r="B1815" s="4">
        <f ca="1">IFERROR(__xludf.UNSUPPORTED("""COMPUTED_VALUE"""),45450.3416782407)</f>
        <v>45450.3416782407</v>
      </c>
      <c r="C1815" s="8" t="str">
        <f ca="1">IFERROR(__xludf.UNSUPPORTED("""COMPUTED_VALUE"""),"Recife")</f>
        <v>Recife</v>
      </c>
      <c r="D1815" s="3" t="str">
        <f ca="1">IFERROR(__xludf.UNSUPPORTED("""COMPUTED_VALUE"""),"🚢 REGULAR")</f>
        <v>🚢 REGULAR</v>
      </c>
      <c r="E1815" s="3" t="str">
        <f ca="1">IFERROR(__xludf.UNSUPPORTED("""COMPUTED_VALUE"""),"🚛 LIBERADO")</f>
        <v>🚛 LIBERADO</v>
      </c>
      <c r="F1815" s="5">
        <f ca="1">IFERROR(__xludf.UNSUPPORTED("""COMPUTED_VALUE"""),0.25)</f>
        <v>0.25</v>
      </c>
      <c r="G1815" s="3" t="str">
        <f ca="1">IFERROR(__xludf.UNSUPPORTED("""COMPUTED_VALUE"""),"Regular")</f>
        <v>Regular</v>
      </c>
      <c r="H1815" s="4">
        <f ca="1">IFERROR(__xludf.UNSUPPORTED("""COMPUTED_VALUE"""),45450.3416782407)</f>
        <v>45450.3416782407</v>
      </c>
      <c r="I1815" s="3">
        <f ca="1">IFERROR(__xludf.UNSUPPORTED("""COMPUTED_VALUE"""),6)</f>
        <v>6</v>
      </c>
      <c r="J1815" s="4">
        <f ca="1">IFERROR(__xludf.UNSUPPORTED("""COMPUTED_VALUE"""),45450.5916782407)</f>
        <v>45450.5916782407</v>
      </c>
      <c r="K1815" s="3" t="str">
        <f ca="1">IFERROR(__xludf.UNSUPPORTED("""COMPUTED_VALUE"""),"Porto do Recife")</f>
        <v>Porto do Recife</v>
      </c>
      <c r="L1815" s="3" t="str">
        <f ca="1">IFERROR(__xludf.UNSUPPORTED("""COMPUTED_VALUE"""),"Crítico")</f>
        <v>Crítico</v>
      </c>
    </row>
    <row r="1816" spans="1:12" ht="12.75">
      <c r="A1816" s="3" t="str">
        <f ca="1">IFERROR(__xludf.UNSUPPORTED("""COMPUTED_VALUE"""),"b03eb502")</f>
        <v>b03eb502</v>
      </c>
      <c r="B1816" s="4">
        <f ca="1">IFERROR(__xludf.UNSUPPORTED("""COMPUTED_VALUE"""),45451.5613541666)</f>
        <v>45451.561354166603</v>
      </c>
      <c r="C1816" s="7" t="str">
        <f ca="1">IFERROR(__xludf.UNSUPPORTED("""COMPUTED_VALUE"""),"Recife")</f>
        <v>Recife</v>
      </c>
      <c r="D1816" s="3" t="str">
        <f ca="1">IFERROR(__xludf.UNSUPPORTED("""COMPUTED_VALUE"""),"🚢 REGULAR")</f>
        <v>🚢 REGULAR</v>
      </c>
      <c r="E1816" s="3" t="str">
        <f ca="1">IFERROR(__xludf.UNSUPPORTED("""COMPUTED_VALUE"""),"🚛 LIBERADO")</f>
        <v>🚛 LIBERADO</v>
      </c>
      <c r="F1816" s="5">
        <f ca="1">IFERROR(__xludf.UNSUPPORTED("""COMPUTED_VALUE"""),0.25)</f>
        <v>0.25</v>
      </c>
      <c r="G1816" s="3" t="str">
        <f ca="1">IFERROR(__xludf.UNSUPPORTED("""COMPUTED_VALUE"""),"Regular")</f>
        <v>Regular</v>
      </c>
      <c r="H1816" s="4">
        <f ca="1">IFERROR(__xludf.UNSUPPORTED("""COMPUTED_VALUE"""),45451.5613541666)</f>
        <v>45451.561354166603</v>
      </c>
      <c r="I1816" s="3">
        <f ca="1">IFERROR(__xludf.UNSUPPORTED("""COMPUTED_VALUE"""),6)</f>
        <v>6</v>
      </c>
      <c r="J1816" s="4">
        <f ca="1">IFERROR(__xludf.UNSUPPORTED("""COMPUTED_VALUE"""),45451.8113541666)</f>
        <v>45451.811354166603</v>
      </c>
      <c r="K1816" s="3" t="str">
        <f ca="1">IFERROR(__xludf.UNSUPPORTED("""COMPUTED_VALUE"""),"Porto do Recife")</f>
        <v>Porto do Recife</v>
      </c>
      <c r="L1816" s="3" t="str">
        <f ca="1">IFERROR(__xludf.UNSUPPORTED("""COMPUTED_VALUE"""),"Crítico")</f>
        <v>Crítico</v>
      </c>
    </row>
    <row r="1817" spans="1:12" ht="12.75">
      <c r="A1817" s="3" t="str">
        <f ca="1">IFERROR(__xludf.UNSUPPORTED("""COMPUTED_VALUE"""),"bcdd66ea")</f>
        <v>bcdd66ea</v>
      </c>
      <c r="B1817" s="4">
        <f ca="1">IFERROR(__xludf.UNSUPPORTED("""COMPUTED_VALUE"""),45452.4371412037)</f>
        <v>45452.4371412037</v>
      </c>
      <c r="C1817" s="8" t="str">
        <f ca="1">IFERROR(__xludf.UNSUPPORTED("""COMPUTED_VALUE"""),"Recife")</f>
        <v>Recife</v>
      </c>
      <c r="D1817" s="3" t="str">
        <f ca="1">IFERROR(__xludf.UNSUPPORTED("""COMPUTED_VALUE"""),"🚢 REGULAR")</f>
        <v>🚢 REGULAR</v>
      </c>
      <c r="E1817" s="3" t="str">
        <f ca="1">IFERROR(__xludf.UNSUPPORTED("""COMPUTED_VALUE"""),"🚛 LIBERADO")</f>
        <v>🚛 LIBERADO</v>
      </c>
      <c r="F1817" s="5">
        <f ca="1">IFERROR(__xludf.UNSUPPORTED("""COMPUTED_VALUE"""),0.25)</f>
        <v>0.25</v>
      </c>
      <c r="G1817" s="3" t="str">
        <f ca="1">IFERROR(__xludf.UNSUPPORTED("""COMPUTED_VALUE"""),"Regular")</f>
        <v>Regular</v>
      </c>
      <c r="H1817" s="4">
        <f ca="1">IFERROR(__xludf.UNSUPPORTED("""COMPUTED_VALUE"""),45452.4371412037)</f>
        <v>45452.4371412037</v>
      </c>
      <c r="I1817" s="3">
        <f ca="1">IFERROR(__xludf.UNSUPPORTED("""COMPUTED_VALUE"""),6)</f>
        <v>6</v>
      </c>
      <c r="J1817" s="4">
        <f ca="1">IFERROR(__xludf.UNSUPPORTED("""COMPUTED_VALUE"""),45452.6871412037)</f>
        <v>45452.6871412037</v>
      </c>
      <c r="K1817" s="3" t="str">
        <f ca="1">IFERROR(__xludf.UNSUPPORTED("""COMPUTED_VALUE"""),"Porto do Recife")</f>
        <v>Porto do Recife</v>
      </c>
      <c r="L1817" s="3" t="str">
        <f ca="1">IFERROR(__xludf.UNSUPPORTED("""COMPUTED_VALUE"""),"Crítico")</f>
        <v>Crítico</v>
      </c>
    </row>
    <row r="1818" spans="1:12" ht="12.75">
      <c r="A1818" s="3" t="str">
        <f ca="1">IFERROR(__xludf.UNSUPPORTED("""COMPUTED_VALUE"""),"fb3d81e7")</f>
        <v>fb3d81e7</v>
      </c>
      <c r="B1818" s="4">
        <f ca="1">IFERROR(__xludf.UNSUPPORTED("""COMPUTED_VALUE"""),45453.5677777777)</f>
        <v>45453.567777777702</v>
      </c>
      <c r="C1818" s="7" t="str">
        <f ca="1">IFERROR(__xludf.UNSUPPORTED("""COMPUTED_VALUE"""),"Recife")</f>
        <v>Recife</v>
      </c>
      <c r="D1818" s="3" t="str">
        <f ca="1">IFERROR(__xludf.UNSUPPORTED("""COMPUTED_VALUE"""),"🚢 REGULAR")</f>
        <v>🚢 REGULAR</v>
      </c>
      <c r="E1818" s="3" t="str">
        <f ca="1">IFERROR(__xludf.UNSUPPORTED("""COMPUTED_VALUE"""),"🚛 LIBERADO")</f>
        <v>🚛 LIBERADO</v>
      </c>
      <c r="F1818" s="5">
        <f ca="1">IFERROR(__xludf.UNSUPPORTED("""COMPUTED_VALUE"""),0.25)</f>
        <v>0.25</v>
      </c>
      <c r="G1818" s="3" t="str">
        <f ca="1">IFERROR(__xludf.UNSUPPORTED("""COMPUTED_VALUE"""),"Regular")</f>
        <v>Regular</v>
      </c>
      <c r="H1818" s="4">
        <f ca="1">IFERROR(__xludf.UNSUPPORTED("""COMPUTED_VALUE"""),45453.5677777777)</f>
        <v>45453.567777777702</v>
      </c>
      <c r="I1818" s="3">
        <f ca="1">IFERROR(__xludf.UNSUPPORTED("""COMPUTED_VALUE"""),6)</f>
        <v>6</v>
      </c>
      <c r="J1818" s="4">
        <f ca="1">IFERROR(__xludf.UNSUPPORTED("""COMPUTED_VALUE"""),45453.8177777777)</f>
        <v>45453.817777777702</v>
      </c>
      <c r="K1818" s="3" t="str">
        <f ca="1">IFERROR(__xludf.UNSUPPORTED("""COMPUTED_VALUE"""),"Porto do Recife")</f>
        <v>Porto do Recife</v>
      </c>
      <c r="L1818" s="3" t="str">
        <f ca="1">IFERROR(__xludf.UNSUPPORTED("""COMPUTED_VALUE"""),"Crítico")</f>
        <v>Crítico</v>
      </c>
    </row>
    <row r="1819" spans="1:12" ht="12.75">
      <c r="A1819" s="3" t="str">
        <f ca="1">IFERROR(__xludf.UNSUPPORTED("""COMPUTED_VALUE"""),"95589aad")</f>
        <v>95589aad</v>
      </c>
      <c r="B1819" s="4">
        <f ca="1">IFERROR(__xludf.UNSUPPORTED("""COMPUTED_VALUE"""),45454.5079513888)</f>
        <v>45454.507951388798</v>
      </c>
      <c r="C1819" s="7" t="str">
        <f ca="1">IFERROR(__xludf.UNSUPPORTED("""COMPUTED_VALUE"""),"Recife")</f>
        <v>Recife</v>
      </c>
      <c r="D1819" s="3" t="str">
        <f ca="1">IFERROR(__xludf.UNSUPPORTED("""COMPUTED_VALUE"""),"🚢 REGULAR")</f>
        <v>🚢 REGULAR</v>
      </c>
      <c r="E1819" s="3" t="str">
        <f ca="1">IFERROR(__xludf.UNSUPPORTED("""COMPUTED_VALUE"""),"🚛 LIBERADO")</f>
        <v>🚛 LIBERADO</v>
      </c>
      <c r="F1819" s="5">
        <f ca="1">IFERROR(__xludf.UNSUPPORTED("""COMPUTED_VALUE"""),0.25)</f>
        <v>0.25</v>
      </c>
      <c r="G1819" s="3" t="str">
        <f ca="1">IFERROR(__xludf.UNSUPPORTED("""COMPUTED_VALUE"""),"Regular")</f>
        <v>Regular</v>
      </c>
      <c r="H1819" s="4">
        <f ca="1">IFERROR(__xludf.UNSUPPORTED("""COMPUTED_VALUE"""),45454.5079513888)</f>
        <v>45454.507951388798</v>
      </c>
      <c r="I1819" s="3">
        <f ca="1">IFERROR(__xludf.UNSUPPORTED("""COMPUTED_VALUE"""),6)</f>
        <v>6</v>
      </c>
      <c r="J1819" s="4">
        <f ca="1">IFERROR(__xludf.UNSUPPORTED("""COMPUTED_VALUE"""),45454.7579513888)</f>
        <v>45454.757951388798</v>
      </c>
      <c r="K1819" s="3" t="str">
        <f ca="1">IFERROR(__xludf.UNSUPPORTED("""COMPUTED_VALUE"""),"Porto do Recife")</f>
        <v>Porto do Recife</v>
      </c>
      <c r="L1819" s="3" t="str">
        <f ca="1">IFERROR(__xludf.UNSUPPORTED("""COMPUTED_VALUE"""),"Crítico")</f>
        <v>Crítico</v>
      </c>
    </row>
    <row r="1820" spans="1:12" ht="12.75">
      <c r="A1820" s="3" t="str">
        <f ca="1">IFERROR(__xludf.UNSUPPORTED("""COMPUTED_VALUE"""),"a7b23b38")</f>
        <v>a7b23b38</v>
      </c>
      <c r="B1820" s="4">
        <f ca="1">IFERROR(__xludf.UNSUPPORTED("""COMPUTED_VALUE"""),45455.3991550925)</f>
        <v>45455.399155092498</v>
      </c>
      <c r="C1820" s="8" t="str">
        <f ca="1">IFERROR(__xludf.UNSUPPORTED("""COMPUTED_VALUE"""),"Recife")</f>
        <v>Recife</v>
      </c>
      <c r="D1820" s="3" t="str">
        <f ca="1">IFERROR(__xludf.UNSUPPORTED("""COMPUTED_VALUE"""),"🚢 REGULAR")</f>
        <v>🚢 REGULAR</v>
      </c>
      <c r="E1820" s="3" t="str">
        <f ca="1">IFERROR(__xludf.UNSUPPORTED("""COMPUTED_VALUE"""),"🚛 LIBERADO")</f>
        <v>🚛 LIBERADO</v>
      </c>
      <c r="F1820" s="5">
        <f ca="1">IFERROR(__xludf.UNSUPPORTED("""COMPUTED_VALUE"""),0.25)</f>
        <v>0.25</v>
      </c>
      <c r="G1820" s="3" t="str">
        <f ca="1">IFERROR(__xludf.UNSUPPORTED("""COMPUTED_VALUE"""),"Porto do Recife")</f>
        <v>Porto do Recife</v>
      </c>
      <c r="H1820" s="4">
        <f ca="1">IFERROR(__xludf.UNSUPPORTED("""COMPUTED_VALUE"""),45455.3991550925)</f>
        <v>45455.399155092498</v>
      </c>
      <c r="I1820" s="3">
        <f ca="1">IFERROR(__xludf.UNSUPPORTED("""COMPUTED_VALUE"""),6)</f>
        <v>6</v>
      </c>
      <c r="J1820" s="4">
        <f ca="1">IFERROR(__xludf.UNSUPPORTED("""COMPUTED_VALUE"""),45455.6491550925)</f>
        <v>45455.649155092498</v>
      </c>
      <c r="K1820" s="3" t="str">
        <f ca="1">IFERROR(__xludf.UNSUPPORTED("""COMPUTED_VALUE"""),"Porto do Recife")</f>
        <v>Porto do Recife</v>
      </c>
      <c r="L1820" s="3" t="str">
        <f ca="1">IFERROR(__xludf.UNSUPPORTED("""COMPUTED_VALUE"""),"Crítico")</f>
        <v>Crítico</v>
      </c>
    </row>
    <row r="1821" spans="1:12" ht="12.75">
      <c r="A1821" s="3" t="str">
        <f ca="1">IFERROR(__xludf.UNSUPPORTED("""COMPUTED_VALUE"""),"b75b98f7")</f>
        <v>b75b98f7</v>
      </c>
      <c r="B1821" s="4">
        <f ca="1">IFERROR(__xludf.UNSUPPORTED("""COMPUTED_VALUE"""),45456.6092592592)</f>
        <v>45456.609259259203</v>
      </c>
      <c r="C1821" s="7" t="str">
        <f ca="1">IFERROR(__xludf.UNSUPPORTED("""COMPUTED_VALUE"""),"Recife")</f>
        <v>Recife</v>
      </c>
      <c r="D1821" s="3" t="str">
        <f ca="1">IFERROR(__xludf.UNSUPPORTED("""COMPUTED_VALUE"""),"🚢 REGULAR")</f>
        <v>🚢 REGULAR</v>
      </c>
      <c r="E1821" s="3" t="str">
        <f ca="1">IFERROR(__xludf.UNSUPPORTED("""COMPUTED_VALUE"""),"🚛 LIBERADO")</f>
        <v>🚛 LIBERADO</v>
      </c>
      <c r="F1821" s="5">
        <f ca="1">IFERROR(__xludf.UNSUPPORTED("""COMPUTED_VALUE"""),0.25)</f>
        <v>0.25</v>
      </c>
      <c r="G1821" s="3" t="str">
        <f ca="1">IFERROR(__xludf.UNSUPPORTED("""COMPUTED_VALUE"""),"Regular")</f>
        <v>Regular</v>
      </c>
      <c r="H1821" s="4">
        <f ca="1">IFERROR(__xludf.UNSUPPORTED("""COMPUTED_VALUE"""),45456.6092592592)</f>
        <v>45456.609259259203</v>
      </c>
      <c r="I1821" s="3">
        <f ca="1">IFERROR(__xludf.UNSUPPORTED("""COMPUTED_VALUE"""),6)</f>
        <v>6</v>
      </c>
      <c r="J1821" s="4">
        <f ca="1">IFERROR(__xludf.UNSUPPORTED("""COMPUTED_VALUE"""),45456.8592592592)</f>
        <v>45456.859259259203</v>
      </c>
      <c r="K1821" s="3" t="str">
        <f ca="1">IFERROR(__xludf.UNSUPPORTED("""COMPUTED_VALUE"""),"Porto do Recife")</f>
        <v>Porto do Recife</v>
      </c>
      <c r="L1821" s="3" t="str">
        <f ca="1">IFERROR(__xludf.UNSUPPORTED("""COMPUTED_VALUE"""),"Crítico")</f>
        <v>Crítico</v>
      </c>
    </row>
    <row r="1822" spans="1:12" ht="12.75">
      <c r="A1822" s="3" t="str">
        <f ca="1">IFERROR(__xludf.UNSUPPORTED("""COMPUTED_VALUE"""),"22fd7f61")</f>
        <v>22fd7f61</v>
      </c>
      <c r="B1822" s="4">
        <f ca="1">IFERROR(__xludf.UNSUPPORTED("""COMPUTED_VALUE"""),45457.3481944444)</f>
        <v>45457.348194444399</v>
      </c>
      <c r="C1822" s="8" t="str">
        <f ca="1">IFERROR(__xludf.UNSUPPORTED("""COMPUTED_VALUE"""),"Recife")</f>
        <v>Recife</v>
      </c>
      <c r="D1822" s="3" t="str">
        <f ca="1">IFERROR(__xludf.UNSUPPORTED("""COMPUTED_VALUE"""),"🚢 REGULAR")</f>
        <v>🚢 REGULAR</v>
      </c>
      <c r="E1822" s="3" t="str">
        <f ca="1">IFERROR(__xludf.UNSUPPORTED("""COMPUTED_VALUE"""),"🚛 LIBERADO")</f>
        <v>🚛 LIBERADO</v>
      </c>
      <c r="F1822" s="5">
        <f ca="1">IFERROR(__xludf.UNSUPPORTED("""COMPUTED_VALUE"""),0.25)</f>
        <v>0.25</v>
      </c>
      <c r="G1822" s="3" t="str">
        <f ca="1">IFERROR(__xludf.UNSUPPORTED("""COMPUTED_VALUE"""),"Regular")</f>
        <v>Regular</v>
      </c>
      <c r="H1822" s="4">
        <f ca="1">IFERROR(__xludf.UNSUPPORTED("""COMPUTED_VALUE"""),45457.3481944444)</f>
        <v>45457.348194444399</v>
      </c>
      <c r="I1822" s="3">
        <f ca="1">IFERROR(__xludf.UNSUPPORTED("""COMPUTED_VALUE"""),6)</f>
        <v>6</v>
      </c>
      <c r="J1822" s="4">
        <f ca="1">IFERROR(__xludf.UNSUPPORTED("""COMPUTED_VALUE"""),45457.5981944444)</f>
        <v>45457.598194444399</v>
      </c>
      <c r="K1822" s="3" t="str">
        <f ca="1">IFERROR(__xludf.UNSUPPORTED("""COMPUTED_VALUE"""),"Porto do Recife")</f>
        <v>Porto do Recife</v>
      </c>
      <c r="L1822" s="3" t="str">
        <f ca="1">IFERROR(__xludf.UNSUPPORTED("""COMPUTED_VALUE"""),"Crítico")</f>
        <v>Crítico</v>
      </c>
    </row>
    <row r="1823" spans="1:12" ht="12.75">
      <c r="A1823" s="3" t="str">
        <f ca="1">IFERROR(__xludf.UNSUPPORTED("""COMPUTED_VALUE"""),"b676d3b4")</f>
        <v>b676d3b4</v>
      </c>
      <c r="B1823" s="4">
        <f ca="1">IFERROR(__xludf.UNSUPPORTED("""COMPUTED_VALUE"""),45458.3599189814)</f>
        <v>45458.359918981398</v>
      </c>
      <c r="C1823" s="7" t="str">
        <f ca="1">IFERROR(__xludf.UNSUPPORTED("""COMPUTED_VALUE"""),"Recife")</f>
        <v>Recife</v>
      </c>
      <c r="D1823" s="3" t="str">
        <f ca="1">IFERROR(__xludf.UNSUPPORTED("""COMPUTED_VALUE"""),"🚢 REGULAR")</f>
        <v>🚢 REGULAR</v>
      </c>
      <c r="E1823" s="3" t="str">
        <f ca="1">IFERROR(__xludf.UNSUPPORTED("""COMPUTED_VALUE"""),"🚛 LIBERADO")</f>
        <v>🚛 LIBERADO</v>
      </c>
      <c r="F1823" s="5">
        <f ca="1">IFERROR(__xludf.UNSUPPORTED("""COMPUTED_VALUE"""),0.25)</f>
        <v>0.25</v>
      </c>
      <c r="G1823" s="3" t="str">
        <f ca="1">IFERROR(__xludf.UNSUPPORTED("""COMPUTED_VALUE"""),"Regular")</f>
        <v>Regular</v>
      </c>
      <c r="H1823" s="4">
        <f ca="1">IFERROR(__xludf.UNSUPPORTED("""COMPUTED_VALUE"""),45458.3599189814)</f>
        <v>45458.359918981398</v>
      </c>
      <c r="I1823" s="3">
        <f ca="1">IFERROR(__xludf.UNSUPPORTED("""COMPUTED_VALUE"""),6)</f>
        <v>6</v>
      </c>
      <c r="J1823" s="4">
        <f ca="1">IFERROR(__xludf.UNSUPPORTED("""COMPUTED_VALUE"""),45458.6099189814)</f>
        <v>45458.609918981398</v>
      </c>
      <c r="K1823" s="3" t="str">
        <f ca="1">IFERROR(__xludf.UNSUPPORTED("""COMPUTED_VALUE"""),"Porto do Recife")</f>
        <v>Porto do Recife</v>
      </c>
      <c r="L1823" s="3" t="str">
        <f ca="1">IFERROR(__xludf.UNSUPPORTED("""COMPUTED_VALUE"""),"Crítico")</f>
        <v>Crítico</v>
      </c>
    </row>
    <row r="1824" spans="1:12" ht="12.75">
      <c r="A1824" s="3" t="str">
        <f ca="1">IFERROR(__xludf.UNSUPPORTED("""COMPUTED_VALUE"""),"03dcf77c")</f>
        <v>03dcf77c</v>
      </c>
      <c r="B1824" s="4">
        <f ca="1">IFERROR(__xludf.UNSUPPORTED("""COMPUTED_VALUE"""),45465.3040393518)</f>
        <v>45465.304039351802</v>
      </c>
      <c r="C1824" s="7" t="str">
        <f ca="1">IFERROR(__xludf.UNSUPPORTED("""COMPUTED_VALUE"""),"Recife")</f>
        <v>Recife</v>
      </c>
      <c r="D1824" s="3" t="str">
        <f ca="1">IFERROR(__xludf.UNSUPPORTED("""COMPUTED_VALUE"""),"🚢 REGULAR")</f>
        <v>🚢 REGULAR</v>
      </c>
      <c r="E1824" s="3" t="str">
        <f ca="1">IFERROR(__xludf.UNSUPPORTED("""COMPUTED_VALUE"""),"🚛 LIBERADO")</f>
        <v>🚛 LIBERADO</v>
      </c>
      <c r="F1824" s="5">
        <f ca="1">IFERROR(__xludf.UNSUPPORTED("""COMPUTED_VALUE"""),0)</f>
        <v>0</v>
      </c>
      <c r="G1824" s="3" t="str">
        <f ca="1">IFERROR(__xludf.UNSUPPORTED("""COMPUTED_VALUE"""),"Normalidade")</f>
        <v>Normalidade</v>
      </c>
      <c r="H1824" s="4">
        <f ca="1">IFERROR(__xludf.UNSUPPORTED("""COMPUTED_VALUE"""),45465.3040393518)</f>
        <v>45465.304039351802</v>
      </c>
      <c r="I1824" s="3">
        <f ca="1">IFERROR(__xludf.UNSUPPORTED("""COMPUTED_VALUE"""),24)</f>
        <v>24</v>
      </c>
      <c r="J1824" s="4">
        <f ca="1">IFERROR(__xludf.UNSUPPORTED("""COMPUTED_VALUE"""),45466.3040393518)</f>
        <v>45466.304039351802</v>
      </c>
    </row>
    <row r="1825" spans="1:12" ht="12.75">
      <c r="A1825" s="3" t="str">
        <f ca="1">IFERROR(__xludf.UNSUPPORTED("""COMPUTED_VALUE"""),"7a13f854")</f>
        <v>7a13f854</v>
      </c>
      <c r="B1825" s="4">
        <f ca="1">IFERROR(__xludf.UNSUPPORTED("""COMPUTED_VALUE"""),45467.7978587963)</f>
        <v>45467.797858796301</v>
      </c>
      <c r="C1825" s="8" t="str">
        <f ca="1">IFERROR(__xludf.UNSUPPORTED("""COMPUTED_VALUE"""),"Recife")</f>
        <v>Recife</v>
      </c>
      <c r="D1825" s="3" t="str">
        <f ca="1">IFERROR(__xludf.UNSUPPORTED("""COMPUTED_VALUE"""),"🚢 REGULAR")</f>
        <v>🚢 REGULAR</v>
      </c>
      <c r="E1825" s="3" t="str">
        <f ca="1">IFERROR(__xludf.UNSUPPORTED("""COMPUTED_VALUE"""),"🚛 LIBERADO")</f>
        <v>🚛 LIBERADO</v>
      </c>
      <c r="F1825" s="5">
        <f ca="1">IFERROR(__xludf.UNSUPPORTED("""COMPUTED_VALUE"""),0)</f>
        <v>0</v>
      </c>
      <c r="G1825" s="3" t="str">
        <f ca="1">IFERROR(__xludf.UNSUPPORTED("""COMPUTED_VALUE"""),"Normalidade")</f>
        <v>Normalidade</v>
      </c>
      <c r="H1825" s="4">
        <f ca="1">IFERROR(__xludf.UNSUPPORTED("""COMPUTED_VALUE"""),45467.7978587963)</f>
        <v>45467.797858796301</v>
      </c>
      <c r="I1825" s="3">
        <f ca="1">IFERROR(__xludf.UNSUPPORTED("""COMPUTED_VALUE"""),24)</f>
        <v>24</v>
      </c>
      <c r="J1825" s="4">
        <f ca="1">IFERROR(__xludf.UNSUPPORTED("""COMPUTED_VALUE"""),45468.7978587963)</f>
        <v>45468.797858796301</v>
      </c>
      <c r="L1825" s="3" t="str">
        <f ca="1">IFERROR(__xludf.UNSUPPORTED("""COMPUTED_VALUE"""),"Normalidade")</f>
        <v>Normalidade</v>
      </c>
    </row>
    <row r="1826" spans="1:12" ht="12.75">
      <c r="A1826" s="3" t="str">
        <f ca="1">IFERROR(__xludf.UNSUPPORTED("""COMPUTED_VALUE"""),"ac955183")</f>
        <v>ac955183</v>
      </c>
      <c r="B1826" s="4">
        <f ca="1">IFERROR(__xludf.UNSUPPORTED("""COMPUTED_VALUE"""),45468.3848148148)</f>
        <v>45468.384814814803</v>
      </c>
      <c r="C1826" s="7" t="str">
        <f ca="1">IFERROR(__xludf.UNSUPPORTED("""COMPUTED_VALUE"""),"Recife")</f>
        <v>Recife</v>
      </c>
      <c r="D1826" s="3" t="str">
        <f ca="1">IFERROR(__xludf.UNSUPPORTED("""COMPUTED_VALUE"""),"🚢 REGULAR")</f>
        <v>🚢 REGULAR</v>
      </c>
      <c r="E1826" s="3" t="str">
        <f ca="1">IFERROR(__xludf.UNSUPPORTED("""COMPUTED_VALUE"""),"🚛 LIBERADO")</f>
        <v>🚛 LIBERADO</v>
      </c>
      <c r="F1826" s="5">
        <f ca="1">IFERROR(__xludf.UNSUPPORTED("""COMPUTED_VALUE"""),0)</f>
        <v>0</v>
      </c>
      <c r="G1826" s="3" t="str">
        <f ca="1">IFERROR(__xludf.UNSUPPORTED("""COMPUTED_VALUE"""),"Normalidade")</f>
        <v>Normalidade</v>
      </c>
      <c r="H1826" s="4">
        <f ca="1">IFERROR(__xludf.UNSUPPORTED("""COMPUTED_VALUE"""),45468.3848148148)</f>
        <v>45468.384814814803</v>
      </c>
      <c r="I1826" s="3">
        <f ca="1">IFERROR(__xludf.UNSUPPORTED("""COMPUTED_VALUE"""),24)</f>
        <v>24</v>
      </c>
      <c r="J1826" s="4">
        <f ca="1">IFERROR(__xludf.UNSUPPORTED("""COMPUTED_VALUE"""),45469.3848148148)</f>
        <v>45469.384814814803</v>
      </c>
      <c r="L1826" s="3" t="str">
        <f ca="1">IFERROR(__xludf.UNSUPPORTED("""COMPUTED_VALUE"""),"Normalidade")</f>
        <v>Normalidade</v>
      </c>
    </row>
    <row r="1827" spans="1:12" ht="12.75">
      <c r="A1827" s="3" t="str">
        <f ca="1">IFERROR(__xludf.UNSUPPORTED("""COMPUTED_VALUE"""),"72e6ff5e")</f>
        <v>72e6ff5e</v>
      </c>
      <c r="B1827" s="4">
        <f ca="1">IFERROR(__xludf.UNSUPPORTED("""COMPUTED_VALUE"""),45469.3789930555)</f>
        <v>45469.378993055499</v>
      </c>
      <c r="C1827" s="8" t="str">
        <f ca="1">IFERROR(__xludf.UNSUPPORTED("""COMPUTED_VALUE"""),"Recife")</f>
        <v>Recife</v>
      </c>
      <c r="D1827" s="3" t="str">
        <f ca="1">IFERROR(__xludf.UNSUPPORTED("""COMPUTED_VALUE"""),"🚢 REGULAR")</f>
        <v>🚢 REGULAR</v>
      </c>
      <c r="E1827" s="3" t="str">
        <f ca="1">IFERROR(__xludf.UNSUPPORTED("""COMPUTED_VALUE"""),"🚛 LIBERADO")</f>
        <v>🚛 LIBERADO</v>
      </c>
      <c r="F1827" s="5">
        <f ca="1">IFERROR(__xludf.UNSUPPORTED("""COMPUTED_VALUE"""),0)</f>
        <v>0</v>
      </c>
      <c r="G1827" s="3" t="str">
        <f ca="1">IFERROR(__xludf.UNSUPPORTED("""COMPUTED_VALUE"""),"Normalidade")</f>
        <v>Normalidade</v>
      </c>
      <c r="H1827" s="4">
        <f ca="1">IFERROR(__xludf.UNSUPPORTED("""COMPUTED_VALUE"""),45469.3789930555)</f>
        <v>45469.378993055499</v>
      </c>
      <c r="I1827" s="3">
        <f ca="1">IFERROR(__xludf.UNSUPPORTED("""COMPUTED_VALUE"""),24)</f>
        <v>24</v>
      </c>
      <c r="J1827" s="4">
        <f ca="1">IFERROR(__xludf.UNSUPPORTED("""COMPUTED_VALUE"""),45470.3789930555)</f>
        <v>45470.378993055499</v>
      </c>
    </row>
    <row r="1828" spans="1:12" ht="12.75">
      <c r="A1828" s="3" t="str">
        <f ca="1">IFERROR(__xludf.UNSUPPORTED("""COMPUTED_VALUE"""),"d991f296")</f>
        <v>d991f296</v>
      </c>
      <c r="B1828" s="4">
        <f ca="1">IFERROR(__xludf.UNSUPPORTED("""COMPUTED_VALUE"""),45470.3774652777)</f>
        <v>45470.377465277699</v>
      </c>
      <c r="C1828" s="7" t="str">
        <f ca="1">IFERROR(__xludf.UNSUPPORTED("""COMPUTED_VALUE"""),"Recife")</f>
        <v>Recife</v>
      </c>
      <c r="D1828" s="3" t="str">
        <f ca="1">IFERROR(__xludf.UNSUPPORTED("""COMPUTED_VALUE"""),"🚢 REGULAR")</f>
        <v>🚢 REGULAR</v>
      </c>
      <c r="E1828" s="3" t="str">
        <f ca="1">IFERROR(__xludf.UNSUPPORTED("""COMPUTED_VALUE"""),"🚛 LIBERADO")</f>
        <v>🚛 LIBERADO</v>
      </c>
      <c r="F1828" s="5">
        <f ca="1">IFERROR(__xludf.UNSUPPORTED("""COMPUTED_VALUE"""),0)</f>
        <v>0</v>
      </c>
      <c r="G1828" s="3" t="str">
        <f ca="1">IFERROR(__xludf.UNSUPPORTED("""COMPUTED_VALUE"""),"Normalidade")</f>
        <v>Normalidade</v>
      </c>
      <c r="H1828" s="4">
        <f ca="1">IFERROR(__xludf.UNSUPPORTED("""COMPUTED_VALUE"""),45470.3774652777)</f>
        <v>45470.377465277699</v>
      </c>
      <c r="I1828" s="3">
        <f ca="1">IFERROR(__xludf.UNSUPPORTED("""COMPUTED_VALUE"""),24)</f>
        <v>24</v>
      </c>
      <c r="J1828" s="4">
        <f ca="1">IFERROR(__xludf.UNSUPPORTED("""COMPUTED_VALUE"""),45471.3774652777)</f>
        <v>45471.377465277699</v>
      </c>
    </row>
    <row r="1829" spans="1:12" ht="12.75">
      <c r="A1829" s="3" t="str">
        <f ca="1">IFERROR(__xludf.UNSUPPORTED("""COMPUTED_VALUE"""),"4dee6198")</f>
        <v>4dee6198</v>
      </c>
      <c r="B1829" s="4">
        <f ca="1">IFERROR(__xludf.UNSUPPORTED("""COMPUTED_VALUE"""),45471.3857175925)</f>
        <v>45471.3857175925</v>
      </c>
      <c r="C1829" s="7" t="str">
        <f ca="1">IFERROR(__xludf.UNSUPPORTED("""COMPUTED_VALUE"""),"Recife")</f>
        <v>Recife</v>
      </c>
      <c r="D1829" s="3" t="str">
        <f ca="1">IFERROR(__xludf.UNSUPPORTED("""COMPUTED_VALUE"""),"🚢 REGULAR")</f>
        <v>🚢 REGULAR</v>
      </c>
      <c r="E1829" s="3" t="str">
        <f ca="1">IFERROR(__xludf.UNSUPPORTED("""COMPUTED_VALUE"""),"🚛 LIBERADO")</f>
        <v>🚛 LIBERADO</v>
      </c>
      <c r="F1829" s="5">
        <f ca="1">IFERROR(__xludf.UNSUPPORTED("""COMPUTED_VALUE"""),0)</f>
        <v>0</v>
      </c>
      <c r="G1829" s="3" t="str">
        <f ca="1">IFERROR(__xludf.UNSUPPORTED("""COMPUTED_VALUE"""),"Normalidade")</f>
        <v>Normalidade</v>
      </c>
      <c r="H1829" s="4">
        <f ca="1">IFERROR(__xludf.UNSUPPORTED("""COMPUTED_VALUE"""),45471.3857175925)</f>
        <v>45471.3857175925</v>
      </c>
      <c r="I1829" s="3">
        <f ca="1">IFERROR(__xludf.UNSUPPORTED("""COMPUTED_VALUE"""),24)</f>
        <v>24</v>
      </c>
      <c r="J1829" s="4">
        <f ca="1">IFERROR(__xludf.UNSUPPORTED("""COMPUTED_VALUE"""),45472.3857175925)</f>
        <v>45472.3857175925</v>
      </c>
    </row>
    <row r="1830" spans="1:12" ht="12.75">
      <c r="A1830" s="3" t="str">
        <f ca="1">IFERROR(__xludf.UNSUPPORTED("""COMPUTED_VALUE"""),"9b2cf133")</f>
        <v>9b2cf133</v>
      </c>
      <c r="B1830" s="4">
        <f ca="1">IFERROR(__xludf.UNSUPPORTED("""COMPUTED_VALUE"""),45474.8241087962)</f>
        <v>45474.824108796201</v>
      </c>
      <c r="C1830" s="8" t="str">
        <f ca="1">IFERROR(__xludf.UNSUPPORTED("""COMPUTED_VALUE"""),"Recife")</f>
        <v>Recife</v>
      </c>
      <c r="D1830" s="3" t="str">
        <f ca="1">IFERROR(__xludf.UNSUPPORTED("""COMPUTED_VALUE"""),"🚢 REGULAR")</f>
        <v>🚢 REGULAR</v>
      </c>
      <c r="E1830" s="3" t="str">
        <f ca="1">IFERROR(__xludf.UNSUPPORTED("""COMPUTED_VALUE"""),"🚛 LIBERADO")</f>
        <v>🚛 LIBERADO</v>
      </c>
      <c r="F1830" s="5">
        <f ca="1">IFERROR(__xludf.UNSUPPORTED("""COMPUTED_VALUE"""),0.25)</f>
        <v>0.25</v>
      </c>
      <c r="G1830" s="3" t="str">
        <f ca="1">IFERROR(__xludf.UNSUPPORTED("""COMPUTED_VALUE"""),"Regular")</f>
        <v>Regular</v>
      </c>
      <c r="H1830" s="4">
        <f ca="1">IFERROR(__xludf.UNSUPPORTED("""COMPUTED_VALUE"""),45474.8241087962)</f>
        <v>45474.824108796201</v>
      </c>
      <c r="I1830" s="3">
        <f ca="1">IFERROR(__xludf.UNSUPPORTED("""COMPUTED_VALUE"""),6)</f>
        <v>6</v>
      </c>
      <c r="J1830" s="4">
        <f ca="1">IFERROR(__xludf.UNSUPPORTED("""COMPUTED_VALUE"""),45475.0741087962)</f>
        <v>45475.074108796201</v>
      </c>
      <c r="K1830" s="3" t="str">
        <f ca="1">IFERROR(__xludf.UNSUPPORTED("""COMPUTED_VALUE"""),"Porto do Recife")</f>
        <v>Porto do Recife</v>
      </c>
      <c r="L1830" s="3" t="str">
        <f ca="1">IFERROR(__xludf.UNSUPPORTED("""COMPUTED_VALUE"""),"Crítico")</f>
        <v>Crítico</v>
      </c>
    </row>
    <row r="1831" spans="1:12" ht="12.75">
      <c r="A1831" s="3" t="str">
        <f ca="1">IFERROR(__xludf.UNSUPPORTED("""COMPUTED_VALUE"""),"ae7826d2")</f>
        <v>ae7826d2</v>
      </c>
      <c r="B1831" s="4">
        <f ca="1">IFERROR(__xludf.UNSUPPORTED("""COMPUTED_VALUE"""),45475.4109953703)</f>
        <v>45475.410995370301</v>
      </c>
      <c r="C1831" s="7" t="str">
        <f ca="1">IFERROR(__xludf.UNSUPPORTED("""COMPUTED_VALUE"""),"Recife")</f>
        <v>Recife</v>
      </c>
      <c r="D1831" s="3" t="str">
        <f ca="1">IFERROR(__xludf.UNSUPPORTED("""COMPUTED_VALUE"""),"🚢 REGULAR")</f>
        <v>🚢 REGULAR</v>
      </c>
      <c r="E1831" s="3" t="str">
        <f ca="1">IFERROR(__xludf.UNSUPPORTED("""COMPUTED_VALUE"""),"🚛 LIBERADO")</f>
        <v>🚛 LIBERADO</v>
      </c>
      <c r="F1831" s="5">
        <f ca="1">IFERROR(__xludf.UNSUPPORTED("""COMPUTED_VALUE"""),0.25)</f>
        <v>0.25</v>
      </c>
      <c r="G1831" s="3" t="str">
        <f ca="1">IFERROR(__xludf.UNSUPPORTED("""COMPUTED_VALUE"""),"Regular")</f>
        <v>Regular</v>
      </c>
      <c r="H1831" s="4">
        <f ca="1">IFERROR(__xludf.UNSUPPORTED("""COMPUTED_VALUE"""),45475.4109953703)</f>
        <v>45475.410995370301</v>
      </c>
      <c r="I1831" s="3">
        <f ca="1">IFERROR(__xludf.UNSUPPORTED("""COMPUTED_VALUE"""),6)</f>
        <v>6</v>
      </c>
      <c r="J1831" s="4">
        <f ca="1">IFERROR(__xludf.UNSUPPORTED("""COMPUTED_VALUE"""),45475.6609953703)</f>
        <v>45475.660995370301</v>
      </c>
      <c r="K1831" s="3" t="str">
        <f ca="1">IFERROR(__xludf.UNSUPPORTED("""COMPUTED_VALUE"""),"Porto do Recife")</f>
        <v>Porto do Recife</v>
      </c>
      <c r="L1831" s="3" t="str">
        <f ca="1">IFERROR(__xludf.UNSUPPORTED("""COMPUTED_VALUE"""),"Crítico")</f>
        <v>Crítico</v>
      </c>
    </row>
    <row r="1832" spans="1:12" ht="12.75">
      <c r="A1832" s="3" t="str">
        <f ca="1">IFERROR(__xludf.UNSUPPORTED("""COMPUTED_VALUE"""),"3e27a1d1")</f>
        <v>3e27a1d1</v>
      </c>
      <c r="B1832" s="4">
        <f ca="1">IFERROR(__xludf.UNSUPPORTED("""COMPUTED_VALUE"""),45476.3356944444)</f>
        <v>45476.335694444402</v>
      </c>
      <c r="C1832" s="8" t="str">
        <f ca="1">IFERROR(__xludf.UNSUPPORTED("""COMPUTED_VALUE"""),"Recife")</f>
        <v>Recife</v>
      </c>
      <c r="D1832" s="3" t="str">
        <f ca="1">IFERROR(__xludf.UNSUPPORTED("""COMPUTED_VALUE"""),"🚢 REGULAR")</f>
        <v>🚢 REGULAR</v>
      </c>
      <c r="E1832" s="3" t="str">
        <f ca="1">IFERROR(__xludf.UNSUPPORTED("""COMPUTED_VALUE"""),"🚛 LIBERADO")</f>
        <v>🚛 LIBERADO</v>
      </c>
      <c r="F1832" s="5">
        <f ca="1">IFERROR(__xludf.UNSUPPORTED("""COMPUTED_VALUE"""),0.25)</f>
        <v>0.25</v>
      </c>
      <c r="G1832" s="3" t="str">
        <f ca="1">IFERROR(__xludf.UNSUPPORTED("""COMPUTED_VALUE"""),"Regular")</f>
        <v>Regular</v>
      </c>
      <c r="H1832" s="4">
        <f ca="1">IFERROR(__xludf.UNSUPPORTED("""COMPUTED_VALUE"""),45476.3356944444)</f>
        <v>45476.335694444402</v>
      </c>
      <c r="I1832" s="3">
        <f ca="1">IFERROR(__xludf.UNSUPPORTED("""COMPUTED_VALUE"""),6)</f>
        <v>6</v>
      </c>
      <c r="J1832" s="4">
        <f ca="1">IFERROR(__xludf.UNSUPPORTED("""COMPUTED_VALUE"""),45476.5856944444)</f>
        <v>45476.585694444402</v>
      </c>
      <c r="K1832" s="3" t="str">
        <f ca="1">IFERROR(__xludf.UNSUPPORTED("""COMPUTED_VALUE"""),"Porto do Recife")</f>
        <v>Porto do Recife</v>
      </c>
      <c r="L1832" s="3" t="str">
        <f ca="1">IFERROR(__xludf.UNSUPPORTED("""COMPUTED_VALUE"""),"Crítico")</f>
        <v>Crítico</v>
      </c>
    </row>
    <row r="1833" spans="1:12" ht="12.75">
      <c r="A1833" s="3" t="str">
        <f ca="1">IFERROR(__xludf.UNSUPPORTED("""COMPUTED_VALUE"""),"56846368")</f>
        <v>56846368</v>
      </c>
      <c r="B1833" s="4">
        <f ca="1">IFERROR(__xludf.UNSUPPORTED("""COMPUTED_VALUE"""),45477.4378356481)</f>
        <v>45477.437835648103</v>
      </c>
      <c r="C1833" s="8" t="str">
        <f ca="1">IFERROR(__xludf.UNSUPPORTED("""COMPUTED_VALUE"""),"Recife")</f>
        <v>Recife</v>
      </c>
      <c r="D1833" s="3" t="str">
        <f ca="1">IFERROR(__xludf.UNSUPPORTED("""COMPUTED_VALUE"""),"🚢 REGULAR")</f>
        <v>🚢 REGULAR</v>
      </c>
      <c r="E1833" s="3" t="str">
        <f ca="1">IFERROR(__xludf.UNSUPPORTED("""COMPUTED_VALUE"""),"🚛 LIBERADO")</f>
        <v>🚛 LIBERADO</v>
      </c>
      <c r="F1833" s="5">
        <f ca="1">IFERROR(__xludf.UNSUPPORTED("""COMPUTED_VALUE"""),0.25)</f>
        <v>0.25</v>
      </c>
      <c r="G1833" s="3" t="str">
        <f ca="1">IFERROR(__xludf.UNSUPPORTED("""COMPUTED_VALUE"""),"Regular")</f>
        <v>Regular</v>
      </c>
      <c r="H1833" s="4">
        <f ca="1">IFERROR(__xludf.UNSUPPORTED("""COMPUTED_VALUE"""),45477.4378356481)</f>
        <v>45477.437835648103</v>
      </c>
      <c r="I1833" s="3">
        <f ca="1">IFERROR(__xludf.UNSUPPORTED("""COMPUTED_VALUE"""),6)</f>
        <v>6</v>
      </c>
      <c r="J1833" s="4">
        <f ca="1">IFERROR(__xludf.UNSUPPORTED("""COMPUTED_VALUE"""),45477.6878356481)</f>
        <v>45477.687835648103</v>
      </c>
      <c r="K1833" s="3" t="str">
        <f ca="1">IFERROR(__xludf.UNSUPPORTED("""COMPUTED_VALUE"""),"Porto do Recife")</f>
        <v>Porto do Recife</v>
      </c>
      <c r="L1833" s="3" t="str">
        <f ca="1">IFERROR(__xludf.UNSUPPORTED("""COMPUTED_VALUE"""),"Crítico")</f>
        <v>Crítico</v>
      </c>
    </row>
    <row r="1834" spans="1:12" ht="12.75">
      <c r="A1834" s="3" t="str">
        <f ca="1">IFERROR(__xludf.UNSUPPORTED("""COMPUTED_VALUE"""),"62b63cc6")</f>
        <v>62b63cc6</v>
      </c>
      <c r="B1834" s="4">
        <f ca="1">IFERROR(__xludf.UNSUPPORTED("""COMPUTED_VALUE"""),45478.3392939814)</f>
        <v>45478.3392939814</v>
      </c>
      <c r="C1834" s="7" t="str">
        <f ca="1">IFERROR(__xludf.UNSUPPORTED("""COMPUTED_VALUE"""),"Recife")</f>
        <v>Recife</v>
      </c>
      <c r="D1834" s="3" t="str">
        <f ca="1">IFERROR(__xludf.UNSUPPORTED("""COMPUTED_VALUE"""),"🚢 REGULAR")</f>
        <v>🚢 REGULAR</v>
      </c>
      <c r="E1834" s="3" t="str">
        <f ca="1">IFERROR(__xludf.UNSUPPORTED("""COMPUTED_VALUE"""),"🚛 LIBERADO")</f>
        <v>🚛 LIBERADO</v>
      </c>
      <c r="F1834" s="5">
        <f ca="1">IFERROR(__xludf.UNSUPPORTED("""COMPUTED_VALUE"""),0.25)</f>
        <v>0.25</v>
      </c>
      <c r="G1834" s="3" t="str">
        <f ca="1">IFERROR(__xludf.UNSUPPORTED("""COMPUTED_VALUE"""),"Regular")</f>
        <v>Regular</v>
      </c>
      <c r="H1834" s="4">
        <f ca="1">IFERROR(__xludf.UNSUPPORTED("""COMPUTED_VALUE"""),45478.3392939814)</f>
        <v>45478.3392939814</v>
      </c>
      <c r="I1834" s="3">
        <f ca="1">IFERROR(__xludf.UNSUPPORTED("""COMPUTED_VALUE"""),6)</f>
        <v>6</v>
      </c>
      <c r="J1834" s="4">
        <f ca="1">IFERROR(__xludf.UNSUPPORTED("""COMPUTED_VALUE"""),45478.5892939814)</f>
        <v>45478.5892939814</v>
      </c>
      <c r="K1834" s="3" t="str">
        <f ca="1">IFERROR(__xludf.UNSUPPORTED("""COMPUTED_VALUE"""),"Porto do Recife")</f>
        <v>Porto do Recife</v>
      </c>
      <c r="L1834" s="3" t="str">
        <f ca="1">IFERROR(__xludf.UNSUPPORTED("""COMPUTED_VALUE"""),"Crítico")</f>
        <v>Crítico</v>
      </c>
    </row>
    <row r="1835" spans="1:12" ht="12.75">
      <c r="A1835" s="3" t="str">
        <f ca="1">IFERROR(__xludf.UNSUPPORTED("""COMPUTED_VALUE"""),"d2b1a98a")</f>
        <v>d2b1a98a</v>
      </c>
      <c r="B1835" s="4">
        <f ca="1">IFERROR(__xludf.UNSUPPORTED("""COMPUTED_VALUE"""),45479.488136574)</f>
        <v>45479.488136574</v>
      </c>
      <c r="C1835" s="8" t="str">
        <f ca="1">IFERROR(__xludf.UNSUPPORTED("""COMPUTED_VALUE"""),"Recife")</f>
        <v>Recife</v>
      </c>
      <c r="D1835" s="3" t="str">
        <f ca="1">IFERROR(__xludf.UNSUPPORTED("""COMPUTED_VALUE"""),"🚢 REGULAR")</f>
        <v>🚢 REGULAR</v>
      </c>
      <c r="E1835" s="3" t="str">
        <f ca="1">IFERROR(__xludf.UNSUPPORTED("""COMPUTED_VALUE"""),"🚛 LIBERADO")</f>
        <v>🚛 LIBERADO</v>
      </c>
      <c r="F1835" s="5">
        <f ca="1">IFERROR(__xludf.UNSUPPORTED("""COMPUTED_VALUE"""),0.25)</f>
        <v>0.25</v>
      </c>
      <c r="G1835" s="3" t="str">
        <f ca="1">IFERROR(__xludf.UNSUPPORTED("""COMPUTED_VALUE"""),"Regular")</f>
        <v>Regular</v>
      </c>
      <c r="H1835" s="4">
        <f ca="1">IFERROR(__xludf.UNSUPPORTED("""COMPUTED_VALUE"""),45479.488136574)</f>
        <v>45479.488136574</v>
      </c>
      <c r="I1835" s="3">
        <f ca="1">IFERROR(__xludf.UNSUPPORTED("""COMPUTED_VALUE"""),6)</f>
        <v>6</v>
      </c>
      <c r="J1835" s="4">
        <f ca="1">IFERROR(__xludf.UNSUPPORTED("""COMPUTED_VALUE"""),45479.738136574)</f>
        <v>45479.738136574</v>
      </c>
      <c r="K1835" s="3" t="str">
        <f ca="1">IFERROR(__xludf.UNSUPPORTED("""COMPUTED_VALUE"""),"Porto do Recife")</f>
        <v>Porto do Recife</v>
      </c>
      <c r="L1835" s="3" t="str">
        <f ca="1">IFERROR(__xludf.UNSUPPORTED("""COMPUTED_VALUE"""),"Crítico")</f>
        <v>Crítico</v>
      </c>
    </row>
    <row r="1836" spans="1:12" ht="12.75">
      <c r="A1836" s="3" t="str">
        <f ca="1">IFERROR(__xludf.UNSUPPORTED("""COMPUTED_VALUE"""),"4681792f")</f>
        <v>4681792f</v>
      </c>
      <c r="B1836" s="4">
        <f ca="1">IFERROR(__xludf.UNSUPPORTED("""COMPUTED_VALUE"""),45480.4065393518)</f>
        <v>45480.406539351803</v>
      </c>
      <c r="C1836" s="7" t="str">
        <f ca="1">IFERROR(__xludf.UNSUPPORTED("""COMPUTED_VALUE"""),"Recife")</f>
        <v>Recife</v>
      </c>
      <c r="D1836" s="3" t="str">
        <f ca="1">IFERROR(__xludf.UNSUPPORTED("""COMPUTED_VALUE"""),"🚢 REGULAR")</f>
        <v>🚢 REGULAR</v>
      </c>
      <c r="E1836" s="3" t="str">
        <f ca="1">IFERROR(__xludf.UNSUPPORTED("""COMPUTED_VALUE"""),"🚛 LIBERADO")</f>
        <v>🚛 LIBERADO</v>
      </c>
      <c r="F1836" s="5">
        <f ca="1">IFERROR(__xludf.UNSUPPORTED("""COMPUTED_VALUE"""),0.25)</f>
        <v>0.25</v>
      </c>
      <c r="G1836" s="3" t="str">
        <f ca="1">IFERROR(__xludf.UNSUPPORTED("""COMPUTED_VALUE"""),"Regular")</f>
        <v>Regular</v>
      </c>
      <c r="H1836" s="4">
        <f ca="1">IFERROR(__xludf.UNSUPPORTED("""COMPUTED_VALUE"""),45480.4065393518)</f>
        <v>45480.406539351803</v>
      </c>
      <c r="I1836" s="3">
        <f ca="1">IFERROR(__xludf.UNSUPPORTED("""COMPUTED_VALUE"""),6)</f>
        <v>6</v>
      </c>
      <c r="J1836" s="4">
        <f ca="1">IFERROR(__xludf.UNSUPPORTED("""COMPUTED_VALUE"""),45480.6565393518)</f>
        <v>45480.656539351803</v>
      </c>
      <c r="K1836" s="3" t="str">
        <f ca="1">IFERROR(__xludf.UNSUPPORTED("""COMPUTED_VALUE"""),"Porto do Recife")</f>
        <v>Porto do Recife</v>
      </c>
      <c r="L1836" s="3" t="str">
        <f ca="1">IFERROR(__xludf.UNSUPPORTED("""COMPUTED_VALUE"""),"Crítico")</f>
        <v>Crítico</v>
      </c>
    </row>
    <row r="1837" spans="1:12" ht="12.75">
      <c r="A1837" s="3" t="str">
        <f ca="1">IFERROR(__xludf.UNSUPPORTED("""COMPUTED_VALUE"""),"b95cf477")</f>
        <v>b95cf477</v>
      </c>
      <c r="B1837" s="4">
        <f ca="1">IFERROR(__xludf.UNSUPPORTED("""COMPUTED_VALUE"""),45481.375625)</f>
        <v>45481.375625000001</v>
      </c>
      <c r="C1837" s="8" t="str">
        <f ca="1">IFERROR(__xludf.UNSUPPORTED("""COMPUTED_VALUE"""),"Recife")</f>
        <v>Recife</v>
      </c>
      <c r="D1837" s="3" t="str">
        <f ca="1">IFERROR(__xludf.UNSUPPORTED("""COMPUTED_VALUE"""),"🚢 REGULAR")</f>
        <v>🚢 REGULAR</v>
      </c>
      <c r="E1837" s="3" t="str">
        <f ca="1">IFERROR(__xludf.UNSUPPORTED("""COMPUTED_VALUE"""),"🚛 LIBERADO")</f>
        <v>🚛 LIBERADO</v>
      </c>
      <c r="F1837" s="5">
        <f ca="1">IFERROR(__xludf.UNSUPPORTED("""COMPUTED_VALUE"""),0.25)</f>
        <v>0.25</v>
      </c>
      <c r="G1837" s="3" t="str">
        <f ca="1">IFERROR(__xludf.UNSUPPORTED("""COMPUTED_VALUE"""),"Regular")</f>
        <v>Regular</v>
      </c>
      <c r="H1837" s="4">
        <f ca="1">IFERROR(__xludf.UNSUPPORTED("""COMPUTED_VALUE"""),45481.375625)</f>
        <v>45481.375625000001</v>
      </c>
      <c r="I1837" s="3">
        <f ca="1">IFERROR(__xludf.UNSUPPORTED("""COMPUTED_VALUE"""),6)</f>
        <v>6</v>
      </c>
      <c r="J1837" s="4">
        <f ca="1">IFERROR(__xludf.UNSUPPORTED("""COMPUTED_VALUE"""),45481.625625)</f>
        <v>45481.625625000001</v>
      </c>
      <c r="K1837" s="3" t="str">
        <f ca="1">IFERROR(__xludf.UNSUPPORTED("""COMPUTED_VALUE"""),"Porto do Recife")</f>
        <v>Porto do Recife</v>
      </c>
      <c r="L1837" s="3" t="str">
        <f ca="1">IFERROR(__xludf.UNSUPPORTED("""COMPUTED_VALUE"""),"Crítico")</f>
        <v>Crítico</v>
      </c>
    </row>
    <row r="1838" spans="1:12" ht="12.75">
      <c r="A1838" s="3" t="str">
        <f ca="1">IFERROR(__xludf.UNSUPPORTED("""COMPUTED_VALUE"""),"9a611934")</f>
        <v>9a611934</v>
      </c>
      <c r="B1838" s="4">
        <f ca="1">IFERROR(__xludf.UNSUPPORTED("""COMPUTED_VALUE"""),45482.4066666666)</f>
        <v>45482.406666666597</v>
      </c>
      <c r="C1838" s="7" t="str">
        <f ca="1">IFERROR(__xludf.UNSUPPORTED("""COMPUTED_VALUE"""),"Recife")</f>
        <v>Recife</v>
      </c>
      <c r="D1838" s="3" t="str">
        <f ca="1">IFERROR(__xludf.UNSUPPORTED("""COMPUTED_VALUE"""),"🚢 REGULAR")</f>
        <v>🚢 REGULAR</v>
      </c>
      <c r="E1838" s="3" t="str">
        <f ca="1">IFERROR(__xludf.UNSUPPORTED("""COMPUTED_VALUE"""),"🚛 LIBERADO")</f>
        <v>🚛 LIBERADO</v>
      </c>
      <c r="F1838" s="5">
        <f ca="1">IFERROR(__xludf.UNSUPPORTED("""COMPUTED_VALUE"""),0.25)</f>
        <v>0.25</v>
      </c>
      <c r="G1838" s="3" t="str">
        <f ca="1">IFERROR(__xludf.UNSUPPORTED("""COMPUTED_VALUE"""),"Regular")</f>
        <v>Regular</v>
      </c>
      <c r="H1838" s="4">
        <f ca="1">IFERROR(__xludf.UNSUPPORTED("""COMPUTED_VALUE"""),45482.4066666666)</f>
        <v>45482.406666666597</v>
      </c>
      <c r="I1838" s="3">
        <f ca="1">IFERROR(__xludf.UNSUPPORTED("""COMPUTED_VALUE"""),6)</f>
        <v>6</v>
      </c>
      <c r="J1838" s="4">
        <f ca="1">IFERROR(__xludf.UNSUPPORTED("""COMPUTED_VALUE"""),45482.6566666666)</f>
        <v>45482.656666666597</v>
      </c>
      <c r="K1838" s="3" t="str">
        <f ca="1">IFERROR(__xludf.UNSUPPORTED("""COMPUTED_VALUE"""),"Porto do Recife")</f>
        <v>Porto do Recife</v>
      </c>
      <c r="L1838" s="3" t="str">
        <f ca="1">IFERROR(__xludf.UNSUPPORTED("""COMPUTED_VALUE"""),"Crítico")</f>
        <v>Crítico</v>
      </c>
    </row>
    <row r="1839" spans="1:12" ht="12.75">
      <c r="A1839" s="3" t="str">
        <f ca="1">IFERROR(__xludf.UNSUPPORTED("""COMPUTED_VALUE"""),"d531052c")</f>
        <v>d531052c</v>
      </c>
      <c r="B1839" s="4">
        <f ca="1">IFERROR(__xludf.UNSUPPORTED("""COMPUTED_VALUE"""),45483.3859143518)</f>
        <v>45483.385914351798</v>
      </c>
      <c r="C1839" s="7" t="str">
        <f ca="1">IFERROR(__xludf.UNSUPPORTED("""COMPUTED_VALUE"""),"Recife")</f>
        <v>Recife</v>
      </c>
      <c r="D1839" s="3" t="str">
        <f ca="1">IFERROR(__xludf.UNSUPPORTED("""COMPUTED_VALUE"""),"🚢 REGULAR")</f>
        <v>🚢 REGULAR</v>
      </c>
      <c r="E1839" s="3" t="str">
        <f ca="1">IFERROR(__xludf.UNSUPPORTED("""COMPUTED_VALUE"""),"🚛 LIBERADO")</f>
        <v>🚛 LIBERADO</v>
      </c>
      <c r="F1839" s="5">
        <f ca="1">IFERROR(__xludf.UNSUPPORTED("""COMPUTED_VALUE"""),0.25)</f>
        <v>0.25</v>
      </c>
      <c r="G1839" s="3" t="str">
        <f ca="1">IFERROR(__xludf.UNSUPPORTED("""COMPUTED_VALUE"""),"Regular")</f>
        <v>Regular</v>
      </c>
      <c r="H1839" s="4">
        <f ca="1">IFERROR(__xludf.UNSUPPORTED("""COMPUTED_VALUE"""),45483.3859143518)</f>
        <v>45483.385914351798</v>
      </c>
      <c r="I1839" s="3">
        <f ca="1">IFERROR(__xludf.UNSUPPORTED("""COMPUTED_VALUE"""),6)</f>
        <v>6</v>
      </c>
      <c r="J1839" s="4">
        <f ca="1">IFERROR(__xludf.UNSUPPORTED("""COMPUTED_VALUE"""),45483.6359143518)</f>
        <v>45483.635914351798</v>
      </c>
      <c r="K1839" s="3" t="str">
        <f ca="1">IFERROR(__xludf.UNSUPPORTED("""COMPUTED_VALUE"""),"Porto do Recife")</f>
        <v>Porto do Recife</v>
      </c>
      <c r="L1839" s="3" t="str">
        <f ca="1">IFERROR(__xludf.UNSUPPORTED("""COMPUTED_VALUE"""),"Crítico")</f>
        <v>Crítico</v>
      </c>
    </row>
    <row r="1840" spans="1:12" ht="12.75">
      <c r="A1840" s="3" t="str">
        <f ca="1">IFERROR(__xludf.UNSUPPORTED("""COMPUTED_VALUE"""),"1f31690b")</f>
        <v>1f31690b</v>
      </c>
      <c r="B1840" s="4">
        <f ca="1">IFERROR(__xludf.UNSUPPORTED("""COMPUTED_VALUE"""),45484.4026041666)</f>
        <v>45484.4026041666</v>
      </c>
      <c r="C1840" s="8" t="str">
        <f ca="1">IFERROR(__xludf.UNSUPPORTED("""COMPUTED_VALUE"""),"Recife")</f>
        <v>Recife</v>
      </c>
      <c r="D1840" s="3" t="str">
        <f ca="1">IFERROR(__xludf.UNSUPPORTED("""COMPUTED_VALUE"""),"🚢 REGULAR")</f>
        <v>🚢 REGULAR</v>
      </c>
      <c r="E1840" s="3" t="str">
        <f ca="1">IFERROR(__xludf.UNSUPPORTED("""COMPUTED_VALUE"""),"🚛 LIBERADO")</f>
        <v>🚛 LIBERADO</v>
      </c>
      <c r="F1840" s="5">
        <f ca="1">IFERROR(__xludf.UNSUPPORTED("""COMPUTED_VALUE"""),0.25)</f>
        <v>0.25</v>
      </c>
      <c r="G1840" s="3" t="str">
        <f ca="1">IFERROR(__xludf.UNSUPPORTED("""COMPUTED_VALUE"""),"Regular")</f>
        <v>Regular</v>
      </c>
      <c r="H1840" s="4">
        <f ca="1">IFERROR(__xludf.UNSUPPORTED("""COMPUTED_VALUE"""),45484.4026041666)</f>
        <v>45484.4026041666</v>
      </c>
      <c r="I1840" s="3">
        <f ca="1">IFERROR(__xludf.UNSUPPORTED("""COMPUTED_VALUE"""),6)</f>
        <v>6</v>
      </c>
      <c r="J1840" s="4">
        <f ca="1">IFERROR(__xludf.UNSUPPORTED("""COMPUTED_VALUE"""),45484.6526041666)</f>
        <v>45484.6526041666</v>
      </c>
      <c r="K1840" s="3" t="str">
        <f ca="1">IFERROR(__xludf.UNSUPPORTED("""COMPUTED_VALUE"""),"Porto do Recife")</f>
        <v>Porto do Recife</v>
      </c>
      <c r="L1840" s="3" t="str">
        <f ca="1">IFERROR(__xludf.UNSUPPORTED("""COMPUTED_VALUE"""),"Crítico")</f>
        <v>Crítico</v>
      </c>
    </row>
    <row r="1841" spans="1:12" ht="12.75">
      <c r="A1841" s="3" t="str">
        <f ca="1">IFERROR(__xludf.UNSUPPORTED("""COMPUTED_VALUE"""),"84445cd3")</f>
        <v>84445cd3</v>
      </c>
      <c r="B1841" s="4">
        <f ca="1">IFERROR(__xludf.UNSUPPORTED("""COMPUTED_VALUE"""),45485.340787037)</f>
        <v>45485.340787036999</v>
      </c>
      <c r="C1841" s="7" t="str">
        <f ca="1">IFERROR(__xludf.UNSUPPORTED("""COMPUTED_VALUE"""),"Recife")</f>
        <v>Recife</v>
      </c>
      <c r="D1841" s="3" t="str">
        <f ca="1">IFERROR(__xludf.UNSUPPORTED("""COMPUTED_VALUE"""),"🚢 REGULAR")</f>
        <v>🚢 REGULAR</v>
      </c>
      <c r="E1841" s="3" t="str">
        <f ca="1">IFERROR(__xludf.UNSUPPORTED("""COMPUTED_VALUE"""),"🚛 LIBERADO")</f>
        <v>🚛 LIBERADO</v>
      </c>
      <c r="F1841" s="5">
        <f ca="1">IFERROR(__xludf.UNSUPPORTED("""COMPUTED_VALUE"""),0.25)</f>
        <v>0.25</v>
      </c>
      <c r="G1841" s="3" t="str">
        <f ca="1">IFERROR(__xludf.UNSUPPORTED("""COMPUTED_VALUE"""),"Regular")</f>
        <v>Regular</v>
      </c>
      <c r="H1841" s="4">
        <f ca="1">IFERROR(__xludf.UNSUPPORTED("""COMPUTED_VALUE"""),45485.340787037)</f>
        <v>45485.340787036999</v>
      </c>
      <c r="I1841" s="3">
        <f ca="1">IFERROR(__xludf.UNSUPPORTED("""COMPUTED_VALUE"""),6)</f>
        <v>6</v>
      </c>
      <c r="J1841" s="4">
        <f ca="1">IFERROR(__xludf.UNSUPPORTED("""COMPUTED_VALUE"""),45485.590787037)</f>
        <v>45485.590787036999</v>
      </c>
      <c r="K1841" s="3" t="str">
        <f ca="1">IFERROR(__xludf.UNSUPPORTED("""COMPUTED_VALUE"""),"Porto do Recife")</f>
        <v>Porto do Recife</v>
      </c>
      <c r="L1841" s="3" t="str">
        <f ca="1">IFERROR(__xludf.UNSUPPORTED("""COMPUTED_VALUE"""),"Crítico")</f>
        <v>Crítico</v>
      </c>
    </row>
    <row r="1842" spans="1:12" ht="12.75">
      <c r="A1842" s="3" t="str">
        <f ca="1">IFERROR(__xludf.UNSUPPORTED("""COMPUTED_VALUE"""),"0bd90801")</f>
        <v>0bd90801</v>
      </c>
      <c r="B1842" s="4">
        <f ca="1">IFERROR(__xludf.UNSUPPORTED("""COMPUTED_VALUE"""),45486.4876967592)</f>
        <v>45486.487696759199</v>
      </c>
      <c r="C1842" s="8" t="str">
        <f ca="1">IFERROR(__xludf.UNSUPPORTED("""COMPUTED_VALUE"""),"Recife")</f>
        <v>Recife</v>
      </c>
      <c r="D1842" s="3" t="str">
        <f ca="1">IFERROR(__xludf.UNSUPPORTED("""COMPUTED_VALUE"""),"🚢 REGULAR")</f>
        <v>🚢 REGULAR</v>
      </c>
      <c r="E1842" s="3" t="str">
        <f ca="1">IFERROR(__xludf.UNSUPPORTED("""COMPUTED_VALUE"""),"🚛 LIBERADO")</f>
        <v>🚛 LIBERADO</v>
      </c>
      <c r="F1842" s="5">
        <f ca="1">IFERROR(__xludf.UNSUPPORTED("""COMPUTED_VALUE"""),0.25)</f>
        <v>0.25</v>
      </c>
      <c r="G1842" s="3" t="str">
        <f ca="1">IFERROR(__xludf.UNSUPPORTED("""COMPUTED_VALUE"""),"Regular")</f>
        <v>Regular</v>
      </c>
      <c r="H1842" s="4">
        <f ca="1">IFERROR(__xludf.UNSUPPORTED("""COMPUTED_VALUE"""),45486.4876967592)</f>
        <v>45486.487696759199</v>
      </c>
      <c r="I1842" s="3">
        <f ca="1">IFERROR(__xludf.UNSUPPORTED("""COMPUTED_VALUE"""),6)</f>
        <v>6</v>
      </c>
      <c r="J1842" s="4">
        <f ca="1">IFERROR(__xludf.UNSUPPORTED("""COMPUTED_VALUE"""),45486.7376967592)</f>
        <v>45486.737696759199</v>
      </c>
      <c r="K1842" s="3" t="str">
        <f ca="1">IFERROR(__xludf.UNSUPPORTED("""COMPUTED_VALUE"""),"Porto do Recife")</f>
        <v>Porto do Recife</v>
      </c>
      <c r="L1842" s="3" t="str">
        <f ca="1">IFERROR(__xludf.UNSUPPORTED("""COMPUTED_VALUE"""),"Crítico")</f>
        <v>Crítico</v>
      </c>
    </row>
    <row r="1843" spans="1:12" ht="12.75">
      <c r="A1843" s="3" t="str">
        <f ca="1">IFERROR(__xludf.UNSUPPORTED("""COMPUTED_VALUE"""),"34397d59")</f>
        <v>34397d59</v>
      </c>
      <c r="B1843" s="4">
        <f ca="1">IFERROR(__xludf.UNSUPPORTED("""COMPUTED_VALUE"""),45487.4371180555)</f>
        <v>45487.437118055503</v>
      </c>
      <c r="C1843" s="7" t="str">
        <f ca="1">IFERROR(__xludf.UNSUPPORTED("""COMPUTED_VALUE"""),"Recife")</f>
        <v>Recife</v>
      </c>
      <c r="D1843" s="3" t="str">
        <f ca="1">IFERROR(__xludf.UNSUPPORTED("""COMPUTED_VALUE"""),"🚢 REGULAR")</f>
        <v>🚢 REGULAR</v>
      </c>
      <c r="E1843" s="3" t="str">
        <f ca="1">IFERROR(__xludf.UNSUPPORTED("""COMPUTED_VALUE"""),"🚛 LIBERADO")</f>
        <v>🚛 LIBERADO</v>
      </c>
      <c r="F1843" s="5">
        <f ca="1">IFERROR(__xludf.UNSUPPORTED("""COMPUTED_VALUE"""),0.25)</f>
        <v>0.25</v>
      </c>
      <c r="G1843" s="3" t="str">
        <f ca="1">IFERROR(__xludf.UNSUPPORTED("""COMPUTED_VALUE"""),"Regular")</f>
        <v>Regular</v>
      </c>
      <c r="H1843" s="4">
        <f ca="1">IFERROR(__xludf.UNSUPPORTED("""COMPUTED_VALUE"""),45487.4371180555)</f>
        <v>45487.437118055503</v>
      </c>
      <c r="I1843" s="3">
        <f ca="1">IFERROR(__xludf.UNSUPPORTED("""COMPUTED_VALUE"""),6)</f>
        <v>6</v>
      </c>
      <c r="J1843" s="4">
        <f ca="1">IFERROR(__xludf.UNSUPPORTED("""COMPUTED_VALUE"""),45487.6871180555)</f>
        <v>45487.687118055503</v>
      </c>
      <c r="K1843" s="3" t="str">
        <f ca="1">IFERROR(__xludf.UNSUPPORTED("""COMPUTED_VALUE"""),"Porto do Recife")</f>
        <v>Porto do Recife</v>
      </c>
      <c r="L1843" s="3" t="str">
        <f ca="1">IFERROR(__xludf.UNSUPPORTED("""COMPUTED_VALUE"""),"Crítico")</f>
        <v>Crítico</v>
      </c>
    </row>
    <row r="1844" spans="1:12" ht="12.75">
      <c r="A1844" s="3" t="str">
        <f ca="1">IFERROR(__xludf.UNSUPPORTED("""COMPUTED_VALUE"""),"e9d24dde")</f>
        <v>e9d24dde</v>
      </c>
      <c r="B1844" s="4">
        <f ca="1">IFERROR(__xludf.UNSUPPORTED("""COMPUTED_VALUE"""),45488.3896527777)</f>
        <v>45488.389652777703</v>
      </c>
      <c r="C1844" s="8" t="str">
        <f ca="1">IFERROR(__xludf.UNSUPPORTED("""COMPUTED_VALUE"""),"Recife")</f>
        <v>Recife</v>
      </c>
      <c r="D1844" s="3" t="str">
        <f ca="1">IFERROR(__xludf.UNSUPPORTED("""COMPUTED_VALUE"""),"🚢 REGULAR")</f>
        <v>🚢 REGULAR</v>
      </c>
      <c r="E1844" s="3" t="str">
        <f ca="1">IFERROR(__xludf.UNSUPPORTED("""COMPUTED_VALUE"""),"🚛 LIBERADO")</f>
        <v>🚛 LIBERADO</v>
      </c>
      <c r="F1844" s="5">
        <f ca="1">IFERROR(__xludf.UNSUPPORTED("""COMPUTED_VALUE"""),0)</f>
        <v>0</v>
      </c>
      <c r="G1844" s="3" t="str">
        <f ca="1">IFERROR(__xludf.UNSUPPORTED("""COMPUTED_VALUE"""),"Normalidade")</f>
        <v>Normalidade</v>
      </c>
      <c r="H1844" s="4">
        <f ca="1">IFERROR(__xludf.UNSUPPORTED("""COMPUTED_VALUE"""),45488.3896527777)</f>
        <v>45488.389652777703</v>
      </c>
      <c r="I1844" s="3">
        <f ca="1">IFERROR(__xludf.UNSUPPORTED("""COMPUTED_VALUE"""),24)</f>
        <v>24</v>
      </c>
      <c r="J1844" s="4">
        <f ca="1">IFERROR(__xludf.UNSUPPORTED("""COMPUTED_VALUE"""),45489.3896527777)</f>
        <v>45489.389652777703</v>
      </c>
      <c r="L1844" s="3" t="str">
        <f ca="1">IFERROR(__xludf.UNSUPPORTED("""COMPUTED_VALUE"""),"Normalidade")</f>
        <v>Normalidade</v>
      </c>
    </row>
    <row r="1845" spans="1:12" ht="12.75">
      <c r="A1845" s="3" t="str">
        <f ca="1">IFERROR(__xludf.UNSUPPORTED("""COMPUTED_VALUE"""),"12ee5a44")</f>
        <v>12ee5a44</v>
      </c>
      <c r="B1845" s="4">
        <f ca="1">IFERROR(__xludf.UNSUPPORTED("""COMPUTED_VALUE"""),45488.4387962962)</f>
        <v>45488.438796296199</v>
      </c>
      <c r="C1845" s="7" t="str">
        <f ca="1">IFERROR(__xludf.UNSUPPORTED("""COMPUTED_VALUE"""),"Recife")</f>
        <v>Recife</v>
      </c>
      <c r="D1845" s="3" t="str">
        <f ca="1">IFERROR(__xludf.UNSUPPORTED("""COMPUTED_VALUE"""),"🚢 REGULAR")</f>
        <v>🚢 REGULAR</v>
      </c>
      <c r="E1845" s="3" t="str">
        <f ca="1">IFERROR(__xludf.UNSUPPORTED("""COMPUTED_VALUE"""),"🚛 LIBERADO")</f>
        <v>🚛 LIBERADO</v>
      </c>
      <c r="F1845" s="5">
        <f ca="1">IFERROR(__xludf.UNSUPPORTED("""COMPUTED_VALUE"""),0.25)</f>
        <v>0.25</v>
      </c>
      <c r="G1845" s="3" t="str">
        <f ca="1">IFERROR(__xludf.UNSUPPORTED("""COMPUTED_VALUE"""),"Regular")</f>
        <v>Regular</v>
      </c>
      <c r="H1845" s="4">
        <f ca="1">IFERROR(__xludf.UNSUPPORTED("""COMPUTED_VALUE"""),45488.4387962962)</f>
        <v>45488.438796296199</v>
      </c>
      <c r="I1845" s="3">
        <f ca="1">IFERROR(__xludf.UNSUPPORTED("""COMPUTED_VALUE"""),6)</f>
        <v>6</v>
      </c>
      <c r="J1845" s="4">
        <f ca="1">IFERROR(__xludf.UNSUPPORTED("""COMPUTED_VALUE"""),45488.6887962962)</f>
        <v>45488.688796296199</v>
      </c>
      <c r="K1845" s="3" t="str">
        <f ca="1">IFERROR(__xludf.UNSUPPORTED("""COMPUTED_VALUE"""),"Porto do Recife")</f>
        <v>Porto do Recife</v>
      </c>
      <c r="L1845" s="3" t="str">
        <f ca="1">IFERROR(__xludf.UNSUPPORTED("""COMPUTED_VALUE"""),"Crítico")</f>
        <v>Crítico</v>
      </c>
    </row>
    <row r="1846" spans="1:12" ht="12.75">
      <c r="A1846" s="3" t="str">
        <f ca="1">IFERROR(__xludf.UNSUPPORTED("""COMPUTED_VALUE"""),"08f4f29e")</f>
        <v>08f4f29e</v>
      </c>
      <c r="B1846" s="4">
        <f ca="1">IFERROR(__xludf.UNSUPPORTED("""COMPUTED_VALUE"""),45489.4504861111)</f>
        <v>45489.450486111098</v>
      </c>
      <c r="C1846" s="8" t="str">
        <f ca="1">IFERROR(__xludf.UNSUPPORTED("""COMPUTED_VALUE"""),"Recife")</f>
        <v>Recife</v>
      </c>
      <c r="D1846" s="3" t="str">
        <f ca="1">IFERROR(__xludf.UNSUPPORTED("""COMPUTED_VALUE"""),"🚢 REGULAR")</f>
        <v>🚢 REGULAR</v>
      </c>
      <c r="E1846" s="3" t="str">
        <f ca="1">IFERROR(__xludf.UNSUPPORTED("""COMPUTED_VALUE"""),"🚛 LIBERADO")</f>
        <v>🚛 LIBERADO</v>
      </c>
      <c r="F1846" s="5">
        <f ca="1">IFERROR(__xludf.UNSUPPORTED("""COMPUTED_VALUE"""),0)</f>
        <v>0</v>
      </c>
      <c r="G1846" s="3" t="str">
        <f ca="1">IFERROR(__xludf.UNSUPPORTED("""COMPUTED_VALUE"""),"Normalidade")</f>
        <v>Normalidade</v>
      </c>
      <c r="H1846" s="4">
        <f ca="1">IFERROR(__xludf.UNSUPPORTED("""COMPUTED_VALUE"""),45489.4504861111)</f>
        <v>45489.450486111098</v>
      </c>
      <c r="I1846" s="3">
        <f ca="1">IFERROR(__xludf.UNSUPPORTED("""COMPUTED_VALUE"""),24)</f>
        <v>24</v>
      </c>
      <c r="J1846" s="4">
        <f ca="1">IFERROR(__xludf.UNSUPPORTED("""COMPUTED_VALUE"""),45490.4504861111)</f>
        <v>45490.450486111098</v>
      </c>
    </row>
    <row r="1847" spans="1:12" ht="12.75">
      <c r="A1847" s="3" t="str">
        <f ca="1">IFERROR(__xludf.UNSUPPORTED("""COMPUTED_VALUE"""),"3b832c5b")</f>
        <v>3b832c5b</v>
      </c>
      <c r="B1847" s="4">
        <f ca="1">IFERROR(__xludf.UNSUPPORTED("""COMPUTED_VALUE"""),45490.4385300925)</f>
        <v>45490.438530092499</v>
      </c>
      <c r="C1847" s="7" t="str">
        <f ca="1">IFERROR(__xludf.UNSUPPORTED("""COMPUTED_VALUE"""),"Recife")</f>
        <v>Recife</v>
      </c>
      <c r="D1847" s="3" t="str">
        <f ca="1">IFERROR(__xludf.UNSUPPORTED("""COMPUTED_VALUE"""),"🚢 REGULAR")</f>
        <v>🚢 REGULAR</v>
      </c>
      <c r="E1847" s="3" t="str">
        <f ca="1">IFERROR(__xludf.UNSUPPORTED("""COMPUTED_VALUE"""),"🚛 LIBERADO")</f>
        <v>🚛 LIBERADO</v>
      </c>
      <c r="F1847" s="5">
        <f ca="1">IFERROR(__xludf.UNSUPPORTED("""COMPUTED_VALUE"""),0)</f>
        <v>0</v>
      </c>
      <c r="G1847" s="3" t="str">
        <f ca="1">IFERROR(__xludf.UNSUPPORTED("""COMPUTED_VALUE"""),"Normalidade")</f>
        <v>Normalidade</v>
      </c>
      <c r="H1847" s="4">
        <f ca="1">IFERROR(__xludf.UNSUPPORTED("""COMPUTED_VALUE"""),45490.4385300925)</f>
        <v>45490.438530092499</v>
      </c>
      <c r="I1847" s="3">
        <f ca="1">IFERROR(__xludf.UNSUPPORTED("""COMPUTED_VALUE"""),24)</f>
        <v>24</v>
      </c>
      <c r="J1847" s="4">
        <f ca="1">IFERROR(__xludf.UNSUPPORTED("""COMPUTED_VALUE"""),45491.4385300925)</f>
        <v>45491.438530092499</v>
      </c>
      <c r="L1847" s="3" t="str">
        <f ca="1">IFERROR(__xludf.UNSUPPORTED("""COMPUTED_VALUE"""),"Normalidade")</f>
        <v>Normalidade</v>
      </c>
    </row>
    <row r="1848" spans="1:12" ht="12.75">
      <c r="A1848" s="3" t="str">
        <f ca="1">IFERROR(__xludf.UNSUPPORTED("""COMPUTED_VALUE"""),"dd8fb4d2")</f>
        <v>dd8fb4d2</v>
      </c>
      <c r="B1848" s="4">
        <f ca="1">IFERROR(__xludf.UNSUPPORTED("""COMPUTED_VALUE"""),45491.7394328703)</f>
        <v>45491.739432870301</v>
      </c>
      <c r="C1848" s="8" t="str">
        <f ca="1">IFERROR(__xludf.UNSUPPORTED("""COMPUTED_VALUE"""),"Recife")</f>
        <v>Recife</v>
      </c>
      <c r="D1848" s="3" t="str">
        <f ca="1">IFERROR(__xludf.UNSUPPORTED("""COMPUTED_VALUE"""),"🚢 REGULAR")</f>
        <v>🚢 REGULAR</v>
      </c>
      <c r="E1848" s="3" t="str">
        <f ca="1">IFERROR(__xludf.UNSUPPORTED("""COMPUTED_VALUE"""),"🚛 LIBERADO")</f>
        <v>🚛 LIBERADO</v>
      </c>
      <c r="F1848" s="5">
        <f ca="1">IFERROR(__xludf.UNSUPPORTED("""COMPUTED_VALUE"""),0)</f>
        <v>0</v>
      </c>
      <c r="G1848" s="3" t="str">
        <f ca="1">IFERROR(__xludf.UNSUPPORTED("""COMPUTED_VALUE"""),"Normalidade")</f>
        <v>Normalidade</v>
      </c>
      <c r="H1848" s="4">
        <f ca="1">IFERROR(__xludf.UNSUPPORTED("""COMPUTED_VALUE"""),45491.7394328703)</f>
        <v>45491.739432870301</v>
      </c>
      <c r="I1848" s="3">
        <f ca="1">IFERROR(__xludf.UNSUPPORTED("""COMPUTED_VALUE"""),24)</f>
        <v>24</v>
      </c>
      <c r="J1848" s="4">
        <f ca="1">IFERROR(__xludf.UNSUPPORTED("""COMPUTED_VALUE"""),45492.7394328703)</f>
        <v>45492.739432870301</v>
      </c>
    </row>
    <row r="1849" spans="1:12" ht="12.75">
      <c r="A1849" s="3" t="str">
        <f ca="1">IFERROR(__xludf.UNSUPPORTED("""COMPUTED_VALUE"""),"f7856b5d")</f>
        <v>f7856b5d</v>
      </c>
      <c r="B1849" s="4">
        <f ca="1">IFERROR(__xludf.UNSUPPORTED("""COMPUTED_VALUE"""),45492.423599537)</f>
        <v>45492.423599537004</v>
      </c>
      <c r="C1849" s="7" t="str">
        <f ca="1">IFERROR(__xludf.UNSUPPORTED("""COMPUTED_VALUE"""),"Recife")</f>
        <v>Recife</v>
      </c>
      <c r="D1849" s="3" t="str">
        <f ca="1">IFERROR(__xludf.UNSUPPORTED("""COMPUTED_VALUE"""),"🚢 REGULAR")</f>
        <v>🚢 REGULAR</v>
      </c>
      <c r="E1849" s="3" t="str">
        <f ca="1">IFERROR(__xludf.UNSUPPORTED("""COMPUTED_VALUE"""),"🚛 LIBERADO")</f>
        <v>🚛 LIBERADO</v>
      </c>
      <c r="F1849" s="5">
        <f ca="1">IFERROR(__xludf.UNSUPPORTED("""COMPUTED_VALUE"""),0)</f>
        <v>0</v>
      </c>
      <c r="G1849" s="3" t="str">
        <f ca="1">IFERROR(__xludf.UNSUPPORTED("""COMPUTED_VALUE"""),"Normalidade")</f>
        <v>Normalidade</v>
      </c>
      <c r="H1849" s="4">
        <f ca="1">IFERROR(__xludf.UNSUPPORTED("""COMPUTED_VALUE"""),45492.423599537)</f>
        <v>45492.423599537004</v>
      </c>
      <c r="I1849" s="3">
        <f ca="1">IFERROR(__xludf.UNSUPPORTED("""COMPUTED_VALUE"""),24)</f>
        <v>24</v>
      </c>
      <c r="J1849" s="4">
        <f ca="1">IFERROR(__xludf.UNSUPPORTED("""COMPUTED_VALUE"""),45493.423599537)</f>
        <v>45493.423599537004</v>
      </c>
    </row>
    <row r="1850" spans="1:12" ht="12.75">
      <c r="A1850" s="3" t="str">
        <f ca="1">IFERROR(__xludf.UNSUPPORTED("""COMPUTED_VALUE"""),"ee75910a")</f>
        <v>ee75910a</v>
      </c>
      <c r="B1850" s="4">
        <f ca="1">IFERROR(__xludf.UNSUPPORTED("""COMPUTED_VALUE"""),45495.3099768518)</f>
        <v>45495.3099768518</v>
      </c>
      <c r="C1850" s="8" t="str">
        <f ca="1">IFERROR(__xludf.UNSUPPORTED("""COMPUTED_VALUE"""),"Recife")</f>
        <v>Recife</v>
      </c>
      <c r="D1850" s="3" t="str">
        <f ca="1">IFERROR(__xludf.UNSUPPORTED("""COMPUTED_VALUE"""),"🚢 REGULAR")</f>
        <v>🚢 REGULAR</v>
      </c>
      <c r="E1850" s="3" t="str">
        <f ca="1">IFERROR(__xludf.UNSUPPORTED("""COMPUTED_VALUE"""),"🚛 LIBERADO")</f>
        <v>🚛 LIBERADO</v>
      </c>
      <c r="F1850" s="5">
        <f ca="1">IFERROR(__xludf.UNSUPPORTED("""COMPUTED_VALUE"""),0)</f>
        <v>0</v>
      </c>
      <c r="G1850" s="3" t="str">
        <f ca="1">IFERROR(__xludf.UNSUPPORTED("""COMPUTED_VALUE"""),"Normalidade")</f>
        <v>Normalidade</v>
      </c>
      <c r="H1850" s="4">
        <f ca="1">IFERROR(__xludf.UNSUPPORTED("""COMPUTED_VALUE"""),45495.3099768518)</f>
        <v>45495.3099768518</v>
      </c>
      <c r="I1850" s="3">
        <f ca="1">IFERROR(__xludf.UNSUPPORTED("""COMPUTED_VALUE"""),24)</f>
        <v>24</v>
      </c>
      <c r="J1850" s="4">
        <f ca="1">IFERROR(__xludf.UNSUPPORTED("""COMPUTED_VALUE"""),45496.3099768518)</f>
        <v>45496.3099768518</v>
      </c>
    </row>
    <row r="1851" spans="1:12" ht="12.75">
      <c r="A1851" s="3" t="str">
        <f ca="1">IFERROR(__xludf.UNSUPPORTED("""COMPUTED_VALUE"""),"31958d7c")</f>
        <v>31958d7c</v>
      </c>
      <c r="B1851" s="4">
        <f ca="1">IFERROR(__xludf.UNSUPPORTED("""COMPUTED_VALUE"""),45496.6072106481)</f>
        <v>45496.607210648101</v>
      </c>
      <c r="C1851" s="8" t="str">
        <f ca="1">IFERROR(__xludf.UNSUPPORTED("""COMPUTED_VALUE"""),"Recife")</f>
        <v>Recife</v>
      </c>
      <c r="D1851" s="3" t="str">
        <f ca="1">IFERROR(__xludf.UNSUPPORTED("""COMPUTED_VALUE"""),"🚢 REGULAR")</f>
        <v>🚢 REGULAR</v>
      </c>
      <c r="E1851" s="3" t="str">
        <f ca="1">IFERROR(__xludf.UNSUPPORTED("""COMPUTED_VALUE"""),"🚛 LIBERADO")</f>
        <v>🚛 LIBERADO</v>
      </c>
      <c r="F1851" s="5">
        <f ca="1">IFERROR(__xludf.UNSUPPORTED("""COMPUTED_VALUE"""),0)</f>
        <v>0</v>
      </c>
      <c r="G1851" s="3" t="str">
        <f ca="1">IFERROR(__xludf.UNSUPPORTED("""COMPUTED_VALUE"""),"Normalidade")</f>
        <v>Normalidade</v>
      </c>
      <c r="H1851" s="4">
        <f ca="1">IFERROR(__xludf.UNSUPPORTED("""COMPUTED_VALUE"""),45496.6072106481)</f>
        <v>45496.607210648101</v>
      </c>
      <c r="I1851" s="3">
        <f ca="1">IFERROR(__xludf.UNSUPPORTED("""COMPUTED_VALUE"""),24)</f>
        <v>24</v>
      </c>
      <c r="J1851" s="4">
        <f ca="1">IFERROR(__xludf.UNSUPPORTED("""COMPUTED_VALUE"""),45497.6072106481)</f>
        <v>45497.607210648101</v>
      </c>
      <c r="L1851" s="3" t="str">
        <f ca="1">IFERROR(__xludf.UNSUPPORTED("""COMPUTED_VALUE"""),"Normalidade")</f>
        <v>Normalidade</v>
      </c>
    </row>
    <row r="1852" spans="1:12" ht="12.75">
      <c r="A1852" s="3" t="str">
        <f ca="1">IFERROR(__xludf.UNSUPPORTED("""COMPUTED_VALUE"""),"fd0a6239")</f>
        <v>fd0a6239</v>
      </c>
      <c r="B1852" s="4">
        <f ca="1">IFERROR(__xludf.UNSUPPORTED("""COMPUTED_VALUE"""),45497.4568518518)</f>
        <v>45497.456851851799</v>
      </c>
      <c r="C1852" s="7" t="str">
        <f ca="1">IFERROR(__xludf.UNSUPPORTED("""COMPUTED_VALUE"""),"Recife")</f>
        <v>Recife</v>
      </c>
      <c r="D1852" s="3" t="str">
        <f ca="1">IFERROR(__xludf.UNSUPPORTED("""COMPUTED_VALUE"""),"🚢 REGULAR")</f>
        <v>🚢 REGULAR</v>
      </c>
      <c r="E1852" s="3" t="str">
        <f ca="1">IFERROR(__xludf.UNSUPPORTED("""COMPUTED_VALUE"""),"🚛 LIBERADO")</f>
        <v>🚛 LIBERADO</v>
      </c>
      <c r="F1852" s="5">
        <f ca="1">IFERROR(__xludf.UNSUPPORTED("""COMPUTED_VALUE"""),0)</f>
        <v>0</v>
      </c>
      <c r="G1852" s="3" t="str">
        <f ca="1">IFERROR(__xludf.UNSUPPORTED("""COMPUTED_VALUE"""),"Normalidade")</f>
        <v>Normalidade</v>
      </c>
      <c r="H1852" s="4">
        <f ca="1">IFERROR(__xludf.UNSUPPORTED("""COMPUTED_VALUE"""),45497.4568518518)</f>
        <v>45497.456851851799</v>
      </c>
      <c r="I1852" s="3">
        <f ca="1">IFERROR(__xludf.UNSUPPORTED("""COMPUTED_VALUE"""),24)</f>
        <v>24</v>
      </c>
      <c r="J1852" s="4">
        <f ca="1">IFERROR(__xludf.UNSUPPORTED("""COMPUTED_VALUE"""),45498.4568518518)</f>
        <v>45498.456851851799</v>
      </c>
    </row>
    <row r="1853" spans="1:12" ht="12.75">
      <c r="A1853" s="3" t="str">
        <f ca="1">IFERROR(__xludf.UNSUPPORTED("""COMPUTED_VALUE"""),"f2c33d36")</f>
        <v>f2c33d36</v>
      </c>
      <c r="B1853" s="4">
        <f ca="1">IFERROR(__xludf.UNSUPPORTED("""COMPUTED_VALUE"""),45498.4364583333)</f>
        <v>45498.436458333301</v>
      </c>
      <c r="C1853" s="8" t="str">
        <f ca="1">IFERROR(__xludf.UNSUPPORTED("""COMPUTED_VALUE"""),"Recife")</f>
        <v>Recife</v>
      </c>
      <c r="D1853" s="3" t="str">
        <f ca="1">IFERROR(__xludf.UNSUPPORTED("""COMPUTED_VALUE"""),"🚢 REGULAR")</f>
        <v>🚢 REGULAR</v>
      </c>
      <c r="E1853" s="3" t="str">
        <f ca="1">IFERROR(__xludf.UNSUPPORTED("""COMPUTED_VALUE"""),"🚛 LIBERADO")</f>
        <v>🚛 LIBERADO</v>
      </c>
      <c r="F1853" s="5">
        <f ca="1">IFERROR(__xludf.UNSUPPORTED("""COMPUTED_VALUE"""),0)</f>
        <v>0</v>
      </c>
      <c r="G1853" s="3" t="str">
        <f ca="1">IFERROR(__xludf.UNSUPPORTED("""COMPUTED_VALUE"""),"Normalidade")</f>
        <v>Normalidade</v>
      </c>
      <c r="H1853" s="4">
        <f ca="1">IFERROR(__xludf.UNSUPPORTED("""COMPUTED_VALUE"""),45498.4364583333)</f>
        <v>45498.436458333301</v>
      </c>
      <c r="I1853" s="3">
        <f ca="1">IFERROR(__xludf.UNSUPPORTED("""COMPUTED_VALUE"""),24)</f>
        <v>24</v>
      </c>
      <c r="J1853" s="4">
        <f ca="1">IFERROR(__xludf.UNSUPPORTED("""COMPUTED_VALUE"""),45499.4364583333)</f>
        <v>45499.436458333301</v>
      </c>
    </row>
    <row r="1854" spans="1:12" ht="12.75">
      <c r="A1854" s="3" t="str">
        <f ca="1">IFERROR(__xludf.UNSUPPORTED("""COMPUTED_VALUE"""),"4ad5736a")</f>
        <v>4ad5736a</v>
      </c>
      <c r="B1854" s="4">
        <f ca="1">IFERROR(__xludf.UNSUPPORTED("""COMPUTED_VALUE"""),45499.8803587963)</f>
        <v>45499.880358796298</v>
      </c>
      <c r="C1854" s="7" t="str">
        <f ca="1">IFERROR(__xludf.UNSUPPORTED("""COMPUTED_VALUE"""),"Recife")</f>
        <v>Recife</v>
      </c>
      <c r="D1854" s="3" t="str">
        <f ca="1">IFERROR(__xludf.UNSUPPORTED("""COMPUTED_VALUE"""),"🚢 REGULAR")</f>
        <v>🚢 REGULAR</v>
      </c>
      <c r="E1854" s="3" t="str">
        <f ca="1">IFERROR(__xludf.UNSUPPORTED("""COMPUTED_VALUE"""),"🚛 LIBERADO")</f>
        <v>🚛 LIBERADO</v>
      </c>
      <c r="F1854" s="5">
        <f ca="1">IFERROR(__xludf.UNSUPPORTED("""COMPUTED_VALUE"""),0)</f>
        <v>0</v>
      </c>
      <c r="G1854" s="3" t="str">
        <f ca="1">IFERROR(__xludf.UNSUPPORTED("""COMPUTED_VALUE"""),"Normalidade")</f>
        <v>Normalidade</v>
      </c>
      <c r="H1854" s="4">
        <f ca="1">IFERROR(__xludf.UNSUPPORTED("""COMPUTED_VALUE"""),45499.8803587963)</f>
        <v>45499.880358796298</v>
      </c>
      <c r="I1854" s="3">
        <f ca="1">IFERROR(__xludf.UNSUPPORTED("""COMPUTED_VALUE"""),24)</f>
        <v>24</v>
      </c>
      <c r="J1854" s="4">
        <f ca="1">IFERROR(__xludf.UNSUPPORTED("""COMPUTED_VALUE"""),45500.8803587963)</f>
        <v>45500.880358796298</v>
      </c>
      <c r="L1854" s="3" t="str">
        <f ca="1">IFERROR(__xludf.UNSUPPORTED("""COMPUTED_VALUE"""),"Normalidade")</f>
        <v>Normalidade</v>
      </c>
    </row>
    <row r="1855" spans="1:12" ht="12.75">
      <c r="A1855" s="3" t="str">
        <f ca="1">IFERROR(__xludf.UNSUPPORTED("""COMPUTED_VALUE"""),"1028b71f")</f>
        <v>1028b71f</v>
      </c>
      <c r="B1855" s="4">
        <f ca="1">IFERROR(__xludf.UNSUPPORTED("""COMPUTED_VALUE"""),45500.4623379629)</f>
        <v>45500.462337962897</v>
      </c>
      <c r="C1855" s="8" t="str">
        <f ca="1">IFERROR(__xludf.UNSUPPORTED("""COMPUTED_VALUE"""),"Recife")</f>
        <v>Recife</v>
      </c>
      <c r="D1855" s="3" t="str">
        <f ca="1">IFERROR(__xludf.UNSUPPORTED("""COMPUTED_VALUE"""),"🚢 REGULAR")</f>
        <v>🚢 REGULAR</v>
      </c>
      <c r="E1855" s="3" t="str">
        <f ca="1">IFERROR(__xludf.UNSUPPORTED("""COMPUTED_VALUE"""),"🚛 LIBERADO")</f>
        <v>🚛 LIBERADO</v>
      </c>
      <c r="F1855" s="5">
        <f ca="1">IFERROR(__xludf.UNSUPPORTED("""COMPUTED_VALUE"""),0)</f>
        <v>0</v>
      </c>
      <c r="G1855" s="3" t="str">
        <f ca="1">IFERROR(__xludf.UNSUPPORTED("""COMPUTED_VALUE"""),"Normalidade")</f>
        <v>Normalidade</v>
      </c>
      <c r="H1855" s="4">
        <f ca="1">IFERROR(__xludf.UNSUPPORTED("""COMPUTED_VALUE"""),45500.4623379629)</f>
        <v>45500.462337962897</v>
      </c>
      <c r="I1855" s="3">
        <f ca="1">IFERROR(__xludf.UNSUPPORTED("""COMPUTED_VALUE"""),24)</f>
        <v>24</v>
      </c>
      <c r="J1855" s="4">
        <f ca="1">IFERROR(__xludf.UNSUPPORTED("""COMPUTED_VALUE"""),45501.4623379629)</f>
        <v>45501.462337962897</v>
      </c>
    </row>
    <row r="1856" spans="1:12" ht="12.75">
      <c r="A1856" s="3" t="str">
        <f ca="1">IFERROR(__xludf.UNSUPPORTED("""COMPUTED_VALUE"""),"08f3a904")</f>
        <v>08f3a904</v>
      </c>
      <c r="B1856" s="4">
        <f ca="1">IFERROR(__xludf.UNSUPPORTED("""COMPUTED_VALUE"""),45502.5706828703)</f>
        <v>45502.570682870297</v>
      </c>
      <c r="C1856" s="7" t="str">
        <f ca="1">IFERROR(__xludf.UNSUPPORTED("""COMPUTED_VALUE"""),"Recife")</f>
        <v>Recife</v>
      </c>
      <c r="D1856" s="3" t="str">
        <f ca="1">IFERROR(__xludf.UNSUPPORTED("""COMPUTED_VALUE"""),"🚢 REGULAR")</f>
        <v>🚢 REGULAR</v>
      </c>
      <c r="E1856" s="3" t="str">
        <f ca="1">IFERROR(__xludf.UNSUPPORTED("""COMPUTED_VALUE"""),"🚛 LIBERADO")</f>
        <v>🚛 LIBERADO</v>
      </c>
      <c r="F1856" s="5">
        <f ca="1">IFERROR(__xludf.UNSUPPORTED("""COMPUTED_VALUE"""),0)</f>
        <v>0</v>
      </c>
      <c r="G1856" s="3" t="str">
        <f ca="1">IFERROR(__xludf.UNSUPPORTED("""COMPUTED_VALUE"""),"Normalidade")</f>
        <v>Normalidade</v>
      </c>
      <c r="H1856" s="4">
        <f ca="1">IFERROR(__xludf.UNSUPPORTED("""COMPUTED_VALUE"""),45502.5706828703)</f>
        <v>45502.570682870297</v>
      </c>
      <c r="I1856" s="3">
        <f ca="1">IFERROR(__xludf.UNSUPPORTED("""COMPUTED_VALUE"""),24)</f>
        <v>24</v>
      </c>
      <c r="J1856" s="4">
        <f ca="1">IFERROR(__xludf.UNSUPPORTED("""COMPUTED_VALUE"""),45503.5706828703)</f>
        <v>45503.570682870297</v>
      </c>
    </row>
    <row r="1857" spans="1:12" ht="12.75">
      <c r="A1857" s="3" t="str">
        <f ca="1">IFERROR(__xludf.UNSUPPORTED("""COMPUTED_VALUE"""),"a9666161")</f>
        <v>a9666161</v>
      </c>
      <c r="B1857" s="4">
        <f ca="1">IFERROR(__xludf.UNSUPPORTED("""COMPUTED_VALUE"""),45506.3367361111)</f>
        <v>45506.336736111101</v>
      </c>
      <c r="C1857" s="7" t="str">
        <f ca="1">IFERROR(__xludf.UNSUPPORTED("""COMPUTED_VALUE"""),"Recife")</f>
        <v>Recife</v>
      </c>
      <c r="D1857" s="3" t="str">
        <f ca="1">IFERROR(__xludf.UNSUPPORTED("""COMPUTED_VALUE"""),"🚢 REGULAR")</f>
        <v>🚢 REGULAR</v>
      </c>
      <c r="E1857" s="3" t="str">
        <f ca="1">IFERROR(__xludf.UNSUPPORTED("""COMPUTED_VALUE"""),"🚛 LIBERADO")</f>
        <v>🚛 LIBERADO</v>
      </c>
      <c r="F1857" s="5">
        <f ca="1">IFERROR(__xludf.UNSUPPORTED("""COMPUTED_VALUE"""),0.25)</f>
        <v>0.25</v>
      </c>
      <c r="G1857" s="3" t="str">
        <f ca="1">IFERROR(__xludf.UNSUPPORTED("""COMPUTED_VALUE"""),"Regular")</f>
        <v>Regular</v>
      </c>
      <c r="H1857" s="4">
        <f ca="1">IFERROR(__xludf.UNSUPPORTED("""COMPUTED_VALUE"""),45506.3367361111)</f>
        <v>45506.336736111101</v>
      </c>
      <c r="I1857" s="3">
        <f ca="1">IFERROR(__xludf.UNSUPPORTED("""COMPUTED_VALUE"""),6)</f>
        <v>6</v>
      </c>
      <c r="J1857" s="4">
        <f ca="1">IFERROR(__xludf.UNSUPPORTED("""COMPUTED_VALUE"""),45506.5867361111)</f>
        <v>45506.586736111101</v>
      </c>
      <c r="K1857" s="3" t="str">
        <f ca="1">IFERROR(__xludf.UNSUPPORTED("""COMPUTED_VALUE"""),"Porto do Recife")</f>
        <v>Porto do Recife</v>
      </c>
      <c r="L1857" s="3" t="str">
        <f ca="1">IFERROR(__xludf.UNSUPPORTED("""COMPUTED_VALUE"""),"Crítico")</f>
        <v>Crítico</v>
      </c>
    </row>
    <row r="1858" spans="1:12" ht="12.75">
      <c r="A1858" s="3" t="str">
        <f ca="1">IFERROR(__xludf.UNSUPPORTED("""COMPUTED_VALUE"""),"83c38186")</f>
        <v>83c38186</v>
      </c>
      <c r="B1858" s="4">
        <f ca="1">IFERROR(__xludf.UNSUPPORTED("""COMPUTED_VALUE"""),45508.4322106481)</f>
        <v>45508.432210648098</v>
      </c>
      <c r="C1858" s="8" t="str">
        <f ca="1">IFERROR(__xludf.UNSUPPORTED("""COMPUTED_VALUE"""),"Recife")</f>
        <v>Recife</v>
      </c>
      <c r="D1858" s="3" t="str">
        <f ca="1">IFERROR(__xludf.UNSUPPORTED("""COMPUTED_VALUE"""),"🚢 REGULAR")</f>
        <v>🚢 REGULAR</v>
      </c>
      <c r="E1858" s="3" t="str">
        <f ca="1">IFERROR(__xludf.UNSUPPORTED("""COMPUTED_VALUE"""),"🚛 LIBERADO")</f>
        <v>🚛 LIBERADO</v>
      </c>
      <c r="F1858" s="5">
        <f ca="1">IFERROR(__xludf.UNSUPPORTED("""COMPUTED_VALUE"""),0.25)</f>
        <v>0.25</v>
      </c>
      <c r="G1858" s="3" t="str">
        <f ca="1">IFERROR(__xludf.UNSUPPORTED("""COMPUTED_VALUE"""),"Regular")</f>
        <v>Regular</v>
      </c>
      <c r="H1858" s="4">
        <f ca="1">IFERROR(__xludf.UNSUPPORTED("""COMPUTED_VALUE"""),45508.4322106481)</f>
        <v>45508.432210648098</v>
      </c>
      <c r="I1858" s="3">
        <f ca="1">IFERROR(__xludf.UNSUPPORTED("""COMPUTED_VALUE"""),6)</f>
        <v>6</v>
      </c>
      <c r="J1858" s="4">
        <f ca="1">IFERROR(__xludf.UNSUPPORTED("""COMPUTED_VALUE"""),45508.6822106481)</f>
        <v>45508.682210648098</v>
      </c>
      <c r="K1858" s="3" t="str">
        <f ca="1">IFERROR(__xludf.UNSUPPORTED("""COMPUTED_VALUE"""),"Porto do Recife")</f>
        <v>Porto do Recife</v>
      </c>
      <c r="L1858" s="3" t="str">
        <f ca="1">IFERROR(__xludf.UNSUPPORTED("""COMPUTED_VALUE"""),"Crítico")</f>
        <v>Crítico</v>
      </c>
    </row>
    <row r="1859" spans="1:12" ht="12.75">
      <c r="A1859" s="3" t="str">
        <f ca="1">IFERROR(__xludf.UNSUPPORTED("""COMPUTED_VALUE"""),"5b29738d")</f>
        <v>5b29738d</v>
      </c>
      <c r="B1859" s="4">
        <f ca="1">IFERROR(__xludf.UNSUPPORTED("""COMPUTED_VALUE"""),45509.6049652777)</f>
        <v>45509.6049652777</v>
      </c>
      <c r="C1859" s="7" t="str">
        <f ca="1">IFERROR(__xludf.UNSUPPORTED("""COMPUTED_VALUE"""),"Recife")</f>
        <v>Recife</v>
      </c>
      <c r="D1859" s="3" t="str">
        <f ca="1">IFERROR(__xludf.UNSUPPORTED("""COMPUTED_VALUE"""),"🚢 REGULAR")</f>
        <v>🚢 REGULAR</v>
      </c>
      <c r="E1859" s="3" t="str">
        <f ca="1">IFERROR(__xludf.UNSUPPORTED("""COMPUTED_VALUE"""),"🚛 LIBERADO")</f>
        <v>🚛 LIBERADO</v>
      </c>
      <c r="F1859" s="5">
        <f ca="1">IFERROR(__xludf.UNSUPPORTED("""COMPUTED_VALUE"""),0.25)</f>
        <v>0.25</v>
      </c>
      <c r="G1859" s="3" t="str">
        <f ca="1">IFERROR(__xludf.UNSUPPORTED("""COMPUTED_VALUE"""),"Regular")</f>
        <v>Regular</v>
      </c>
      <c r="H1859" s="4">
        <f ca="1">IFERROR(__xludf.UNSUPPORTED("""COMPUTED_VALUE"""),45509.6049652777)</f>
        <v>45509.6049652777</v>
      </c>
      <c r="I1859" s="3">
        <f ca="1">IFERROR(__xludf.UNSUPPORTED("""COMPUTED_VALUE"""),6)</f>
        <v>6</v>
      </c>
      <c r="J1859" s="4">
        <f ca="1">IFERROR(__xludf.UNSUPPORTED("""COMPUTED_VALUE"""),45509.8549652777)</f>
        <v>45509.8549652777</v>
      </c>
      <c r="K1859" s="3" t="str">
        <f ca="1">IFERROR(__xludf.UNSUPPORTED("""COMPUTED_VALUE"""),"Porto do Recife")</f>
        <v>Porto do Recife</v>
      </c>
      <c r="L1859" s="3" t="str">
        <f ca="1">IFERROR(__xludf.UNSUPPORTED("""COMPUTED_VALUE"""),"Crítico")</f>
        <v>Crítico</v>
      </c>
    </row>
    <row r="1860" spans="1:12" ht="12.75">
      <c r="A1860" s="3" t="str">
        <f ca="1">IFERROR(__xludf.UNSUPPORTED("""COMPUTED_VALUE"""),"fed6fbaf")</f>
        <v>fed6fbaf</v>
      </c>
      <c r="B1860" s="4">
        <f ca="1">IFERROR(__xludf.UNSUPPORTED("""COMPUTED_VALUE"""),45510.3288194444)</f>
        <v>45510.328819444403</v>
      </c>
      <c r="C1860" s="8" t="str">
        <f ca="1">IFERROR(__xludf.UNSUPPORTED("""COMPUTED_VALUE"""),"Recife")</f>
        <v>Recife</v>
      </c>
      <c r="D1860" s="3" t="str">
        <f ca="1">IFERROR(__xludf.UNSUPPORTED("""COMPUTED_VALUE"""),"🚢 REGULAR")</f>
        <v>🚢 REGULAR</v>
      </c>
      <c r="E1860" s="3" t="str">
        <f ca="1">IFERROR(__xludf.UNSUPPORTED("""COMPUTED_VALUE"""),"🚛 LIBERADO")</f>
        <v>🚛 LIBERADO</v>
      </c>
      <c r="F1860" s="5">
        <f ca="1">IFERROR(__xludf.UNSUPPORTED("""COMPUTED_VALUE"""),0.25)</f>
        <v>0.25</v>
      </c>
      <c r="G1860" s="3" t="str">
        <f ca="1">IFERROR(__xludf.UNSUPPORTED("""COMPUTED_VALUE"""),"Regular")</f>
        <v>Regular</v>
      </c>
      <c r="H1860" s="4">
        <f ca="1">IFERROR(__xludf.UNSUPPORTED("""COMPUTED_VALUE"""),45510.3288194444)</f>
        <v>45510.328819444403</v>
      </c>
      <c r="I1860" s="3">
        <f ca="1">IFERROR(__xludf.UNSUPPORTED("""COMPUTED_VALUE"""),6)</f>
        <v>6</v>
      </c>
      <c r="J1860" s="4">
        <f ca="1">IFERROR(__xludf.UNSUPPORTED("""COMPUTED_VALUE"""),45510.5788194444)</f>
        <v>45510.578819444403</v>
      </c>
      <c r="K1860" s="3" t="str">
        <f ca="1">IFERROR(__xludf.UNSUPPORTED("""COMPUTED_VALUE"""),"Porto do Recife")</f>
        <v>Porto do Recife</v>
      </c>
      <c r="L1860" s="3" t="str">
        <f ca="1">IFERROR(__xludf.UNSUPPORTED("""COMPUTED_VALUE"""),"Crítico")</f>
        <v>Crítico</v>
      </c>
    </row>
    <row r="1861" spans="1:12" ht="12.75">
      <c r="A1861" s="3" t="str">
        <f ca="1">IFERROR(__xludf.UNSUPPORTED("""COMPUTED_VALUE"""),"fc017e28")</f>
        <v>fc017e28</v>
      </c>
      <c r="B1861" s="4">
        <f ca="1">IFERROR(__xludf.UNSUPPORTED("""COMPUTED_VALUE"""),45511.6356481481)</f>
        <v>45511.635648148098</v>
      </c>
      <c r="C1861" s="7" t="str">
        <f ca="1">IFERROR(__xludf.UNSUPPORTED("""COMPUTED_VALUE"""),"Recife")</f>
        <v>Recife</v>
      </c>
      <c r="D1861" s="3" t="str">
        <f ca="1">IFERROR(__xludf.UNSUPPORTED("""COMPUTED_VALUE"""),"🚢 REGULAR")</f>
        <v>🚢 REGULAR</v>
      </c>
      <c r="E1861" s="3" t="str">
        <f ca="1">IFERROR(__xludf.UNSUPPORTED("""COMPUTED_VALUE"""),"🚛 LIBERADO")</f>
        <v>🚛 LIBERADO</v>
      </c>
      <c r="F1861" s="5">
        <f ca="1">IFERROR(__xludf.UNSUPPORTED("""COMPUTED_VALUE"""),0.25)</f>
        <v>0.25</v>
      </c>
      <c r="G1861" s="3" t="str">
        <f ca="1">IFERROR(__xludf.UNSUPPORTED("""COMPUTED_VALUE"""),"Regular")</f>
        <v>Regular</v>
      </c>
      <c r="H1861" s="4">
        <f ca="1">IFERROR(__xludf.UNSUPPORTED("""COMPUTED_VALUE"""),45511.6356481481)</f>
        <v>45511.635648148098</v>
      </c>
      <c r="I1861" s="3">
        <f ca="1">IFERROR(__xludf.UNSUPPORTED("""COMPUTED_VALUE"""),6)</f>
        <v>6</v>
      </c>
      <c r="J1861" s="4">
        <f ca="1">IFERROR(__xludf.UNSUPPORTED("""COMPUTED_VALUE"""),45511.8856481481)</f>
        <v>45511.885648148098</v>
      </c>
      <c r="K1861" s="3" t="str">
        <f ca="1">IFERROR(__xludf.UNSUPPORTED("""COMPUTED_VALUE"""),"Porto do Recife")</f>
        <v>Porto do Recife</v>
      </c>
      <c r="L1861" s="3" t="str">
        <f ca="1">IFERROR(__xludf.UNSUPPORTED("""COMPUTED_VALUE"""),"Crítico")</f>
        <v>Crítico</v>
      </c>
    </row>
    <row r="1862" spans="1:12" ht="12.75">
      <c r="A1862" s="3" t="str">
        <f ca="1">IFERROR(__xludf.UNSUPPORTED("""COMPUTED_VALUE"""),"4d6b9424")</f>
        <v>4d6b9424</v>
      </c>
      <c r="B1862" s="4">
        <f ca="1">IFERROR(__xludf.UNSUPPORTED("""COMPUTED_VALUE"""),45513.3317361111)</f>
        <v>45513.331736111097</v>
      </c>
      <c r="C1862" s="7" t="str">
        <f ca="1">IFERROR(__xludf.UNSUPPORTED("""COMPUTED_VALUE"""),"Recife")</f>
        <v>Recife</v>
      </c>
      <c r="D1862" s="3" t="str">
        <f ca="1">IFERROR(__xludf.UNSUPPORTED("""COMPUTED_VALUE"""),"🚢 REGULAR")</f>
        <v>🚢 REGULAR</v>
      </c>
      <c r="E1862" s="3" t="str">
        <f ca="1">IFERROR(__xludf.UNSUPPORTED("""COMPUTED_VALUE"""),"🚛 LIBERADO")</f>
        <v>🚛 LIBERADO</v>
      </c>
      <c r="F1862" s="5">
        <f ca="1">IFERROR(__xludf.UNSUPPORTED("""COMPUTED_VALUE"""),0.25)</f>
        <v>0.25</v>
      </c>
      <c r="G1862" s="3" t="str">
        <f ca="1">IFERROR(__xludf.UNSUPPORTED("""COMPUTED_VALUE"""),"Regular")</f>
        <v>Regular</v>
      </c>
      <c r="H1862" s="4">
        <f ca="1">IFERROR(__xludf.UNSUPPORTED("""COMPUTED_VALUE"""),45513.3317361111)</f>
        <v>45513.331736111097</v>
      </c>
      <c r="I1862" s="3">
        <f ca="1">IFERROR(__xludf.UNSUPPORTED("""COMPUTED_VALUE"""),6)</f>
        <v>6</v>
      </c>
      <c r="J1862" s="4">
        <f ca="1">IFERROR(__xludf.UNSUPPORTED("""COMPUTED_VALUE"""),45513.5817361111)</f>
        <v>45513.581736111097</v>
      </c>
      <c r="K1862" s="3" t="str">
        <f ca="1">IFERROR(__xludf.UNSUPPORTED("""COMPUTED_VALUE"""),"Porto do Recife")</f>
        <v>Porto do Recife</v>
      </c>
      <c r="L1862" s="3" t="str">
        <f ca="1">IFERROR(__xludf.UNSUPPORTED("""COMPUTED_VALUE"""),"Crítico")</f>
        <v>Crítico</v>
      </c>
    </row>
    <row r="1863" spans="1:12" ht="12.75">
      <c r="A1863" s="3" t="str">
        <f ca="1">IFERROR(__xludf.UNSUPPORTED("""COMPUTED_VALUE"""),"67ca9cb1")</f>
        <v>67ca9cb1</v>
      </c>
      <c r="B1863" s="4">
        <f ca="1">IFERROR(__xludf.UNSUPPORTED("""COMPUTED_VALUE"""),45513.6855787037)</f>
        <v>45513.685578703698</v>
      </c>
      <c r="C1863" s="8" t="str">
        <f ca="1">IFERROR(__xludf.UNSUPPORTED("""COMPUTED_VALUE"""),"Recife")</f>
        <v>Recife</v>
      </c>
      <c r="D1863" s="3" t="str">
        <f ca="1">IFERROR(__xludf.UNSUPPORTED("""COMPUTED_VALUE"""),"🚢 REGULAR")</f>
        <v>🚢 REGULAR</v>
      </c>
      <c r="E1863" s="3" t="str">
        <f ca="1">IFERROR(__xludf.UNSUPPORTED("""COMPUTED_VALUE"""),"🚛 LIBERADO")</f>
        <v>🚛 LIBERADO</v>
      </c>
      <c r="F1863" s="5">
        <f ca="1">IFERROR(__xludf.UNSUPPORTED("""COMPUTED_VALUE"""),0.25)</f>
        <v>0.25</v>
      </c>
      <c r="G1863" s="3" t="str">
        <f ca="1">IFERROR(__xludf.UNSUPPORTED("""COMPUTED_VALUE"""),"Regular")</f>
        <v>Regular</v>
      </c>
      <c r="H1863" s="4">
        <f ca="1">IFERROR(__xludf.UNSUPPORTED("""COMPUTED_VALUE"""),45512.6855787037)</f>
        <v>45512.685578703698</v>
      </c>
      <c r="I1863" s="3">
        <f ca="1">IFERROR(__xludf.UNSUPPORTED("""COMPUTED_VALUE"""),6)</f>
        <v>6</v>
      </c>
      <c r="J1863" s="4">
        <f ca="1">IFERROR(__xludf.UNSUPPORTED("""COMPUTED_VALUE"""),45512.9355787037)</f>
        <v>45512.935578703698</v>
      </c>
      <c r="K1863" s="3" t="str">
        <f ca="1">IFERROR(__xludf.UNSUPPORTED("""COMPUTED_VALUE"""),"Porto do Recife")</f>
        <v>Porto do Recife</v>
      </c>
      <c r="L1863" s="3" t="str">
        <f ca="1">IFERROR(__xludf.UNSUPPORTED("""COMPUTED_VALUE"""),"Crítico")</f>
        <v>Crítico</v>
      </c>
    </row>
    <row r="1864" spans="1:12" ht="12.75">
      <c r="A1864" s="3" t="str">
        <f ca="1">IFERROR(__xludf.UNSUPPORTED("""COMPUTED_VALUE"""),"7e2c32e4")</f>
        <v>7e2c32e4</v>
      </c>
      <c r="B1864" s="4">
        <f ca="1">IFERROR(__xludf.UNSUPPORTED("""COMPUTED_VALUE"""),45513.6870833333)</f>
        <v>45513.687083333301</v>
      </c>
      <c r="C1864" s="7" t="str">
        <f ca="1">IFERROR(__xludf.UNSUPPORTED("""COMPUTED_VALUE"""),"Recife")</f>
        <v>Recife</v>
      </c>
      <c r="D1864" s="3" t="str">
        <f ca="1">IFERROR(__xludf.UNSUPPORTED("""COMPUTED_VALUE"""),"🚢 REGULAR")</f>
        <v>🚢 REGULAR</v>
      </c>
      <c r="E1864" s="3" t="str">
        <f ca="1">IFERROR(__xludf.UNSUPPORTED("""COMPUTED_VALUE"""),"🚛 LIBERADO")</f>
        <v>🚛 LIBERADO</v>
      </c>
      <c r="F1864" s="5">
        <f ca="1">IFERROR(__xludf.UNSUPPORTED("""COMPUTED_VALUE"""),0.25)</f>
        <v>0.25</v>
      </c>
      <c r="G1864" s="3" t="str">
        <f ca="1">IFERROR(__xludf.UNSUPPORTED("""COMPUTED_VALUE"""),"Regular")</f>
        <v>Regular</v>
      </c>
      <c r="H1864" s="4">
        <f ca="1">IFERROR(__xludf.UNSUPPORTED("""COMPUTED_VALUE"""),45512.6870833333)</f>
        <v>45512.687083333301</v>
      </c>
      <c r="I1864" s="3">
        <f ca="1">IFERROR(__xludf.UNSUPPORTED("""COMPUTED_VALUE"""),6)</f>
        <v>6</v>
      </c>
      <c r="J1864" s="4">
        <f ca="1">IFERROR(__xludf.UNSUPPORTED("""COMPUTED_VALUE"""),45512.9370833333)</f>
        <v>45512.937083333301</v>
      </c>
      <c r="K1864" s="3" t="str">
        <f ca="1">IFERROR(__xludf.UNSUPPORTED("""COMPUTED_VALUE"""),"Porto do Recife")</f>
        <v>Porto do Recife</v>
      </c>
      <c r="L1864" s="3" t="str">
        <f ca="1">IFERROR(__xludf.UNSUPPORTED("""COMPUTED_VALUE"""),"Crítico")</f>
        <v>Crítico</v>
      </c>
    </row>
    <row r="1865" spans="1:12" ht="12.75">
      <c r="A1865" s="3" t="str">
        <f ca="1">IFERROR(__xludf.UNSUPPORTED("""COMPUTED_VALUE"""),"e55e9b05")</f>
        <v>e55e9b05</v>
      </c>
      <c r="B1865" s="4">
        <f ca="1">IFERROR(__xludf.UNSUPPORTED("""COMPUTED_VALUE"""),45514.3210300925)</f>
        <v>45514.321030092498</v>
      </c>
      <c r="C1865" s="8" t="str">
        <f ca="1">IFERROR(__xludf.UNSUPPORTED("""COMPUTED_VALUE"""),"Recife")</f>
        <v>Recife</v>
      </c>
      <c r="D1865" s="3" t="str">
        <f ca="1">IFERROR(__xludf.UNSUPPORTED("""COMPUTED_VALUE"""),"🚢 REGULAR")</f>
        <v>🚢 REGULAR</v>
      </c>
      <c r="E1865" s="3" t="str">
        <f ca="1">IFERROR(__xludf.UNSUPPORTED("""COMPUTED_VALUE"""),"🚛 LIBERADO")</f>
        <v>🚛 LIBERADO</v>
      </c>
      <c r="F1865" s="5">
        <f ca="1">IFERROR(__xludf.UNSUPPORTED("""COMPUTED_VALUE"""),0.25)</f>
        <v>0.25</v>
      </c>
      <c r="G1865" s="3" t="str">
        <f ca="1">IFERROR(__xludf.UNSUPPORTED("""COMPUTED_VALUE"""),"Regular")</f>
        <v>Regular</v>
      </c>
      <c r="H1865" s="4">
        <f ca="1">IFERROR(__xludf.UNSUPPORTED("""COMPUTED_VALUE"""),45514.3210300925)</f>
        <v>45514.321030092498</v>
      </c>
      <c r="I1865" s="3">
        <f ca="1">IFERROR(__xludf.UNSUPPORTED("""COMPUTED_VALUE"""),6)</f>
        <v>6</v>
      </c>
      <c r="J1865" s="4">
        <f ca="1">IFERROR(__xludf.UNSUPPORTED("""COMPUTED_VALUE"""),45514.5710300925)</f>
        <v>45514.571030092498</v>
      </c>
      <c r="K1865" s="3" t="str">
        <f ca="1">IFERROR(__xludf.UNSUPPORTED("""COMPUTED_VALUE"""),"Porto do Recife")</f>
        <v>Porto do Recife</v>
      </c>
      <c r="L1865" s="3" t="str">
        <f ca="1">IFERROR(__xludf.UNSUPPORTED("""COMPUTED_VALUE"""),"Crítico")</f>
        <v>Crítico</v>
      </c>
    </row>
    <row r="1866" spans="1:12" ht="12.75">
      <c r="A1866" s="3" t="str">
        <f ca="1">IFERROR(__xludf.UNSUPPORTED("""COMPUTED_VALUE"""),"ef3a7b71")</f>
        <v>ef3a7b71</v>
      </c>
      <c r="B1866" s="4">
        <f ca="1">IFERROR(__xludf.UNSUPPORTED("""COMPUTED_VALUE"""),45515.3901157407)</f>
        <v>45515.390115740702</v>
      </c>
      <c r="C1866" s="7" t="str">
        <f ca="1">IFERROR(__xludf.UNSUPPORTED("""COMPUTED_VALUE"""),"Recife")</f>
        <v>Recife</v>
      </c>
      <c r="D1866" s="3" t="str">
        <f ca="1">IFERROR(__xludf.UNSUPPORTED("""COMPUTED_VALUE"""),"🚢 REGULAR")</f>
        <v>🚢 REGULAR</v>
      </c>
      <c r="E1866" s="3" t="str">
        <f ca="1">IFERROR(__xludf.UNSUPPORTED("""COMPUTED_VALUE"""),"🚛 LIBERADO")</f>
        <v>🚛 LIBERADO</v>
      </c>
      <c r="F1866" s="5">
        <f ca="1">IFERROR(__xludf.UNSUPPORTED("""COMPUTED_VALUE"""),0.25)</f>
        <v>0.25</v>
      </c>
      <c r="G1866" s="3" t="str">
        <f ca="1">IFERROR(__xludf.UNSUPPORTED("""COMPUTED_VALUE"""),"Regular")</f>
        <v>Regular</v>
      </c>
      <c r="H1866" s="4">
        <f ca="1">IFERROR(__xludf.UNSUPPORTED("""COMPUTED_VALUE"""),45515.3901157407)</f>
        <v>45515.390115740702</v>
      </c>
      <c r="I1866" s="3">
        <f ca="1">IFERROR(__xludf.UNSUPPORTED("""COMPUTED_VALUE"""),6)</f>
        <v>6</v>
      </c>
      <c r="J1866" s="4">
        <f ca="1">IFERROR(__xludf.UNSUPPORTED("""COMPUTED_VALUE"""),45515.6401157407)</f>
        <v>45515.640115740702</v>
      </c>
      <c r="K1866" s="3" t="str">
        <f ca="1">IFERROR(__xludf.UNSUPPORTED("""COMPUTED_VALUE"""),"Porto do Recife")</f>
        <v>Porto do Recife</v>
      </c>
      <c r="L1866" s="3" t="str">
        <f ca="1">IFERROR(__xludf.UNSUPPORTED("""COMPUTED_VALUE"""),"Crítico")</f>
        <v>Crítico</v>
      </c>
    </row>
    <row r="1867" spans="1:12" ht="12.75">
      <c r="A1867" s="3" t="str">
        <f ca="1">IFERROR(__xludf.UNSUPPORTED("""COMPUTED_VALUE"""),"c3e09395")</f>
        <v>c3e09395</v>
      </c>
      <c r="B1867" s="4">
        <f ca="1">IFERROR(__xludf.UNSUPPORTED("""COMPUTED_VALUE"""),45516.7402430555)</f>
        <v>45516.740243055501</v>
      </c>
      <c r="C1867" s="8" t="str">
        <f ca="1">IFERROR(__xludf.UNSUPPORTED("""COMPUTED_VALUE"""),"Recife")</f>
        <v>Recife</v>
      </c>
      <c r="D1867" s="3" t="str">
        <f ca="1">IFERROR(__xludf.UNSUPPORTED("""COMPUTED_VALUE"""),"🚢 REGULAR")</f>
        <v>🚢 REGULAR</v>
      </c>
      <c r="E1867" s="3" t="str">
        <f ca="1">IFERROR(__xludf.UNSUPPORTED("""COMPUTED_VALUE"""),"🚛 LIBERADO")</f>
        <v>🚛 LIBERADO</v>
      </c>
      <c r="F1867" s="5">
        <f ca="1">IFERROR(__xludf.UNSUPPORTED("""COMPUTED_VALUE"""),0.25)</f>
        <v>0.25</v>
      </c>
      <c r="G1867" s="3" t="str">
        <f ca="1">IFERROR(__xludf.UNSUPPORTED("""COMPUTED_VALUE"""),"Regular")</f>
        <v>Regular</v>
      </c>
      <c r="H1867" s="4">
        <f ca="1">IFERROR(__xludf.UNSUPPORTED("""COMPUTED_VALUE"""),45516.7402430555)</f>
        <v>45516.740243055501</v>
      </c>
      <c r="I1867" s="3">
        <f ca="1">IFERROR(__xludf.UNSUPPORTED("""COMPUTED_VALUE"""),6)</f>
        <v>6</v>
      </c>
      <c r="J1867" s="4">
        <f ca="1">IFERROR(__xludf.UNSUPPORTED("""COMPUTED_VALUE"""),45516.9902430555)</f>
        <v>45516.990243055501</v>
      </c>
      <c r="K1867" s="3" t="str">
        <f ca="1">IFERROR(__xludf.UNSUPPORTED("""COMPUTED_VALUE"""),"Porto do Recife")</f>
        <v>Porto do Recife</v>
      </c>
      <c r="L1867" s="3" t="str">
        <f ca="1">IFERROR(__xludf.UNSUPPORTED("""COMPUTED_VALUE"""),"Crítico")</f>
        <v>Crítico</v>
      </c>
    </row>
    <row r="1868" spans="1:12" ht="12.75">
      <c r="A1868" s="3" t="str">
        <f ca="1">IFERROR(__xludf.UNSUPPORTED("""COMPUTED_VALUE"""),"b8ca53e9")</f>
        <v>b8ca53e9</v>
      </c>
      <c r="B1868" s="4">
        <f ca="1">IFERROR(__xludf.UNSUPPORTED("""COMPUTED_VALUE"""),45517.3254050925)</f>
        <v>45517.325405092502</v>
      </c>
      <c r="C1868" s="7" t="str">
        <f ca="1">IFERROR(__xludf.UNSUPPORTED("""COMPUTED_VALUE"""),"Recife")</f>
        <v>Recife</v>
      </c>
      <c r="D1868" s="3" t="str">
        <f ca="1">IFERROR(__xludf.UNSUPPORTED("""COMPUTED_VALUE"""),"🚢 REGULAR")</f>
        <v>🚢 REGULAR</v>
      </c>
      <c r="E1868" s="3" t="str">
        <f ca="1">IFERROR(__xludf.UNSUPPORTED("""COMPUTED_VALUE"""),"🚛 LIBERADO")</f>
        <v>🚛 LIBERADO</v>
      </c>
      <c r="F1868" s="5">
        <f ca="1">IFERROR(__xludf.UNSUPPORTED("""COMPUTED_VALUE"""),0.25)</f>
        <v>0.25</v>
      </c>
      <c r="G1868" s="3" t="str">
        <f ca="1">IFERROR(__xludf.UNSUPPORTED("""COMPUTED_VALUE"""),"Regular")</f>
        <v>Regular</v>
      </c>
      <c r="H1868" s="4">
        <f ca="1">IFERROR(__xludf.UNSUPPORTED("""COMPUTED_VALUE"""),45517.3254050925)</f>
        <v>45517.325405092502</v>
      </c>
      <c r="I1868" s="3">
        <f ca="1">IFERROR(__xludf.UNSUPPORTED("""COMPUTED_VALUE"""),6)</f>
        <v>6</v>
      </c>
      <c r="J1868" s="4">
        <f ca="1">IFERROR(__xludf.UNSUPPORTED("""COMPUTED_VALUE"""),45517.5754050925)</f>
        <v>45517.575405092502</v>
      </c>
      <c r="K1868" s="3" t="str">
        <f ca="1">IFERROR(__xludf.UNSUPPORTED("""COMPUTED_VALUE"""),"Porto do Recife")</f>
        <v>Porto do Recife</v>
      </c>
      <c r="L1868" s="3" t="str">
        <f ca="1">IFERROR(__xludf.UNSUPPORTED("""COMPUTED_VALUE"""),"Crítico")</f>
        <v>Crítico</v>
      </c>
    </row>
    <row r="1869" spans="1:12" ht="12.75">
      <c r="A1869" s="3" t="str">
        <f ca="1">IFERROR(__xludf.UNSUPPORTED("""COMPUTED_VALUE"""),"dfba03d3")</f>
        <v>dfba03d3</v>
      </c>
      <c r="B1869" s="4">
        <f ca="1">IFERROR(__xludf.UNSUPPORTED("""COMPUTED_VALUE"""),45518.3268634259)</f>
        <v>45518.3268634259</v>
      </c>
      <c r="C1869" s="7" t="str">
        <f ca="1">IFERROR(__xludf.UNSUPPORTED("""COMPUTED_VALUE"""),"Recife")</f>
        <v>Recife</v>
      </c>
      <c r="D1869" s="3" t="str">
        <f ca="1">IFERROR(__xludf.UNSUPPORTED("""COMPUTED_VALUE"""),"🚢 REGULAR")</f>
        <v>🚢 REGULAR</v>
      </c>
      <c r="E1869" s="3" t="str">
        <f ca="1">IFERROR(__xludf.UNSUPPORTED("""COMPUTED_VALUE"""),"🚛 LIBERADO")</f>
        <v>🚛 LIBERADO</v>
      </c>
      <c r="F1869" s="5">
        <f ca="1">IFERROR(__xludf.UNSUPPORTED("""COMPUTED_VALUE"""),0.25)</f>
        <v>0.25</v>
      </c>
      <c r="G1869" s="3" t="str">
        <f ca="1">IFERROR(__xludf.UNSUPPORTED("""COMPUTED_VALUE"""),"Regular")</f>
        <v>Regular</v>
      </c>
      <c r="H1869" s="4">
        <f ca="1">IFERROR(__xludf.UNSUPPORTED("""COMPUTED_VALUE"""),45518.3268634259)</f>
        <v>45518.3268634259</v>
      </c>
      <c r="I1869" s="3">
        <f ca="1">IFERROR(__xludf.UNSUPPORTED("""COMPUTED_VALUE"""),6)</f>
        <v>6</v>
      </c>
      <c r="J1869" s="4">
        <f ca="1">IFERROR(__xludf.UNSUPPORTED("""COMPUTED_VALUE"""),45518.5768634259)</f>
        <v>45518.5768634259</v>
      </c>
      <c r="K1869" s="3" t="str">
        <f ca="1">IFERROR(__xludf.UNSUPPORTED("""COMPUTED_VALUE"""),"Porto do Recife")</f>
        <v>Porto do Recife</v>
      </c>
      <c r="L1869" s="3" t="str">
        <f ca="1">IFERROR(__xludf.UNSUPPORTED("""COMPUTED_VALUE"""),"Crítico")</f>
        <v>Crítico</v>
      </c>
    </row>
    <row r="1870" spans="1:12" ht="12.75">
      <c r="A1870" s="3" t="str">
        <f ca="1">IFERROR(__xludf.UNSUPPORTED("""COMPUTED_VALUE"""),"f43e9161")</f>
        <v>f43e9161</v>
      </c>
      <c r="B1870" s="4">
        <f ca="1">IFERROR(__xludf.UNSUPPORTED("""COMPUTED_VALUE"""),45519.4061805555)</f>
        <v>45519.406180555503</v>
      </c>
      <c r="C1870" s="8" t="str">
        <f ca="1">IFERROR(__xludf.UNSUPPORTED("""COMPUTED_VALUE"""),"Recife")</f>
        <v>Recife</v>
      </c>
      <c r="D1870" s="3" t="str">
        <f ca="1">IFERROR(__xludf.UNSUPPORTED("""COMPUTED_VALUE"""),"🚢 REGULAR")</f>
        <v>🚢 REGULAR</v>
      </c>
      <c r="E1870" s="3" t="str">
        <f ca="1">IFERROR(__xludf.UNSUPPORTED("""COMPUTED_VALUE"""),"🚛 LIBERADO")</f>
        <v>🚛 LIBERADO</v>
      </c>
      <c r="F1870" s="5">
        <f ca="1">IFERROR(__xludf.UNSUPPORTED("""COMPUTED_VALUE"""),0.25)</f>
        <v>0.25</v>
      </c>
      <c r="G1870" s="3" t="str">
        <f ca="1">IFERROR(__xludf.UNSUPPORTED("""COMPUTED_VALUE"""),"Regular")</f>
        <v>Regular</v>
      </c>
      <c r="H1870" s="4">
        <f ca="1">IFERROR(__xludf.UNSUPPORTED("""COMPUTED_VALUE"""),45519.4061805555)</f>
        <v>45519.406180555503</v>
      </c>
      <c r="I1870" s="3">
        <f ca="1">IFERROR(__xludf.UNSUPPORTED("""COMPUTED_VALUE"""),6)</f>
        <v>6</v>
      </c>
      <c r="J1870" s="4">
        <f ca="1">IFERROR(__xludf.UNSUPPORTED("""COMPUTED_VALUE"""),45519.6561805555)</f>
        <v>45519.656180555503</v>
      </c>
      <c r="K1870" s="3" t="str">
        <f ca="1">IFERROR(__xludf.UNSUPPORTED("""COMPUTED_VALUE"""),"Porto do Recife")</f>
        <v>Porto do Recife</v>
      </c>
      <c r="L1870" s="3" t="str">
        <f ca="1">IFERROR(__xludf.UNSUPPORTED("""COMPUTED_VALUE"""),"Crítico")</f>
        <v>Crítico</v>
      </c>
    </row>
    <row r="1871" spans="1:12" ht="12.75">
      <c r="A1871" s="3" t="str">
        <f ca="1">IFERROR(__xludf.UNSUPPORTED("""COMPUTED_VALUE"""),"1ae0f9fb")</f>
        <v>1ae0f9fb</v>
      </c>
      <c r="B1871" s="4">
        <f ca="1">IFERROR(__xludf.UNSUPPORTED("""COMPUTED_VALUE"""),45520.4018749999)</f>
        <v>45520.401874999901</v>
      </c>
      <c r="C1871" s="8" t="str">
        <f ca="1">IFERROR(__xludf.UNSUPPORTED("""COMPUTED_VALUE"""),"Recife")</f>
        <v>Recife</v>
      </c>
      <c r="D1871" s="3" t="str">
        <f ca="1">IFERROR(__xludf.UNSUPPORTED("""COMPUTED_VALUE"""),"🚢 REGULAR")</f>
        <v>🚢 REGULAR</v>
      </c>
      <c r="E1871" s="3" t="str">
        <f ca="1">IFERROR(__xludf.UNSUPPORTED("""COMPUTED_VALUE"""),"🚛 LIBERADO")</f>
        <v>🚛 LIBERADO</v>
      </c>
      <c r="F1871" s="5">
        <f ca="1">IFERROR(__xludf.UNSUPPORTED("""COMPUTED_VALUE"""),0)</f>
        <v>0</v>
      </c>
      <c r="G1871" s="3" t="str">
        <f ca="1">IFERROR(__xludf.UNSUPPORTED("""COMPUTED_VALUE"""),"Normalidade")</f>
        <v>Normalidade</v>
      </c>
      <c r="H1871" s="4">
        <f ca="1">IFERROR(__xludf.UNSUPPORTED("""COMPUTED_VALUE"""),45520.4018749999)</f>
        <v>45520.401874999901</v>
      </c>
      <c r="I1871" s="3">
        <f ca="1">IFERROR(__xludf.UNSUPPORTED("""COMPUTED_VALUE"""),24)</f>
        <v>24</v>
      </c>
      <c r="J1871" s="4">
        <f ca="1">IFERROR(__xludf.UNSUPPORTED("""COMPUTED_VALUE"""),45521.4018749999)</f>
        <v>45521.401874999901</v>
      </c>
      <c r="L1871" s="3" t="str">
        <f ca="1">IFERROR(__xludf.UNSUPPORTED("""COMPUTED_VALUE"""),"Normalidade")</f>
        <v>Normalidade</v>
      </c>
    </row>
    <row r="1872" spans="1:12" ht="12.75">
      <c r="A1872" s="3" t="str">
        <f ca="1">IFERROR(__xludf.UNSUPPORTED("""COMPUTED_VALUE"""),"45245939")</f>
        <v>45245939</v>
      </c>
      <c r="B1872" s="4">
        <f ca="1">IFERROR(__xludf.UNSUPPORTED("""COMPUTED_VALUE"""),45523.4089814814)</f>
        <v>45523.4089814814</v>
      </c>
      <c r="C1872" s="7" t="str">
        <f ca="1">IFERROR(__xludf.UNSUPPORTED("""COMPUTED_VALUE"""),"Recife")</f>
        <v>Recife</v>
      </c>
      <c r="D1872" s="3" t="str">
        <f ca="1">IFERROR(__xludf.UNSUPPORTED("""COMPUTED_VALUE"""),"🚢 REGULAR")</f>
        <v>🚢 REGULAR</v>
      </c>
      <c r="E1872" s="3" t="str">
        <f ca="1">IFERROR(__xludf.UNSUPPORTED("""COMPUTED_VALUE"""),"🚛 LIBERADO")</f>
        <v>🚛 LIBERADO</v>
      </c>
      <c r="F1872" s="5">
        <f ca="1">IFERROR(__xludf.UNSUPPORTED("""COMPUTED_VALUE"""),0)</f>
        <v>0</v>
      </c>
      <c r="G1872" s="3" t="str">
        <f ca="1">IFERROR(__xludf.UNSUPPORTED("""COMPUTED_VALUE"""),"Normalidade")</f>
        <v>Normalidade</v>
      </c>
      <c r="H1872" s="4">
        <f ca="1">IFERROR(__xludf.UNSUPPORTED("""COMPUTED_VALUE"""),45523.4089814814)</f>
        <v>45523.4089814814</v>
      </c>
      <c r="I1872" s="3">
        <f ca="1">IFERROR(__xludf.UNSUPPORTED("""COMPUTED_VALUE"""),24)</f>
        <v>24</v>
      </c>
      <c r="J1872" s="4">
        <f ca="1">IFERROR(__xludf.UNSUPPORTED("""COMPUTED_VALUE"""),45524.4089814814)</f>
        <v>45524.4089814814</v>
      </c>
    </row>
    <row r="1873" spans="1:12" ht="12.75">
      <c r="A1873" s="3" t="str">
        <f ca="1">IFERROR(__xludf.UNSUPPORTED("""COMPUTED_VALUE"""),"b37ece9b")</f>
        <v>b37ece9b</v>
      </c>
      <c r="B1873" s="4">
        <f ca="1">IFERROR(__xludf.UNSUPPORTED("""COMPUTED_VALUE"""),45524.790625)</f>
        <v>45524.790625000001</v>
      </c>
      <c r="C1873" s="8" t="str">
        <f ca="1">IFERROR(__xludf.UNSUPPORTED("""COMPUTED_VALUE"""),"Recife")</f>
        <v>Recife</v>
      </c>
      <c r="D1873" s="3" t="str">
        <f ca="1">IFERROR(__xludf.UNSUPPORTED("""COMPUTED_VALUE"""),"🚢 REGULAR")</f>
        <v>🚢 REGULAR</v>
      </c>
      <c r="E1873" s="3" t="str">
        <f ca="1">IFERROR(__xludf.UNSUPPORTED("""COMPUTED_VALUE"""),"🚛 LIBERADO")</f>
        <v>🚛 LIBERADO</v>
      </c>
      <c r="F1873" s="5">
        <f ca="1">IFERROR(__xludf.UNSUPPORTED("""COMPUTED_VALUE"""),0)</f>
        <v>0</v>
      </c>
      <c r="G1873" s="3" t="str">
        <f ca="1">IFERROR(__xludf.UNSUPPORTED("""COMPUTED_VALUE"""),"Normalidade")</f>
        <v>Normalidade</v>
      </c>
      <c r="H1873" s="4">
        <f ca="1">IFERROR(__xludf.UNSUPPORTED("""COMPUTED_VALUE"""),45524.790625)</f>
        <v>45524.790625000001</v>
      </c>
      <c r="I1873" s="3">
        <f ca="1">IFERROR(__xludf.UNSUPPORTED("""COMPUTED_VALUE"""),24)</f>
        <v>24</v>
      </c>
      <c r="J1873" s="4">
        <f ca="1">IFERROR(__xludf.UNSUPPORTED("""COMPUTED_VALUE"""),45525.790625)</f>
        <v>45525.790625000001</v>
      </c>
    </row>
    <row r="1874" spans="1:12" ht="12.75">
      <c r="A1874" s="3" t="str">
        <f ca="1">IFERROR(__xludf.UNSUPPORTED("""COMPUTED_VALUE"""),"8a6bec91")</f>
        <v>8a6bec91</v>
      </c>
      <c r="B1874" s="4">
        <f ca="1">IFERROR(__xludf.UNSUPPORTED("""COMPUTED_VALUE"""),45525.8428009259)</f>
        <v>45525.842800925901</v>
      </c>
      <c r="C1874" s="8" t="str">
        <f ca="1">IFERROR(__xludf.UNSUPPORTED("""COMPUTED_VALUE"""),"Recife")</f>
        <v>Recife</v>
      </c>
      <c r="D1874" s="3" t="str">
        <f ca="1">IFERROR(__xludf.UNSUPPORTED("""COMPUTED_VALUE"""),"🚢 REGULAR")</f>
        <v>🚢 REGULAR</v>
      </c>
      <c r="E1874" s="3" t="str">
        <f ca="1">IFERROR(__xludf.UNSUPPORTED("""COMPUTED_VALUE"""),"🚛 LIBERADO")</f>
        <v>🚛 LIBERADO</v>
      </c>
      <c r="F1874" s="5">
        <f ca="1">IFERROR(__xludf.UNSUPPORTED("""COMPUTED_VALUE"""),0)</f>
        <v>0</v>
      </c>
      <c r="G1874" s="3" t="str">
        <f ca="1">IFERROR(__xludf.UNSUPPORTED("""COMPUTED_VALUE"""),"Normalidade")</f>
        <v>Normalidade</v>
      </c>
      <c r="H1874" s="4">
        <f ca="1">IFERROR(__xludf.UNSUPPORTED("""COMPUTED_VALUE"""),45525.8428009259)</f>
        <v>45525.842800925901</v>
      </c>
      <c r="I1874" s="3">
        <f ca="1">IFERROR(__xludf.UNSUPPORTED("""COMPUTED_VALUE"""),24)</f>
        <v>24</v>
      </c>
      <c r="J1874" s="4">
        <f ca="1">IFERROR(__xludf.UNSUPPORTED("""COMPUTED_VALUE"""),45526.8428009259)</f>
        <v>45526.842800925901</v>
      </c>
    </row>
    <row r="1875" spans="1:12" ht="12.75">
      <c r="A1875" s="3" t="str">
        <f ca="1">IFERROR(__xludf.UNSUPPORTED("""COMPUTED_VALUE"""),"7f8f9842")</f>
        <v>7f8f9842</v>
      </c>
      <c r="B1875" s="4">
        <f ca="1">IFERROR(__xludf.UNSUPPORTED("""COMPUTED_VALUE"""),45526.3547337962)</f>
        <v>45526.354733796201</v>
      </c>
      <c r="C1875" s="7" t="str">
        <f ca="1">IFERROR(__xludf.UNSUPPORTED("""COMPUTED_VALUE"""),"Recife")</f>
        <v>Recife</v>
      </c>
      <c r="D1875" s="3" t="str">
        <f ca="1">IFERROR(__xludf.UNSUPPORTED("""COMPUTED_VALUE"""),"🚢 REGULAR")</f>
        <v>🚢 REGULAR</v>
      </c>
      <c r="E1875" s="3" t="str">
        <f ca="1">IFERROR(__xludf.UNSUPPORTED("""COMPUTED_VALUE"""),"🚛 LIBERADO")</f>
        <v>🚛 LIBERADO</v>
      </c>
      <c r="F1875" s="5">
        <f ca="1">IFERROR(__xludf.UNSUPPORTED("""COMPUTED_VALUE"""),0)</f>
        <v>0</v>
      </c>
      <c r="G1875" s="3" t="str">
        <f ca="1">IFERROR(__xludf.UNSUPPORTED("""COMPUTED_VALUE"""),"Normalidade")</f>
        <v>Normalidade</v>
      </c>
      <c r="H1875" s="4">
        <f ca="1">IFERROR(__xludf.UNSUPPORTED("""COMPUTED_VALUE"""),45526.3547337962)</f>
        <v>45526.354733796201</v>
      </c>
      <c r="I1875" s="3">
        <f ca="1">IFERROR(__xludf.UNSUPPORTED("""COMPUTED_VALUE"""),24)</f>
        <v>24</v>
      </c>
      <c r="J1875" s="4">
        <f ca="1">IFERROR(__xludf.UNSUPPORTED("""COMPUTED_VALUE"""),45527.3547337962)</f>
        <v>45527.354733796201</v>
      </c>
    </row>
    <row r="1876" spans="1:12" ht="12.75">
      <c r="A1876" s="3" t="str">
        <f ca="1">IFERROR(__xludf.UNSUPPORTED("""COMPUTED_VALUE"""),"c3de120d")</f>
        <v>c3de120d</v>
      </c>
      <c r="B1876" s="4">
        <f ca="1">IFERROR(__xludf.UNSUPPORTED("""COMPUTED_VALUE"""),45530.360787037)</f>
        <v>45530.360787037003</v>
      </c>
      <c r="C1876" s="8" t="str">
        <f ca="1">IFERROR(__xludf.UNSUPPORTED("""COMPUTED_VALUE"""),"Recife")</f>
        <v>Recife</v>
      </c>
      <c r="D1876" s="3" t="str">
        <f ca="1">IFERROR(__xludf.UNSUPPORTED("""COMPUTED_VALUE"""),"🚢 REGULAR")</f>
        <v>🚢 REGULAR</v>
      </c>
      <c r="E1876" s="3" t="str">
        <f ca="1">IFERROR(__xludf.UNSUPPORTED("""COMPUTED_VALUE"""),"🚛 LIBERADO")</f>
        <v>🚛 LIBERADO</v>
      </c>
      <c r="F1876" s="5">
        <f ca="1">IFERROR(__xludf.UNSUPPORTED("""COMPUTED_VALUE"""),0)</f>
        <v>0</v>
      </c>
      <c r="G1876" s="3" t="str">
        <f ca="1">IFERROR(__xludf.UNSUPPORTED("""COMPUTED_VALUE"""),"Normalidade")</f>
        <v>Normalidade</v>
      </c>
      <c r="H1876" s="4">
        <f ca="1">IFERROR(__xludf.UNSUPPORTED("""COMPUTED_VALUE"""),45530.360787037)</f>
        <v>45530.360787037003</v>
      </c>
      <c r="I1876" s="3">
        <f ca="1">IFERROR(__xludf.UNSUPPORTED("""COMPUTED_VALUE"""),24)</f>
        <v>24</v>
      </c>
      <c r="J1876" s="4">
        <f ca="1">IFERROR(__xludf.UNSUPPORTED("""COMPUTED_VALUE"""),45531.360787037)</f>
        <v>45531.360787037003</v>
      </c>
    </row>
    <row r="1877" spans="1:12" ht="12.75">
      <c r="A1877" s="3" t="str">
        <f ca="1">IFERROR(__xludf.UNSUPPORTED("""COMPUTED_VALUE"""),"1ab38c0f")</f>
        <v>1ab38c0f</v>
      </c>
      <c r="B1877" s="4">
        <f ca="1">IFERROR(__xludf.UNSUPPORTED("""COMPUTED_VALUE"""),45532.4761574074)</f>
        <v>45532.4761574074</v>
      </c>
      <c r="C1877" s="8" t="str">
        <f ca="1">IFERROR(__xludf.UNSUPPORTED("""COMPUTED_VALUE"""),"Recife")</f>
        <v>Recife</v>
      </c>
      <c r="D1877" s="3" t="str">
        <f ca="1">IFERROR(__xludf.UNSUPPORTED("""COMPUTED_VALUE"""),"🚢 REGULAR")</f>
        <v>🚢 REGULAR</v>
      </c>
      <c r="E1877" s="3" t="str">
        <f ca="1">IFERROR(__xludf.UNSUPPORTED("""COMPUTED_VALUE"""),"🚛 LIBERADO")</f>
        <v>🚛 LIBERADO</v>
      </c>
      <c r="F1877" s="5">
        <f ca="1">IFERROR(__xludf.UNSUPPORTED("""COMPUTED_VALUE"""),0)</f>
        <v>0</v>
      </c>
      <c r="G1877" s="3" t="str">
        <f ca="1">IFERROR(__xludf.UNSUPPORTED("""COMPUTED_VALUE"""),"Normalidade")</f>
        <v>Normalidade</v>
      </c>
      <c r="H1877" s="4">
        <f ca="1">IFERROR(__xludf.UNSUPPORTED("""COMPUTED_VALUE"""),45532.4761574074)</f>
        <v>45532.4761574074</v>
      </c>
      <c r="I1877" s="3">
        <f ca="1">IFERROR(__xludf.UNSUPPORTED("""COMPUTED_VALUE"""),24)</f>
        <v>24</v>
      </c>
      <c r="J1877" s="4">
        <f ca="1">IFERROR(__xludf.UNSUPPORTED("""COMPUTED_VALUE"""),45533.4761574074)</f>
        <v>45533.4761574074</v>
      </c>
    </row>
    <row r="1878" spans="1:12" ht="12.75">
      <c r="A1878" s="3" t="str">
        <f ca="1">IFERROR(__xludf.UNSUPPORTED("""COMPUTED_VALUE"""),"6bb66b48")</f>
        <v>6bb66b48</v>
      </c>
      <c r="B1878" s="4">
        <f ca="1">IFERROR(__xludf.UNSUPPORTED("""COMPUTED_VALUE"""),45533.6119328703)</f>
        <v>45533.611932870299</v>
      </c>
      <c r="C1878" s="8" t="str">
        <f ca="1">IFERROR(__xludf.UNSUPPORTED("""COMPUTED_VALUE"""),"Recife")</f>
        <v>Recife</v>
      </c>
      <c r="D1878" s="3" t="str">
        <f ca="1">IFERROR(__xludf.UNSUPPORTED("""COMPUTED_VALUE"""),"🚢 REGULAR")</f>
        <v>🚢 REGULAR</v>
      </c>
      <c r="E1878" s="3" t="str">
        <f ca="1">IFERROR(__xludf.UNSUPPORTED("""COMPUTED_VALUE"""),"🚛 LIBERADO")</f>
        <v>🚛 LIBERADO</v>
      </c>
      <c r="F1878" s="5">
        <f ca="1">IFERROR(__xludf.UNSUPPORTED("""COMPUTED_VALUE"""),0)</f>
        <v>0</v>
      </c>
      <c r="G1878" s="3" t="str">
        <f ca="1">IFERROR(__xludf.UNSUPPORTED("""COMPUTED_VALUE"""),"Normalidade")</f>
        <v>Normalidade</v>
      </c>
      <c r="H1878" s="4">
        <f ca="1">IFERROR(__xludf.UNSUPPORTED("""COMPUTED_VALUE"""),45533.6119328703)</f>
        <v>45533.611932870299</v>
      </c>
      <c r="I1878" s="3">
        <f ca="1">IFERROR(__xludf.UNSUPPORTED("""COMPUTED_VALUE"""),24)</f>
        <v>24</v>
      </c>
      <c r="J1878" s="4">
        <f ca="1">IFERROR(__xludf.UNSUPPORTED("""COMPUTED_VALUE"""),45534.6119328703)</f>
        <v>45534.611932870299</v>
      </c>
      <c r="L1878" s="3" t="str">
        <f ca="1">IFERROR(__xludf.UNSUPPORTED("""COMPUTED_VALUE"""),"Normalidade")</f>
        <v>Normalidade</v>
      </c>
    </row>
    <row r="1879" spans="1:12" ht="12.75">
      <c r="A1879" s="3" t="str">
        <f ca="1">IFERROR(__xludf.UNSUPPORTED("""COMPUTED_VALUE"""),"3c0394d1")</f>
        <v>3c0394d1</v>
      </c>
      <c r="B1879" s="4">
        <f ca="1">IFERROR(__xludf.UNSUPPORTED("""COMPUTED_VALUE"""),45534.438136574)</f>
        <v>45534.438136573997</v>
      </c>
      <c r="C1879" s="7" t="str">
        <f ca="1">IFERROR(__xludf.UNSUPPORTED("""COMPUTED_VALUE"""),"Recife")</f>
        <v>Recife</v>
      </c>
      <c r="D1879" s="3" t="str">
        <f ca="1">IFERROR(__xludf.UNSUPPORTED("""COMPUTED_VALUE"""),"🚢 REGULAR")</f>
        <v>🚢 REGULAR</v>
      </c>
      <c r="E1879" s="3" t="str">
        <f ca="1">IFERROR(__xludf.UNSUPPORTED("""COMPUTED_VALUE"""),"🚛 LIBERADO")</f>
        <v>🚛 LIBERADO</v>
      </c>
      <c r="F1879" s="5">
        <f ca="1">IFERROR(__xludf.UNSUPPORTED("""COMPUTED_VALUE"""),0)</f>
        <v>0</v>
      </c>
      <c r="G1879" s="3" t="str">
        <f ca="1">IFERROR(__xludf.UNSUPPORTED("""COMPUTED_VALUE"""),"Normalidade")</f>
        <v>Normalidade</v>
      </c>
      <c r="H1879" s="4">
        <f ca="1">IFERROR(__xludf.UNSUPPORTED("""COMPUTED_VALUE"""),45534.438136574)</f>
        <v>45534.438136573997</v>
      </c>
      <c r="I1879" s="3">
        <f ca="1">IFERROR(__xludf.UNSUPPORTED("""COMPUTED_VALUE"""),24)</f>
        <v>24</v>
      </c>
      <c r="J1879" s="4">
        <f ca="1">IFERROR(__xludf.UNSUPPORTED("""COMPUTED_VALUE"""),45535.438136574)</f>
        <v>45535.438136573997</v>
      </c>
    </row>
    <row r="1880" spans="1:12" ht="12.75">
      <c r="A1880" s="3" t="str">
        <f ca="1">IFERROR(__xludf.UNSUPPORTED("""COMPUTED_VALUE"""),"9661fbed")</f>
        <v>9661fbed</v>
      </c>
      <c r="B1880" s="4">
        <f ca="1">IFERROR(__xludf.UNSUPPORTED("""COMPUTED_VALUE"""),45536.4142592592)</f>
        <v>45536.414259259203</v>
      </c>
      <c r="C1880" s="8" t="str">
        <f ca="1">IFERROR(__xludf.UNSUPPORTED("""COMPUTED_VALUE"""),"Recife")</f>
        <v>Recife</v>
      </c>
      <c r="D1880" s="3" t="str">
        <f ca="1">IFERROR(__xludf.UNSUPPORTED("""COMPUTED_VALUE"""),"🚢 REGULAR")</f>
        <v>🚢 REGULAR</v>
      </c>
      <c r="E1880" s="3" t="str">
        <f ca="1">IFERROR(__xludf.UNSUPPORTED("""COMPUTED_VALUE"""),"🚛 LIBERADO")</f>
        <v>🚛 LIBERADO</v>
      </c>
      <c r="F1880" s="5">
        <f ca="1">IFERROR(__xludf.UNSUPPORTED("""COMPUTED_VALUE"""),0.25)</f>
        <v>0.25</v>
      </c>
      <c r="G1880" s="3" t="str">
        <f ca="1">IFERROR(__xludf.UNSUPPORTED("""COMPUTED_VALUE"""),"Regular")</f>
        <v>Regular</v>
      </c>
      <c r="H1880" s="4">
        <f ca="1">IFERROR(__xludf.UNSUPPORTED("""COMPUTED_VALUE"""),45536.4142592592)</f>
        <v>45536.414259259203</v>
      </c>
      <c r="I1880" s="3">
        <f ca="1">IFERROR(__xludf.UNSUPPORTED("""COMPUTED_VALUE"""),6)</f>
        <v>6</v>
      </c>
      <c r="J1880" s="4">
        <f ca="1">IFERROR(__xludf.UNSUPPORTED("""COMPUTED_VALUE"""),45536.6642592592)</f>
        <v>45536.664259259203</v>
      </c>
      <c r="K1880" s="3" t="str">
        <f ca="1">IFERROR(__xludf.UNSUPPORTED("""COMPUTED_VALUE"""),"Porto do Recife")</f>
        <v>Porto do Recife</v>
      </c>
      <c r="L1880" s="3" t="str">
        <f ca="1">IFERROR(__xludf.UNSUPPORTED("""COMPUTED_VALUE"""),"Crítico")</f>
        <v>Crítico</v>
      </c>
    </row>
    <row r="1881" spans="1:12" ht="12.75">
      <c r="A1881" s="3" t="str">
        <f ca="1">IFERROR(__xludf.UNSUPPORTED("""COMPUTED_VALUE"""),"61ee3583")</f>
        <v>61ee3583</v>
      </c>
      <c r="B1881" s="4">
        <f ca="1">IFERROR(__xludf.UNSUPPORTED("""COMPUTED_VALUE"""),45537.329074074)</f>
        <v>45537.329074073998</v>
      </c>
      <c r="C1881" s="7" t="str">
        <f ca="1">IFERROR(__xludf.UNSUPPORTED("""COMPUTED_VALUE"""),"Recife")</f>
        <v>Recife</v>
      </c>
      <c r="D1881" s="3" t="str">
        <f ca="1">IFERROR(__xludf.UNSUPPORTED("""COMPUTED_VALUE"""),"🚢 REGULAR")</f>
        <v>🚢 REGULAR</v>
      </c>
      <c r="E1881" s="3" t="str">
        <f ca="1">IFERROR(__xludf.UNSUPPORTED("""COMPUTED_VALUE"""),"🚛 LIBERADO")</f>
        <v>🚛 LIBERADO</v>
      </c>
      <c r="F1881" s="5">
        <f ca="1">IFERROR(__xludf.UNSUPPORTED("""COMPUTED_VALUE"""),0.25)</f>
        <v>0.25</v>
      </c>
      <c r="G1881" s="3" t="str">
        <f ca="1">IFERROR(__xludf.UNSUPPORTED("""COMPUTED_VALUE"""),"Regular")</f>
        <v>Regular</v>
      </c>
      <c r="H1881" s="4">
        <f ca="1">IFERROR(__xludf.UNSUPPORTED("""COMPUTED_VALUE"""),45537.329074074)</f>
        <v>45537.329074073998</v>
      </c>
      <c r="I1881" s="3">
        <f ca="1">IFERROR(__xludf.UNSUPPORTED("""COMPUTED_VALUE"""),6)</f>
        <v>6</v>
      </c>
      <c r="J1881" s="4">
        <f ca="1">IFERROR(__xludf.UNSUPPORTED("""COMPUTED_VALUE"""),45537.579074074)</f>
        <v>45537.579074073998</v>
      </c>
      <c r="K1881" s="3" t="str">
        <f ca="1">IFERROR(__xludf.UNSUPPORTED("""COMPUTED_VALUE"""),"Porto do Recife")</f>
        <v>Porto do Recife</v>
      </c>
      <c r="L1881" s="3" t="str">
        <f ca="1">IFERROR(__xludf.UNSUPPORTED("""COMPUTED_VALUE"""),"Crítico")</f>
        <v>Crítico</v>
      </c>
    </row>
    <row r="1882" spans="1:12" ht="12.75">
      <c r="A1882" s="3" t="str">
        <f ca="1">IFERROR(__xludf.UNSUPPORTED("""COMPUTED_VALUE"""),"0ff0f9e4")</f>
        <v>0ff0f9e4</v>
      </c>
      <c r="B1882" s="4">
        <f ca="1">IFERROR(__xludf.UNSUPPORTED("""COMPUTED_VALUE"""),45538.3468402777)</f>
        <v>45538.3468402777</v>
      </c>
      <c r="C1882" s="8" t="str">
        <f ca="1">IFERROR(__xludf.UNSUPPORTED("""COMPUTED_VALUE"""),"Recife")</f>
        <v>Recife</v>
      </c>
      <c r="D1882" s="3" t="str">
        <f ca="1">IFERROR(__xludf.UNSUPPORTED("""COMPUTED_VALUE"""),"🚢 REGULAR")</f>
        <v>🚢 REGULAR</v>
      </c>
      <c r="E1882" s="3" t="str">
        <f ca="1">IFERROR(__xludf.UNSUPPORTED("""COMPUTED_VALUE"""),"🚛 LIBERADO")</f>
        <v>🚛 LIBERADO</v>
      </c>
      <c r="F1882" s="5">
        <f ca="1">IFERROR(__xludf.UNSUPPORTED("""COMPUTED_VALUE"""),0.25)</f>
        <v>0.25</v>
      </c>
      <c r="G1882" s="3" t="str">
        <f ca="1">IFERROR(__xludf.UNSUPPORTED("""COMPUTED_VALUE"""),"Regular")</f>
        <v>Regular</v>
      </c>
      <c r="H1882" s="4">
        <f ca="1">IFERROR(__xludf.UNSUPPORTED("""COMPUTED_VALUE"""),45538.3468402777)</f>
        <v>45538.3468402777</v>
      </c>
      <c r="I1882" s="3">
        <f ca="1">IFERROR(__xludf.UNSUPPORTED("""COMPUTED_VALUE"""),6)</f>
        <v>6</v>
      </c>
      <c r="J1882" s="4">
        <f ca="1">IFERROR(__xludf.UNSUPPORTED("""COMPUTED_VALUE"""),45538.5968402777)</f>
        <v>45538.5968402777</v>
      </c>
      <c r="K1882" s="3" t="str">
        <f ca="1">IFERROR(__xludf.UNSUPPORTED("""COMPUTED_VALUE"""),"Porto do Recife")</f>
        <v>Porto do Recife</v>
      </c>
      <c r="L1882" s="3" t="str">
        <f ca="1">IFERROR(__xludf.UNSUPPORTED("""COMPUTED_VALUE"""),"Crítico")</f>
        <v>Crítico</v>
      </c>
    </row>
    <row r="1883" spans="1:12" ht="12.75">
      <c r="A1883" s="3" t="str">
        <f ca="1">IFERROR(__xludf.UNSUPPORTED("""COMPUTED_VALUE"""),"3fa101f7")</f>
        <v>3fa101f7</v>
      </c>
      <c r="B1883" s="4">
        <f ca="1">IFERROR(__xludf.UNSUPPORTED("""COMPUTED_VALUE"""),45539.3572916666)</f>
        <v>45539.357291666602</v>
      </c>
      <c r="C1883" s="7" t="str">
        <f ca="1">IFERROR(__xludf.UNSUPPORTED("""COMPUTED_VALUE"""),"Recife")</f>
        <v>Recife</v>
      </c>
      <c r="D1883" s="3" t="str">
        <f ca="1">IFERROR(__xludf.UNSUPPORTED("""COMPUTED_VALUE"""),"🚢 REGULAR")</f>
        <v>🚢 REGULAR</v>
      </c>
      <c r="E1883" s="3" t="str">
        <f ca="1">IFERROR(__xludf.UNSUPPORTED("""COMPUTED_VALUE"""),"🚛 LIBERADO")</f>
        <v>🚛 LIBERADO</v>
      </c>
      <c r="F1883" s="5">
        <f ca="1">IFERROR(__xludf.UNSUPPORTED("""COMPUTED_VALUE"""),0.25)</f>
        <v>0.25</v>
      </c>
      <c r="G1883" s="3" t="str">
        <f ca="1">IFERROR(__xludf.UNSUPPORTED("""COMPUTED_VALUE"""),"Regular")</f>
        <v>Regular</v>
      </c>
      <c r="H1883" s="4">
        <f ca="1">IFERROR(__xludf.UNSUPPORTED("""COMPUTED_VALUE"""),45539.3572916666)</f>
        <v>45539.357291666602</v>
      </c>
      <c r="I1883" s="3">
        <f ca="1">IFERROR(__xludf.UNSUPPORTED("""COMPUTED_VALUE"""),6)</f>
        <v>6</v>
      </c>
      <c r="J1883" s="4">
        <f ca="1">IFERROR(__xludf.UNSUPPORTED("""COMPUTED_VALUE"""),45539.6072916666)</f>
        <v>45539.607291666602</v>
      </c>
      <c r="K1883" s="3" t="str">
        <f ca="1">IFERROR(__xludf.UNSUPPORTED("""COMPUTED_VALUE"""),"Porto do Recife")</f>
        <v>Porto do Recife</v>
      </c>
      <c r="L1883" s="3" t="str">
        <f ca="1">IFERROR(__xludf.UNSUPPORTED("""COMPUTED_VALUE"""),"Crítico")</f>
        <v>Crítico</v>
      </c>
    </row>
    <row r="1884" spans="1:12" ht="12.75">
      <c r="A1884" s="3" t="str">
        <f ca="1">IFERROR(__xludf.UNSUPPORTED("""COMPUTED_VALUE"""),"9d3d37f6")</f>
        <v>9d3d37f6</v>
      </c>
      <c r="B1884" s="4">
        <f ca="1">IFERROR(__xludf.UNSUPPORTED("""COMPUTED_VALUE"""),45540.3252662037)</f>
        <v>45540.325266203698</v>
      </c>
      <c r="C1884" s="8" t="str">
        <f ca="1">IFERROR(__xludf.UNSUPPORTED("""COMPUTED_VALUE"""),"Recife")</f>
        <v>Recife</v>
      </c>
      <c r="D1884" s="3" t="str">
        <f ca="1">IFERROR(__xludf.UNSUPPORTED("""COMPUTED_VALUE"""),"🚢 REGULAR")</f>
        <v>🚢 REGULAR</v>
      </c>
      <c r="E1884" s="3" t="str">
        <f ca="1">IFERROR(__xludf.UNSUPPORTED("""COMPUTED_VALUE"""),"🚛 LIBERADO")</f>
        <v>🚛 LIBERADO</v>
      </c>
      <c r="F1884" s="5">
        <f ca="1">IFERROR(__xludf.UNSUPPORTED("""COMPUTED_VALUE"""),0.25)</f>
        <v>0.25</v>
      </c>
      <c r="G1884" s="3" t="str">
        <f ca="1">IFERROR(__xludf.UNSUPPORTED("""COMPUTED_VALUE"""),"Regular")</f>
        <v>Regular</v>
      </c>
      <c r="H1884" s="4">
        <f ca="1">IFERROR(__xludf.UNSUPPORTED("""COMPUTED_VALUE"""),45540.3252662037)</f>
        <v>45540.325266203698</v>
      </c>
      <c r="I1884" s="3">
        <f ca="1">IFERROR(__xludf.UNSUPPORTED("""COMPUTED_VALUE"""),6)</f>
        <v>6</v>
      </c>
      <c r="J1884" s="4">
        <f ca="1">IFERROR(__xludf.UNSUPPORTED("""COMPUTED_VALUE"""),45540.5752662037)</f>
        <v>45540.575266203698</v>
      </c>
      <c r="K1884" s="3" t="str">
        <f ca="1">IFERROR(__xludf.UNSUPPORTED("""COMPUTED_VALUE"""),"Porto do Recife")</f>
        <v>Porto do Recife</v>
      </c>
      <c r="L1884" s="3" t="str">
        <f ca="1">IFERROR(__xludf.UNSUPPORTED("""COMPUTED_VALUE"""),"Crítico")</f>
        <v>Crítico</v>
      </c>
    </row>
    <row r="1885" spans="1:12" ht="12.75">
      <c r="A1885" s="3" t="str">
        <f ca="1">IFERROR(__xludf.UNSUPPORTED("""COMPUTED_VALUE"""),"932cfc2a")</f>
        <v>932cfc2a</v>
      </c>
      <c r="B1885" s="4">
        <f ca="1">IFERROR(__xludf.UNSUPPORTED("""COMPUTED_VALUE"""),45541.3394097222)</f>
        <v>45541.339409722197</v>
      </c>
      <c r="C1885" s="7" t="str">
        <f ca="1">IFERROR(__xludf.UNSUPPORTED("""COMPUTED_VALUE"""),"Recife")</f>
        <v>Recife</v>
      </c>
      <c r="D1885" s="3" t="str">
        <f ca="1">IFERROR(__xludf.UNSUPPORTED("""COMPUTED_VALUE"""),"🚢 REGULAR")</f>
        <v>🚢 REGULAR</v>
      </c>
      <c r="E1885" s="3" t="str">
        <f ca="1">IFERROR(__xludf.UNSUPPORTED("""COMPUTED_VALUE"""),"🚛 LIBERADO")</f>
        <v>🚛 LIBERADO</v>
      </c>
      <c r="F1885" s="5">
        <f ca="1">IFERROR(__xludf.UNSUPPORTED("""COMPUTED_VALUE"""),0.25)</f>
        <v>0.25</v>
      </c>
      <c r="G1885" s="3" t="str">
        <f ca="1">IFERROR(__xludf.UNSUPPORTED("""COMPUTED_VALUE"""),"Regular")</f>
        <v>Regular</v>
      </c>
      <c r="H1885" s="4">
        <f ca="1">IFERROR(__xludf.UNSUPPORTED("""COMPUTED_VALUE"""),45541.3394097222)</f>
        <v>45541.339409722197</v>
      </c>
      <c r="I1885" s="3">
        <f ca="1">IFERROR(__xludf.UNSUPPORTED("""COMPUTED_VALUE"""),6)</f>
        <v>6</v>
      </c>
      <c r="J1885" s="4">
        <f ca="1">IFERROR(__xludf.UNSUPPORTED("""COMPUTED_VALUE"""),45541.5894097222)</f>
        <v>45541.589409722197</v>
      </c>
      <c r="K1885" s="3" t="str">
        <f ca="1">IFERROR(__xludf.UNSUPPORTED("""COMPUTED_VALUE"""),"Porto do Recife")</f>
        <v>Porto do Recife</v>
      </c>
      <c r="L1885" s="3" t="str">
        <f ca="1">IFERROR(__xludf.UNSUPPORTED("""COMPUTED_VALUE"""),"Crítico")</f>
        <v>Crítico</v>
      </c>
    </row>
    <row r="1886" spans="1:12" ht="12.75">
      <c r="A1886" s="3" t="str">
        <f ca="1">IFERROR(__xludf.UNSUPPORTED("""COMPUTED_VALUE"""),"d4f8115e")</f>
        <v>d4f8115e</v>
      </c>
      <c r="B1886" s="4">
        <f ca="1">IFERROR(__xludf.UNSUPPORTED("""COMPUTED_VALUE"""),45542.3641087963)</f>
        <v>45542.364108796297</v>
      </c>
      <c r="C1886" s="8" t="str">
        <f ca="1">IFERROR(__xludf.UNSUPPORTED("""COMPUTED_VALUE"""),"Recife")</f>
        <v>Recife</v>
      </c>
      <c r="D1886" s="3" t="str">
        <f ca="1">IFERROR(__xludf.UNSUPPORTED("""COMPUTED_VALUE"""),"🚢 REGULAR")</f>
        <v>🚢 REGULAR</v>
      </c>
      <c r="E1886" s="3" t="str">
        <f ca="1">IFERROR(__xludf.UNSUPPORTED("""COMPUTED_VALUE"""),"🚛 LIBERADO")</f>
        <v>🚛 LIBERADO</v>
      </c>
      <c r="F1886" s="5">
        <f ca="1">IFERROR(__xludf.UNSUPPORTED("""COMPUTED_VALUE"""),0.25)</f>
        <v>0.25</v>
      </c>
      <c r="G1886" s="3" t="str">
        <f ca="1">IFERROR(__xludf.UNSUPPORTED("""COMPUTED_VALUE"""),"Regular")</f>
        <v>Regular</v>
      </c>
      <c r="H1886" s="4">
        <f ca="1">IFERROR(__xludf.UNSUPPORTED("""COMPUTED_VALUE"""),45542.3641087963)</f>
        <v>45542.364108796297</v>
      </c>
      <c r="I1886" s="3">
        <f ca="1">IFERROR(__xludf.UNSUPPORTED("""COMPUTED_VALUE"""),6)</f>
        <v>6</v>
      </c>
      <c r="J1886" s="4">
        <f ca="1">IFERROR(__xludf.UNSUPPORTED("""COMPUTED_VALUE"""),45542.6141087963)</f>
        <v>45542.614108796297</v>
      </c>
      <c r="K1886" s="3" t="str">
        <f ca="1">IFERROR(__xludf.UNSUPPORTED("""COMPUTED_VALUE"""),"Porto do Recife")</f>
        <v>Porto do Recife</v>
      </c>
      <c r="L1886" s="3" t="str">
        <f ca="1">IFERROR(__xludf.UNSUPPORTED("""COMPUTED_VALUE"""),"Crítico")</f>
        <v>Crítico</v>
      </c>
    </row>
    <row r="1887" spans="1:12" ht="12.75">
      <c r="A1887" s="3" t="str">
        <f ca="1">IFERROR(__xludf.UNSUPPORTED("""COMPUTED_VALUE"""),"957f9389")</f>
        <v>957f9389</v>
      </c>
      <c r="B1887" s="4">
        <f ca="1">IFERROR(__xludf.UNSUPPORTED("""COMPUTED_VALUE"""),45543.393136574)</f>
        <v>45543.393136573999</v>
      </c>
      <c r="C1887" s="7" t="str">
        <f ca="1">IFERROR(__xludf.UNSUPPORTED("""COMPUTED_VALUE"""),"Recife")</f>
        <v>Recife</v>
      </c>
      <c r="D1887" s="3" t="str">
        <f ca="1">IFERROR(__xludf.UNSUPPORTED("""COMPUTED_VALUE"""),"🚢 REGULAR")</f>
        <v>🚢 REGULAR</v>
      </c>
      <c r="E1887" s="3" t="str">
        <f ca="1">IFERROR(__xludf.UNSUPPORTED("""COMPUTED_VALUE"""),"🚛 LIBERADO")</f>
        <v>🚛 LIBERADO</v>
      </c>
      <c r="F1887" s="5">
        <f ca="1">IFERROR(__xludf.UNSUPPORTED("""COMPUTED_VALUE"""),0.25)</f>
        <v>0.25</v>
      </c>
      <c r="G1887" s="3" t="str">
        <f ca="1">IFERROR(__xludf.UNSUPPORTED("""COMPUTED_VALUE"""),"Regular")</f>
        <v>Regular</v>
      </c>
      <c r="H1887" s="4">
        <f ca="1">IFERROR(__xludf.UNSUPPORTED("""COMPUTED_VALUE"""),45543.393136574)</f>
        <v>45543.393136573999</v>
      </c>
      <c r="I1887" s="3">
        <f ca="1">IFERROR(__xludf.UNSUPPORTED("""COMPUTED_VALUE"""),6)</f>
        <v>6</v>
      </c>
      <c r="J1887" s="4">
        <f ca="1">IFERROR(__xludf.UNSUPPORTED("""COMPUTED_VALUE"""),45543.643136574)</f>
        <v>45543.643136573999</v>
      </c>
      <c r="K1887" s="3" t="str">
        <f ca="1">IFERROR(__xludf.UNSUPPORTED("""COMPUTED_VALUE"""),"Porto do Recife")</f>
        <v>Porto do Recife</v>
      </c>
      <c r="L1887" s="3" t="str">
        <f ca="1">IFERROR(__xludf.UNSUPPORTED("""COMPUTED_VALUE"""),"Crítico")</f>
        <v>Crítico</v>
      </c>
    </row>
    <row r="1888" spans="1:12" ht="12.75">
      <c r="A1888" s="3" t="str">
        <f ca="1">IFERROR(__xludf.UNSUPPORTED("""COMPUTED_VALUE"""),"71c8c17f")</f>
        <v>71c8c17f</v>
      </c>
      <c r="B1888" s="4">
        <f ca="1">IFERROR(__xludf.UNSUPPORTED("""COMPUTED_VALUE"""),45544.4051736111)</f>
        <v>45544.4051736111</v>
      </c>
      <c r="C1888" s="8" t="str">
        <f ca="1">IFERROR(__xludf.UNSUPPORTED("""COMPUTED_VALUE"""),"Recife")</f>
        <v>Recife</v>
      </c>
      <c r="D1888" s="3" t="str">
        <f ca="1">IFERROR(__xludf.UNSUPPORTED("""COMPUTED_VALUE"""),"🚢 REGULAR")</f>
        <v>🚢 REGULAR</v>
      </c>
      <c r="E1888" s="3" t="str">
        <f ca="1">IFERROR(__xludf.UNSUPPORTED("""COMPUTED_VALUE"""),"🚛 LIBERADO")</f>
        <v>🚛 LIBERADO</v>
      </c>
      <c r="F1888" s="5">
        <f ca="1">IFERROR(__xludf.UNSUPPORTED("""COMPUTED_VALUE"""),0.25)</f>
        <v>0.25</v>
      </c>
      <c r="G1888" s="3" t="str">
        <f ca="1">IFERROR(__xludf.UNSUPPORTED("""COMPUTED_VALUE"""),"Regular")</f>
        <v>Regular</v>
      </c>
      <c r="H1888" s="4">
        <f ca="1">IFERROR(__xludf.UNSUPPORTED("""COMPUTED_VALUE"""),45544.4051736111)</f>
        <v>45544.4051736111</v>
      </c>
      <c r="I1888" s="3">
        <f ca="1">IFERROR(__xludf.UNSUPPORTED("""COMPUTED_VALUE"""),6)</f>
        <v>6</v>
      </c>
      <c r="J1888" s="4">
        <f ca="1">IFERROR(__xludf.UNSUPPORTED("""COMPUTED_VALUE"""),45544.6551736111)</f>
        <v>45544.6551736111</v>
      </c>
      <c r="K1888" s="3" t="str">
        <f ca="1">IFERROR(__xludf.UNSUPPORTED("""COMPUTED_VALUE"""),"Porto do Recife")</f>
        <v>Porto do Recife</v>
      </c>
      <c r="L1888" s="3" t="str">
        <f ca="1">IFERROR(__xludf.UNSUPPORTED("""COMPUTED_VALUE"""),"Crítico")</f>
        <v>Crítico</v>
      </c>
    </row>
    <row r="1889" spans="1:12" ht="12.75">
      <c r="A1889" s="3" t="str">
        <f ca="1">IFERROR(__xludf.UNSUPPORTED("""COMPUTED_VALUE"""),"a4d5114c")</f>
        <v>a4d5114c</v>
      </c>
      <c r="B1889" s="4">
        <f ca="1">IFERROR(__xludf.UNSUPPORTED("""COMPUTED_VALUE"""),45545.3395949074)</f>
        <v>45545.339594907397</v>
      </c>
      <c r="C1889" s="7" t="str">
        <f ca="1">IFERROR(__xludf.UNSUPPORTED("""COMPUTED_VALUE"""),"Recife")</f>
        <v>Recife</v>
      </c>
      <c r="D1889" s="3" t="str">
        <f ca="1">IFERROR(__xludf.UNSUPPORTED("""COMPUTED_VALUE"""),"🚢 REGULAR")</f>
        <v>🚢 REGULAR</v>
      </c>
      <c r="E1889" s="3" t="str">
        <f ca="1">IFERROR(__xludf.UNSUPPORTED("""COMPUTED_VALUE"""),"🚛 LIBERADO")</f>
        <v>🚛 LIBERADO</v>
      </c>
      <c r="F1889" s="5">
        <f ca="1">IFERROR(__xludf.UNSUPPORTED("""COMPUTED_VALUE"""),0.25)</f>
        <v>0.25</v>
      </c>
      <c r="G1889" s="3" t="str">
        <f ca="1">IFERROR(__xludf.UNSUPPORTED("""COMPUTED_VALUE"""),"Regular")</f>
        <v>Regular</v>
      </c>
      <c r="H1889" s="4">
        <f ca="1">IFERROR(__xludf.UNSUPPORTED("""COMPUTED_VALUE"""),45545.3395949074)</f>
        <v>45545.339594907397</v>
      </c>
      <c r="I1889" s="3">
        <f ca="1">IFERROR(__xludf.UNSUPPORTED("""COMPUTED_VALUE"""),6)</f>
        <v>6</v>
      </c>
      <c r="J1889" s="4">
        <f ca="1">IFERROR(__xludf.UNSUPPORTED("""COMPUTED_VALUE"""),45545.5895949074)</f>
        <v>45545.589594907397</v>
      </c>
      <c r="K1889" s="3" t="str">
        <f ca="1">IFERROR(__xludf.UNSUPPORTED("""COMPUTED_VALUE"""),"Porto do Recife")</f>
        <v>Porto do Recife</v>
      </c>
      <c r="L1889" s="3" t="str">
        <f ca="1">IFERROR(__xludf.UNSUPPORTED("""COMPUTED_VALUE"""),"Crítico")</f>
        <v>Crítico</v>
      </c>
    </row>
    <row r="1890" spans="1:12" ht="12.75">
      <c r="A1890" s="3" t="str">
        <f ca="1">IFERROR(__xludf.UNSUPPORTED("""COMPUTED_VALUE"""),"9455ee63")</f>
        <v>9455ee63</v>
      </c>
      <c r="B1890" s="4">
        <f ca="1">IFERROR(__xludf.UNSUPPORTED("""COMPUTED_VALUE"""),45546.4112268518)</f>
        <v>45546.4112268518</v>
      </c>
      <c r="C1890" s="8" t="str">
        <f ca="1">IFERROR(__xludf.UNSUPPORTED("""COMPUTED_VALUE"""),"Recife")</f>
        <v>Recife</v>
      </c>
      <c r="D1890" s="3" t="str">
        <f ca="1">IFERROR(__xludf.UNSUPPORTED("""COMPUTED_VALUE"""),"🚢 REGULAR")</f>
        <v>🚢 REGULAR</v>
      </c>
      <c r="E1890" s="3" t="str">
        <f ca="1">IFERROR(__xludf.UNSUPPORTED("""COMPUTED_VALUE"""),"🚛 LIBERADO")</f>
        <v>🚛 LIBERADO</v>
      </c>
      <c r="F1890" s="5">
        <f ca="1">IFERROR(__xludf.UNSUPPORTED("""COMPUTED_VALUE"""),0.25)</f>
        <v>0.25</v>
      </c>
      <c r="G1890" s="3" t="str">
        <f ca="1">IFERROR(__xludf.UNSUPPORTED("""COMPUTED_VALUE"""),"Regular")</f>
        <v>Regular</v>
      </c>
      <c r="H1890" s="4">
        <f ca="1">IFERROR(__xludf.UNSUPPORTED("""COMPUTED_VALUE"""),45546.4112268518)</f>
        <v>45546.4112268518</v>
      </c>
      <c r="I1890" s="3">
        <f ca="1">IFERROR(__xludf.UNSUPPORTED("""COMPUTED_VALUE"""),6)</f>
        <v>6</v>
      </c>
      <c r="J1890" s="4">
        <f ca="1">IFERROR(__xludf.UNSUPPORTED("""COMPUTED_VALUE"""),45546.6612268518)</f>
        <v>45546.6612268518</v>
      </c>
      <c r="K1890" s="3" t="str">
        <f ca="1">IFERROR(__xludf.UNSUPPORTED("""COMPUTED_VALUE"""),"Porto do Recife")</f>
        <v>Porto do Recife</v>
      </c>
      <c r="L1890" s="3" t="str">
        <f ca="1">IFERROR(__xludf.UNSUPPORTED("""COMPUTED_VALUE"""),"Crítico")</f>
        <v>Crítico</v>
      </c>
    </row>
    <row r="1891" spans="1:12" ht="12.75">
      <c r="A1891" s="3" t="str">
        <f ca="1">IFERROR(__xludf.UNSUPPORTED("""COMPUTED_VALUE"""),"be18eaeb")</f>
        <v>be18eaeb</v>
      </c>
      <c r="B1891" s="4">
        <f ca="1">IFERROR(__xludf.UNSUPPORTED("""COMPUTED_VALUE"""),45547.3488078703)</f>
        <v>45547.348807870301</v>
      </c>
      <c r="C1891" s="7" t="str">
        <f ca="1">IFERROR(__xludf.UNSUPPORTED("""COMPUTED_VALUE"""),"Recife")</f>
        <v>Recife</v>
      </c>
      <c r="D1891" s="3" t="str">
        <f ca="1">IFERROR(__xludf.UNSUPPORTED("""COMPUTED_VALUE"""),"🚢 REGULAR")</f>
        <v>🚢 REGULAR</v>
      </c>
      <c r="E1891" s="3" t="str">
        <f ca="1">IFERROR(__xludf.UNSUPPORTED("""COMPUTED_VALUE"""),"🚛 LIBERADO")</f>
        <v>🚛 LIBERADO</v>
      </c>
      <c r="F1891" s="5">
        <f ca="1">IFERROR(__xludf.UNSUPPORTED("""COMPUTED_VALUE"""),0.25)</f>
        <v>0.25</v>
      </c>
      <c r="G1891" s="3" t="str">
        <f ca="1">IFERROR(__xludf.UNSUPPORTED("""COMPUTED_VALUE"""),"Regular")</f>
        <v>Regular</v>
      </c>
      <c r="H1891" s="4">
        <f ca="1">IFERROR(__xludf.UNSUPPORTED("""COMPUTED_VALUE"""),45547.3488078703)</f>
        <v>45547.348807870301</v>
      </c>
      <c r="I1891" s="3">
        <f ca="1">IFERROR(__xludf.UNSUPPORTED("""COMPUTED_VALUE"""),6)</f>
        <v>6</v>
      </c>
      <c r="J1891" s="4">
        <f ca="1">IFERROR(__xludf.UNSUPPORTED("""COMPUTED_VALUE"""),45547.5988078703)</f>
        <v>45547.598807870301</v>
      </c>
      <c r="K1891" s="3" t="str">
        <f ca="1">IFERROR(__xludf.UNSUPPORTED("""COMPUTED_VALUE"""),"Porto do Recife")</f>
        <v>Porto do Recife</v>
      </c>
      <c r="L1891" s="3" t="str">
        <f ca="1">IFERROR(__xludf.UNSUPPORTED("""COMPUTED_VALUE"""),"Crítico")</f>
        <v>Crítico</v>
      </c>
    </row>
    <row r="1892" spans="1:12" ht="12.75">
      <c r="A1892" s="3" t="str">
        <f ca="1">IFERROR(__xludf.UNSUPPORTED("""COMPUTED_VALUE"""),"a13ef1be")</f>
        <v>a13ef1be</v>
      </c>
      <c r="B1892" s="4">
        <f ca="1">IFERROR(__xludf.UNSUPPORTED("""COMPUTED_VALUE"""),45548.3341087963)</f>
        <v>45548.334108796298</v>
      </c>
      <c r="C1892" s="7" t="str">
        <f ca="1">IFERROR(__xludf.UNSUPPORTED("""COMPUTED_VALUE"""),"Recife")</f>
        <v>Recife</v>
      </c>
      <c r="D1892" s="3" t="str">
        <f ca="1">IFERROR(__xludf.UNSUPPORTED("""COMPUTED_VALUE"""),"🚢 REGULAR")</f>
        <v>🚢 REGULAR</v>
      </c>
      <c r="E1892" s="3" t="str">
        <f ca="1">IFERROR(__xludf.UNSUPPORTED("""COMPUTED_VALUE"""),"🚛 LIBERADO")</f>
        <v>🚛 LIBERADO</v>
      </c>
      <c r="F1892" s="5">
        <f ca="1">IFERROR(__xludf.UNSUPPORTED("""COMPUTED_VALUE"""),0.25)</f>
        <v>0.25</v>
      </c>
      <c r="G1892" s="3" t="str">
        <f ca="1">IFERROR(__xludf.UNSUPPORTED("""COMPUTED_VALUE"""),"Regular")</f>
        <v>Regular</v>
      </c>
      <c r="H1892" s="4">
        <f ca="1">IFERROR(__xludf.UNSUPPORTED("""COMPUTED_VALUE"""),45548.3341087963)</f>
        <v>45548.334108796298</v>
      </c>
      <c r="I1892" s="3">
        <f ca="1">IFERROR(__xludf.UNSUPPORTED("""COMPUTED_VALUE"""),6)</f>
        <v>6</v>
      </c>
      <c r="J1892" s="4">
        <f ca="1">IFERROR(__xludf.UNSUPPORTED("""COMPUTED_VALUE"""),45548.5841087963)</f>
        <v>45548.584108796298</v>
      </c>
      <c r="K1892" s="3" t="str">
        <f ca="1">IFERROR(__xludf.UNSUPPORTED("""COMPUTED_VALUE"""),"Porto do Recife")</f>
        <v>Porto do Recife</v>
      </c>
      <c r="L1892" s="3" t="str">
        <f ca="1">IFERROR(__xludf.UNSUPPORTED("""COMPUTED_VALUE"""),"Crítico")</f>
        <v>Crítico</v>
      </c>
    </row>
    <row r="1893" spans="1:12" ht="12.75">
      <c r="A1893" s="3" t="str">
        <f ca="1">IFERROR(__xludf.UNSUPPORTED("""COMPUTED_VALUE"""),"54b7f670")</f>
        <v>54b7f670</v>
      </c>
      <c r="B1893" s="4">
        <f ca="1">IFERROR(__xludf.UNSUPPORTED("""COMPUTED_VALUE"""),45549.4348958333)</f>
        <v>45549.434895833299</v>
      </c>
      <c r="C1893" s="8" t="str">
        <f ca="1">IFERROR(__xludf.UNSUPPORTED("""COMPUTED_VALUE"""),"Recife")</f>
        <v>Recife</v>
      </c>
      <c r="D1893" s="3" t="str">
        <f ca="1">IFERROR(__xludf.UNSUPPORTED("""COMPUTED_VALUE"""),"🚢 REGULAR")</f>
        <v>🚢 REGULAR</v>
      </c>
      <c r="E1893" s="3" t="str">
        <f ca="1">IFERROR(__xludf.UNSUPPORTED("""COMPUTED_VALUE"""),"🚛 LIBERADO")</f>
        <v>🚛 LIBERADO</v>
      </c>
      <c r="F1893" s="5">
        <f ca="1">IFERROR(__xludf.UNSUPPORTED("""COMPUTED_VALUE"""),0.25)</f>
        <v>0.25</v>
      </c>
      <c r="G1893" s="3" t="str">
        <f ca="1">IFERROR(__xludf.UNSUPPORTED("""COMPUTED_VALUE"""),"Regular")</f>
        <v>Regular</v>
      </c>
      <c r="H1893" s="4">
        <f ca="1">IFERROR(__xludf.UNSUPPORTED("""COMPUTED_VALUE"""),45549.4348958333)</f>
        <v>45549.434895833299</v>
      </c>
      <c r="I1893" s="3">
        <f ca="1">IFERROR(__xludf.UNSUPPORTED("""COMPUTED_VALUE"""),6)</f>
        <v>6</v>
      </c>
      <c r="J1893" s="4">
        <f ca="1">IFERROR(__xludf.UNSUPPORTED("""COMPUTED_VALUE"""),45549.6848958333)</f>
        <v>45549.684895833299</v>
      </c>
      <c r="K1893" s="3" t="str">
        <f ca="1">IFERROR(__xludf.UNSUPPORTED("""COMPUTED_VALUE"""),"Porto do Recife")</f>
        <v>Porto do Recife</v>
      </c>
      <c r="L1893" s="3" t="str">
        <f ca="1">IFERROR(__xludf.UNSUPPORTED("""COMPUTED_VALUE"""),"Crítico")</f>
        <v>Crítico</v>
      </c>
    </row>
    <row r="1894" spans="1:12" ht="12.75">
      <c r="A1894" s="3" t="str">
        <f ca="1">IFERROR(__xludf.UNSUPPORTED("""COMPUTED_VALUE"""),"9625b588")</f>
        <v>9625b588</v>
      </c>
      <c r="B1894" s="4">
        <f ca="1">IFERROR(__xludf.UNSUPPORTED("""COMPUTED_VALUE"""),45550.5298379629)</f>
        <v>45550.529837962902</v>
      </c>
      <c r="C1894" s="7" t="str">
        <f ca="1">IFERROR(__xludf.UNSUPPORTED("""COMPUTED_VALUE"""),"Recife")</f>
        <v>Recife</v>
      </c>
      <c r="D1894" s="3" t="str">
        <f ca="1">IFERROR(__xludf.UNSUPPORTED("""COMPUTED_VALUE"""),"🚢 REGULAR")</f>
        <v>🚢 REGULAR</v>
      </c>
      <c r="E1894" s="3" t="str">
        <f ca="1">IFERROR(__xludf.UNSUPPORTED("""COMPUTED_VALUE"""),"🚛 LIBERADO")</f>
        <v>🚛 LIBERADO</v>
      </c>
      <c r="F1894" s="5">
        <f ca="1">IFERROR(__xludf.UNSUPPORTED("""COMPUTED_VALUE"""),0.25)</f>
        <v>0.25</v>
      </c>
      <c r="G1894" s="3" t="str">
        <f ca="1">IFERROR(__xludf.UNSUPPORTED("""COMPUTED_VALUE"""),"Regular")</f>
        <v>Regular</v>
      </c>
      <c r="H1894" s="4">
        <f ca="1">IFERROR(__xludf.UNSUPPORTED("""COMPUTED_VALUE"""),45550.5298379629)</f>
        <v>45550.529837962902</v>
      </c>
      <c r="I1894" s="3">
        <f ca="1">IFERROR(__xludf.UNSUPPORTED("""COMPUTED_VALUE"""),6)</f>
        <v>6</v>
      </c>
      <c r="J1894" s="4">
        <f ca="1">IFERROR(__xludf.UNSUPPORTED("""COMPUTED_VALUE"""),45550.7798379629)</f>
        <v>45550.779837962902</v>
      </c>
      <c r="K1894" s="3" t="str">
        <f ca="1">IFERROR(__xludf.UNSUPPORTED("""COMPUTED_VALUE"""),"Porto do Recife")</f>
        <v>Porto do Recife</v>
      </c>
      <c r="L1894" s="3" t="str">
        <f ca="1">IFERROR(__xludf.UNSUPPORTED("""COMPUTED_VALUE"""),"Crítico")</f>
        <v>Crítico</v>
      </c>
    </row>
    <row r="1895" spans="1:12" ht="12.75">
      <c r="A1895" s="3" t="str">
        <f ca="1">IFERROR(__xludf.UNSUPPORTED("""COMPUTED_VALUE"""),"2ad03a17")</f>
        <v>2ad03a17</v>
      </c>
      <c r="B1895" s="4">
        <f ca="1">IFERROR(__xludf.UNSUPPORTED("""COMPUTED_VALUE"""),45557.6669097222)</f>
        <v>45557.666909722197</v>
      </c>
      <c r="C1895" s="7" t="str">
        <f ca="1">IFERROR(__xludf.UNSUPPORTED("""COMPUTED_VALUE"""),"Recife")</f>
        <v>Recife</v>
      </c>
      <c r="D1895" s="3" t="str">
        <f ca="1">IFERROR(__xludf.UNSUPPORTED("""COMPUTED_VALUE"""),"🚢 REGULAR")</f>
        <v>🚢 REGULAR</v>
      </c>
      <c r="E1895" s="3" t="str">
        <f ca="1">IFERROR(__xludf.UNSUPPORTED("""COMPUTED_VALUE"""),"🚛 LIBERADO")</f>
        <v>🚛 LIBERADO</v>
      </c>
      <c r="F1895" s="5">
        <f ca="1">IFERROR(__xludf.UNSUPPORTED("""COMPUTED_VALUE"""),0)</f>
        <v>0</v>
      </c>
      <c r="G1895" s="3" t="str">
        <f ca="1">IFERROR(__xludf.UNSUPPORTED("""COMPUTED_VALUE"""),"Normalidade")</f>
        <v>Normalidade</v>
      </c>
      <c r="H1895" s="4">
        <f ca="1">IFERROR(__xludf.UNSUPPORTED("""COMPUTED_VALUE"""),45557.6669097222)</f>
        <v>45557.666909722197</v>
      </c>
      <c r="I1895" s="3">
        <f ca="1">IFERROR(__xludf.UNSUPPORTED("""COMPUTED_VALUE"""),24)</f>
        <v>24</v>
      </c>
      <c r="J1895" s="4">
        <f ca="1">IFERROR(__xludf.UNSUPPORTED("""COMPUTED_VALUE"""),45558.6669097222)</f>
        <v>45558.666909722197</v>
      </c>
    </row>
    <row r="1896" spans="1:12" ht="12.75">
      <c r="A1896" s="3" t="str">
        <f ca="1">IFERROR(__xludf.UNSUPPORTED("""COMPUTED_VALUE"""),"a631d168")</f>
        <v>a631d168</v>
      </c>
      <c r="B1896" s="4">
        <f ca="1">IFERROR(__xludf.UNSUPPORTED("""COMPUTED_VALUE"""),45559.9109375)</f>
        <v>45559.910937499997</v>
      </c>
      <c r="C1896" s="7" t="str">
        <f ca="1">IFERROR(__xludf.UNSUPPORTED("""COMPUTED_VALUE"""),"Recife")</f>
        <v>Recife</v>
      </c>
      <c r="D1896" s="3" t="str">
        <f ca="1">IFERROR(__xludf.UNSUPPORTED("""COMPUTED_VALUE"""),"🚢 REGULAR")</f>
        <v>🚢 REGULAR</v>
      </c>
      <c r="E1896" s="3" t="str">
        <f ca="1">IFERROR(__xludf.UNSUPPORTED("""COMPUTED_VALUE"""),"🚛 LIBERADO")</f>
        <v>🚛 LIBERADO</v>
      </c>
      <c r="F1896" s="5">
        <f ca="1">IFERROR(__xludf.UNSUPPORTED("""COMPUTED_VALUE"""),0)</f>
        <v>0</v>
      </c>
      <c r="G1896" s="3" t="str">
        <f ca="1">IFERROR(__xludf.UNSUPPORTED("""COMPUTED_VALUE"""),"Normalidade")</f>
        <v>Normalidade</v>
      </c>
      <c r="H1896" s="4">
        <f ca="1">IFERROR(__xludf.UNSUPPORTED("""COMPUTED_VALUE"""),45559.9109375)</f>
        <v>45559.910937499997</v>
      </c>
      <c r="I1896" s="3">
        <f ca="1">IFERROR(__xludf.UNSUPPORTED("""COMPUTED_VALUE"""),24)</f>
        <v>24</v>
      </c>
      <c r="J1896" s="4">
        <f ca="1">IFERROR(__xludf.UNSUPPORTED("""COMPUTED_VALUE"""),45560.9109375)</f>
        <v>45560.910937499997</v>
      </c>
    </row>
    <row r="1897" spans="1:12" ht="12.75">
      <c r="A1897" s="3" t="str">
        <f ca="1">IFERROR(__xludf.UNSUPPORTED("""COMPUTED_VALUE"""),"080c9b21")</f>
        <v>080c9b21</v>
      </c>
      <c r="B1897" s="4">
        <f ca="1">IFERROR(__xludf.UNSUPPORTED("""COMPUTED_VALUE"""),45560.3706712962)</f>
        <v>45560.370671296201</v>
      </c>
      <c r="C1897" s="8" t="str">
        <f ca="1">IFERROR(__xludf.UNSUPPORTED("""COMPUTED_VALUE"""),"Recife")</f>
        <v>Recife</v>
      </c>
      <c r="D1897" s="3" t="str">
        <f ca="1">IFERROR(__xludf.UNSUPPORTED("""COMPUTED_VALUE"""),"🚢 REGULAR")</f>
        <v>🚢 REGULAR</v>
      </c>
      <c r="E1897" s="3" t="str">
        <f ca="1">IFERROR(__xludf.UNSUPPORTED("""COMPUTED_VALUE"""),"🚛 LIBERADO")</f>
        <v>🚛 LIBERADO</v>
      </c>
      <c r="F1897" s="5">
        <f ca="1">IFERROR(__xludf.UNSUPPORTED("""COMPUTED_VALUE"""),0)</f>
        <v>0</v>
      </c>
      <c r="G1897" s="3" t="str">
        <f ca="1">IFERROR(__xludf.UNSUPPORTED("""COMPUTED_VALUE"""),"Normalidade")</f>
        <v>Normalidade</v>
      </c>
      <c r="H1897" s="4">
        <f ca="1">IFERROR(__xludf.UNSUPPORTED("""COMPUTED_VALUE"""),45560.3706712962)</f>
        <v>45560.370671296201</v>
      </c>
      <c r="I1897" s="3">
        <f ca="1">IFERROR(__xludf.UNSUPPORTED("""COMPUTED_VALUE"""),24)</f>
        <v>24</v>
      </c>
      <c r="J1897" s="4">
        <f ca="1">IFERROR(__xludf.UNSUPPORTED("""COMPUTED_VALUE"""),45561.3706712962)</f>
        <v>45561.370671296201</v>
      </c>
    </row>
    <row r="1898" spans="1:12" ht="12.75">
      <c r="A1898" s="3" t="str">
        <f ca="1">IFERROR(__xludf.UNSUPPORTED("""COMPUTED_VALUE"""),"b4a0cb8f")</f>
        <v>b4a0cb8f</v>
      </c>
      <c r="B1898" s="4">
        <f ca="1">IFERROR(__xludf.UNSUPPORTED("""COMPUTED_VALUE"""),45561.8558333333)</f>
        <v>45561.855833333299</v>
      </c>
      <c r="C1898" s="8" t="str">
        <f ca="1">IFERROR(__xludf.UNSUPPORTED("""COMPUTED_VALUE"""),"Recife")</f>
        <v>Recife</v>
      </c>
      <c r="D1898" s="3" t="str">
        <f ca="1">IFERROR(__xludf.UNSUPPORTED("""COMPUTED_VALUE"""),"🚢 REGULAR")</f>
        <v>🚢 REGULAR</v>
      </c>
      <c r="E1898" s="3" t="str">
        <f ca="1">IFERROR(__xludf.UNSUPPORTED("""COMPUTED_VALUE"""),"🚛 LIBERADO")</f>
        <v>🚛 LIBERADO</v>
      </c>
      <c r="F1898" s="5">
        <f ca="1">IFERROR(__xludf.UNSUPPORTED("""COMPUTED_VALUE"""),0)</f>
        <v>0</v>
      </c>
      <c r="G1898" s="3" t="str">
        <f ca="1">IFERROR(__xludf.UNSUPPORTED("""COMPUTED_VALUE"""),"Normalidade")</f>
        <v>Normalidade</v>
      </c>
      <c r="H1898" s="4">
        <f ca="1">IFERROR(__xludf.UNSUPPORTED("""COMPUTED_VALUE"""),45561.8558333333)</f>
        <v>45561.855833333299</v>
      </c>
      <c r="I1898" s="3">
        <f ca="1">IFERROR(__xludf.UNSUPPORTED("""COMPUTED_VALUE"""),24)</f>
        <v>24</v>
      </c>
      <c r="J1898" s="4">
        <f ca="1">IFERROR(__xludf.UNSUPPORTED("""COMPUTED_VALUE"""),45562.8558333333)</f>
        <v>45562.855833333299</v>
      </c>
    </row>
    <row r="1899" spans="1:12" ht="12.75">
      <c r="A1899" s="3" t="str">
        <f ca="1">IFERROR(__xludf.UNSUPPORTED("""COMPUTED_VALUE"""),"441e0a7a")</f>
        <v>441e0a7a</v>
      </c>
      <c r="B1899" s="4">
        <f ca="1">IFERROR(__xludf.UNSUPPORTED("""COMPUTED_VALUE"""),45562.3325)</f>
        <v>45562.332499999997</v>
      </c>
      <c r="C1899" s="7" t="str">
        <f ca="1">IFERROR(__xludf.UNSUPPORTED("""COMPUTED_VALUE"""),"Recife")</f>
        <v>Recife</v>
      </c>
      <c r="D1899" s="3" t="str">
        <f ca="1">IFERROR(__xludf.UNSUPPORTED("""COMPUTED_VALUE"""),"🚢 REGULAR")</f>
        <v>🚢 REGULAR</v>
      </c>
      <c r="E1899" s="3" t="str">
        <f ca="1">IFERROR(__xludf.UNSUPPORTED("""COMPUTED_VALUE"""),"🚛 LIBERADO")</f>
        <v>🚛 LIBERADO</v>
      </c>
      <c r="F1899" s="5">
        <f ca="1">IFERROR(__xludf.UNSUPPORTED("""COMPUTED_VALUE"""),0)</f>
        <v>0</v>
      </c>
      <c r="G1899" s="3" t="str">
        <f ca="1">IFERROR(__xludf.UNSUPPORTED("""COMPUTED_VALUE"""),"Normalidade")</f>
        <v>Normalidade</v>
      </c>
      <c r="H1899" s="4">
        <f ca="1">IFERROR(__xludf.UNSUPPORTED("""COMPUTED_VALUE"""),45562.3325)</f>
        <v>45562.332499999997</v>
      </c>
      <c r="I1899" s="3">
        <f ca="1">IFERROR(__xludf.UNSUPPORTED("""COMPUTED_VALUE"""),24)</f>
        <v>24</v>
      </c>
      <c r="J1899" s="4">
        <f ca="1">IFERROR(__xludf.UNSUPPORTED("""COMPUTED_VALUE"""),45563.3325)</f>
        <v>45563.332499999997</v>
      </c>
    </row>
    <row r="1900" spans="1:12" ht="12.75">
      <c r="A1900" s="3" t="str">
        <f ca="1">IFERROR(__xludf.UNSUPPORTED("""COMPUTED_VALUE"""),"1a30d7a2")</f>
        <v>1a30d7a2</v>
      </c>
      <c r="B1900" s="4">
        <f ca="1">IFERROR(__xludf.UNSUPPORTED("""COMPUTED_VALUE"""),45565.615625)</f>
        <v>45565.615624999999</v>
      </c>
      <c r="C1900" s="7" t="str">
        <f ca="1">IFERROR(__xludf.UNSUPPORTED("""COMPUTED_VALUE"""),"Recife")</f>
        <v>Recife</v>
      </c>
      <c r="D1900" s="3" t="str">
        <f ca="1">IFERROR(__xludf.UNSUPPORTED("""COMPUTED_VALUE"""),"🚢 REGULAR")</f>
        <v>🚢 REGULAR</v>
      </c>
      <c r="E1900" s="3" t="str">
        <f ca="1">IFERROR(__xludf.UNSUPPORTED("""COMPUTED_VALUE"""),"🚛 LIBERADO")</f>
        <v>🚛 LIBERADO</v>
      </c>
      <c r="F1900" s="5">
        <f ca="1">IFERROR(__xludf.UNSUPPORTED("""COMPUTED_VALUE"""),0)</f>
        <v>0</v>
      </c>
      <c r="G1900" s="3" t="str">
        <f ca="1">IFERROR(__xludf.UNSUPPORTED("""COMPUTED_VALUE"""),"Normalidade")</f>
        <v>Normalidade</v>
      </c>
      <c r="H1900" s="4">
        <f ca="1">IFERROR(__xludf.UNSUPPORTED("""COMPUTED_VALUE"""),45565.615625)</f>
        <v>45565.615624999999</v>
      </c>
      <c r="I1900" s="3">
        <f ca="1">IFERROR(__xludf.UNSUPPORTED("""COMPUTED_VALUE"""),24)</f>
        <v>24</v>
      </c>
      <c r="J1900" s="4">
        <f ca="1">IFERROR(__xludf.UNSUPPORTED("""COMPUTED_VALUE"""),45566.615625)</f>
        <v>45566.615624999999</v>
      </c>
    </row>
    <row r="1901" spans="1:12" ht="12.75">
      <c r="A1901" s="3" t="str">
        <f ca="1">IFERROR(__xludf.UNSUPPORTED("""COMPUTED_VALUE"""),"f08c7935")</f>
        <v>f08c7935</v>
      </c>
      <c r="B1901" s="4">
        <f ca="1">IFERROR(__xludf.UNSUPPORTED("""COMPUTED_VALUE"""),45566.3616550925)</f>
        <v>45566.3616550925</v>
      </c>
      <c r="C1901" s="7" t="str">
        <f ca="1">IFERROR(__xludf.UNSUPPORTED("""COMPUTED_VALUE"""),"Recife")</f>
        <v>Recife</v>
      </c>
      <c r="D1901" s="3" t="str">
        <f ca="1">IFERROR(__xludf.UNSUPPORTED("""COMPUTED_VALUE"""),"🚢 REGULAR")</f>
        <v>🚢 REGULAR</v>
      </c>
      <c r="E1901" s="3" t="str">
        <f ca="1">IFERROR(__xludf.UNSUPPORTED("""COMPUTED_VALUE"""),"🚛 LIBERADO")</f>
        <v>🚛 LIBERADO</v>
      </c>
      <c r="F1901" s="5">
        <f ca="1">IFERROR(__xludf.UNSUPPORTED("""COMPUTED_VALUE"""),0.25)</f>
        <v>0.25</v>
      </c>
      <c r="G1901" s="3" t="str">
        <f ca="1">IFERROR(__xludf.UNSUPPORTED("""COMPUTED_VALUE"""),"Regular")</f>
        <v>Regular</v>
      </c>
      <c r="H1901" s="4">
        <f ca="1">IFERROR(__xludf.UNSUPPORTED("""COMPUTED_VALUE"""),45566.3616550925)</f>
        <v>45566.3616550925</v>
      </c>
      <c r="I1901" s="3">
        <f ca="1">IFERROR(__xludf.UNSUPPORTED("""COMPUTED_VALUE"""),6)</f>
        <v>6</v>
      </c>
      <c r="J1901" s="4">
        <f ca="1">IFERROR(__xludf.UNSUPPORTED("""COMPUTED_VALUE"""),45566.6116550925)</f>
        <v>45566.6116550925</v>
      </c>
      <c r="K1901" s="3" t="str">
        <f ca="1">IFERROR(__xludf.UNSUPPORTED("""COMPUTED_VALUE"""),"Porto do Recife")</f>
        <v>Porto do Recife</v>
      </c>
      <c r="L1901" s="3" t="str">
        <f ca="1">IFERROR(__xludf.UNSUPPORTED("""COMPUTED_VALUE"""),"Crítico")</f>
        <v>Crítico</v>
      </c>
    </row>
    <row r="1902" spans="1:12" ht="12.75">
      <c r="A1902" s="3" t="str">
        <f ca="1">IFERROR(__xludf.UNSUPPORTED("""COMPUTED_VALUE"""),"72b368bb")</f>
        <v>72b368bb</v>
      </c>
      <c r="B1902" s="4">
        <f ca="1">IFERROR(__xludf.UNSUPPORTED("""COMPUTED_VALUE"""),45567.4305555555)</f>
        <v>45567.430555555497</v>
      </c>
      <c r="C1902" s="8" t="str">
        <f ca="1">IFERROR(__xludf.UNSUPPORTED("""COMPUTED_VALUE"""),"Recife")</f>
        <v>Recife</v>
      </c>
      <c r="D1902" s="3" t="str">
        <f ca="1">IFERROR(__xludf.UNSUPPORTED("""COMPUTED_VALUE"""),"🚢 REGULAR")</f>
        <v>🚢 REGULAR</v>
      </c>
      <c r="E1902" s="3" t="str">
        <f ca="1">IFERROR(__xludf.UNSUPPORTED("""COMPUTED_VALUE"""),"🚛 LIBERADO")</f>
        <v>🚛 LIBERADO</v>
      </c>
      <c r="F1902" s="5">
        <f ca="1">IFERROR(__xludf.UNSUPPORTED("""COMPUTED_VALUE"""),0.25)</f>
        <v>0.25</v>
      </c>
      <c r="G1902" s="3" t="str">
        <f ca="1">IFERROR(__xludf.UNSUPPORTED("""COMPUTED_VALUE"""),"Regular")</f>
        <v>Regular</v>
      </c>
      <c r="H1902" s="4">
        <f ca="1">IFERROR(__xludf.UNSUPPORTED("""COMPUTED_VALUE"""),45567.4305555555)</f>
        <v>45567.430555555497</v>
      </c>
      <c r="I1902" s="3">
        <f ca="1">IFERROR(__xludf.UNSUPPORTED("""COMPUTED_VALUE"""),6)</f>
        <v>6</v>
      </c>
      <c r="J1902" s="4">
        <f ca="1">IFERROR(__xludf.UNSUPPORTED("""COMPUTED_VALUE"""),45567.6805555555)</f>
        <v>45567.680555555497</v>
      </c>
      <c r="K1902" s="3" t="str">
        <f ca="1">IFERROR(__xludf.UNSUPPORTED("""COMPUTED_VALUE"""),"Porto do Recife")</f>
        <v>Porto do Recife</v>
      </c>
      <c r="L1902" s="3" t="str">
        <f ca="1">IFERROR(__xludf.UNSUPPORTED("""COMPUTED_VALUE"""),"Crítico")</f>
        <v>Crítico</v>
      </c>
    </row>
    <row r="1903" spans="1:12" ht="12.75">
      <c r="A1903" s="3" t="str">
        <f ca="1">IFERROR(__xludf.UNSUPPORTED("""COMPUTED_VALUE"""),"68218b33")</f>
        <v>68218b33</v>
      </c>
      <c r="B1903" s="4">
        <f ca="1">IFERROR(__xludf.UNSUPPORTED("""COMPUTED_VALUE"""),45568.3649305555)</f>
        <v>45568.364930555501</v>
      </c>
      <c r="C1903" s="8" t="str">
        <f ca="1">IFERROR(__xludf.UNSUPPORTED("""COMPUTED_VALUE"""),"Recife")</f>
        <v>Recife</v>
      </c>
      <c r="D1903" s="3" t="str">
        <f ca="1">IFERROR(__xludf.UNSUPPORTED("""COMPUTED_VALUE"""),"🚢 REGULAR")</f>
        <v>🚢 REGULAR</v>
      </c>
      <c r="E1903" s="3" t="str">
        <f ca="1">IFERROR(__xludf.UNSUPPORTED("""COMPUTED_VALUE"""),"🚛 LIBERADO")</f>
        <v>🚛 LIBERADO</v>
      </c>
      <c r="F1903" s="5">
        <f ca="1">IFERROR(__xludf.UNSUPPORTED("""COMPUTED_VALUE"""),0.25)</f>
        <v>0.25</v>
      </c>
      <c r="G1903" s="3" t="str">
        <f ca="1">IFERROR(__xludf.UNSUPPORTED("""COMPUTED_VALUE"""),"Regular")</f>
        <v>Regular</v>
      </c>
      <c r="H1903" s="4">
        <f ca="1">IFERROR(__xludf.UNSUPPORTED("""COMPUTED_VALUE"""),45568.3649305555)</f>
        <v>45568.364930555501</v>
      </c>
      <c r="I1903" s="3">
        <f ca="1">IFERROR(__xludf.UNSUPPORTED("""COMPUTED_VALUE"""),6)</f>
        <v>6</v>
      </c>
      <c r="J1903" s="4">
        <f ca="1">IFERROR(__xludf.UNSUPPORTED("""COMPUTED_VALUE"""),45568.6149305555)</f>
        <v>45568.614930555501</v>
      </c>
      <c r="K1903" s="3" t="str">
        <f ca="1">IFERROR(__xludf.UNSUPPORTED("""COMPUTED_VALUE"""),"Porto do Recife")</f>
        <v>Porto do Recife</v>
      </c>
      <c r="L1903" s="3" t="str">
        <f ca="1">IFERROR(__xludf.UNSUPPORTED("""COMPUTED_VALUE"""),"Crítico")</f>
        <v>Crítico</v>
      </c>
    </row>
    <row r="1904" spans="1:12" ht="12.75">
      <c r="A1904" s="3" t="str">
        <f ca="1">IFERROR(__xludf.UNSUPPORTED("""COMPUTED_VALUE"""),"4a2c1800")</f>
        <v>4a2c1800</v>
      </c>
      <c r="B1904" s="4">
        <f ca="1">IFERROR(__xludf.UNSUPPORTED("""COMPUTED_VALUE"""),45569.3661226851)</f>
        <v>45569.366122685104</v>
      </c>
      <c r="C1904" s="7" t="str">
        <f ca="1">IFERROR(__xludf.UNSUPPORTED("""COMPUTED_VALUE"""),"Recife")</f>
        <v>Recife</v>
      </c>
      <c r="D1904" s="3" t="str">
        <f ca="1">IFERROR(__xludf.UNSUPPORTED("""COMPUTED_VALUE"""),"🚢 REGULAR")</f>
        <v>🚢 REGULAR</v>
      </c>
      <c r="E1904" s="3" t="str">
        <f ca="1">IFERROR(__xludf.UNSUPPORTED("""COMPUTED_VALUE"""),"🚛 LIBERADO")</f>
        <v>🚛 LIBERADO</v>
      </c>
      <c r="F1904" s="5">
        <f ca="1">IFERROR(__xludf.UNSUPPORTED("""COMPUTED_VALUE"""),0.25)</f>
        <v>0.25</v>
      </c>
      <c r="G1904" s="3" t="str">
        <f ca="1">IFERROR(__xludf.UNSUPPORTED("""COMPUTED_VALUE"""),"Regular")</f>
        <v>Regular</v>
      </c>
      <c r="H1904" s="4">
        <f ca="1">IFERROR(__xludf.UNSUPPORTED("""COMPUTED_VALUE"""),45569.3661226851)</f>
        <v>45569.366122685104</v>
      </c>
      <c r="I1904" s="3">
        <f ca="1">IFERROR(__xludf.UNSUPPORTED("""COMPUTED_VALUE"""),6)</f>
        <v>6</v>
      </c>
      <c r="J1904" s="4">
        <f ca="1">IFERROR(__xludf.UNSUPPORTED("""COMPUTED_VALUE"""),45569.6161226851)</f>
        <v>45569.616122685104</v>
      </c>
      <c r="K1904" s="3" t="str">
        <f ca="1">IFERROR(__xludf.UNSUPPORTED("""COMPUTED_VALUE"""),"Porto do Recife")</f>
        <v>Porto do Recife</v>
      </c>
      <c r="L1904" s="3" t="str">
        <f ca="1">IFERROR(__xludf.UNSUPPORTED("""COMPUTED_VALUE"""),"Crítico")</f>
        <v>Crítico</v>
      </c>
    </row>
    <row r="1905" spans="1:12" ht="12.75">
      <c r="A1905" s="3" t="str">
        <f ca="1">IFERROR(__xludf.UNSUPPORTED("""COMPUTED_VALUE"""),"d1be9e6c")</f>
        <v>d1be9e6c</v>
      </c>
      <c r="B1905" s="4">
        <f ca="1">IFERROR(__xludf.UNSUPPORTED("""COMPUTED_VALUE"""),45570.3728125)</f>
        <v>45570.372812499998</v>
      </c>
      <c r="C1905" s="7" t="str">
        <f ca="1">IFERROR(__xludf.UNSUPPORTED("""COMPUTED_VALUE"""),"Recife")</f>
        <v>Recife</v>
      </c>
      <c r="D1905" s="3" t="str">
        <f ca="1">IFERROR(__xludf.UNSUPPORTED("""COMPUTED_VALUE"""),"🚢 REGULAR")</f>
        <v>🚢 REGULAR</v>
      </c>
      <c r="E1905" s="3" t="str">
        <f ca="1">IFERROR(__xludf.UNSUPPORTED("""COMPUTED_VALUE"""),"🚛 LIBERADO")</f>
        <v>🚛 LIBERADO</v>
      </c>
      <c r="F1905" s="5">
        <f ca="1">IFERROR(__xludf.UNSUPPORTED("""COMPUTED_VALUE"""),0.25)</f>
        <v>0.25</v>
      </c>
      <c r="G1905" s="3" t="str">
        <f ca="1">IFERROR(__xludf.UNSUPPORTED("""COMPUTED_VALUE"""),"Regular")</f>
        <v>Regular</v>
      </c>
      <c r="H1905" s="4">
        <f ca="1">IFERROR(__xludf.UNSUPPORTED("""COMPUTED_VALUE"""),45570.3728125)</f>
        <v>45570.372812499998</v>
      </c>
      <c r="I1905" s="3">
        <f ca="1">IFERROR(__xludf.UNSUPPORTED("""COMPUTED_VALUE"""),6)</f>
        <v>6</v>
      </c>
      <c r="J1905" s="4">
        <f ca="1">IFERROR(__xludf.UNSUPPORTED("""COMPUTED_VALUE"""),45570.6228125)</f>
        <v>45570.622812499998</v>
      </c>
      <c r="K1905" s="3" t="str">
        <f ca="1">IFERROR(__xludf.UNSUPPORTED("""COMPUTED_VALUE"""),"Porto do Recife")</f>
        <v>Porto do Recife</v>
      </c>
      <c r="L1905" s="3" t="str">
        <f ca="1">IFERROR(__xludf.UNSUPPORTED("""COMPUTED_VALUE"""),"Crítico")</f>
        <v>Crítico</v>
      </c>
    </row>
    <row r="1906" spans="1:12" ht="12.75">
      <c r="A1906" s="3" t="str">
        <f ca="1">IFERROR(__xludf.UNSUPPORTED("""COMPUTED_VALUE"""),"9b15cbfd")</f>
        <v>9b15cbfd</v>
      </c>
      <c r="B1906" s="4">
        <f ca="1">IFERROR(__xludf.UNSUPPORTED("""COMPUTED_VALUE"""),45571.4248263888)</f>
        <v>45571.4248263888</v>
      </c>
      <c r="C1906" s="8" t="str">
        <f ca="1">IFERROR(__xludf.UNSUPPORTED("""COMPUTED_VALUE"""),"Recife")</f>
        <v>Recife</v>
      </c>
      <c r="D1906" s="3" t="str">
        <f ca="1">IFERROR(__xludf.UNSUPPORTED("""COMPUTED_VALUE"""),"🚢 REGULAR")</f>
        <v>🚢 REGULAR</v>
      </c>
      <c r="E1906" s="3" t="str">
        <f ca="1">IFERROR(__xludf.UNSUPPORTED("""COMPUTED_VALUE"""),"🚛 LIBERADO")</f>
        <v>🚛 LIBERADO</v>
      </c>
      <c r="F1906" s="5">
        <f ca="1">IFERROR(__xludf.UNSUPPORTED("""COMPUTED_VALUE"""),0.25)</f>
        <v>0.25</v>
      </c>
      <c r="G1906" s="3" t="str">
        <f ca="1">IFERROR(__xludf.UNSUPPORTED("""COMPUTED_VALUE"""),"Regular")</f>
        <v>Regular</v>
      </c>
      <c r="H1906" s="4">
        <f ca="1">IFERROR(__xludf.UNSUPPORTED("""COMPUTED_VALUE"""),45571.4248263888)</f>
        <v>45571.4248263888</v>
      </c>
      <c r="I1906" s="3">
        <f ca="1">IFERROR(__xludf.UNSUPPORTED("""COMPUTED_VALUE"""),6)</f>
        <v>6</v>
      </c>
      <c r="J1906" s="4">
        <f ca="1">IFERROR(__xludf.UNSUPPORTED("""COMPUTED_VALUE"""),45571.6748263888)</f>
        <v>45571.6748263888</v>
      </c>
      <c r="K1906" s="3" t="str">
        <f ca="1">IFERROR(__xludf.UNSUPPORTED("""COMPUTED_VALUE"""),"Porto do Recife")</f>
        <v>Porto do Recife</v>
      </c>
      <c r="L1906" s="3" t="str">
        <f ca="1">IFERROR(__xludf.UNSUPPORTED("""COMPUTED_VALUE"""),"Crítico")</f>
        <v>Crítico</v>
      </c>
    </row>
    <row r="1907" spans="1:12" ht="12.75">
      <c r="A1907" s="3" t="str">
        <f ca="1">IFERROR(__xludf.UNSUPPORTED("""COMPUTED_VALUE"""),"30836881")</f>
        <v>30836881</v>
      </c>
      <c r="B1907" s="4">
        <f ca="1">IFERROR(__xludf.UNSUPPORTED("""COMPUTED_VALUE"""),45572.334224537)</f>
        <v>45572.334224537</v>
      </c>
      <c r="C1907" s="7" t="str">
        <f ca="1">IFERROR(__xludf.UNSUPPORTED("""COMPUTED_VALUE"""),"Recife")</f>
        <v>Recife</v>
      </c>
      <c r="D1907" s="3" t="str">
        <f ca="1">IFERROR(__xludf.UNSUPPORTED("""COMPUTED_VALUE"""),"🚢 REGULAR")</f>
        <v>🚢 REGULAR</v>
      </c>
      <c r="E1907" s="3" t="str">
        <f ca="1">IFERROR(__xludf.UNSUPPORTED("""COMPUTED_VALUE"""),"🚛 LIBERADO")</f>
        <v>🚛 LIBERADO</v>
      </c>
      <c r="F1907" s="5">
        <f ca="1">IFERROR(__xludf.UNSUPPORTED("""COMPUTED_VALUE"""),0.25)</f>
        <v>0.25</v>
      </c>
      <c r="G1907" s="3" t="str">
        <f ca="1">IFERROR(__xludf.UNSUPPORTED("""COMPUTED_VALUE"""),"Regular")</f>
        <v>Regular</v>
      </c>
      <c r="H1907" s="4">
        <f ca="1">IFERROR(__xludf.UNSUPPORTED("""COMPUTED_VALUE"""),45572.334224537)</f>
        <v>45572.334224537</v>
      </c>
      <c r="I1907" s="3">
        <f ca="1">IFERROR(__xludf.UNSUPPORTED("""COMPUTED_VALUE"""),6)</f>
        <v>6</v>
      </c>
      <c r="J1907" s="4">
        <f ca="1">IFERROR(__xludf.UNSUPPORTED("""COMPUTED_VALUE"""),45572.584224537)</f>
        <v>45572.584224537</v>
      </c>
      <c r="K1907" s="3" t="str">
        <f ca="1">IFERROR(__xludf.UNSUPPORTED("""COMPUTED_VALUE"""),"Porto do Recife")</f>
        <v>Porto do Recife</v>
      </c>
      <c r="L1907" s="3" t="str">
        <f ca="1">IFERROR(__xludf.UNSUPPORTED("""COMPUTED_VALUE"""),"Crítico")</f>
        <v>Crítico</v>
      </c>
    </row>
    <row r="1908" spans="1:12" ht="12.75">
      <c r="A1908" s="3" t="str">
        <f ca="1">IFERROR(__xludf.UNSUPPORTED("""COMPUTED_VALUE"""),"69c6ee29")</f>
        <v>69c6ee29</v>
      </c>
      <c r="B1908" s="4">
        <f ca="1">IFERROR(__xludf.UNSUPPORTED("""COMPUTED_VALUE"""),45573.3820138887)</f>
        <v>45573.382013888702</v>
      </c>
      <c r="C1908" s="8" t="str">
        <f ca="1">IFERROR(__xludf.UNSUPPORTED("""COMPUTED_VALUE"""),"Recife")</f>
        <v>Recife</v>
      </c>
      <c r="D1908" s="3" t="str">
        <f ca="1">IFERROR(__xludf.UNSUPPORTED("""COMPUTED_VALUE"""),"🚢 REGULAR")</f>
        <v>🚢 REGULAR</v>
      </c>
      <c r="E1908" s="3" t="str">
        <f ca="1">IFERROR(__xludf.UNSUPPORTED("""COMPUTED_VALUE"""),"🚛 LIBERADO")</f>
        <v>🚛 LIBERADO</v>
      </c>
      <c r="F1908" s="5">
        <f ca="1">IFERROR(__xludf.UNSUPPORTED("""COMPUTED_VALUE"""),0.25)</f>
        <v>0.25</v>
      </c>
      <c r="G1908" s="3" t="str">
        <f ca="1">IFERROR(__xludf.UNSUPPORTED("""COMPUTED_VALUE"""),"Regular")</f>
        <v>Regular</v>
      </c>
      <c r="H1908" s="4">
        <f ca="1">IFERROR(__xludf.UNSUPPORTED("""COMPUTED_VALUE"""),45573.3820138887)</f>
        <v>45573.382013888702</v>
      </c>
      <c r="I1908" s="3">
        <f ca="1">IFERROR(__xludf.UNSUPPORTED("""COMPUTED_VALUE"""),6)</f>
        <v>6</v>
      </c>
      <c r="J1908" s="4">
        <f ca="1">IFERROR(__xludf.UNSUPPORTED("""COMPUTED_VALUE"""),45573.6320138887)</f>
        <v>45573.632013888702</v>
      </c>
      <c r="K1908" s="3" t="str">
        <f ca="1">IFERROR(__xludf.UNSUPPORTED("""COMPUTED_VALUE"""),"Porto do Recife")</f>
        <v>Porto do Recife</v>
      </c>
      <c r="L1908" s="3" t="str">
        <f ca="1">IFERROR(__xludf.UNSUPPORTED("""COMPUTED_VALUE"""),"Crítico")</f>
        <v>Crítico</v>
      </c>
    </row>
    <row r="1909" spans="1:12" ht="12.75">
      <c r="A1909" s="3" t="str">
        <f ca="1">IFERROR(__xludf.UNSUPPORTED("""COMPUTED_VALUE"""),"7959bf4b")</f>
        <v>7959bf4b</v>
      </c>
      <c r="B1909" s="4">
        <f ca="1">IFERROR(__xludf.UNSUPPORTED("""COMPUTED_VALUE"""),45574.3428356481)</f>
        <v>45574.342835648102</v>
      </c>
      <c r="C1909" s="7" t="str">
        <f ca="1">IFERROR(__xludf.UNSUPPORTED("""COMPUTED_VALUE"""),"Recife")</f>
        <v>Recife</v>
      </c>
      <c r="D1909" s="3" t="str">
        <f ca="1">IFERROR(__xludf.UNSUPPORTED("""COMPUTED_VALUE"""),"🚢 REGULAR")</f>
        <v>🚢 REGULAR</v>
      </c>
      <c r="E1909" s="3" t="str">
        <f ca="1">IFERROR(__xludf.UNSUPPORTED("""COMPUTED_VALUE"""),"🚛 LIBERADO")</f>
        <v>🚛 LIBERADO</v>
      </c>
      <c r="F1909" s="5">
        <f ca="1">IFERROR(__xludf.UNSUPPORTED("""COMPUTED_VALUE"""),0.25)</f>
        <v>0.25</v>
      </c>
      <c r="G1909" s="3" t="str">
        <f ca="1">IFERROR(__xludf.UNSUPPORTED("""COMPUTED_VALUE"""),"Regular")</f>
        <v>Regular</v>
      </c>
      <c r="H1909" s="4">
        <f ca="1">IFERROR(__xludf.UNSUPPORTED("""COMPUTED_VALUE"""),45574.3428356481)</f>
        <v>45574.342835648102</v>
      </c>
      <c r="I1909" s="3">
        <f ca="1">IFERROR(__xludf.UNSUPPORTED("""COMPUTED_VALUE"""),6)</f>
        <v>6</v>
      </c>
      <c r="J1909" s="4">
        <f ca="1">IFERROR(__xludf.UNSUPPORTED("""COMPUTED_VALUE"""),45574.5928356481)</f>
        <v>45574.592835648102</v>
      </c>
      <c r="K1909" s="3" t="str">
        <f ca="1">IFERROR(__xludf.UNSUPPORTED("""COMPUTED_VALUE"""),"Porto do Recife")</f>
        <v>Porto do Recife</v>
      </c>
      <c r="L1909" s="3" t="str">
        <f ca="1">IFERROR(__xludf.UNSUPPORTED("""COMPUTED_VALUE"""),"Crítico")</f>
        <v>Crítico</v>
      </c>
    </row>
    <row r="1910" spans="1:12" ht="12.75">
      <c r="A1910" s="3" t="str">
        <f ca="1">IFERROR(__xludf.UNSUPPORTED("""COMPUTED_VALUE"""),"93c8c232")</f>
        <v>93c8c232</v>
      </c>
      <c r="B1910" s="4">
        <f ca="1">IFERROR(__xludf.UNSUPPORTED("""COMPUTED_VALUE"""),45575.3014467592)</f>
        <v>45575.3014467592</v>
      </c>
      <c r="C1910" s="8" t="str">
        <f ca="1">IFERROR(__xludf.UNSUPPORTED("""COMPUTED_VALUE"""),"Recife")</f>
        <v>Recife</v>
      </c>
      <c r="D1910" s="3" t="str">
        <f ca="1">IFERROR(__xludf.UNSUPPORTED("""COMPUTED_VALUE"""),"🚢 REGULAR")</f>
        <v>🚢 REGULAR</v>
      </c>
      <c r="E1910" s="3" t="str">
        <f ca="1">IFERROR(__xludf.UNSUPPORTED("""COMPUTED_VALUE"""),"🚛 LIBERADO")</f>
        <v>🚛 LIBERADO</v>
      </c>
      <c r="F1910" s="5">
        <f ca="1">IFERROR(__xludf.UNSUPPORTED("""COMPUTED_VALUE"""),0.25)</f>
        <v>0.25</v>
      </c>
      <c r="G1910" s="3" t="str">
        <f ca="1">IFERROR(__xludf.UNSUPPORTED("""COMPUTED_VALUE"""),"Regular")</f>
        <v>Regular</v>
      </c>
      <c r="H1910" s="4">
        <f ca="1">IFERROR(__xludf.UNSUPPORTED("""COMPUTED_VALUE"""),45575.3014467592)</f>
        <v>45575.3014467592</v>
      </c>
      <c r="I1910" s="3">
        <f ca="1">IFERROR(__xludf.UNSUPPORTED("""COMPUTED_VALUE"""),6)</f>
        <v>6</v>
      </c>
      <c r="J1910" s="4">
        <f ca="1">IFERROR(__xludf.UNSUPPORTED("""COMPUTED_VALUE"""),45575.5514467592)</f>
        <v>45575.5514467592</v>
      </c>
      <c r="K1910" s="3" t="str">
        <f ca="1">IFERROR(__xludf.UNSUPPORTED("""COMPUTED_VALUE"""),"Porto do Recife")</f>
        <v>Porto do Recife</v>
      </c>
      <c r="L1910" s="3" t="str">
        <f ca="1">IFERROR(__xludf.UNSUPPORTED("""COMPUTED_VALUE"""),"Crítico")</f>
        <v>Crítico</v>
      </c>
    </row>
    <row r="1911" spans="1:12" ht="12.75">
      <c r="A1911" s="3" t="str">
        <f ca="1">IFERROR(__xludf.UNSUPPORTED("""COMPUTED_VALUE"""),"7216922e")</f>
        <v>7216922e</v>
      </c>
      <c r="B1911" s="4">
        <f ca="1">IFERROR(__xludf.UNSUPPORTED("""COMPUTED_VALUE"""),45576.3465046296)</f>
        <v>45576.346504629597</v>
      </c>
      <c r="C1911" s="7" t="str">
        <f ca="1">IFERROR(__xludf.UNSUPPORTED("""COMPUTED_VALUE"""),"Recife")</f>
        <v>Recife</v>
      </c>
      <c r="D1911" s="3" t="str">
        <f ca="1">IFERROR(__xludf.UNSUPPORTED("""COMPUTED_VALUE"""),"🚢 REGULAR")</f>
        <v>🚢 REGULAR</v>
      </c>
      <c r="E1911" s="3" t="str">
        <f ca="1">IFERROR(__xludf.UNSUPPORTED("""COMPUTED_VALUE"""),"🚛 LIBERADO")</f>
        <v>🚛 LIBERADO</v>
      </c>
      <c r="F1911" s="5">
        <f ca="1">IFERROR(__xludf.UNSUPPORTED("""COMPUTED_VALUE"""),0.25)</f>
        <v>0.25</v>
      </c>
      <c r="G1911" s="3" t="str">
        <f ca="1">IFERROR(__xludf.UNSUPPORTED("""COMPUTED_VALUE"""),"Regular")</f>
        <v>Regular</v>
      </c>
      <c r="H1911" s="4">
        <f ca="1">IFERROR(__xludf.UNSUPPORTED("""COMPUTED_VALUE"""),45576.3465046296)</f>
        <v>45576.346504629597</v>
      </c>
      <c r="I1911" s="3">
        <f ca="1">IFERROR(__xludf.UNSUPPORTED("""COMPUTED_VALUE"""),6)</f>
        <v>6</v>
      </c>
      <c r="J1911" s="4">
        <f ca="1">IFERROR(__xludf.UNSUPPORTED("""COMPUTED_VALUE"""),45576.5965046296)</f>
        <v>45576.596504629597</v>
      </c>
      <c r="K1911" s="3" t="str">
        <f ca="1">IFERROR(__xludf.UNSUPPORTED("""COMPUTED_VALUE"""),"Porto do Recife")</f>
        <v>Porto do Recife</v>
      </c>
      <c r="L1911" s="3" t="str">
        <f ca="1">IFERROR(__xludf.UNSUPPORTED("""COMPUTED_VALUE"""),"Crítico")</f>
        <v>Crítico</v>
      </c>
    </row>
    <row r="1912" spans="1:12" ht="12.75">
      <c r="A1912" s="3" t="str">
        <f ca="1">IFERROR(__xludf.UNSUPPORTED("""COMPUTED_VALUE"""),"caae2eca")</f>
        <v>caae2eca</v>
      </c>
      <c r="B1912" s="4">
        <f ca="1">IFERROR(__xludf.UNSUPPORTED("""COMPUTED_VALUE"""),45577.3694907407)</f>
        <v>45577.369490740697</v>
      </c>
      <c r="C1912" s="8" t="str">
        <f ca="1">IFERROR(__xludf.UNSUPPORTED("""COMPUTED_VALUE"""),"Recife")</f>
        <v>Recife</v>
      </c>
      <c r="D1912" s="3" t="str">
        <f ca="1">IFERROR(__xludf.UNSUPPORTED("""COMPUTED_VALUE"""),"🚢 REGULAR")</f>
        <v>🚢 REGULAR</v>
      </c>
      <c r="E1912" s="3" t="str">
        <f ca="1">IFERROR(__xludf.UNSUPPORTED("""COMPUTED_VALUE"""),"🚛 LIBERADO")</f>
        <v>🚛 LIBERADO</v>
      </c>
      <c r="F1912" s="5">
        <f ca="1">IFERROR(__xludf.UNSUPPORTED("""COMPUTED_VALUE"""),0.25)</f>
        <v>0.25</v>
      </c>
      <c r="G1912" s="3" t="str">
        <f ca="1">IFERROR(__xludf.UNSUPPORTED("""COMPUTED_VALUE"""),"Regular")</f>
        <v>Regular</v>
      </c>
      <c r="H1912" s="4">
        <f ca="1">IFERROR(__xludf.UNSUPPORTED("""COMPUTED_VALUE"""),45577.3694907407)</f>
        <v>45577.369490740697</v>
      </c>
      <c r="I1912" s="3">
        <f ca="1">IFERROR(__xludf.UNSUPPORTED("""COMPUTED_VALUE"""),6)</f>
        <v>6</v>
      </c>
      <c r="J1912" s="4">
        <f ca="1">IFERROR(__xludf.UNSUPPORTED("""COMPUTED_VALUE"""),45577.6194907407)</f>
        <v>45577.619490740697</v>
      </c>
      <c r="K1912" s="3" t="str">
        <f ca="1">IFERROR(__xludf.UNSUPPORTED("""COMPUTED_VALUE"""),"Porto do Recife")</f>
        <v>Porto do Recife</v>
      </c>
      <c r="L1912" s="3" t="str">
        <f ca="1">IFERROR(__xludf.UNSUPPORTED("""COMPUTED_VALUE"""),"Crítico")</f>
        <v>Crítico</v>
      </c>
    </row>
    <row r="1913" spans="1:12" ht="12.75">
      <c r="A1913" s="3" t="str">
        <f ca="1">IFERROR(__xludf.UNSUPPORTED("""COMPUTED_VALUE"""),"2cff63a3")</f>
        <v>2cff63a3</v>
      </c>
      <c r="B1913" s="4">
        <f ca="1">IFERROR(__xludf.UNSUPPORTED("""COMPUTED_VALUE"""),45578.3795601851)</f>
        <v>45578.379560185102</v>
      </c>
      <c r="C1913" s="7" t="str">
        <f ca="1">IFERROR(__xludf.UNSUPPORTED("""COMPUTED_VALUE"""),"Recife")</f>
        <v>Recife</v>
      </c>
      <c r="D1913" s="3" t="str">
        <f ca="1">IFERROR(__xludf.UNSUPPORTED("""COMPUTED_VALUE"""),"🚢 REGULAR")</f>
        <v>🚢 REGULAR</v>
      </c>
      <c r="E1913" s="3" t="str">
        <f ca="1">IFERROR(__xludf.UNSUPPORTED("""COMPUTED_VALUE"""),"🚛 LIBERADO")</f>
        <v>🚛 LIBERADO</v>
      </c>
      <c r="F1913" s="5">
        <f ca="1">IFERROR(__xludf.UNSUPPORTED("""COMPUTED_VALUE"""),0.25)</f>
        <v>0.25</v>
      </c>
      <c r="G1913" s="3" t="str">
        <f ca="1">IFERROR(__xludf.UNSUPPORTED("""COMPUTED_VALUE"""),"Regular")</f>
        <v>Regular</v>
      </c>
      <c r="H1913" s="4">
        <f ca="1">IFERROR(__xludf.UNSUPPORTED("""COMPUTED_VALUE"""),45578.3795601851)</f>
        <v>45578.379560185102</v>
      </c>
      <c r="I1913" s="3">
        <f ca="1">IFERROR(__xludf.UNSUPPORTED("""COMPUTED_VALUE"""),6)</f>
        <v>6</v>
      </c>
      <c r="J1913" s="4">
        <f ca="1">IFERROR(__xludf.UNSUPPORTED("""COMPUTED_VALUE"""),45578.6295601851)</f>
        <v>45578.629560185102</v>
      </c>
      <c r="K1913" s="3" t="str">
        <f ca="1">IFERROR(__xludf.UNSUPPORTED("""COMPUTED_VALUE"""),"Porto do Recife")</f>
        <v>Porto do Recife</v>
      </c>
      <c r="L1913" s="3" t="str">
        <f ca="1">IFERROR(__xludf.UNSUPPORTED("""COMPUTED_VALUE"""),"Crítico")</f>
        <v>Crítico</v>
      </c>
    </row>
    <row r="1914" spans="1:12" ht="12.75">
      <c r="A1914" s="3" t="str">
        <f ca="1">IFERROR(__xludf.UNSUPPORTED("""COMPUTED_VALUE"""),"65e4addb")</f>
        <v>65e4addb</v>
      </c>
      <c r="B1914" s="4">
        <f ca="1">IFERROR(__xludf.UNSUPPORTED("""COMPUTED_VALUE"""),45579.4290625)</f>
        <v>45579.429062499999</v>
      </c>
      <c r="C1914" s="8" t="str">
        <f ca="1">IFERROR(__xludf.UNSUPPORTED("""COMPUTED_VALUE"""),"Recife")</f>
        <v>Recife</v>
      </c>
      <c r="D1914" s="3" t="str">
        <f ca="1">IFERROR(__xludf.UNSUPPORTED("""COMPUTED_VALUE"""),"🚢 REGULAR")</f>
        <v>🚢 REGULAR</v>
      </c>
      <c r="E1914" s="3" t="str">
        <f ca="1">IFERROR(__xludf.UNSUPPORTED("""COMPUTED_VALUE"""),"🚛 LIBERADO")</f>
        <v>🚛 LIBERADO</v>
      </c>
      <c r="F1914" s="5">
        <f ca="1">IFERROR(__xludf.UNSUPPORTED("""COMPUTED_VALUE"""),0.25)</f>
        <v>0.25</v>
      </c>
      <c r="G1914" s="3" t="str">
        <f ca="1">IFERROR(__xludf.UNSUPPORTED("""COMPUTED_VALUE"""),"Regular")</f>
        <v>Regular</v>
      </c>
      <c r="H1914" s="4">
        <f ca="1">IFERROR(__xludf.UNSUPPORTED("""COMPUTED_VALUE"""),45579.4290625)</f>
        <v>45579.429062499999</v>
      </c>
      <c r="I1914" s="3">
        <f ca="1">IFERROR(__xludf.UNSUPPORTED("""COMPUTED_VALUE"""),6)</f>
        <v>6</v>
      </c>
      <c r="J1914" s="4">
        <f ca="1">IFERROR(__xludf.UNSUPPORTED("""COMPUTED_VALUE"""),45579.6790625)</f>
        <v>45579.679062499999</v>
      </c>
      <c r="K1914" s="3" t="str">
        <f ca="1">IFERROR(__xludf.UNSUPPORTED("""COMPUTED_VALUE"""),"Porto do Recife")</f>
        <v>Porto do Recife</v>
      </c>
      <c r="L1914" s="3" t="str">
        <f ca="1">IFERROR(__xludf.UNSUPPORTED("""COMPUTED_VALUE"""),"Crítico")</f>
        <v>Crítico</v>
      </c>
    </row>
    <row r="1915" spans="1:12" ht="12.75">
      <c r="A1915" s="3" t="str">
        <f ca="1">IFERROR(__xludf.UNSUPPORTED("""COMPUTED_VALUE"""),"b78598f9")</f>
        <v>b78598f9</v>
      </c>
      <c r="B1915" s="4">
        <f ca="1">IFERROR(__xludf.UNSUPPORTED("""COMPUTED_VALUE"""),45580.3958449074)</f>
        <v>45580.395844907398</v>
      </c>
      <c r="C1915" s="7" t="str">
        <f ca="1">IFERROR(__xludf.UNSUPPORTED("""COMPUTED_VALUE"""),"Recife")</f>
        <v>Recife</v>
      </c>
      <c r="D1915" s="3" t="str">
        <f ca="1">IFERROR(__xludf.UNSUPPORTED("""COMPUTED_VALUE"""),"🚢 REGULAR")</f>
        <v>🚢 REGULAR</v>
      </c>
      <c r="E1915" s="3" t="str">
        <f ca="1">IFERROR(__xludf.UNSUPPORTED("""COMPUTED_VALUE"""),"🚛 LIBERADO")</f>
        <v>🚛 LIBERADO</v>
      </c>
      <c r="F1915" s="5">
        <f ca="1">IFERROR(__xludf.UNSUPPORTED("""COMPUTED_VALUE"""),0.25)</f>
        <v>0.25</v>
      </c>
      <c r="G1915" s="3" t="str">
        <f ca="1">IFERROR(__xludf.UNSUPPORTED("""COMPUTED_VALUE"""),"Regular")</f>
        <v>Regular</v>
      </c>
      <c r="H1915" s="4">
        <f ca="1">IFERROR(__xludf.UNSUPPORTED("""COMPUTED_VALUE"""),45580.3958449074)</f>
        <v>45580.395844907398</v>
      </c>
      <c r="I1915" s="3">
        <f ca="1">IFERROR(__xludf.UNSUPPORTED("""COMPUTED_VALUE"""),6)</f>
        <v>6</v>
      </c>
      <c r="J1915" s="4">
        <f ca="1">IFERROR(__xludf.UNSUPPORTED("""COMPUTED_VALUE"""),45580.6458449074)</f>
        <v>45580.645844907398</v>
      </c>
      <c r="K1915" s="3" t="str">
        <f ca="1">IFERROR(__xludf.UNSUPPORTED("""COMPUTED_VALUE"""),"Porto do Recife")</f>
        <v>Porto do Recife</v>
      </c>
      <c r="L1915" s="3" t="str">
        <f ca="1">IFERROR(__xludf.UNSUPPORTED("""COMPUTED_VALUE"""),"Crítico")</f>
        <v>Crítico</v>
      </c>
    </row>
    <row r="1916" spans="1:12" ht="12.75">
      <c r="A1916" s="3" t="str">
        <f ca="1">IFERROR(__xludf.UNSUPPORTED("""COMPUTED_VALUE"""),"e2575b48")</f>
        <v>e2575b48</v>
      </c>
      <c r="B1916" s="4">
        <f ca="1">IFERROR(__xludf.UNSUPPORTED("""COMPUTED_VALUE"""),45581.7298611111)</f>
        <v>45581.729861111096</v>
      </c>
      <c r="C1916" s="8" t="str">
        <f ca="1">IFERROR(__xludf.UNSUPPORTED("""COMPUTED_VALUE"""),"Recife")</f>
        <v>Recife</v>
      </c>
      <c r="D1916" s="3" t="str">
        <f ca="1">IFERROR(__xludf.UNSUPPORTED("""COMPUTED_VALUE"""),"🚢 REGULAR")</f>
        <v>🚢 REGULAR</v>
      </c>
      <c r="E1916" s="3" t="str">
        <f ca="1">IFERROR(__xludf.UNSUPPORTED("""COMPUTED_VALUE"""),"🚛 LIBERADO")</f>
        <v>🚛 LIBERADO</v>
      </c>
      <c r="F1916" s="5">
        <f ca="1">IFERROR(__xludf.UNSUPPORTED("""COMPUTED_VALUE"""),0)</f>
        <v>0</v>
      </c>
      <c r="G1916" s="3" t="str">
        <f ca="1">IFERROR(__xludf.UNSUPPORTED("""COMPUTED_VALUE"""),"Normalidade")</f>
        <v>Normalidade</v>
      </c>
      <c r="H1916" s="4">
        <f ca="1">IFERROR(__xludf.UNSUPPORTED("""COMPUTED_VALUE"""),45581.7298611111)</f>
        <v>45581.729861111096</v>
      </c>
      <c r="I1916" s="3">
        <f ca="1">IFERROR(__xludf.UNSUPPORTED("""COMPUTED_VALUE"""),24)</f>
        <v>24</v>
      </c>
      <c r="J1916" s="4">
        <f ca="1">IFERROR(__xludf.UNSUPPORTED("""COMPUTED_VALUE"""),45582.7298611111)</f>
        <v>45582.729861111096</v>
      </c>
    </row>
    <row r="1917" spans="1:12" ht="12.75">
      <c r="A1917" s="3" t="str">
        <f ca="1">IFERROR(__xludf.UNSUPPORTED("""COMPUTED_VALUE"""),"83d3af68")</f>
        <v>83d3af68</v>
      </c>
      <c r="B1917" s="4">
        <f ca="1">IFERROR(__xludf.UNSUPPORTED("""COMPUTED_VALUE"""),45583.8171643518)</f>
        <v>45583.8171643518</v>
      </c>
      <c r="C1917" s="7" t="str">
        <f ca="1">IFERROR(__xludf.UNSUPPORTED("""COMPUTED_VALUE"""),"Recife")</f>
        <v>Recife</v>
      </c>
      <c r="D1917" s="3" t="str">
        <f ca="1">IFERROR(__xludf.UNSUPPORTED("""COMPUTED_VALUE"""),"🚢 REGULAR")</f>
        <v>🚢 REGULAR</v>
      </c>
      <c r="E1917" s="3" t="str">
        <f ca="1">IFERROR(__xludf.UNSUPPORTED("""COMPUTED_VALUE"""),"🚛 LIBERADO")</f>
        <v>🚛 LIBERADO</v>
      </c>
      <c r="F1917" s="5">
        <f ca="1">IFERROR(__xludf.UNSUPPORTED("""COMPUTED_VALUE"""),0)</f>
        <v>0</v>
      </c>
      <c r="G1917" s="3" t="str">
        <f ca="1">IFERROR(__xludf.UNSUPPORTED("""COMPUTED_VALUE"""),"Normalidade")</f>
        <v>Normalidade</v>
      </c>
      <c r="H1917" s="4">
        <f ca="1">IFERROR(__xludf.UNSUPPORTED("""COMPUTED_VALUE"""),45583.8171643518)</f>
        <v>45583.8171643518</v>
      </c>
      <c r="I1917" s="3">
        <f ca="1">IFERROR(__xludf.UNSUPPORTED("""COMPUTED_VALUE"""),24)</f>
        <v>24</v>
      </c>
      <c r="J1917" s="4">
        <f ca="1">IFERROR(__xludf.UNSUPPORTED("""COMPUTED_VALUE"""),45584.8171643518)</f>
        <v>45584.8171643518</v>
      </c>
    </row>
    <row r="1918" spans="1:12" ht="12.75">
      <c r="A1918" s="3" t="str">
        <f ca="1">IFERROR(__xludf.UNSUPPORTED("""COMPUTED_VALUE"""),"21da34a0")</f>
        <v>21da34a0</v>
      </c>
      <c r="B1918" s="4">
        <f ca="1">IFERROR(__xludf.UNSUPPORTED("""COMPUTED_VALUE"""),45586.3422222222)</f>
        <v>45586.3422222222</v>
      </c>
      <c r="C1918" s="8" t="str">
        <f ca="1">IFERROR(__xludf.UNSUPPORTED("""COMPUTED_VALUE"""),"Recife")</f>
        <v>Recife</v>
      </c>
      <c r="D1918" s="3" t="str">
        <f ca="1">IFERROR(__xludf.UNSUPPORTED("""COMPUTED_VALUE"""),"🚢 REGULAR")</f>
        <v>🚢 REGULAR</v>
      </c>
      <c r="E1918" s="3" t="str">
        <f ca="1">IFERROR(__xludf.UNSUPPORTED("""COMPUTED_VALUE"""),"🚛 LIBERADO")</f>
        <v>🚛 LIBERADO</v>
      </c>
      <c r="F1918" s="5">
        <f ca="1">IFERROR(__xludf.UNSUPPORTED("""COMPUTED_VALUE"""),0)</f>
        <v>0</v>
      </c>
      <c r="G1918" s="3" t="str">
        <f ca="1">IFERROR(__xludf.UNSUPPORTED("""COMPUTED_VALUE"""),"Normalidade")</f>
        <v>Normalidade</v>
      </c>
      <c r="H1918" s="4">
        <f ca="1">IFERROR(__xludf.UNSUPPORTED("""COMPUTED_VALUE"""),45586.3422222222)</f>
        <v>45586.3422222222</v>
      </c>
      <c r="I1918" s="3">
        <f ca="1">IFERROR(__xludf.UNSUPPORTED("""COMPUTED_VALUE"""),24)</f>
        <v>24</v>
      </c>
      <c r="J1918" s="4">
        <f ca="1">IFERROR(__xludf.UNSUPPORTED("""COMPUTED_VALUE"""),45587.3422222222)</f>
        <v>45587.3422222222</v>
      </c>
    </row>
    <row r="1919" spans="1:12" ht="12.75">
      <c r="A1919" s="3" t="str">
        <f ca="1">IFERROR(__xludf.UNSUPPORTED("""COMPUTED_VALUE"""),"f51da979")</f>
        <v>f51da979</v>
      </c>
      <c r="B1919" s="4">
        <f ca="1">IFERROR(__xludf.UNSUPPORTED("""COMPUTED_VALUE"""),45587.3620949074)</f>
        <v>45587.362094907403</v>
      </c>
      <c r="C1919" s="7" t="str">
        <f ca="1">IFERROR(__xludf.UNSUPPORTED("""COMPUTED_VALUE"""),"Recife")</f>
        <v>Recife</v>
      </c>
      <c r="D1919" s="3" t="str">
        <f ca="1">IFERROR(__xludf.UNSUPPORTED("""COMPUTED_VALUE"""),"❗️ PARALISADA")</f>
        <v>❗️ PARALISADA</v>
      </c>
      <c r="E1919" s="3" t="str">
        <f ca="1">IFERROR(__xludf.UNSUPPORTED("""COMPUTED_VALUE"""),"🚛 LIBERADO")</f>
        <v>🚛 LIBERADO</v>
      </c>
      <c r="F1919" s="5">
        <f ca="1">IFERROR(__xludf.UNSUPPORTED("""COMPUTED_VALUE"""),0.25)</f>
        <v>0.25</v>
      </c>
      <c r="G1919" s="3" t="str">
        <f ca="1">IFERROR(__xludf.UNSUPPORTED("""COMPUTED_VALUE"""),"Paralisação nacional dos trabalhadores portuários avulsos, previsto para os períodos de 8/14h e 14/20h.")</f>
        <v>Paralisação nacional dos trabalhadores portuários avulsos, previsto para os períodos de 8/14h e 14/20h.</v>
      </c>
      <c r="H1919" s="4">
        <f ca="1">IFERROR(__xludf.UNSUPPORTED("""COMPUTED_VALUE"""),45587.3620949074)</f>
        <v>45587.362094907403</v>
      </c>
      <c r="I1919" s="3">
        <f ca="1">IFERROR(__xludf.UNSUPPORTED("""COMPUTED_VALUE"""),12)</f>
        <v>12</v>
      </c>
      <c r="J1919" s="4">
        <f ca="1">IFERROR(__xludf.UNSUPPORTED("""COMPUTED_VALUE"""),45587.8620949074)</f>
        <v>45587.862094907403</v>
      </c>
      <c r="K1919" s="3" t="str">
        <f ca="1">IFERROR(__xludf.UNSUPPORTED("""COMPUTED_VALUE"""),"Cesportos/PE")</f>
        <v>Cesportos/PE</v>
      </c>
      <c r="L1919" s="3" t="str">
        <f ca="1">IFERROR(__xludf.UNSUPPORTED("""COMPUTED_VALUE"""),"Crítico")</f>
        <v>Crítico</v>
      </c>
    </row>
    <row r="1920" spans="1:12" ht="12.75">
      <c r="A1920" s="3" t="str">
        <f ca="1">IFERROR(__xludf.UNSUPPORTED("""COMPUTED_VALUE"""),"6019d7ed")</f>
        <v>6019d7ed</v>
      </c>
      <c r="B1920" s="4">
        <f ca="1">IFERROR(__xludf.UNSUPPORTED("""COMPUTED_VALUE"""),45588.5159722222)</f>
        <v>45588.515972222202</v>
      </c>
      <c r="C1920" s="7" t="str">
        <f ca="1">IFERROR(__xludf.UNSUPPORTED("""COMPUTED_VALUE"""),"Recife")</f>
        <v>Recife</v>
      </c>
      <c r="D1920" s="3" t="str">
        <f ca="1">IFERROR(__xludf.UNSUPPORTED("""COMPUTED_VALUE"""),"🚢 REGULAR")</f>
        <v>🚢 REGULAR</v>
      </c>
      <c r="E1920" s="3" t="str">
        <f ca="1">IFERROR(__xludf.UNSUPPORTED("""COMPUTED_VALUE"""),"🚛 LIBERADO")</f>
        <v>🚛 LIBERADO</v>
      </c>
      <c r="F1920" s="5">
        <f ca="1">IFERROR(__xludf.UNSUPPORTED("""COMPUTED_VALUE"""),0)</f>
        <v>0</v>
      </c>
      <c r="G1920" s="3" t="str">
        <f ca="1">IFERROR(__xludf.UNSUPPORTED("""COMPUTED_VALUE"""),"Normalidade")</f>
        <v>Normalidade</v>
      </c>
      <c r="H1920" s="4">
        <f ca="1">IFERROR(__xludf.UNSUPPORTED("""COMPUTED_VALUE"""),45588.5159722222)</f>
        <v>45588.515972222202</v>
      </c>
      <c r="I1920" s="3">
        <f ca="1">IFERROR(__xludf.UNSUPPORTED("""COMPUTED_VALUE"""),24)</f>
        <v>24</v>
      </c>
      <c r="J1920" s="4">
        <f ca="1">IFERROR(__xludf.UNSUPPORTED("""COMPUTED_VALUE"""),45589.5159722222)</f>
        <v>45589.515972222202</v>
      </c>
      <c r="L1920" s="3" t="str">
        <f ca="1">IFERROR(__xludf.UNSUPPORTED("""COMPUTED_VALUE"""),"Normalidade")</f>
        <v>Normalidade</v>
      </c>
    </row>
    <row r="1921" spans="1:12" ht="12.75">
      <c r="A1921" s="3" t="str">
        <f ca="1">IFERROR(__xludf.UNSUPPORTED("""COMPUTED_VALUE"""),"39d0b7de")</f>
        <v>39d0b7de</v>
      </c>
      <c r="B1921" s="4">
        <f ca="1">IFERROR(__xludf.UNSUPPORTED("""COMPUTED_VALUE"""),45589.5298148148)</f>
        <v>45589.529814814799</v>
      </c>
      <c r="C1921" s="8" t="str">
        <f ca="1">IFERROR(__xludf.UNSUPPORTED("""COMPUTED_VALUE"""),"Recife")</f>
        <v>Recife</v>
      </c>
      <c r="D1921" s="3" t="str">
        <f ca="1">IFERROR(__xludf.UNSUPPORTED("""COMPUTED_VALUE"""),"🚢 REGULAR")</f>
        <v>🚢 REGULAR</v>
      </c>
      <c r="E1921" s="3" t="str">
        <f ca="1">IFERROR(__xludf.UNSUPPORTED("""COMPUTED_VALUE"""),"🚛 LIBERADO")</f>
        <v>🚛 LIBERADO</v>
      </c>
      <c r="F1921" s="5">
        <f ca="1">IFERROR(__xludf.UNSUPPORTED("""COMPUTED_VALUE"""),0)</f>
        <v>0</v>
      </c>
      <c r="G1921" s="3" t="str">
        <f ca="1">IFERROR(__xludf.UNSUPPORTED("""COMPUTED_VALUE"""),"Normalidade")</f>
        <v>Normalidade</v>
      </c>
      <c r="H1921" s="4">
        <f ca="1">IFERROR(__xludf.UNSUPPORTED("""COMPUTED_VALUE"""),45589.5298148148)</f>
        <v>45589.529814814799</v>
      </c>
      <c r="I1921" s="3">
        <f ca="1">IFERROR(__xludf.UNSUPPORTED("""COMPUTED_VALUE"""),24)</f>
        <v>24</v>
      </c>
      <c r="J1921" s="4">
        <f ca="1">IFERROR(__xludf.UNSUPPORTED("""COMPUTED_VALUE"""),45590.5298148148)</f>
        <v>45590.529814814799</v>
      </c>
    </row>
    <row r="1922" spans="1:12" ht="12.75">
      <c r="A1922" s="3" t="str">
        <f ca="1">IFERROR(__xludf.UNSUPPORTED("""COMPUTED_VALUE"""),"4ebf60dc")</f>
        <v>4ebf60dc</v>
      </c>
      <c r="B1922" s="4">
        <f ca="1">IFERROR(__xludf.UNSUPPORTED("""COMPUTED_VALUE"""),45594.3734837963)</f>
        <v>45594.373483796298</v>
      </c>
      <c r="C1922" s="8" t="str">
        <f ca="1">IFERROR(__xludf.UNSUPPORTED("""COMPUTED_VALUE"""),"Recife")</f>
        <v>Recife</v>
      </c>
      <c r="D1922" s="3" t="str">
        <f ca="1">IFERROR(__xludf.UNSUPPORTED("""COMPUTED_VALUE"""),"🚢 REGULAR")</f>
        <v>🚢 REGULAR</v>
      </c>
      <c r="E1922" s="3" t="str">
        <f ca="1">IFERROR(__xludf.UNSUPPORTED("""COMPUTED_VALUE"""),"🚛 LIBERADO")</f>
        <v>🚛 LIBERADO</v>
      </c>
      <c r="F1922" s="5">
        <f ca="1">IFERROR(__xludf.UNSUPPORTED("""COMPUTED_VALUE"""),0)</f>
        <v>0</v>
      </c>
      <c r="G1922" s="3" t="str">
        <f ca="1">IFERROR(__xludf.UNSUPPORTED("""COMPUTED_VALUE"""),"Normalidade")</f>
        <v>Normalidade</v>
      </c>
      <c r="H1922" s="4">
        <f ca="1">IFERROR(__xludf.UNSUPPORTED("""COMPUTED_VALUE"""),45594.3734837963)</f>
        <v>45594.373483796298</v>
      </c>
      <c r="I1922" s="3">
        <f ca="1">IFERROR(__xludf.UNSUPPORTED("""COMPUTED_VALUE"""),24)</f>
        <v>24</v>
      </c>
      <c r="J1922" s="4">
        <f ca="1">IFERROR(__xludf.UNSUPPORTED("""COMPUTED_VALUE"""),45595.3734837963)</f>
        <v>45595.373483796298</v>
      </c>
    </row>
    <row r="1923" spans="1:12" ht="12.75">
      <c r="A1923" s="3" t="str">
        <f ca="1">IFERROR(__xludf.UNSUPPORTED("""COMPUTED_VALUE"""),"5cb86f2f")</f>
        <v>5cb86f2f</v>
      </c>
      <c r="B1923" s="4">
        <f ca="1">IFERROR(__xludf.UNSUPPORTED("""COMPUTED_VALUE"""),45595.4013310185)</f>
        <v>45595.401331018496</v>
      </c>
      <c r="C1923" s="7" t="str">
        <f ca="1">IFERROR(__xludf.UNSUPPORTED("""COMPUTED_VALUE"""),"Recife")</f>
        <v>Recife</v>
      </c>
      <c r="D1923" s="3" t="str">
        <f ca="1">IFERROR(__xludf.UNSUPPORTED("""COMPUTED_VALUE"""),"🚢 REGULAR")</f>
        <v>🚢 REGULAR</v>
      </c>
      <c r="E1923" s="3" t="str">
        <f ca="1">IFERROR(__xludf.UNSUPPORTED("""COMPUTED_VALUE"""),"🚛 LIBERADO")</f>
        <v>🚛 LIBERADO</v>
      </c>
      <c r="F1923" s="5">
        <f ca="1">IFERROR(__xludf.UNSUPPORTED("""COMPUTED_VALUE"""),0)</f>
        <v>0</v>
      </c>
      <c r="G1923" s="3" t="str">
        <f ca="1">IFERROR(__xludf.UNSUPPORTED("""COMPUTED_VALUE"""),"Normalidade")</f>
        <v>Normalidade</v>
      </c>
      <c r="H1923" s="4">
        <f ca="1">IFERROR(__xludf.UNSUPPORTED("""COMPUTED_VALUE"""),45595.4013310185)</f>
        <v>45595.401331018496</v>
      </c>
      <c r="I1923" s="3">
        <f ca="1">IFERROR(__xludf.UNSUPPORTED("""COMPUTED_VALUE"""),24)</f>
        <v>24</v>
      </c>
      <c r="J1923" s="4">
        <f ca="1">IFERROR(__xludf.UNSUPPORTED("""COMPUTED_VALUE"""),45596.4013310185)</f>
        <v>45596.401331018496</v>
      </c>
    </row>
    <row r="1924" spans="1:12" ht="12.75">
      <c r="A1924" s="3" t="str">
        <f ca="1">IFERROR(__xludf.UNSUPPORTED("""COMPUTED_VALUE"""),"edff6d25")</f>
        <v>edff6d25</v>
      </c>
      <c r="B1924" s="4">
        <f ca="1">IFERROR(__xludf.UNSUPPORTED("""COMPUTED_VALUE"""),45597.5499884259)</f>
        <v>45597.549988425897</v>
      </c>
      <c r="C1924" s="8" t="str">
        <f ca="1">IFERROR(__xludf.UNSUPPORTED("""COMPUTED_VALUE"""),"Recife")</f>
        <v>Recife</v>
      </c>
      <c r="D1924" s="3" t="str">
        <f ca="1">IFERROR(__xludf.UNSUPPORTED("""COMPUTED_VALUE"""),"🚢 REGULAR")</f>
        <v>🚢 REGULAR</v>
      </c>
      <c r="E1924" s="3" t="str">
        <f ca="1">IFERROR(__xludf.UNSUPPORTED("""COMPUTED_VALUE"""),"🚛 LIBERADO")</f>
        <v>🚛 LIBERADO</v>
      </c>
      <c r="F1924" s="5">
        <f ca="1">IFERROR(__xludf.UNSUPPORTED("""COMPUTED_VALUE"""),0.25)</f>
        <v>0.25</v>
      </c>
      <c r="G1924" s="3" t="str">
        <f ca="1">IFERROR(__xludf.UNSUPPORTED("""COMPUTED_VALUE"""),"Regular")</f>
        <v>Regular</v>
      </c>
      <c r="H1924" s="4">
        <f ca="1">IFERROR(__xludf.UNSUPPORTED("""COMPUTED_VALUE"""),45597.5499884259)</f>
        <v>45597.549988425897</v>
      </c>
      <c r="I1924" s="3">
        <f ca="1">IFERROR(__xludf.UNSUPPORTED("""COMPUTED_VALUE"""),6)</f>
        <v>6</v>
      </c>
      <c r="J1924" s="4">
        <f ca="1">IFERROR(__xludf.UNSUPPORTED("""COMPUTED_VALUE"""),45597.7999884259)</f>
        <v>45597.799988425897</v>
      </c>
      <c r="K1924" s="3" t="str">
        <f ca="1">IFERROR(__xludf.UNSUPPORTED("""COMPUTED_VALUE"""),"Porto do Recife")</f>
        <v>Porto do Recife</v>
      </c>
      <c r="L1924" s="3" t="str">
        <f ca="1">IFERROR(__xludf.UNSUPPORTED("""COMPUTED_VALUE"""),"Crítico")</f>
        <v>Crítico</v>
      </c>
    </row>
    <row r="1925" spans="1:12" ht="12.75">
      <c r="A1925" s="3" t="str">
        <f ca="1">IFERROR(__xludf.UNSUPPORTED("""COMPUTED_VALUE"""),"9ac1a222")</f>
        <v>9ac1a222</v>
      </c>
      <c r="B1925" s="4">
        <f ca="1">IFERROR(__xludf.UNSUPPORTED("""COMPUTED_VALUE"""),45598.3280208333)</f>
        <v>45598.328020833302</v>
      </c>
      <c r="C1925" s="7" t="str">
        <f ca="1">IFERROR(__xludf.UNSUPPORTED("""COMPUTED_VALUE"""),"Recife")</f>
        <v>Recife</v>
      </c>
      <c r="D1925" s="3" t="str">
        <f ca="1">IFERROR(__xludf.UNSUPPORTED("""COMPUTED_VALUE"""),"🚢 REGULAR")</f>
        <v>🚢 REGULAR</v>
      </c>
      <c r="E1925" s="3" t="str">
        <f ca="1">IFERROR(__xludf.UNSUPPORTED("""COMPUTED_VALUE"""),"🚛 LIBERADO")</f>
        <v>🚛 LIBERADO</v>
      </c>
      <c r="F1925" s="5">
        <f ca="1">IFERROR(__xludf.UNSUPPORTED("""COMPUTED_VALUE"""),0.25)</f>
        <v>0.25</v>
      </c>
      <c r="G1925" s="3" t="str">
        <f ca="1">IFERROR(__xludf.UNSUPPORTED("""COMPUTED_VALUE"""),"Regular")</f>
        <v>Regular</v>
      </c>
      <c r="H1925" s="4">
        <f ca="1">IFERROR(__xludf.UNSUPPORTED("""COMPUTED_VALUE"""),45598.3280208333)</f>
        <v>45598.328020833302</v>
      </c>
      <c r="I1925" s="3">
        <f ca="1">IFERROR(__xludf.UNSUPPORTED("""COMPUTED_VALUE"""),6)</f>
        <v>6</v>
      </c>
      <c r="J1925" s="4">
        <f ca="1">IFERROR(__xludf.UNSUPPORTED("""COMPUTED_VALUE"""),45598.5780208333)</f>
        <v>45598.578020833302</v>
      </c>
      <c r="K1925" s="3" t="str">
        <f ca="1">IFERROR(__xludf.UNSUPPORTED("""COMPUTED_VALUE"""),"Porto do Recife")</f>
        <v>Porto do Recife</v>
      </c>
      <c r="L1925" s="3" t="str">
        <f ca="1">IFERROR(__xludf.UNSUPPORTED("""COMPUTED_VALUE"""),"Crítico")</f>
        <v>Crítico</v>
      </c>
    </row>
    <row r="1926" spans="1:12" ht="12.75">
      <c r="A1926" s="3" t="str">
        <f ca="1">IFERROR(__xludf.UNSUPPORTED("""COMPUTED_VALUE"""),"e9612e73")</f>
        <v>e9612e73</v>
      </c>
      <c r="B1926" s="4">
        <f ca="1">IFERROR(__xludf.UNSUPPORTED("""COMPUTED_VALUE"""),45599.3793402777)</f>
        <v>45599.379340277701</v>
      </c>
      <c r="C1926" s="8" t="str">
        <f ca="1">IFERROR(__xludf.UNSUPPORTED("""COMPUTED_VALUE"""),"Recife")</f>
        <v>Recife</v>
      </c>
      <c r="D1926" s="3" t="str">
        <f ca="1">IFERROR(__xludf.UNSUPPORTED("""COMPUTED_VALUE"""),"🚢 REGULAR")</f>
        <v>🚢 REGULAR</v>
      </c>
      <c r="E1926" s="3" t="str">
        <f ca="1">IFERROR(__xludf.UNSUPPORTED("""COMPUTED_VALUE"""),"🚛 LIBERADO")</f>
        <v>🚛 LIBERADO</v>
      </c>
      <c r="F1926" s="5">
        <f ca="1">IFERROR(__xludf.UNSUPPORTED("""COMPUTED_VALUE"""),0.25)</f>
        <v>0.25</v>
      </c>
      <c r="G1926" s="3" t="str">
        <f ca="1">IFERROR(__xludf.UNSUPPORTED("""COMPUTED_VALUE"""),"Regular")</f>
        <v>Regular</v>
      </c>
      <c r="H1926" s="4">
        <f ca="1">IFERROR(__xludf.UNSUPPORTED("""COMPUTED_VALUE"""),45599.3793402777)</f>
        <v>45599.379340277701</v>
      </c>
      <c r="I1926" s="3">
        <f ca="1">IFERROR(__xludf.UNSUPPORTED("""COMPUTED_VALUE"""),6)</f>
        <v>6</v>
      </c>
      <c r="J1926" s="4">
        <f ca="1">IFERROR(__xludf.UNSUPPORTED("""COMPUTED_VALUE"""),45599.6293402777)</f>
        <v>45599.629340277701</v>
      </c>
      <c r="K1926" s="3" t="str">
        <f ca="1">IFERROR(__xludf.UNSUPPORTED("""COMPUTED_VALUE"""),"Porto do Recife")</f>
        <v>Porto do Recife</v>
      </c>
      <c r="L1926" s="3" t="str">
        <f ca="1">IFERROR(__xludf.UNSUPPORTED("""COMPUTED_VALUE"""),"Crítico")</f>
        <v>Crítico</v>
      </c>
    </row>
    <row r="1927" spans="1:12" ht="12.75">
      <c r="A1927" s="3" t="str">
        <f ca="1">IFERROR(__xludf.UNSUPPORTED("""COMPUTED_VALUE"""),"74ebc6dd")</f>
        <v>74ebc6dd</v>
      </c>
      <c r="B1927" s="4">
        <f ca="1">IFERROR(__xludf.UNSUPPORTED("""COMPUTED_VALUE"""),45600.3712384259)</f>
        <v>45600.371238425898</v>
      </c>
      <c r="C1927" s="7" t="str">
        <f ca="1">IFERROR(__xludf.UNSUPPORTED("""COMPUTED_VALUE"""),"Recife")</f>
        <v>Recife</v>
      </c>
      <c r="D1927" s="3" t="str">
        <f ca="1">IFERROR(__xludf.UNSUPPORTED("""COMPUTED_VALUE"""),"🚢 REGULAR")</f>
        <v>🚢 REGULAR</v>
      </c>
      <c r="E1927" s="3" t="str">
        <f ca="1">IFERROR(__xludf.UNSUPPORTED("""COMPUTED_VALUE"""),"🚛 LIBERADO")</f>
        <v>🚛 LIBERADO</v>
      </c>
      <c r="F1927" s="5">
        <f ca="1">IFERROR(__xludf.UNSUPPORTED("""COMPUTED_VALUE"""),0.25)</f>
        <v>0.25</v>
      </c>
      <c r="G1927" s="3" t="str">
        <f ca="1">IFERROR(__xludf.UNSUPPORTED("""COMPUTED_VALUE"""),"Regular")</f>
        <v>Regular</v>
      </c>
      <c r="H1927" s="4">
        <f ca="1">IFERROR(__xludf.UNSUPPORTED("""COMPUTED_VALUE"""),45600.3712384259)</f>
        <v>45600.371238425898</v>
      </c>
      <c r="I1927" s="3">
        <f ca="1">IFERROR(__xludf.UNSUPPORTED("""COMPUTED_VALUE"""),6)</f>
        <v>6</v>
      </c>
      <c r="J1927" s="4">
        <f ca="1">IFERROR(__xludf.UNSUPPORTED("""COMPUTED_VALUE"""),45600.6212384259)</f>
        <v>45600.621238425898</v>
      </c>
      <c r="K1927" s="3" t="str">
        <f ca="1">IFERROR(__xludf.UNSUPPORTED("""COMPUTED_VALUE"""),"Porto do Recife")</f>
        <v>Porto do Recife</v>
      </c>
      <c r="L1927" s="3" t="str">
        <f ca="1">IFERROR(__xludf.UNSUPPORTED("""COMPUTED_VALUE"""),"Crítico")</f>
        <v>Crítico</v>
      </c>
    </row>
    <row r="1928" spans="1:12" ht="12.75">
      <c r="A1928" s="3" t="str">
        <f ca="1">IFERROR(__xludf.UNSUPPORTED("""COMPUTED_VALUE"""),"7aaff7b9")</f>
        <v>7aaff7b9</v>
      </c>
      <c r="B1928" s="4">
        <f ca="1">IFERROR(__xludf.UNSUPPORTED("""COMPUTED_VALUE"""),45601.3686805555)</f>
        <v>45601.368680555497</v>
      </c>
      <c r="C1928" s="8" t="str">
        <f ca="1">IFERROR(__xludf.UNSUPPORTED("""COMPUTED_VALUE"""),"Recife")</f>
        <v>Recife</v>
      </c>
      <c r="D1928" s="3" t="str">
        <f ca="1">IFERROR(__xludf.UNSUPPORTED("""COMPUTED_VALUE"""),"🚢 REGULAR")</f>
        <v>🚢 REGULAR</v>
      </c>
      <c r="E1928" s="3" t="str">
        <f ca="1">IFERROR(__xludf.UNSUPPORTED("""COMPUTED_VALUE"""),"🚛 LIBERADO")</f>
        <v>🚛 LIBERADO</v>
      </c>
      <c r="F1928" s="5">
        <f ca="1">IFERROR(__xludf.UNSUPPORTED("""COMPUTED_VALUE"""),0.25)</f>
        <v>0.25</v>
      </c>
      <c r="G1928" s="3" t="str">
        <f ca="1">IFERROR(__xludf.UNSUPPORTED("""COMPUTED_VALUE"""),"Regular")</f>
        <v>Regular</v>
      </c>
      <c r="H1928" s="4">
        <f ca="1">IFERROR(__xludf.UNSUPPORTED("""COMPUTED_VALUE"""),45601.3686805555)</f>
        <v>45601.368680555497</v>
      </c>
      <c r="I1928" s="3">
        <f ca="1">IFERROR(__xludf.UNSUPPORTED("""COMPUTED_VALUE"""),6)</f>
        <v>6</v>
      </c>
      <c r="J1928" s="4">
        <f ca="1">IFERROR(__xludf.UNSUPPORTED("""COMPUTED_VALUE"""),45601.6186805555)</f>
        <v>45601.618680555497</v>
      </c>
      <c r="K1928" s="3" t="str">
        <f ca="1">IFERROR(__xludf.UNSUPPORTED("""COMPUTED_VALUE"""),"Porto do Recife")</f>
        <v>Porto do Recife</v>
      </c>
      <c r="L1928" s="3" t="str">
        <f ca="1">IFERROR(__xludf.UNSUPPORTED("""COMPUTED_VALUE"""),"Crítico")</f>
        <v>Crítico</v>
      </c>
    </row>
    <row r="1929" spans="1:12" ht="12.75">
      <c r="A1929" s="3" t="str">
        <f ca="1">IFERROR(__xludf.UNSUPPORTED("""COMPUTED_VALUE"""),"58289a42")</f>
        <v>58289a42</v>
      </c>
      <c r="B1929" s="4">
        <f ca="1">IFERROR(__xludf.UNSUPPORTED("""COMPUTED_VALUE"""),45603.3333796296)</f>
        <v>45603.333379629599</v>
      </c>
      <c r="C1929" s="8" t="str">
        <f ca="1">IFERROR(__xludf.UNSUPPORTED("""COMPUTED_VALUE"""),"Recife")</f>
        <v>Recife</v>
      </c>
      <c r="D1929" s="3" t="str">
        <f ca="1">IFERROR(__xludf.UNSUPPORTED("""COMPUTED_VALUE"""),"🚢 REGULAR")</f>
        <v>🚢 REGULAR</v>
      </c>
      <c r="E1929" s="3" t="str">
        <f ca="1">IFERROR(__xludf.UNSUPPORTED("""COMPUTED_VALUE"""),"🚛 LIBERADO")</f>
        <v>🚛 LIBERADO</v>
      </c>
      <c r="F1929" s="5">
        <f ca="1">IFERROR(__xludf.UNSUPPORTED("""COMPUTED_VALUE"""),0.25)</f>
        <v>0.25</v>
      </c>
      <c r="G1929" s="3" t="str">
        <f ca="1">IFERROR(__xludf.UNSUPPORTED("""COMPUTED_VALUE"""),"Regular")</f>
        <v>Regular</v>
      </c>
      <c r="H1929" s="4">
        <f ca="1">IFERROR(__xludf.UNSUPPORTED("""COMPUTED_VALUE"""),45603.3333796296)</f>
        <v>45603.333379629599</v>
      </c>
      <c r="I1929" s="3">
        <f ca="1">IFERROR(__xludf.UNSUPPORTED("""COMPUTED_VALUE"""),6)</f>
        <v>6</v>
      </c>
      <c r="J1929" s="4">
        <f ca="1">IFERROR(__xludf.UNSUPPORTED("""COMPUTED_VALUE"""),45603.5833796296)</f>
        <v>45603.583379629599</v>
      </c>
      <c r="K1929" s="3" t="str">
        <f ca="1">IFERROR(__xludf.UNSUPPORTED("""COMPUTED_VALUE"""),"Porto do Recife")</f>
        <v>Porto do Recife</v>
      </c>
      <c r="L1929" s="3" t="str">
        <f ca="1">IFERROR(__xludf.UNSUPPORTED("""COMPUTED_VALUE"""),"Crítico")</f>
        <v>Crítico</v>
      </c>
    </row>
    <row r="1930" spans="1:12" ht="12.75">
      <c r="A1930" s="3" t="str">
        <f ca="1">IFERROR(__xludf.UNSUPPORTED("""COMPUTED_VALUE"""),"f546fd22")</f>
        <v>f546fd22</v>
      </c>
      <c r="B1930" s="4">
        <f ca="1">IFERROR(__xludf.UNSUPPORTED("""COMPUTED_VALUE"""),45604.3264467592)</f>
        <v>45604.326446759202</v>
      </c>
      <c r="C1930" s="8" t="str">
        <f ca="1">IFERROR(__xludf.UNSUPPORTED("""COMPUTED_VALUE"""),"Recife")</f>
        <v>Recife</v>
      </c>
      <c r="D1930" s="3" t="str">
        <f ca="1">IFERROR(__xludf.UNSUPPORTED("""COMPUTED_VALUE"""),"🚢 REGULAR")</f>
        <v>🚢 REGULAR</v>
      </c>
      <c r="E1930" s="3" t="str">
        <f ca="1">IFERROR(__xludf.UNSUPPORTED("""COMPUTED_VALUE"""),"🚛 LIBERADO")</f>
        <v>🚛 LIBERADO</v>
      </c>
      <c r="F1930" s="5">
        <f ca="1">IFERROR(__xludf.UNSUPPORTED("""COMPUTED_VALUE"""),0.25)</f>
        <v>0.25</v>
      </c>
      <c r="G1930" s="3" t="str">
        <f ca="1">IFERROR(__xludf.UNSUPPORTED("""COMPUTED_VALUE"""),"Regular")</f>
        <v>Regular</v>
      </c>
      <c r="H1930" s="4">
        <f ca="1">IFERROR(__xludf.UNSUPPORTED("""COMPUTED_VALUE"""),45604.3264467592)</f>
        <v>45604.326446759202</v>
      </c>
      <c r="I1930" s="3">
        <f ca="1">IFERROR(__xludf.UNSUPPORTED("""COMPUTED_VALUE"""),6)</f>
        <v>6</v>
      </c>
      <c r="J1930" s="4">
        <f ca="1">IFERROR(__xludf.UNSUPPORTED("""COMPUTED_VALUE"""),45604.5764467592)</f>
        <v>45604.576446759202</v>
      </c>
      <c r="K1930" s="3" t="str">
        <f ca="1">IFERROR(__xludf.UNSUPPORTED("""COMPUTED_VALUE"""),"Porto do Recife")</f>
        <v>Porto do Recife</v>
      </c>
      <c r="L1930" s="3" t="str">
        <f ca="1">IFERROR(__xludf.UNSUPPORTED("""COMPUTED_VALUE"""),"Crítico")</f>
        <v>Crítico</v>
      </c>
    </row>
    <row r="1931" spans="1:12" ht="12.75">
      <c r="A1931" s="3" t="str">
        <f ca="1">IFERROR(__xludf.UNSUPPORTED("""COMPUTED_VALUE"""),"82dca47e")</f>
        <v>82dca47e</v>
      </c>
      <c r="B1931" s="4">
        <f ca="1">IFERROR(__xludf.UNSUPPORTED("""COMPUTED_VALUE"""),45605.3003472222)</f>
        <v>45605.300347222197</v>
      </c>
      <c r="C1931" s="7" t="str">
        <f ca="1">IFERROR(__xludf.UNSUPPORTED("""COMPUTED_VALUE"""),"Recife")</f>
        <v>Recife</v>
      </c>
      <c r="D1931" s="3" t="str">
        <f ca="1">IFERROR(__xludf.UNSUPPORTED("""COMPUTED_VALUE"""),"🚢 REGULAR")</f>
        <v>🚢 REGULAR</v>
      </c>
      <c r="E1931" s="3" t="str">
        <f ca="1">IFERROR(__xludf.UNSUPPORTED("""COMPUTED_VALUE"""),"🚛 LIBERADO")</f>
        <v>🚛 LIBERADO</v>
      </c>
      <c r="F1931" s="5">
        <f ca="1">IFERROR(__xludf.UNSUPPORTED("""COMPUTED_VALUE"""),0.25)</f>
        <v>0.25</v>
      </c>
      <c r="G1931" s="3" t="str">
        <f ca="1">IFERROR(__xludf.UNSUPPORTED("""COMPUTED_VALUE"""),"Regular")</f>
        <v>Regular</v>
      </c>
      <c r="H1931" s="4">
        <f ca="1">IFERROR(__xludf.UNSUPPORTED("""COMPUTED_VALUE"""),45605.3003472222)</f>
        <v>45605.300347222197</v>
      </c>
      <c r="I1931" s="3">
        <f ca="1">IFERROR(__xludf.UNSUPPORTED("""COMPUTED_VALUE"""),6)</f>
        <v>6</v>
      </c>
      <c r="J1931" s="4">
        <f ca="1">IFERROR(__xludf.UNSUPPORTED("""COMPUTED_VALUE"""),45605.5503472222)</f>
        <v>45605.550347222197</v>
      </c>
      <c r="K1931" s="3" t="str">
        <f ca="1">IFERROR(__xludf.UNSUPPORTED("""COMPUTED_VALUE"""),"Porto do Recife")</f>
        <v>Porto do Recife</v>
      </c>
      <c r="L1931" s="3" t="str">
        <f ca="1">IFERROR(__xludf.UNSUPPORTED("""COMPUTED_VALUE"""),"Crítico")</f>
        <v>Crítico</v>
      </c>
    </row>
    <row r="1932" spans="1:12" ht="12.75">
      <c r="A1932" s="3" t="str">
        <f ca="1">IFERROR(__xludf.UNSUPPORTED("""COMPUTED_VALUE"""),"cd8adcc6")</f>
        <v>cd8adcc6</v>
      </c>
      <c r="B1932" s="4">
        <f ca="1">IFERROR(__xludf.UNSUPPORTED("""COMPUTED_VALUE"""),45606.3870717592)</f>
        <v>45606.3870717592</v>
      </c>
      <c r="C1932" s="8" t="str">
        <f ca="1">IFERROR(__xludf.UNSUPPORTED("""COMPUTED_VALUE"""),"Recife")</f>
        <v>Recife</v>
      </c>
      <c r="D1932" s="3" t="str">
        <f ca="1">IFERROR(__xludf.UNSUPPORTED("""COMPUTED_VALUE"""),"🚢 REGULAR")</f>
        <v>🚢 REGULAR</v>
      </c>
      <c r="E1932" s="3" t="str">
        <f ca="1">IFERROR(__xludf.UNSUPPORTED("""COMPUTED_VALUE"""),"🚛 LIBERADO")</f>
        <v>🚛 LIBERADO</v>
      </c>
      <c r="F1932" s="5">
        <f ca="1">IFERROR(__xludf.UNSUPPORTED("""COMPUTED_VALUE"""),0.25)</f>
        <v>0.25</v>
      </c>
      <c r="G1932" s="3" t="str">
        <f ca="1">IFERROR(__xludf.UNSUPPORTED("""COMPUTED_VALUE"""),"Porto do Recife")</f>
        <v>Porto do Recife</v>
      </c>
      <c r="H1932" s="4">
        <f ca="1">IFERROR(__xludf.UNSUPPORTED("""COMPUTED_VALUE"""),45606.3870717592)</f>
        <v>45606.3870717592</v>
      </c>
      <c r="I1932" s="3">
        <f ca="1">IFERROR(__xludf.UNSUPPORTED("""COMPUTED_VALUE"""),6)</f>
        <v>6</v>
      </c>
      <c r="J1932" s="4">
        <f ca="1">IFERROR(__xludf.UNSUPPORTED("""COMPUTED_VALUE"""),45606.6370717592)</f>
        <v>45606.6370717592</v>
      </c>
      <c r="K1932" s="3" t="str">
        <f ca="1">IFERROR(__xludf.UNSUPPORTED("""COMPUTED_VALUE"""),"Porto do Recife")</f>
        <v>Porto do Recife</v>
      </c>
      <c r="L1932" s="3" t="str">
        <f ca="1">IFERROR(__xludf.UNSUPPORTED("""COMPUTED_VALUE"""),"Crítico")</f>
        <v>Crítico</v>
      </c>
    </row>
    <row r="1933" spans="1:12" ht="12.75">
      <c r="A1933" s="3" t="str">
        <f ca="1">IFERROR(__xludf.UNSUPPORTED("""COMPUTED_VALUE"""),"3c68dd79")</f>
        <v>3c68dd79</v>
      </c>
      <c r="B1933" s="4">
        <f ca="1">IFERROR(__xludf.UNSUPPORTED("""COMPUTED_VALUE"""),45607.3259953703)</f>
        <v>45607.325995370302</v>
      </c>
      <c r="C1933" s="7" t="str">
        <f ca="1">IFERROR(__xludf.UNSUPPORTED("""COMPUTED_VALUE"""),"Recife")</f>
        <v>Recife</v>
      </c>
      <c r="D1933" s="3" t="str">
        <f ca="1">IFERROR(__xludf.UNSUPPORTED("""COMPUTED_VALUE"""),"🚢 REGULAR")</f>
        <v>🚢 REGULAR</v>
      </c>
      <c r="E1933" s="3" t="str">
        <f ca="1">IFERROR(__xludf.UNSUPPORTED("""COMPUTED_VALUE"""),"🚛 LIBERADO")</f>
        <v>🚛 LIBERADO</v>
      </c>
      <c r="F1933" s="5">
        <f ca="1">IFERROR(__xludf.UNSUPPORTED("""COMPUTED_VALUE"""),0.25)</f>
        <v>0.25</v>
      </c>
      <c r="G1933" s="3" t="str">
        <f ca="1">IFERROR(__xludf.UNSUPPORTED("""COMPUTED_VALUE"""),"Regular")</f>
        <v>Regular</v>
      </c>
      <c r="H1933" s="4">
        <f ca="1">IFERROR(__xludf.UNSUPPORTED("""COMPUTED_VALUE"""),45607.3259953703)</f>
        <v>45607.325995370302</v>
      </c>
      <c r="I1933" s="3">
        <f ca="1">IFERROR(__xludf.UNSUPPORTED("""COMPUTED_VALUE"""),6)</f>
        <v>6</v>
      </c>
      <c r="J1933" s="4">
        <f ca="1">IFERROR(__xludf.UNSUPPORTED("""COMPUTED_VALUE"""),45607.5759953703)</f>
        <v>45607.575995370302</v>
      </c>
      <c r="K1933" s="3" t="str">
        <f ca="1">IFERROR(__xludf.UNSUPPORTED("""COMPUTED_VALUE"""),"Porto do Recife")</f>
        <v>Porto do Recife</v>
      </c>
      <c r="L1933" s="3" t="str">
        <f ca="1">IFERROR(__xludf.UNSUPPORTED("""COMPUTED_VALUE"""),"Crítico")</f>
        <v>Crítico</v>
      </c>
    </row>
    <row r="1934" spans="1:12" ht="12.75">
      <c r="A1934" s="3" t="str">
        <f ca="1">IFERROR(__xludf.UNSUPPORTED("""COMPUTED_VALUE"""),"3703dedb")</f>
        <v>3703dedb</v>
      </c>
      <c r="B1934" s="4">
        <f ca="1">IFERROR(__xludf.UNSUPPORTED("""COMPUTED_VALUE"""),45608.3708796296)</f>
        <v>45608.370879629598</v>
      </c>
      <c r="C1934" s="8" t="str">
        <f ca="1">IFERROR(__xludf.UNSUPPORTED("""COMPUTED_VALUE"""),"Recife")</f>
        <v>Recife</v>
      </c>
      <c r="D1934" s="3" t="str">
        <f ca="1">IFERROR(__xludf.UNSUPPORTED("""COMPUTED_VALUE"""),"🚢 REGULAR")</f>
        <v>🚢 REGULAR</v>
      </c>
      <c r="E1934" s="3" t="str">
        <f ca="1">IFERROR(__xludf.UNSUPPORTED("""COMPUTED_VALUE"""),"🚛 LIBERADO")</f>
        <v>🚛 LIBERADO</v>
      </c>
      <c r="F1934" s="5">
        <f ca="1">IFERROR(__xludf.UNSUPPORTED("""COMPUTED_VALUE"""),0.25)</f>
        <v>0.25</v>
      </c>
      <c r="G1934" s="3" t="str">
        <f ca="1">IFERROR(__xludf.UNSUPPORTED("""COMPUTED_VALUE"""),"Regular")</f>
        <v>Regular</v>
      </c>
      <c r="H1934" s="4">
        <f ca="1">IFERROR(__xludf.UNSUPPORTED("""COMPUTED_VALUE"""),45608.3708796296)</f>
        <v>45608.370879629598</v>
      </c>
      <c r="I1934" s="3">
        <f ca="1">IFERROR(__xludf.UNSUPPORTED("""COMPUTED_VALUE"""),6)</f>
        <v>6</v>
      </c>
      <c r="J1934" s="4">
        <f ca="1">IFERROR(__xludf.UNSUPPORTED("""COMPUTED_VALUE"""),45608.6208796296)</f>
        <v>45608.620879629598</v>
      </c>
      <c r="K1934" s="3" t="str">
        <f ca="1">IFERROR(__xludf.UNSUPPORTED("""COMPUTED_VALUE"""),"Porto do Recife")</f>
        <v>Porto do Recife</v>
      </c>
      <c r="L1934" s="3" t="str">
        <f ca="1">IFERROR(__xludf.UNSUPPORTED("""COMPUTED_VALUE"""),"Crítico")</f>
        <v>Crítico</v>
      </c>
    </row>
    <row r="1935" spans="1:12" ht="12.75">
      <c r="A1935" s="3" t="str">
        <f ca="1">IFERROR(__xludf.UNSUPPORTED("""COMPUTED_VALUE"""),"ffb4c0e3")</f>
        <v>ffb4c0e3</v>
      </c>
      <c r="B1935" s="4">
        <f ca="1">IFERROR(__xludf.UNSUPPORTED("""COMPUTED_VALUE"""),45609.4961458333)</f>
        <v>45609.496145833298</v>
      </c>
      <c r="C1935" s="7" t="str">
        <f ca="1">IFERROR(__xludf.UNSUPPORTED("""COMPUTED_VALUE"""),"Recife")</f>
        <v>Recife</v>
      </c>
      <c r="D1935" s="3" t="str">
        <f ca="1">IFERROR(__xludf.UNSUPPORTED("""COMPUTED_VALUE"""),"🚢 REGULAR")</f>
        <v>🚢 REGULAR</v>
      </c>
      <c r="E1935" s="3" t="str">
        <f ca="1">IFERROR(__xludf.UNSUPPORTED("""COMPUTED_VALUE"""),"🚛 LIBERADO")</f>
        <v>🚛 LIBERADO</v>
      </c>
      <c r="F1935" s="5">
        <f ca="1">IFERROR(__xludf.UNSUPPORTED("""COMPUTED_VALUE"""),0.25)</f>
        <v>0.25</v>
      </c>
      <c r="G1935" s="3" t="str">
        <f ca="1">IFERROR(__xludf.UNSUPPORTED("""COMPUTED_VALUE"""),"Regular")</f>
        <v>Regular</v>
      </c>
      <c r="H1935" s="4">
        <f ca="1">IFERROR(__xludf.UNSUPPORTED("""COMPUTED_VALUE"""),45609.4961458333)</f>
        <v>45609.496145833298</v>
      </c>
      <c r="I1935" s="3">
        <f ca="1">IFERROR(__xludf.UNSUPPORTED("""COMPUTED_VALUE"""),6)</f>
        <v>6</v>
      </c>
      <c r="J1935" s="4">
        <f ca="1">IFERROR(__xludf.UNSUPPORTED("""COMPUTED_VALUE"""),45609.7461458333)</f>
        <v>45609.746145833298</v>
      </c>
      <c r="K1935" s="3" t="str">
        <f ca="1">IFERROR(__xludf.UNSUPPORTED("""COMPUTED_VALUE"""),"Porto do Recife")</f>
        <v>Porto do Recife</v>
      </c>
      <c r="L1935" s="3" t="str">
        <f ca="1">IFERROR(__xludf.UNSUPPORTED("""COMPUTED_VALUE"""),"Crítico")</f>
        <v>Crítico</v>
      </c>
    </row>
    <row r="1936" spans="1:12" ht="12.75">
      <c r="A1936" s="3" t="str">
        <f ca="1">IFERROR(__xludf.UNSUPPORTED("""COMPUTED_VALUE"""),"7c7c1310")</f>
        <v>7c7c1310</v>
      </c>
      <c r="B1936" s="4">
        <f ca="1">IFERROR(__xludf.UNSUPPORTED("""COMPUTED_VALUE"""),45610.5421643518)</f>
        <v>45610.542164351798</v>
      </c>
      <c r="C1936" s="8" t="str">
        <f ca="1">IFERROR(__xludf.UNSUPPORTED("""COMPUTED_VALUE"""),"Recife")</f>
        <v>Recife</v>
      </c>
      <c r="D1936" s="3" t="str">
        <f ca="1">IFERROR(__xludf.UNSUPPORTED("""COMPUTED_VALUE"""),"🚢 REGULAR")</f>
        <v>🚢 REGULAR</v>
      </c>
      <c r="E1936" s="3" t="str">
        <f ca="1">IFERROR(__xludf.UNSUPPORTED("""COMPUTED_VALUE"""),"🚛 LIBERADO")</f>
        <v>🚛 LIBERADO</v>
      </c>
      <c r="F1936" s="5">
        <f ca="1">IFERROR(__xludf.UNSUPPORTED("""COMPUTED_VALUE"""),0.25)</f>
        <v>0.25</v>
      </c>
      <c r="G1936" s="3" t="str">
        <f ca="1">IFERROR(__xludf.UNSUPPORTED("""COMPUTED_VALUE"""),"Regular")</f>
        <v>Regular</v>
      </c>
      <c r="H1936" s="4">
        <f ca="1">IFERROR(__xludf.UNSUPPORTED("""COMPUTED_VALUE"""),45610.5421643518)</f>
        <v>45610.542164351798</v>
      </c>
      <c r="I1936" s="3">
        <f ca="1">IFERROR(__xludf.UNSUPPORTED("""COMPUTED_VALUE"""),6)</f>
        <v>6</v>
      </c>
      <c r="J1936" s="4">
        <f ca="1">IFERROR(__xludf.UNSUPPORTED("""COMPUTED_VALUE"""),45610.7921643518)</f>
        <v>45610.792164351798</v>
      </c>
      <c r="K1936" s="3" t="str">
        <f ca="1">IFERROR(__xludf.UNSUPPORTED("""COMPUTED_VALUE"""),"Porto do Recife")</f>
        <v>Porto do Recife</v>
      </c>
      <c r="L1936" s="3" t="str">
        <f ca="1">IFERROR(__xludf.UNSUPPORTED("""COMPUTED_VALUE"""),"Crítico")</f>
        <v>Crítico</v>
      </c>
    </row>
    <row r="1937" spans="1:12" ht="12.75">
      <c r="A1937" s="3" t="str">
        <f ca="1">IFERROR(__xludf.UNSUPPORTED("""COMPUTED_VALUE"""),"20f13830")</f>
        <v>20f13830</v>
      </c>
      <c r="B1937" s="4">
        <f ca="1">IFERROR(__xludf.UNSUPPORTED("""COMPUTED_VALUE"""),45611.3761342592)</f>
        <v>45611.376134259197</v>
      </c>
      <c r="C1937" s="7" t="str">
        <f ca="1">IFERROR(__xludf.UNSUPPORTED("""COMPUTED_VALUE"""),"Recife")</f>
        <v>Recife</v>
      </c>
      <c r="D1937" s="3" t="str">
        <f ca="1">IFERROR(__xludf.UNSUPPORTED("""COMPUTED_VALUE"""),"🚢 REGULAR")</f>
        <v>🚢 REGULAR</v>
      </c>
      <c r="E1937" s="3" t="str">
        <f ca="1">IFERROR(__xludf.UNSUPPORTED("""COMPUTED_VALUE"""),"🚛 LIBERADO")</f>
        <v>🚛 LIBERADO</v>
      </c>
      <c r="F1937" s="5">
        <f ca="1">IFERROR(__xludf.UNSUPPORTED("""COMPUTED_VALUE"""),0.25)</f>
        <v>0.25</v>
      </c>
      <c r="G1937" s="3" t="str">
        <f ca="1">IFERROR(__xludf.UNSUPPORTED("""COMPUTED_VALUE"""),"Regular")</f>
        <v>Regular</v>
      </c>
      <c r="H1937" s="4">
        <f ca="1">IFERROR(__xludf.UNSUPPORTED("""COMPUTED_VALUE"""),45611.3761342592)</f>
        <v>45611.376134259197</v>
      </c>
      <c r="I1937" s="3">
        <f ca="1">IFERROR(__xludf.UNSUPPORTED("""COMPUTED_VALUE"""),6)</f>
        <v>6</v>
      </c>
      <c r="J1937" s="4">
        <f ca="1">IFERROR(__xludf.UNSUPPORTED("""COMPUTED_VALUE"""),45611.6261342592)</f>
        <v>45611.626134259197</v>
      </c>
      <c r="K1937" s="3" t="str">
        <f ca="1">IFERROR(__xludf.UNSUPPORTED("""COMPUTED_VALUE"""),"Porto do Recife")</f>
        <v>Porto do Recife</v>
      </c>
      <c r="L1937" s="3" t="str">
        <f ca="1">IFERROR(__xludf.UNSUPPORTED("""COMPUTED_VALUE"""),"Crítico")</f>
        <v>Crítico</v>
      </c>
    </row>
    <row r="1938" spans="1:12" ht="12.75">
      <c r="A1938" s="3" t="str">
        <f ca="1">IFERROR(__xludf.UNSUPPORTED("""COMPUTED_VALUE"""),"5c45f4bc")</f>
        <v>5c45f4bc</v>
      </c>
      <c r="B1938" s="4">
        <f ca="1">IFERROR(__xludf.UNSUPPORTED("""COMPUTED_VALUE"""),45614.4013310185)</f>
        <v>45614.401331018496</v>
      </c>
      <c r="C1938" s="8" t="str">
        <f ca="1">IFERROR(__xludf.UNSUPPORTED("""COMPUTED_VALUE"""),"Recife")</f>
        <v>Recife</v>
      </c>
      <c r="D1938" s="3" t="str">
        <f ca="1">IFERROR(__xludf.UNSUPPORTED("""COMPUTED_VALUE"""),"🚢 REGULAR")</f>
        <v>🚢 REGULAR</v>
      </c>
      <c r="E1938" s="3" t="str">
        <f ca="1">IFERROR(__xludf.UNSUPPORTED("""COMPUTED_VALUE"""),"🚛 LIBERADO")</f>
        <v>🚛 LIBERADO</v>
      </c>
      <c r="F1938" s="5">
        <f ca="1">IFERROR(__xludf.UNSUPPORTED("""COMPUTED_VALUE"""),0)</f>
        <v>0</v>
      </c>
      <c r="G1938" s="3" t="str">
        <f ca="1">IFERROR(__xludf.UNSUPPORTED("""COMPUTED_VALUE"""),"Normalidade")</f>
        <v>Normalidade</v>
      </c>
      <c r="H1938" s="4">
        <f ca="1">IFERROR(__xludf.UNSUPPORTED("""COMPUTED_VALUE"""),45614.4013310185)</f>
        <v>45614.401331018496</v>
      </c>
      <c r="I1938" s="3">
        <f ca="1">IFERROR(__xludf.UNSUPPORTED("""COMPUTED_VALUE"""),24)</f>
        <v>24</v>
      </c>
      <c r="J1938" s="4">
        <f ca="1">IFERROR(__xludf.UNSUPPORTED("""COMPUTED_VALUE"""),45615.4013310185)</f>
        <v>45615.401331018496</v>
      </c>
    </row>
    <row r="1939" spans="1:12" ht="12.75">
      <c r="A1939" s="3" t="str">
        <f ca="1">IFERROR(__xludf.UNSUPPORTED("""COMPUTED_VALUE"""),"ea75f0d6")</f>
        <v>ea75f0d6</v>
      </c>
      <c r="B1939" s="4">
        <f ca="1">IFERROR(__xludf.UNSUPPORTED("""COMPUTED_VALUE"""),45617.5846643518)</f>
        <v>45617.584664351802</v>
      </c>
      <c r="C1939" s="7" t="str">
        <f ca="1">IFERROR(__xludf.UNSUPPORTED("""COMPUTED_VALUE"""),"Recife")</f>
        <v>Recife</v>
      </c>
      <c r="D1939" s="3" t="str">
        <f ca="1">IFERROR(__xludf.UNSUPPORTED("""COMPUTED_VALUE"""),"🚢 REGULAR")</f>
        <v>🚢 REGULAR</v>
      </c>
      <c r="E1939" s="3" t="str">
        <f ca="1">IFERROR(__xludf.UNSUPPORTED("""COMPUTED_VALUE"""),"🚛 LIBERADO")</f>
        <v>🚛 LIBERADO</v>
      </c>
      <c r="F1939" s="5">
        <f ca="1">IFERROR(__xludf.UNSUPPORTED("""COMPUTED_VALUE"""),0)</f>
        <v>0</v>
      </c>
      <c r="G1939" s="3" t="str">
        <f ca="1">IFERROR(__xludf.UNSUPPORTED("""COMPUTED_VALUE"""),"Normalidade")</f>
        <v>Normalidade</v>
      </c>
      <c r="H1939" s="4">
        <f ca="1">IFERROR(__xludf.UNSUPPORTED("""COMPUTED_VALUE"""),45617.5846643518)</f>
        <v>45617.584664351802</v>
      </c>
      <c r="I1939" s="3">
        <f ca="1">IFERROR(__xludf.UNSUPPORTED("""COMPUTED_VALUE"""),24)</f>
        <v>24</v>
      </c>
      <c r="J1939" s="4">
        <f ca="1">IFERROR(__xludf.UNSUPPORTED("""COMPUTED_VALUE"""),45618.5846643518)</f>
        <v>45618.584664351802</v>
      </c>
    </row>
    <row r="1940" spans="1:12" ht="12.75">
      <c r="A1940" s="3" t="str">
        <f ca="1">IFERROR(__xludf.UNSUPPORTED("""COMPUTED_VALUE"""),"039c1d28")</f>
        <v>039c1d28</v>
      </c>
      <c r="B1940" s="4">
        <f ca="1">IFERROR(__xludf.UNSUPPORTED("""COMPUTED_VALUE"""),45618.2471527777)</f>
        <v>45618.247152777702</v>
      </c>
      <c r="C1940" s="8" t="str">
        <f ca="1">IFERROR(__xludf.UNSUPPORTED("""COMPUTED_VALUE"""),"Recife")</f>
        <v>Recife</v>
      </c>
      <c r="D1940" s="3" t="str">
        <f ca="1">IFERROR(__xludf.UNSUPPORTED("""COMPUTED_VALUE"""),"🚢 REGULAR")</f>
        <v>🚢 REGULAR</v>
      </c>
      <c r="E1940" s="3" t="str">
        <f ca="1">IFERROR(__xludf.UNSUPPORTED("""COMPUTED_VALUE"""),"🚛 LIBERADO")</f>
        <v>🚛 LIBERADO</v>
      </c>
      <c r="F1940" s="5">
        <f ca="1">IFERROR(__xludf.UNSUPPORTED("""COMPUTED_VALUE"""),0)</f>
        <v>0</v>
      </c>
      <c r="G1940" s="3" t="str">
        <f ca="1">IFERROR(__xludf.UNSUPPORTED("""COMPUTED_VALUE"""),"Normalidade")</f>
        <v>Normalidade</v>
      </c>
      <c r="H1940" s="4">
        <f ca="1">IFERROR(__xludf.UNSUPPORTED("""COMPUTED_VALUE"""),45618.2471527777)</f>
        <v>45618.247152777702</v>
      </c>
      <c r="I1940" s="3">
        <f ca="1">IFERROR(__xludf.UNSUPPORTED("""COMPUTED_VALUE"""),24)</f>
        <v>24</v>
      </c>
      <c r="J1940" s="4">
        <f ca="1">IFERROR(__xludf.UNSUPPORTED("""COMPUTED_VALUE"""),45619.2471527777)</f>
        <v>45619.247152777702</v>
      </c>
    </row>
    <row r="1941" spans="1:12" ht="12.75">
      <c r="A1941" s="3" t="str">
        <f ca="1">IFERROR(__xludf.UNSUPPORTED("""COMPUTED_VALUE"""),"9940a60f")</f>
        <v>9940a60f</v>
      </c>
      <c r="B1941" s="4">
        <f ca="1">IFERROR(__xludf.UNSUPPORTED("""COMPUTED_VALUE"""),45621.3670601851)</f>
        <v>45621.367060185097</v>
      </c>
      <c r="C1941" s="7" t="str">
        <f ca="1">IFERROR(__xludf.UNSUPPORTED("""COMPUTED_VALUE"""),"Recife")</f>
        <v>Recife</v>
      </c>
      <c r="D1941" s="3" t="str">
        <f ca="1">IFERROR(__xludf.UNSUPPORTED("""COMPUTED_VALUE"""),"🚢 REGULAR")</f>
        <v>🚢 REGULAR</v>
      </c>
      <c r="E1941" s="3" t="str">
        <f ca="1">IFERROR(__xludf.UNSUPPORTED("""COMPUTED_VALUE"""),"🚛 LIBERADO")</f>
        <v>🚛 LIBERADO</v>
      </c>
      <c r="F1941" s="5">
        <f ca="1">IFERROR(__xludf.UNSUPPORTED("""COMPUTED_VALUE"""),0)</f>
        <v>0</v>
      </c>
      <c r="G1941" s="3" t="str">
        <f ca="1">IFERROR(__xludf.UNSUPPORTED("""COMPUTED_VALUE"""),"Normalidade")</f>
        <v>Normalidade</v>
      </c>
      <c r="H1941" s="4">
        <f ca="1">IFERROR(__xludf.UNSUPPORTED("""COMPUTED_VALUE"""),45621.3670601851)</f>
        <v>45621.367060185097</v>
      </c>
      <c r="I1941" s="3">
        <f ca="1">IFERROR(__xludf.UNSUPPORTED("""COMPUTED_VALUE"""),24)</f>
        <v>24</v>
      </c>
      <c r="J1941" s="4">
        <f ca="1">IFERROR(__xludf.UNSUPPORTED("""COMPUTED_VALUE"""),45622.3670601851)</f>
        <v>45622.367060185097</v>
      </c>
    </row>
    <row r="1942" spans="1:12" ht="12.75">
      <c r="A1942" s="3" t="str">
        <f ca="1">IFERROR(__xludf.UNSUPPORTED("""COMPUTED_VALUE"""),"98fc6233")</f>
        <v>98fc6233</v>
      </c>
      <c r="B1942" s="4">
        <f ca="1">IFERROR(__xludf.UNSUPPORTED("""COMPUTED_VALUE"""),45623.3759375)</f>
        <v>45623.375937500001</v>
      </c>
      <c r="C1942" s="8" t="str">
        <f ca="1">IFERROR(__xludf.UNSUPPORTED("""COMPUTED_VALUE"""),"Recife")</f>
        <v>Recife</v>
      </c>
      <c r="D1942" s="3" t="str">
        <f ca="1">IFERROR(__xludf.UNSUPPORTED("""COMPUTED_VALUE"""),"🚢 REGULAR")</f>
        <v>🚢 REGULAR</v>
      </c>
      <c r="E1942" s="3" t="str">
        <f ca="1">IFERROR(__xludf.UNSUPPORTED("""COMPUTED_VALUE"""),"🚛 LIBERADO")</f>
        <v>🚛 LIBERADO</v>
      </c>
      <c r="F1942" s="5">
        <f ca="1">IFERROR(__xludf.UNSUPPORTED("""COMPUTED_VALUE"""),0)</f>
        <v>0</v>
      </c>
      <c r="G1942" s="3" t="str">
        <f ca="1">IFERROR(__xludf.UNSUPPORTED("""COMPUTED_VALUE"""),"Normalidade")</f>
        <v>Normalidade</v>
      </c>
      <c r="H1942" s="4">
        <f ca="1">IFERROR(__xludf.UNSUPPORTED("""COMPUTED_VALUE"""),45623.3759375)</f>
        <v>45623.375937500001</v>
      </c>
      <c r="I1942" s="3">
        <f ca="1">IFERROR(__xludf.UNSUPPORTED("""COMPUTED_VALUE"""),24)</f>
        <v>24</v>
      </c>
      <c r="J1942" s="4">
        <f ca="1">IFERROR(__xludf.UNSUPPORTED("""COMPUTED_VALUE"""),45624.3759375)</f>
        <v>45624.375937500001</v>
      </c>
    </row>
    <row r="1943" spans="1:12" ht="12.75">
      <c r="A1943" s="3" t="str">
        <f ca="1">IFERROR(__xludf.UNSUPPORTED("""COMPUTED_VALUE"""),"88065c97")</f>
        <v>88065c97</v>
      </c>
      <c r="B1943" s="4">
        <f ca="1">IFERROR(__xludf.UNSUPPORTED("""COMPUTED_VALUE"""),45624.7076736111)</f>
        <v>45624.707673611098</v>
      </c>
      <c r="C1943" s="7" t="str">
        <f ca="1">IFERROR(__xludf.UNSUPPORTED("""COMPUTED_VALUE"""),"Recife")</f>
        <v>Recife</v>
      </c>
      <c r="D1943" s="3" t="str">
        <f ca="1">IFERROR(__xludf.UNSUPPORTED("""COMPUTED_VALUE"""),"🚢 REGULAR")</f>
        <v>🚢 REGULAR</v>
      </c>
      <c r="E1943" s="3" t="str">
        <f ca="1">IFERROR(__xludf.UNSUPPORTED("""COMPUTED_VALUE"""),"🚛 LIBERADO")</f>
        <v>🚛 LIBERADO</v>
      </c>
      <c r="F1943" s="5">
        <f ca="1">IFERROR(__xludf.UNSUPPORTED("""COMPUTED_VALUE"""),0)</f>
        <v>0</v>
      </c>
      <c r="G1943" s="3" t="str">
        <f ca="1">IFERROR(__xludf.UNSUPPORTED("""COMPUTED_VALUE"""),"Normalidade")</f>
        <v>Normalidade</v>
      </c>
      <c r="H1943" s="4">
        <f ca="1">IFERROR(__xludf.UNSUPPORTED("""COMPUTED_VALUE"""),45624.7076736111)</f>
        <v>45624.707673611098</v>
      </c>
      <c r="I1943" s="3">
        <f ca="1">IFERROR(__xludf.UNSUPPORTED("""COMPUTED_VALUE"""),24)</f>
        <v>24</v>
      </c>
      <c r="J1943" s="4">
        <f ca="1">IFERROR(__xludf.UNSUPPORTED("""COMPUTED_VALUE"""),45625.7076736111)</f>
        <v>45625.707673611098</v>
      </c>
    </row>
    <row r="1944" spans="1:12" ht="12.75">
      <c r="A1944" s="3" t="str">
        <f ca="1">IFERROR(__xludf.UNSUPPORTED("""COMPUTED_VALUE"""),"45675b24")</f>
        <v>45675b24</v>
      </c>
      <c r="B1944" s="4">
        <f ca="1">IFERROR(__xludf.UNSUPPORTED("""COMPUTED_VALUE"""),45626.3266782407)</f>
        <v>45626.326678240701</v>
      </c>
      <c r="C1944" s="8" t="str">
        <f ca="1">IFERROR(__xludf.UNSUPPORTED("""COMPUTED_VALUE"""),"Recife")</f>
        <v>Recife</v>
      </c>
      <c r="D1944" s="3" t="str">
        <f ca="1">IFERROR(__xludf.UNSUPPORTED("""COMPUTED_VALUE"""),"🚢 REGULAR")</f>
        <v>🚢 REGULAR</v>
      </c>
      <c r="E1944" s="3" t="str">
        <f ca="1">IFERROR(__xludf.UNSUPPORTED("""COMPUTED_VALUE"""),"🚛 LIBERADO")</f>
        <v>🚛 LIBERADO</v>
      </c>
      <c r="F1944" s="5">
        <f ca="1">IFERROR(__xludf.UNSUPPORTED("""COMPUTED_VALUE"""),0)</f>
        <v>0</v>
      </c>
      <c r="G1944" s="3" t="str">
        <f ca="1">IFERROR(__xludf.UNSUPPORTED("""COMPUTED_VALUE"""),"Normalidade")</f>
        <v>Normalidade</v>
      </c>
      <c r="H1944" s="4">
        <f ca="1">IFERROR(__xludf.UNSUPPORTED("""COMPUTED_VALUE"""),45626.3266782407)</f>
        <v>45626.326678240701</v>
      </c>
      <c r="I1944" s="3">
        <f ca="1">IFERROR(__xludf.UNSUPPORTED("""COMPUTED_VALUE"""),24)</f>
        <v>24</v>
      </c>
      <c r="J1944" s="4">
        <f ca="1">IFERROR(__xludf.UNSUPPORTED("""COMPUTED_VALUE"""),45627.3266782407)</f>
        <v>45627.326678240701</v>
      </c>
    </row>
    <row r="1945" spans="1:12" ht="12.75">
      <c r="A1945" s="3" t="str">
        <f ca="1">IFERROR(__xludf.UNSUPPORTED("""COMPUTED_VALUE"""),"6f508a4e")</f>
        <v>6f508a4e</v>
      </c>
      <c r="B1945" s="4">
        <f ca="1">IFERROR(__xludf.UNSUPPORTED("""COMPUTED_VALUE"""),45629.5468171296)</f>
        <v>45629.546817129602</v>
      </c>
      <c r="C1945" s="7" t="str">
        <f ca="1">IFERROR(__xludf.UNSUPPORTED("""COMPUTED_VALUE"""),"Recife")</f>
        <v>Recife</v>
      </c>
      <c r="D1945" s="3" t="str">
        <f ca="1">IFERROR(__xludf.UNSUPPORTED("""COMPUTED_VALUE"""),"🚢 REGULAR")</f>
        <v>🚢 REGULAR</v>
      </c>
      <c r="E1945" s="3" t="str">
        <f ca="1">IFERROR(__xludf.UNSUPPORTED("""COMPUTED_VALUE"""),"🚛 LIBERADO")</f>
        <v>🚛 LIBERADO</v>
      </c>
      <c r="F1945" s="5">
        <f ca="1">IFERROR(__xludf.UNSUPPORTED("""COMPUTED_VALUE"""),0.25)</f>
        <v>0.25</v>
      </c>
      <c r="G1945" s="3" t="str">
        <f ca="1">IFERROR(__xludf.UNSUPPORTED("""COMPUTED_VALUE"""),"Regular")</f>
        <v>Regular</v>
      </c>
      <c r="H1945" s="4">
        <f ca="1">IFERROR(__xludf.UNSUPPORTED("""COMPUTED_VALUE"""),45629.5468171296)</f>
        <v>45629.546817129602</v>
      </c>
      <c r="I1945" s="3">
        <f ca="1">IFERROR(__xludf.UNSUPPORTED("""COMPUTED_VALUE"""),6)</f>
        <v>6</v>
      </c>
      <c r="J1945" s="4">
        <f ca="1">IFERROR(__xludf.UNSUPPORTED("""COMPUTED_VALUE"""),45629.7968171296)</f>
        <v>45629.796817129602</v>
      </c>
      <c r="K1945" s="3" t="str">
        <f ca="1">IFERROR(__xludf.UNSUPPORTED("""COMPUTED_VALUE"""),"Porto do Recife")</f>
        <v>Porto do Recife</v>
      </c>
      <c r="L1945" s="3" t="str">
        <f ca="1">IFERROR(__xludf.UNSUPPORTED("""COMPUTED_VALUE"""),"Crítico")</f>
        <v>Crítico</v>
      </c>
    </row>
    <row r="1946" spans="1:12" ht="12.75">
      <c r="A1946" s="3" t="str">
        <f ca="1">IFERROR(__xludf.UNSUPPORTED("""COMPUTED_VALUE"""),"82c31045")</f>
        <v>82c31045</v>
      </c>
      <c r="B1946" s="4">
        <f ca="1">IFERROR(__xludf.UNSUPPORTED("""COMPUTED_VALUE"""),45630.8596064814)</f>
        <v>45630.859606481397</v>
      </c>
      <c r="C1946" s="8" t="str">
        <f ca="1">IFERROR(__xludf.UNSUPPORTED("""COMPUTED_VALUE"""),"Recife")</f>
        <v>Recife</v>
      </c>
      <c r="D1946" s="3" t="str">
        <f ca="1">IFERROR(__xludf.UNSUPPORTED("""COMPUTED_VALUE"""),"🚢 REGULAR")</f>
        <v>🚢 REGULAR</v>
      </c>
      <c r="E1946" s="3" t="str">
        <f ca="1">IFERROR(__xludf.UNSUPPORTED("""COMPUTED_VALUE"""),"🚛 LIBERADO")</f>
        <v>🚛 LIBERADO</v>
      </c>
      <c r="F1946" s="5">
        <f ca="1">IFERROR(__xludf.UNSUPPORTED("""COMPUTED_VALUE"""),0.25)</f>
        <v>0.25</v>
      </c>
      <c r="G1946" s="3" t="str">
        <f ca="1">IFERROR(__xludf.UNSUPPORTED("""COMPUTED_VALUE"""),"Regular")</f>
        <v>Regular</v>
      </c>
      <c r="H1946" s="4">
        <f ca="1">IFERROR(__xludf.UNSUPPORTED("""COMPUTED_VALUE"""),45630.8596064814)</f>
        <v>45630.859606481397</v>
      </c>
      <c r="I1946" s="3">
        <f ca="1">IFERROR(__xludf.UNSUPPORTED("""COMPUTED_VALUE"""),6)</f>
        <v>6</v>
      </c>
      <c r="J1946" s="4">
        <f ca="1">IFERROR(__xludf.UNSUPPORTED("""COMPUTED_VALUE"""),45631.1096064814)</f>
        <v>45631.109606481397</v>
      </c>
      <c r="K1946" s="3" t="str">
        <f ca="1">IFERROR(__xludf.UNSUPPORTED("""COMPUTED_VALUE"""),"Porto do Recife")</f>
        <v>Porto do Recife</v>
      </c>
      <c r="L1946" s="3" t="str">
        <f ca="1">IFERROR(__xludf.UNSUPPORTED("""COMPUTED_VALUE"""),"Crítico")</f>
        <v>Crítico</v>
      </c>
    </row>
    <row r="1947" spans="1:12" ht="12.75">
      <c r="A1947" s="3" t="str">
        <f ca="1">IFERROR(__xludf.UNSUPPORTED("""COMPUTED_VALUE"""),"28de650a")</f>
        <v>28de650a</v>
      </c>
      <c r="B1947" s="4">
        <f ca="1">IFERROR(__xludf.UNSUPPORTED("""COMPUTED_VALUE"""),45631.4227430555)</f>
        <v>45631.422743055497</v>
      </c>
      <c r="C1947" s="7" t="str">
        <f ca="1">IFERROR(__xludf.UNSUPPORTED("""COMPUTED_VALUE"""),"Recife")</f>
        <v>Recife</v>
      </c>
      <c r="D1947" s="3" t="str">
        <f ca="1">IFERROR(__xludf.UNSUPPORTED("""COMPUTED_VALUE"""),"🚢 REGULAR")</f>
        <v>🚢 REGULAR</v>
      </c>
      <c r="E1947" s="3" t="str">
        <f ca="1">IFERROR(__xludf.UNSUPPORTED("""COMPUTED_VALUE"""),"🚛 LIBERADO")</f>
        <v>🚛 LIBERADO</v>
      </c>
      <c r="F1947" s="5">
        <f ca="1">IFERROR(__xludf.UNSUPPORTED("""COMPUTED_VALUE"""),0.25)</f>
        <v>0.25</v>
      </c>
      <c r="G1947" s="3" t="str">
        <f ca="1">IFERROR(__xludf.UNSUPPORTED("""COMPUTED_VALUE"""),"Regular")</f>
        <v>Regular</v>
      </c>
      <c r="H1947" s="4">
        <f ca="1">IFERROR(__xludf.UNSUPPORTED("""COMPUTED_VALUE"""),45631.4227430555)</f>
        <v>45631.422743055497</v>
      </c>
      <c r="I1947" s="3">
        <f ca="1">IFERROR(__xludf.UNSUPPORTED("""COMPUTED_VALUE"""),6)</f>
        <v>6</v>
      </c>
      <c r="J1947" s="4">
        <f ca="1">IFERROR(__xludf.UNSUPPORTED("""COMPUTED_VALUE"""),45631.6727430555)</f>
        <v>45631.672743055497</v>
      </c>
      <c r="K1947" s="3" t="str">
        <f ca="1">IFERROR(__xludf.UNSUPPORTED("""COMPUTED_VALUE"""),"Porto do Recife")</f>
        <v>Porto do Recife</v>
      </c>
      <c r="L1947" s="3" t="str">
        <f ca="1">IFERROR(__xludf.UNSUPPORTED("""COMPUTED_VALUE"""),"Crítico")</f>
        <v>Crítico</v>
      </c>
    </row>
    <row r="1948" spans="1:12" ht="12.75">
      <c r="A1948" s="3" t="str">
        <f ca="1">IFERROR(__xludf.UNSUPPORTED("""COMPUTED_VALUE"""),"b0189d5d")</f>
        <v>b0189d5d</v>
      </c>
      <c r="B1948" s="4">
        <f ca="1">IFERROR(__xludf.UNSUPPORTED("""COMPUTED_VALUE"""),45632.3357175925)</f>
        <v>45632.335717592498</v>
      </c>
      <c r="C1948" s="8" t="str">
        <f ca="1">IFERROR(__xludf.UNSUPPORTED("""COMPUTED_VALUE"""),"Recife")</f>
        <v>Recife</v>
      </c>
      <c r="D1948" s="3" t="str">
        <f ca="1">IFERROR(__xludf.UNSUPPORTED("""COMPUTED_VALUE"""),"🚢 REGULAR")</f>
        <v>🚢 REGULAR</v>
      </c>
      <c r="E1948" s="3" t="str">
        <f ca="1">IFERROR(__xludf.UNSUPPORTED("""COMPUTED_VALUE"""),"🚛 LIBERADO")</f>
        <v>🚛 LIBERADO</v>
      </c>
      <c r="F1948" s="5">
        <f ca="1">IFERROR(__xludf.UNSUPPORTED("""COMPUTED_VALUE"""),0.25)</f>
        <v>0.25</v>
      </c>
      <c r="G1948" s="3" t="str">
        <f ca="1">IFERROR(__xludf.UNSUPPORTED("""COMPUTED_VALUE"""),"Regular")</f>
        <v>Regular</v>
      </c>
      <c r="H1948" s="4">
        <f ca="1">IFERROR(__xludf.UNSUPPORTED("""COMPUTED_VALUE"""),45632.3357175925)</f>
        <v>45632.335717592498</v>
      </c>
      <c r="I1948" s="3">
        <f ca="1">IFERROR(__xludf.UNSUPPORTED("""COMPUTED_VALUE"""),6)</f>
        <v>6</v>
      </c>
      <c r="J1948" s="4">
        <f ca="1">IFERROR(__xludf.UNSUPPORTED("""COMPUTED_VALUE"""),45632.5857175925)</f>
        <v>45632.585717592498</v>
      </c>
      <c r="K1948" s="3" t="str">
        <f ca="1">IFERROR(__xludf.UNSUPPORTED("""COMPUTED_VALUE"""),"Porto do Recife")</f>
        <v>Porto do Recife</v>
      </c>
      <c r="L1948" s="3" t="str">
        <f ca="1">IFERROR(__xludf.UNSUPPORTED("""COMPUTED_VALUE"""),"Crítico")</f>
        <v>Crítico</v>
      </c>
    </row>
    <row r="1949" spans="1:12" ht="12.75">
      <c r="A1949" s="3" t="str">
        <f ca="1">IFERROR(__xludf.UNSUPPORTED("""COMPUTED_VALUE"""),"92a6f665")</f>
        <v>92a6f665</v>
      </c>
      <c r="B1949" s="4">
        <f ca="1">IFERROR(__xludf.UNSUPPORTED("""COMPUTED_VALUE"""),45633.4696643518)</f>
        <v>45633.469664351796</v>
      </c>
      <c r="C1949" s="7" t="str">
        <f ca="1">IFERROR(__xludf.UNSUPPORTED("""COMPUTED_VALUE"""),"Recife")</f>
        <v>Recife</v>
      </c>
      <c r="D1949" s="3" t="str">
        <f ca="1">IFERROR(__xludf.UNSUPPORTED("""COMPUTED_VALUE"""),"🚢 REGULAR")</f>
        <v>🚢 REGULAR</v>
      </c>
      <c r="E1949" s="3" t="str">
        <f ca="1">IFERROR(__xludf.UNSUPPORTED("""COMPUTED_VALUE"""),"🚛 LIBERADO")</f>
        <v>🚛 LIBERADO</v>
      </c>
      <c r="F1949" s="5">
        <f ca="1">IFERROR(__xludf.UNSUPPORTED("""COMPUTED_VALUE"""),0.25)</f>
        <v>0.25</v>
      </c>
      <c r="G1949" s="3" t="str">
        <f ca="1">IFERROR(__xludf.UNSUPPORTED("""COMPUTED_VALUE"""),"Regular")</f>
        <v>Regular</v>
      </c>
      <c r="H1949" s="4">
        <f ca="1">IFERROR(__xludf.UNSUPPORTED("""COMPUTED_VALUE"""),45633.4696643518)</f>
        <v>45633.469664351796</v>
      </c>
      <c r="I1949" s="3">
        <f ca="1">IFERROR(__xludf.UNSUPPORTED("""COMPUTED_VALUE"""),6)</f>
        <v>6</v>
      </c>
      <c r="J1949" s="4">
        <f ca="1">IFERROR(__xludf.UNSUPPORTED("""COMPUTED_VALUE"""),45633.7196643518)</f>
        <v>45633.719664351796</v>
      </c>
      <c r="K1949" s="3" t="str">
        <f ca="1">IFERROR(__xludf.UNSUPPORTED("""COMPUTED_VALUE"""),"Porto do Recife")</f>
        <v>Porto do Recife</v>
      </c>
      <c r="L1949" s="3" t="str">
        <f ca="1">IFERROR(__xludf.UNSUPPORTED("""COMPUTED_VALUE"""),"Crítico")</f>
        <v>Crítico</v>
      </c>
    </row>
    <row r="1950" spans="1:12" ht="12.75">
      <c r="A1950" s="3" t="str">
        <f ca="1">IFERROR(__xludf.UNSUPPORTED("""COMPUTED_VALUE"""),"e0c190ee")</f>
        <v>e0c190ee</v>
      </c>
      <c r="B1950" s="4">
        <f ca="1">IFERROR(__xludf.UNSUPPORTED("""COMPUTED_VALUE"""),45634.3751851851)</f>
        <v>45634.375185185098</v>
      </c>
      <c r="C1950" s="8" t="str">
        <f ca="1">IFERROR(__xludf.UNSUPPORTED("""COMPUTED_VALUE"""),"Recife")</f>
        <v>Recife</v>
      </c>
      <c r="D1950" s="3" t="str">
        <f ca="1">IFERROR(__xludf.UNSUPPORTED("""COMPUTED_VALUE"""),"🚢 REGULAR")</f>
        <v>🚢 REGULAR</v>
      </c>
      <c r="E1950" s="3" t="str">
        <f ca="1">IFERROR(__xludf.UNSUPPORTED("""COMPUTED_VALUE"""),"🚛 LIBERADO")</f>
        <v>🚛 LIBERADO</v>
      </c>
      <c r="F1950" s="5">
        <f ca="1">IFERROR(__xludf.UNSUPPORTED("""COMPUTED_VALUE"""),0.25)</f>
        <v>0.25</v>
      </c>
      <c r="G1950" s="3" t="str">
        <f ca="1">IFERROR(__xludf.UNSUPPORTED("""COMPUTED_VALUE"""),"Regular")</f>
        <v>Regular</v>
      </c>
      <c r="H1950" s="4">
        <f ca="1">IFERROR(__xludf.UNSUPPORTED("""COMPUTED_VALUE"""),45634.3751851851)</f>
        <v>45634.375185185098</v>
      </c>
      <c r="I1950" s="3">
        <f ca="1">IFERROR(__xludf.UNSUPPORTED("""COMPUTED_VALUE"""),6)</f>
        <v>6</v>
      </c>
      <c r="J1950" s="4">
        <f ca="1">IFERROR(__xludf.UNSUPPORTED("""COMPUTED_VALUE"""),45634.6251851851)</f>
        <v>45634.625185185098</v>
      </c>
      <c r="K1950" s="3" t="str">
        <f ca="1">IFERROR(__xludf.UNSUPPORTED("""COMPUTED_VALUE"""),"Porto do Recife")</f>
        <v>Porto do Recife</v>
      </c>
      <c r="L1950" s="3" t="str">
        <f ca="1">IFERROR(__xludf.UNSUPPORTED("""COMPUTED_VALUE"""),"Crítico")</f>
        <v>Crítico</v>
      </c>
    </row>
    <row r="1951" spans="1:12" ht="12.75">
      <c r="A1951" s="3" t="str">
        <f ca="1">IFERROR(__xludf.UNSUPPORTED("""COMPUTED_VALUE"""),"be4409a0")</f>
        <v>be4409a0</v>
      </c>
      <c r="B1951" s="4">
        <f ca="1">IFERROR(__xludf.UNSUPPORTED("""COMPUTED_VALUE"""),45635.410474537)</f>
        <v>45635.410474536999</v>
      </c>
      <c r="C1951" s="7" t="str">
        <f ca="1">IFERROR(__xludf.UNSUPPORTED("""COMPUTED_VALUE"""),"Recife")</f>
        <v>Recife</v>
      </c>
      <c r="D1951" s="3" t="str">
        <f ca="1">IFERROR(__xludf.UNSUPPORTED("""COMPUTED_VALUE"""),"🚢 REGULAR")</f>
        <v>🚢 REGULAR</v>
      </c>
      <c r="E1951" s="3" t="str">
        <f ca="1">IFERROR(__xludf.UNSUPPORTED("""COMPUTED_VALUE"""),"🚛 LIBERADO")</f>
        <v>🚛 LIBERADO</v>
      </c>
      <c r="F1951" s="5">
        <f ca="1">IFERROR(__xludf.UNSUPPORTED("""COMPUTED_VALUE"""),0.25)</f>
        <v>0.25</v>
      </c>
      <c r="G1951" s="3" t="str">
        <f ca="1">IFERROR(__xludf.UNSUPPORTED("""COMPUTED_VALUE"""),"Regular")</f>
        <v>Regular</v>
      </c>
      <c r="H1951" s="4">
        <f ca="1">IFERROR(__xludf.UNSUPPORTED("""COMPUTED_VALUE"""),45635.410474537)</f>
        <v>45635.410474536999</v>
      </c>
      <c r="I1951" s="3">
        <f ca="1">IFERROR(__xludf.UNSUPPORTED("""COMPUTED_VALUE"""),6)</f>
        <v>6</v>
      </c>
      <c r="J1951" s="4">
        <f ca="1">IFERROR(__xludf.UNSUPPORTED("""COMPUTED_VALUE"""),45635.660474537)</f>
        <v>45635.660474536999</v>
      </c>
      <c r="K1951" s="3" t="str">
        <f ca="1">IFERROR(__xludf.UNSUPPORTED("""COMPUTED_VALUE"""),"Porto do Recife")</f>
        <v>Porto do Recife</v>
      </c>
      <c r="L1951" s="3" t="str">
        <f ca="1">IFERROR(__xludf.UNSUPPORTED("""COMPUTED_VALUE"""),"Crítico")</f>
        <v>Crítico</v>
      </c>
    </row>
    <row r="1952" spans="1:12" ht="12.75">
      <c r="A1952" s="3" t="str">
        <f ca="1">IFERROR(__xludf.UNSUPPORTED("""COMPUTED_VALUE"""),"bcfe1a26")</f>
        <v>bcfe1a26</v>
      </c>
      <c r="B1952" s="4">
        <f ca="1">IFERROR(__xludf.UNSUPPORTED("""COMPUTED_VALUE"""),45637.7555092592)</f>
        <v>45637.755509259201</v>
      </c>
      <c r="C1952" s="7" t="str">
        <f ca="1">IFERROR(__xludf.UNSUPPORTED("""COMPUTED_VALUE"""),"Recife")</f>
        <v>Recife</v>
      </c>
      <c r="D1952" s="3" t="str">
        <f ca="1">IFERROR(__xludf.UNSUPPORTED("""COMPUTED_VALUE"""),"🚢 REGULAR")</f>
        <v>🚢 REGULAR</v>
      </c>
      <c r="E1952" s="3" t="str">
        <f ca="1">IFERROR(__xludf.UNSUPPORTED("""COMPUTED_VALUE"""),"🚛 LIBERADO")</f>
        <v>🚛 LIBERADO</v>
      </c>
      <c r="F1952" s="5">
        <f ca="1">IFERROR(__xludf.UNSUPPORTED("""COMPUTED_VALUE"""),0.25)</f>
        <v>0.25</v>
      </c>
      <c r="G1952" s="3" t="str">
        <f ca="1">IFERROR(__xludf.UNSUPPORTED("""COMPUTED_VALUE"""),"Regular")</f>
        <v>Regular</v>
      </c>
      <c r="H1952" s="4">
        <f ca="1">IFERROR(__xludf.UNSUPPORTED("""COMPUTED_VALUE"""),45637.7555092592)</f>
        <v>45637.755509259201</v>
      </c>
      <c r="I1952" s="3">
        <f ca="1">IFERROR(__xludf.UNSUPPORTED("""COMPUTED_VALUE"""),19)</f>
        <v>19</v>
      </c>
      <c r="J1952" s="4">
        <f ca="1">IFERROR(__xludf.UNSUPPORTED("""COMPUTED_VALUE"""),45638.5471759259)</f>
        <v>45638.547175925902</v>
      </c>
      <c r="K1952" s="3" t="str">
        <f ca="1">IFERROR(__xludf.UNSUPPORTED("""COMPUTED_VALUE"""),"Porto do Recife")</f>
        <v>Porto do Recife</v>
      </c>
      <c r="L1952" s="3" t="str">
        <f ca="1">IFERROR(__xludf.UNSUPPORTED("""COMPUTED_VALUE"""),"Crítico")</f>
        <v>Crítico</v>
      </c>
    </row>
    <row r="1953" spans="1:12" ht="12.75">
      <c r="A1953" s="3" t="str">
        <f ca="1">IFERROR(__xludf.UNSUPPORTED("""COMPUTED_VALUE"""),"80f465a2")</f>
        <v>80f465a2</v>
      </c>
      <c r="B1953" s="4">
        <f ca="1">IFERROR(__xludf.UNSUPPORTED("""COMPUTED_VALUE"""),45638.716574074)</f>
        <v>45638.716574074002</v>
      </c>
      <c r="C1953" s="8" t="str">
        <f ca="1">IFERROR(__xludf.UNSUPPORTED("""COMPUTED_VALUE"""),"Recife")</f>
        <v>Recife</v>
      </c>
      <c r="D1953" s="3" t="str">
        <f ca="1">IFERROR(__xludf.UNSUPPORTED("""COMPUTED_VALUE"""),"🚢 REGULAR")</f>
        <v>🚢 REGULAR</v>
      </c>
      <c r="E1953" s="3" t="str">
        <f ca="1">IFERROR(__xludf.UNSUPPORTED("""COMPUTED_VALUE"""),"🚛 LIBERADO")</f>
        <v>🚛 LIBERADO</v>
      </c>
      <c r="F1953" s="5">
        <f ca="1">IFERROR(__xludf.UNSUPPORTED("""COMPUTED_VALUE"""),0.25)</f>
        <v>0.25</v>
      </c>
      <c r="G1953" s="3" t="str">
        <f ca="1">IFERROR(__xludf.UNSUPPORTED("""COMPUTED_VALUE"""),"Regular")</f>
        <v>Regular</v>
      </c>
      <c r="H1953" s="4">
        <f ca="1">IFERROR(__xludf.UNSUPPORTED("""COMPUTED_VALUE"""),45638.716574074)</f>
        <v>45638.716574074002</v>
      </c>
      <c r="I1953" s="3">
        <f ca="1">IFERROR(__xludf.UNSUPPORTED("""COMPUTED_VALUE"""),6)</f>
        <v>6</v>
      </c>
      <c r="J1953" s="4">
        <f ca="1">IFERROR(__xludf.UNSUPPORTED("""COMPUTED_VALUE"""),45638.966574074)</f>
        <v>45638.966574074002</v>
      </c>
      <c r="K1953" s="3" t="str">
        <f ca="1">IFERROR(__xludf.UNSUPPORTED("""COMPUTED_VALUE"""),"Porto do Recife")</f>
        <v>Porto do Recife</v>
      </c>
      <c r="L1953" s="3" t="str">
        <f ca="1">IFERROR(__xludf.UNSUPPORTED("""COMPUTED_VALUE"""),"Crítico")</f>
        <v>Crítico</v>
      </c>
    </row>
    <row r="1954" spans="1:12" ht="12.75">
      <c r="A1954" s="3" t="str">
        <f ca="1">IFERROR(__xludf.UNSUPPORTED("""COMPUTED_VALUE"""),"17c0b32a")</f>
        <v>17c0b32a</v>
      </c>
      <c r="B1954" s="4">
        <f ca="1">IFERROR(__xludf.UNSUPPORTED("""COMPUTED_VALUE"""),45639.3294097222)</f>
        <v>45639.329409722202</v>
      </c>
      <c r="C1954" s="7" t="str">
        <f ca="1">IFERROR(__xludf.UNSUPPORTED("""COMPUTED_VALUE"""),"Recife")</f>
        <v>Recife</v>
      </c>
      <c r="D1954" s="3" t="str">
        <f ca="1">IFERROR(__xludf.UNSUPPORTED("""COMPUTED_VALUE"""),"🚢 REGULAR")</f>
        <v>🚢 REGULAR</v>
      </c>
      <c r="E1954" s="3" t="str">
        <f ca="1">IFERROR(__xludf.UNSUPPORTED("""COMPUTED_VALUE"""),"🚛 LIBERADO")</f>
        <v>🚛 LIBERADO</v>
      </c>
      <c r="F1954" s="5">
        <f ca="1">IFERROR(__xludf.UNSUPPORTED("""COMPUTED_VALUE"""),0.25)</f>
        <v>0.25</v>
      </c>
      <c r="G1954" s="3" t="str">
        <f ca="1">IFERROR(__xludf.UNSUPPORTED("""COMPUTED_VALUE"""),"Regular")</f>
        <v>Regular</v>
      </c>
      <c r="H1954" s="4">
        <f ca="1">IFERROR(__xludf.UNSUPPORTED("""COMPUTED_VALUE"""),45639.3294097222)</f>
        <v>45639.329409722202</v>
      </c>
      <c r="I1954" s="3">
        <f ca="1">IFERROR(__xludf.UNSUPPORTED("""COMPUTED_VALUE"""),6)</f>
        <v>6</v>
      </c>
      <c r="J1954" s="4">
        <f ca="1">IFERROR(__xludf.UNSUPPORTED("""COMPUTED_VALUE"""),45639.5794097222)</f>
        <v>45639.579409722202</v>
      </c>
      <c r="K1954" s="3" t="str">
        <f ca="1">IFERROR(__xludf.UNSUPPORTED("""COMPUTED_VALUE"""),"Porto do Recife")</f>
        <v>Porto do Recife</v>
      </c>
      <c r="L1954" s="3" t="str">
        <f ca="1">IFERROR(__xludf.UNSUPPORTED("""COMPUTED_VALUE"""),"Crítico")</f>
        <v>Crítico</v>
      </c>
    </row>
    <row r="1955" spans="1:12" ht="12.75">
      <c r="A1955" s="3" t="str">
        <f ca="1">IFERROR(__xludf.UNSUPPORTED("""COMPUTED_VALUE"""),"e33797d0")</f>
        <v>e33797d0</v>
      </c>
      <c r="B1955" s="4">
        <f ca="1">IFERROR(__xludf.UNSUPPORTED("""COMPUTED_VALUE"""),45641.4435416666)</f>
        <v>45641.443541666602</v>
      </c>
      <c r="C1955" s="8" t="str">
        <f ca="1">IFERROR(__xludf.UNSUPPORTED("""COMPUTED_VALUE"""),"Recife")</f>
        <v>Recife</v>
      </c>
      <c r="D1955" s="3" t="str">
        <f ca="1">IFERROR(__xludf.UNSUPPORTED("""COMPUTED_VALUE"""),"🚢 REGULAR")</f>
        <v>🚢 REGULAR</v>
      </c>
      <c r="E1955" s="3" t="str">
        <f ca="1">IFERROR(__xludf.UNSUPPORTED("""COMPUTED_VALUE"""),"🚛 LIBERADO")</f>
        <v>🚛 LIBERADO</v>
      </c>
      <c r="F1955" s="5">
        <f ca="1">IFERROR(__xludf.UNSUPPORTED("""COMPUTED_VALUE"""),0.25)</f>
        <v>0.25</v>
      </c>
      <c r="G1955" s="3" t="str">
        <f ca="1">IFERROR(__xludf.UNSUPPORTED("""COMPUTED_VALUE"""),"Regular")</f>
        <v>Regular</v>
      </c>
      <c r="H1955" s="4">
        <f ca="1">IFERROR(__xludf.UNSUPPORTED("""COMPUTED_VALUE"""),45640.4435416666)</f>
        <v>45640.443541666602</v>
      </c>
      <c r="I1955" s="3">
        <f ca="1">IFERROR(__xludf.UNSUPPORTED("""COMPUTED_VALUE"""),6)</f>
        <v>6</v>
      </c>
      <c r="J1955" s="4">
        <f ca="1">IFERROR(__xludf.UNSUPPORTED("""COMPUTED_VALUE"""),45640.6935416666)</f>
        <v>45640.693541666602</v>
      </c>
      <c r="K1955" s="3" t="str">
        <f ca="1">IFERROR(__xludf.UNSUPPORTED("""COMPUTED_VALUE"""),"Porto do Recife")</f>
        <v>Porto do Recife</v>
      </c>
      <c r="L1955" s="3" t="str">
        <f ca="1">IFERROR(__xludf.UNSUPPORTED("""COMPUTED_VALUE"""),"Crítico")</f>
        <v>Crítico</v>
      </c>
    </row>
    <row r="1956" spans="1:12" ht="12.75">
      <c r="A1956" s="3" t="str">
        <f ca="1">IFERROR(__xludf.UNSUPPORTED("""COMPUTED_VALUE"""),"dd8ea78a")</f>
        <v>dd8ea78a</v>
      </c>
      <c r="B1956" s="4">
        <f ca="1">IFERROR(__xludf.UNSUPPORTED("""COMPUTED_VALUE"""),45641.45)</f>
        <v>45641.45</v>
      </c>
      <c r="C1956" s="7" t="str">
        <f ca="1">IFERROR(__xludf.UNSUPPORTED("""COMPUTED_VALUE"""),"Recife")</f>
        <v>Recife</v>
      </c>
      <c r="D1956" s="3" t="str">
        <f ca="1">IFERROR(__xludf.UNSUPPORTED("""COMPUTED_VALUE"""),"🚢 REGULAR")</f>
        <v>🚢 REGULAR</v>
      </c>
      <c r="E1956" s="3" t="str">
        <f ca="1">IFERROR(__xludf.UNSUPPORTED("""COMPUTED_VALUE"""),"🚛 LIBERADO")</f>
        <v>🚛 LIBERADO</v>
      </c>
      <c r="F1956" s="5">
        <f ca="1">IFERROR(__xludf.UNSUPPORTED("""COMPUTED_VALUE"""),0.25)</f>
        <v>0.25</v>
      </c>
      <c r="G1956" s="3" t="str">
        <f ca="1">IFERROR(__xludf.UNSUPPORTED("""COMPUTED_VALUE"""),"Regular")</f>
        <v>Regular</v>
      </c>
      <c r="H1956" s="4">
        <f ca="1">IFERROR(__xludf.UNSUPPORTED("""COMPUTED_VALUE"""),45641.45)</f>
        <v>45641.45</v>
      </c>
      <c r="I1956" s="3">
        <f ca="1">IFERROR(__xludf.UNSUPPORTED("""COMPUTED_VALUE"""),6)</f>
        <v>6</v>
      </c>
      <c r="J1956" s="4">
        <f ca="1">IFERROR(__xludf.UNSUPPORTED("""COMPUTED_VALUE"""),45641.7)</f>
        <v>45641.7</v>
      </c>
      <c r="K1956" s="3" t="str">
        <f ca="1">IFERROR(__xludf.UNSUPPORTED("""COMPUTED_VALUE"""),"Porto do Recife")</f>
        <v>Porto do Recife</v>
      </c>
      <c r="L1956" s="3" t="str">
        <f ca="1">IFERROR(__xludf.UNSUPPORTED("""COMPUTED_VALUE"""),"Crítico")</f>
        <v>Crítico</v>
      </c>
    </row>
    <row r="1957" spans="1:12" ht="12.75">
      <c r="A1957" s="3" t="str">
        <f ca="1">IFERROR(__xludf.UNSUPPORTED("""COMPUTED_VALUE"""),"6477d8a8")</f>
        <v>6477d8a8</v>
      </c>
      <c r="B1957" s="4">
        <f ca="1">IFERROR(__xludf.UNSUPPORTED("""COMPUTED_VALUE"""),45641.4547569444)</f>
        <v>45641.454756944397</v>
      </c>
      <c r="C1957" s="8" t="str">
        <f ca="1">IFERROR(__xludf.UNSUPPORTED("""COMPUTED_VALUE"""),"Recife")</f>
        <v>Recife</v>
      </c>
      <c r="D1957" s="3" t="str">
        <f ca="1">IFERROR(__xludf.UNSUPPORTED("""COMPUTED_VALUE"""),"🚢 REGULAR")</f>
        <v>🚢 REGULAR</v>
      </c>
      <c r="E1957" s="3" t="str">
        <f ca="1">IFERROR(__xludf.UNSUPPORTED("""COMPUTED_VALUE"""),"🚛 LIBERADO")</f>
        <v>🚛 LIBERADO</v>
      </c>
      <c r="F1957" s="5">
        <f ca="1">IFERROR(__xludf.UNSUPPORTED("""COMPUTED_VALUE"""),0.25)</f>
        <v>0.25</v>
      </c>
      <c r="G1957" s="3" t="str">
        <f ca="1">IFERROR(__xludf.UNSUPPORTED("""COMPUTED_VALUE"""),"Regular")</f>
        <v>Regular</v>
      </c>
      <c r="H1957" s="4">
        <f ca="1">IFERROR(__xludf.UNSUPPORTED("""COMPUTED_VALUE"""),45640.4547569444)</f>
        <v>45640.454756944397</v>
      </c>
      <c r="I1957" s="3">
        <f ca="1">IFERROR(__xludf.UNSUPPORTED("""COMPUTED_VALUE"""),6)</f>
        <v>6</v>
      </c>
      <c r="J1957" s="4">
        <f ca="1">IFERROR(__xludf.UNSUPPORTED("""COMPUTED_VALUE"""),45640.7047569444)</f>
        <v>45640.704756944397</v>
      </c>
      <c r="K1957" s="3" t="str">
        <f ca="1">IFERROR(__xludf.UNSUPPORTED("""COMPUTED_VALUE"""),"Porto do Recife")</f>
        <v>Porto do Recife</v>
      </c>
      <c r="L1957" s="3" t="str">
        <f ca="1">IFERROR(__xludf.UNSUPPORTED("""COMPUTED_VALUE"""),"Crítico")</f>
        <v>Crítico</v>
      </c>
    </row>
    <row r="1958" spans="1:12" ht="12.75">
      <c r="A1958" s="3" t="str">
        <f ca="1">IFERROR(__xludf.UNSUPPORTED("""COMPUTED_VALUE"""),"45732679")</f>
        <v>45732679</v>
      </c>
      <c r="B1958" s="4">
        <f ca="1">IFERROR(__xludf.UNSUPPORTED("""COMPUTED_VALUE"""),45643.306412037)</f>
        <v>45643.306412037004</v>
      </c>
      <c r="C1958" s="7" t="str">
        <f ca="1">IFERROR(__xludf.UNSUPPORTED("""COMPUTED_VALUE"""),"Recife")</f>
        <v>Recife</v>
      </c>
      <c r="D1958" s="3" t="str">
        <f ca="1">IFERROR(__xludf.UNSUPPORTED("""COMPUTED_VALUE"""),"🚢 REGULAR")</f>
        <v>🚢 REGULAR</v>
      </c>
      <c r="E1958" s="3" t="str">
        <f ca="1">IFERROR(__xludf.UNSUPPORTED("""COMPUTED_VALUE"""),"🚛 LIBERADO")</f>
        <v>🚛 LIBERADO</v>
      </c>
      <c r="F1958" s="5">
        <f ca="1">IFERROR(__xludf.UNSUPPORTED("""COMPUTED_VALUE"""),0)</f>
        <v>0</v>
      </c>
      <c r="G1958" s="3" t="str">
        <f ca="1">IFERROR(__xludf.UNSUPPORTED("""COMPUTED_VALUE"""),"Normalidade")</f>
        <v>Normalidade</v>
      </c>
      <c r="H1958" s="4">
        <f ca="1">IFERROR(__xludf.UNSUPPORTED("""COMPUTED_VALUE"""),45643.306412037)</f>
        <v>45643.306412037004</v>
      </c>
      <c r="I1958" s="3">
        <f ca="1">IFERROR(__xludf.UNSUPPORTED("""COMPUTED_VALUE"""),24)</f>
        <v>24</v>
      </c>
      <c r="J1958" s="4">
        <f ca="1">IFERROR(__xludf.UNSUPPORTED("""COMPUTED_VALUE"""),45644.306412037)</f>
        <v>45644.306412037004</v>
      </c>
    </row>
    <row r="1959" spans="1:12" ht="12.75">
      <c r="A1959" s="3" t="str">
        <f ca="1">IFERROR(__xludf.UNSUPPORTED("""COMPUTED_VALUE"""),"0673bf76")</f>
        <v>0673bf76</v>
      </c>
      <c r="B1959" s="4">
        <f ca="1">IFERROR(__xludf.UNSUPPORTED("""COMPUTED_VALUE"""),45644.6310532407)</f>
        <v>45644.631053240701</v>
      </c>
      <c r="C1959" s="7" t="str">
        <f ca="1">IFERROR(__xludf.UNSUPPORTED("""COMPUTED_VALUE"""),"Recife")</f>
        <v>Recife</v>
      </c>
      <c r="D1959" s="3" t="str">
        <f ca="1">IFERROR(__xludf.UNSUPPORTED("""COMPUTED_VALUE"""),"🚢 REGULAR")</f>
        <v>🚢 REGULAR</v>
      </c>
      <c r="E1959" s="3" t="str">
        <f ca="1">IFERROR(__xludf.UNSUPPORTED("""COMPUTED_VALUE"""),"🚛 LIBERADO")</f>
        <v>🚛 LIBERADO</v>
      </c>
      <c r="F1959" s="5">
        <f ca="1">IFERROR(__xludf.UNSUPPORTED("""COMPUTED_VALUE"""),0)</f>
        <v>0</v>
      </c>
      <c r="G1959" s="3" t="str">
        <f ca="1">IFERROR(__xludf.UNSUPPORTED("""COMPUTED_VALUE"""),"Normalidade")</f>
        <v>Normalidade</v>
      </c>
      <c r="H1959" s="4">
        <f ca="1">IFERROR(__xludf.UNSUPPORTED("""COMPUTED_VALUE"""),45644.6310532407)</f>
        <v>45644.631053240701</v>
      </c>
      <c r="I1959" s="3">
        <f ca="1">IFERROR(__xludf.UNSUPPORTED("""COMPUTED_VALUE"""),24)</f>
        <v>24</v>
      </c>
      <c r="J1959" s="4">
        <f ca="1">IFERROR(__xludf.UNSUPPORTED("""COMPUTED_VALUE"""),45645.6310532407)</f>
        <v>45645.631053240701</v>
      </c>
    </row>
    <row r="1960" spans="1:12" ht="12.75">
      <c r="A1960" s="3" t="str">
        <f ca="1">IFERROR(__xludf.UNSUPPORTED("""COMPUTED_VALUE"""),"e6c4dd3a")</f>
        <v>e6c4dd3a</v>
      </c>
      <c r="B1960" s="4">
        <f ca="1">IFERROR(__xludf.UNSUPPORTED("""COMPUTED_VALUE"""),45645.3188888888)</f>
        <v>45645.318888888803</v>
      </c>
      <c r="C1960" s="8" t="str">
        <f ca="1">IFERROR(__xludf.UNSUPPORTED("""COMPUTED_VALUE"""),"Recife")</f>
        <v>Recife</v>
      </c>
      <c r="D1960" s="3" t="str">
        <f ca="1">IFERROR(__xludf.UNSUPPORTED("""COMPUTED_VALUE"""),"🚢 REGULAR")</f>
        <v>🚢 REGULAR</v>
      </c>
      <c r="E1960" s="3" t="str">
        <f ca="1">IFERROR(__xludf.UNSUPPORTED("""COMPUTED_VALUE"""),"🚛 LIBERADO")</f>
        <v>🚛 LIBERADO</v>
      </c>
      <c r="F1960" s="5">
        <f ca="1">IFERROR(__xludf.UNSUPPORTED("""COMPUTED_VALUE"""),0)</f>
        <v>0</v>
      </c>
      <c r="G1960" s="3" t="str">
        <f ca="1">IFERROR(__xludf.UNSUPPORTED("""COMPUTED_VALUE"""),"Normalidade")</f>
        <v>Normalidade</v>
      </c>
      <c r="H1960" s="4">
        <f ca="1">IFERROR(__xludf.UNSUPPORTED("""COMPUTED_VALUE"""),45645.3188888888)</f>
        <v>45645.318888888803</v>
      </c>
      <c r="I1960" s="3">
        <f ca="1">IFERROR(__xludf.UNSUPPORTED("""COMPUTED_VALUE"""),24)</f>
        <v>24</v>
      </c>
      <c r="J1960" s="4">
        <f ca="1">IFERROR(__xludf.UNSUPPORTED("""COMPUTED_VALUE"""),45646.3188888888)</f>
        <v>45646.318888888803</v>
      </c>
    </row>
    <row r="1961" spans="1:12" ht="12.75">
      <c r="A1961" s="3" t="str">
        <f ca="1">IFERROR(__xludf.UNSUPPORTED("""COMPUTED_VALUE"""),"c3af7743")</f>
        <v>c3af7743</v>
      </c>
      <c r="B1961" s="4">
        <f ca="1">IFERROR(__xludf.UNSUPPORTED("""COMPUTED_VALUE"""),45650.3599189814)</f>
        <v>45650.359918981398</v>
      </c>
      <c r="C1961" s="7" t="str">
        <f ca="1">IFERROR(__xludf.UNSUPPORTED("""COMPUTED_VALUE"""),"Recife")</f>
        <v>Recife</v>
      </c>
      <c r="D1961" s="3" t="str">
        <f ca="1">IFERROR(__xludf.UNSUPPORTED("""COMPUTED_VALUE"""),"🚢 REGULAR")</f>
        <v>🚢 REGULAR</v>
      </c>
      <c r="E1961" s="3" t="str">
        <f ca="1">IFERROR(__xludf.UNSUPPORTED("""COMPUTED_VALUE"""),"🚛 LIBERADO")</f>
        <v>🚛 LIBERADO</v>
      </c>
      <c r="F1961" s="5">
        <f ca="1">IFERROR(__xludf.UNSUPPORTED("""COMPUTED_VALUE"""),0)</f>
        <v>0</v>
      </c>
      <c r="G1961" s="3" t="str">
        <f ca="1">IFERROR(__xludf.UNSUPPORTED("""COMPUTED_VALUE"""),"Normalidade")</f>
        <v>Normalidade</v>
      </c>
      <c r="H1961" s="4">
        <f ca="1">IFERROR(__xludf.UNSUPPORTED("""COMPUTED_VALUE"""),45650.3599189814)</f>
        <v>45650.359918981398</v>
      </c>
      <c r="I1961" s="3">
        <f ca="1">IFERROR(__xludf.UNSUPPORTED("""COMPUTED_VALUE"""),24)</f>
        <v>24</v>
      </c>
      <c r="J1961" s="4">
        <f ca="1">IFERROR(__xludf.UNSUPPORTED("""COMPUTED_VALUE"""),45651.3599189814)</f>
        <v>45651.359918981398</v>
      </c>
    </row>
    <row r="1962" spans="1:12" ht="12.75">
      <c r="A1962" s="3" t="str">
        <f ca="1">IFERROR(__xludf.UNSUPPORTED("""COMPUTED_VALUE"""),"f5c50c89")</f>
        <v>f5c50c89</v>
      </c>
      <c r="B1962" s="4">
        <f ca="1">IFERROR(__xludf.UNSUPPORTED("""COMPUTED_VALUE"""),45652.3183796296)</f>
        <v>45652.3183796296</v>
      </c>
      <c r="C1962" s="8" t="str">
        <f ca="1">IFERROR(__xludf.UNSUPPORTED("""COMPUTED_VALUE"""),"Recife")</f>
        <v>Recife</v>
      </c>
      <c r="D1962" s="3" t="str">
        <f ca="1">IFERROR(__xludf.UNSUPPORTED("""COMPUTED_VALUE"""),"🚢 REGULAR")</f>
        <v>🚢 REGULAR</v>
      </c>
      <c r="E1962" s="3" t="str">
        <f ca="1">IFERROR(__xludf.UNSUPPORTED("""COMPUTED_VALUE"""),"🚛 LIBERADO")</f>
        <v>🚛 LIBERADO</v>
      </c>
      <c r="F1962" s="5">
        <f ca="1">IFERROR(__xludf.UNSUPPORTED("""COMPUTED_VALUE"""),0)</f>
        <v>0</v>
      </c>
      <c r="G1962" s="3" t="str">
        <f ca="1">IFERROR(__xludf.UNSUPPORTED("""COMPUTED_VALUE"""),"Normalidade")</f>
        <v>Normalidade</v>
      </c>
      <c r="H1962" s="4">
        <f ca="1">IFERROR(__xludf.UNSUPPORTED("""COMPUTED_VALUE"""),45652.3183796296)</f>
        <v>45652.3183796296</v>
      </c>
      <c r="I1962" s="3">
        <f ca="1">IFERROR(__xludf.UNSUPPORTED("""COMPUTED_VALUE"""),24)</f>
        <v>24</v>
      </c>
      <c r="J1962" s="4">
        <f ca="1">IFERROR(__xludf.UNSUPPORTED("""COMPUTED_VALUE"""),45653.3183796296)</f>
        <v>45653.3183796296</v>
      </c>
    </row>
    <row r="1963" spans="1:12" ht="12.75">
      <c r="A1963" s="3" t="str">
        <f ca="1">IFERROR(__xludf.UNSUPPORTED("""COMPUTED_VALUE"""),"4985fac8")</f>
        <v>4985fac8</v>
      </c>
      <c r="B1963" s="4">
        <f ca="1">IFERROR(__xludf.UNSUPPORTED("""COMPUTED_VALUE"""),45653.6771064814)</f>
        <v>45653.677106481402</v>
      </c>
      <c r="C1963" s="7" t="str">
        <f ca="1">IFERROR(__xludf.UNSUPPORTED("""COMPUTED_VALUE"""),"Recife")</f>
        <v>Recife</v>
      </c>
      <c r="D1963" s="3" t="str">
        <f ca="1">IFERROR(__xludf.UNSUPPORTED("""COMPUTED_VALUE"""),"🚢 REGULAR")</f>
        <v>🚢 REGULAR</v>
      </c>
      <c r="E1963" s="3" t="str">
        <f ca="1">IFERROR(__xludf.UNSUPPORTED("""COMPUTED_VALUE"""),"🚛 LIBERADO")</f>
        <v>🚛 LIBERADO</v>
      </c>
      <c r="F1963" s="5">
        <f ca="1">IFERROR(__xludf.UNSUPPORTED("""COMPUTED_VALUE"""),0)</f>
        <v>0</v>
      </c>
      <c r="G1963" s="3" t="str">
        <f ca="1">IFERROR(__xludf.UNSUPPORTED("""COMPUTED_VALUE"""),"Normalidade")</f>
        <v>Normalidade</v>
      </c>
      <c r="H1963" s="4">
        <f ca="1">IFERROR(__xludf.UNSUPPORTED("""COMPUTED_VALUE"""),45653.6771064814)</f>
        <v>45653.677106481402</v>
      </c>
      <c r="I1963" s="3">
        <f ca="1">IFERROR(__xludf.UNSUPPORTED("""COMPUTED_VALUE"""),24)</f>
        <v>24</v>
      </c>
      <c r="J1963" s="4">
        <f ca="1">IFERROR(__xludf.UNSUPPORTED("""COMPUTED_VALUE"""),45654.6771064814)</f>
        <v>45654.677106481402</v>
      </c>
      <c r="L1963" s="3" t="str">
        <f ca="1">IFERROR(__xludf.UNSUPPORTED("""COMPUTED_VALUE"""),"Normalidade")</f>
        <v>Normalidade</v>
      </c>
    </row>
    <row r="1964" spans="1:12" ht="12.75">
      <c r="A1964" s="3" t="str">
        <f ca="1">IFERROR(__xludf.UNSUPPORTED("""COMPUTED_VALUE"""),"eea29181")</f>
        <v>eea29181</v>
      </c>
      <c r="B1964" s="4">
        <f ca="1">IFERROR(__xludf.UNSUPPORTED("""COMPUTED_VALUE"""),45656.3661226851)</f>
        <v>45656.366122685104</v>
      </c>
      <c r="C1964" s="8" t="str">
        <f ca="1">IFERROR(__xludf.UNSUPPORTED("""COMPUTED_VALUE"""),"Recife")</f>
        <v>Recife</v>
      </c>
      <c r="D1964" s="3" t="str">
        <f ca="1">IFERROR(__xludf.UNSUPPORTED("""COMPUTED_VALUE"""),"🚢 REGULAR")</f>
        <v>🚢 REGULAR</v>
      </c>
      <c r="E1964" s="3" t="str">
        <f ca="1">IFERROR(__xludf.UNSUPPORTED("""COMPUTED_VALUE"""),"🚛 LIBERADO")</f>
        <v>🚛 LIBERADO</v>
      </c>
      <c r="F1964" s="5">
        <f ca="1">IFERROR(__xludf.UNSUPPORTED("""COMPUTED_VALUE"""),0)</f>
        <v>0</v>
      </c>
      <c r="G1964" s="3" t="str">
        <f ca="1">IFERROR(__xludf.UNSUPPORTED("""COMPUTED_VALUE"""),"Normalidade")</f>
        <v>Normalidade</v>
      </c>
      <c r="H1964" s="4">
        <f ca="1">IFERROR(__xludf.UNSUPPORTED("""COMPUTED_VALUE"""),45656.3661226851)</f>
        <v>45656.366122685104</v>
      </c>
      <c r="I1964" s="3">
        <f ca="1">IFERROR(__xludf.UNSUPPORTED("""COMPUTED_VALUE"""),24)</f>
        <v>24</v>
      </c>
      <c r="J1964" s="4">
        <f ca="1">IFERROR(__xludf.UNSUPPORTED("""COMPUTED_VALUE"""),45657.3661226851)</f>
        <v>45657.366122685104</v>
      </c>
    </row>
    <row r="1965" spans="1:12" ht="12.75">
      <c r="A1965" s="3" t="str">
        <f ca="1">IFERROR(__xludf.UNSUPPORTED("""COMPUTED_VALUE"""),"7a36f31e")</f>
        <v>7a36f31e</v>
      </c>
      <c r="B1965" s="4">
        <f ca="1">IFERROR(__xludf.UNSUPPORTED("""COMPUTED_VALUE"""),45659.3457523148)</f>
        <v>45659.345752314803</v>
      </c>
      <c r="C1965" s="7" t="str">
        <f ca="1">IFERROR(__xludf.UNSUPPORTED("""COMPUTED_VALUE"""),"Recife")</f>
        <v>Recife</v>
      </c>
      <c r="D1965" s="3" t="str">
        <f ca="1">IFERROR(__xludf.UNSUPPORTED("""COMPUTED_VALUE"""),"🚢 REGULAR")</f>
        <v>🚢 REGULAR</v>
      </c>
      <c r="E1965" s="3" t="str">
        <f ca="1">IFERROR(__xludf.UNSUPPORTED("""COMPUTED_VALUE"""),"🚛 LIBERADO")</f>
        <v>🚛 LIBERADO</v>
      </c>
      <c r="F1965" s="5">
        <f ca="1">IFERROR(__xludf.UNSUPPORTED("""COMPUTED_VALUE"""),0.25)</f>
        <v>0.25</v>
      </c>
      <c r="G1965" s="3" t="str">
        <f ca="1">IFERROR(__xludf.UNSUPPORTED("""COMPUTED_VALUE"""),"Regular")</f>
        <v>Regular</v>
      </c>
      <c r="H1965" s="4">
        <f ca="1">IFERROR(__xludf.UNSUPPORTED("""COMPUTED_VALUE"""),45659.3457523148)</f>
        <v>45659.345752314803</v>
      </c>
      <c r="I1965" s="3">
        <f ca="1">IFERROR(__xludf.UNSUPPORTED("""COMPUTED_VALUE"""),6)</f>
        <v>6</v>
      </c>
      <c r="J1965" s="4">
        <f ca="1">IFERROR(__xludf.UNSUPPORTED("""COMPUTED_VALUE"""),45659.5957523148)</f>
        <v>45659.595752314803</v>
      </c>
      <c r="K1965" s="3" t="str">
        <f ca="1">IFERROR(__xludf.UNSUPPORTED("""COMPUTED_VALUE"""),"Porto do Recife")</f>
        <v>Porto do Recife</v>
      </c>
      <c r="L1965" s="3" t="str">
        <f ca="1">IFERROR(__xludf.UNSUPPORTED("""COMPUTED_VALUE"""),"Crítico")</f>
        <v>Crítico</v>
      </c>
    </row>
    <row r="1966" spans="1:12" ht="12.75">
      <c r="A1966" s="3" t="str">
        <f ca="1">IFERROR(__xludf.UNSUPPORTED("""COMPUTED_VALUE"""),"dcc041d9")</f>
        <v>dcc041d9</v>
      </c>
      <c r="B1966" s="4">
        <f ca="1">IFERROR(__xludf.UNSUPPORTED("""COMPUTED_VALUE"""),45660.3959953703)</f>
        <v>45660.395995370302</v>
      </c>
      <c r="C1966" s="8" t="str">
        <f ca="1">IFERROR(__xludf.UNSUPPORTED("""COMPUTED_VALUE"""),"Recife")</f>
        <v>Recife</v>
      </c>
      <c r="D1966" s="3" t="str">
        <f ca="1">IFERROR(__xludf.UNSUPPORTED("""COMPUTED_VALUE"""),"🚢 REGULAR")</f>
        <v>🚢 REGULAR</v>
      </c>
      <c r="E1966" s="3" t="str">
        <f ca="1">IFERROR(__xludf.UNSUPPORTED("""COMPUTED_VALUE"""),"🚛 LIBERADO")</f>
        <v>🚛 LIBERADO</v>
      </c>
      <c r="F1966" s="5">
        <f ca="1">IFERROR(__xludf.UNSUPPORTED("""COMPUTED_VALUE"""),0.25)</f>
        <v>0.25</v>
      </c>
      <c r="G1966" s="3" t="str">
        <f ca="1">IFERROR(__xludf.UNSUPPORTED("""COMPUTED_VALUE"""),"Regular")</f>
        <v>Regular</v>
      </c>
      <c r="H1966" s="4">
        <f ca="1">IFERROR(__xludf.UNSUPPORTED("""COMPUTED_VALUE"""),45660.3959953703)</f>
        <v>45660.395995370302</v>
      </c>
      <c r="I1966" s="3">
        <f ca="1">IFERROR(__xludf.UNSUPPORTED("""COMPUTED_VALUE"""),6)</f>
        <v>6</v>
      </c>
      <c r="J1966" s="4">
        <f ca="1">IFERROR(__xludf.UNSUPPORTED("""COMPUTED_VALUE"""),45660.6459953703)</f>
        <v>45660.645995370302</v>
      </c>
      <c r="K1966" s="3" t="str">
        <f ca="1">IFERROR(__xludf.UNSUPPORTED("""COMPUTED_VALUE"""),"Porto do Recife")</f>
        <v>Porto do Recife</v>
      </c>
      <c r="L1966" s="3" t="str">
        <f ca="1">IFERROR(__xludf.UNSUPPORTED("""COMPUTED_VALUE"""),"Crítico")</f>
        <v>Crítico</v>
      </c>
    </row>
    <row r="1967" spans="1:12" ht="12.75">
      <c r="A1967" s="3" t="str">
        <f ca="1">IFERROR(__xludf.UNSUPPORTED("""COMPUTED_VALUE"""),"12057742")</f>
        <v>12057742</v>
      </c>
      <c r="B1967" s="4">
        <f ca="1">IFERROR(__xludf.UNSUPPORTED("""COMPUTED_VALUE"""),45661.3551851851)</f>
        <v>45661.355185185101</v>
      </c>
      <c r="C1967" s="7" t="str">
        <f ca="1">IFERROR(__xludf.UNSUPPORTED("""COMPUTED_VALUE"""),"Recife")</f>
        <v>Recife</v>
      </c>
      <c r="D1967" s="3" t="str">
        <f ca="1">IFERROR(__xludf.UNSUPPORTED("""COMPUTED_VALUE"""),"🚢 REGULAR")</f>
        <v>🚢 REGULAR</v>
      </c>
      <c r="E1967" s="3" t="str">
        <f ca="1">IFERROR(__xludf.UNSUPPORTED("""COMPUTED_VALUE"""),"🚛 LIBERADO")</f>
        <v>🚛 LIBERADO</v>
      </c>
      <c r="F1967" s="5">
        <f ca="1">IFERROR(__xludf.UNSUPPORTED("""COMPUTED_VALUE"""),0.25)</f>
        <v>0.25</v>
      </c>
      <c r="G1967" s="3" t="str">
        <f ca="1">IFERROR(__xludf.UNSUPPORTED("""COMPUTED_VALUE"""),"Regular")</f>
        <v>Regular</v>
      </c>
      <c r="H1967" s="4">
        <f ca="1">IFERROR(__xludf.UNSUPPORTED("""COMPUTED_VALUE"""),45661.3551851851)</f>
        <v>45661.355185185101</v>
      </c>
      <c r="I1967" s="3">
        <f ca="1">IFERROR(__xludf.UNSUPPORTED("""COMPUTED_VALUE"""),6)</f>
        <v>6</v>
      </c>
      <c r="J1967" s="4">
        <f ca="1">IFERROR(__xludf.UNSUPPORTED("""COMPUTED_VALUE"""),45661.6051851851)</f>
        <v>45661.605185185101</v>
      </c>
      <c r="K1967" s="3" t="str">
        <f ca="1">IFERROR(__xludf.UNSUPPORTED("""COMPUTED_VALUE"""),"Porto do Recife")</f>
        <v>Porto do Recife</v>
      </c>
      <c r="L1967" s="3" t="str">
        <f ca="1">IFERROR(__xludf.UNSUPPORTED("""COMPUTED_VALUE"""),"Crítico")</f>
        <v>Crítico</v>
      </c>
    </row>
    <row r="1968" spans="1:12" ht="12.75">
      <c r="A1968" s="3" t="str">
        <f ca="1">IFERROR(__xludf.UNSUPPORTED("""COMPUTED_VALUE"""),"8f1def2b")</f>
        <v>8f1def2b</v>
      </c>
      <c r="B1968" s="4">
        <f ca="1">IFERROR(__xludf.UNSUPPORTED("""COMPUTED_VALUE"""),45662.4528935185)</f>
        <v>45662.452893518501</v>
      </c>
      <c r="C1968" s="8" t="str">
        <f ca="1">IFERROR(__xludf.UNSUPPORTED("""COMPUTED_VALUE"""),"Recife")</f>
        <v>Recife</v>
      </c>
      <c r="D1968" s="3" t="str">
        <f ca="1">IFERROR(__xludf.UNSUPPORTED("""COMPUTED_VALUE"""),"🚢 REGULAR")</f>
        <v>🚢 REGULAR</v>
      </c>
      <c r="E1968" s="3" t="str">
        <f ca="1">IFERROR(__xludf.UNSUPPORTED("""COMPUTED_VALUE"""),"🚛 LIBERADO")</f>
        <v>🚛 LIBERADO</v>
      </c>
      <c r="F1968" s="5">
        <f ca="1">IFERROR(__xludf.UNSUPPORTED("""COMPUTED_VALUE"""),0.25)</f>
        <v>0.25</v>
      </c>
      <c r="G1968" s="3" t="str">
        <f ca="1">IFERROR(__xludf.UNSUPPORTED("""COMPUTED_VALUE"""),"Regular")</f>
        <v>Regular</v>
      </c>
      <c r="H1968" s="4">
        <f ca="1">IFERROR(__xludf.UNSUPPORTED("""COMPUTED_VALUE"""),45662.4528935185)</f>
        <v>45662.452893518501</v>
      </c>
      <c r="I1968" s="3">
        <f ca="1">IFERROR(__xludf.UNSUPPORTED("""COMPUTED_VALUE"""),6)</f>
        <v>6</v>
      </c>
      <c r="J1968" s="4">
        <f ca="1">IFERROR(__xludf.UNSUPPORTED("""COMPUTED_VALUE"""),45662.7028935185)</f>
        <v>45662.702893518501</v>
      </c>
      <c r="K1968" s="3" t="str">
        <f ca="1">IFERROR(__xludf.UNSUPPORTED("""COMPUTED_VALUE"""),"Porto do Recife")</f>
        <v>Porto do Recife</v>
      </c>
      <c r="L1968" s="3" t="str">
        <f ca="1">IFERROR(__xludf.UNSUPPORTED("""COMPUTED_VALUE"""),"Crítico")</f>
        <v>Crítico</v>
      </c>
    </row>
    <row r="1969" spans="1:12" ht="12.75">
      <c r="A1969" s="3" t="str">
        <f ca="1">IFERROR(__xludf.UNSUPPORTED("""COMPUTED_VALUE"""),"057e03af")</f>
        <v>057e03af</v>
      </c>
      <c r="B1969" s="4">
        <f ca="1">IFERROR(__xludf.UNSUPPORTED("""COMPUTED_VALUE"""),45663.4037962963)</f>
        <v>45663.403796296298</v>
      </c>
      <c r="C1969" s="7" t="str">
        <f ca="1">IFERROR(__xludf.UNSUPPORTED("""COMPUTED_VALUE"""),"Recife")</f>
        <v>Recife</v>
      </c>
      <c r="D1969" s="3" t="str">
        <f ca="1">IFERROR(__xludf.UNSUPPORTED("""COMPUTED_VALUE"""),"🚢 REGULAR")</f>
        <v>🚢 REGULAR</v>
      </c>
      <c r="E1969" s="3" t="str">
        <f ca="1">IFERROR(__xludf.UNSUPPORTED("""COMPUTED_VALUE"""),"🚛 LIBERADO")</f>
        <v>🚛 LIBERADO</v>
      </c>
      <c r="F1969" s="5">
        <f ca="1">IFERROR(__xludf.UNSUPPORTED("""COMPUTED_VALUE"""),0.25)</f>
        <v>0.25</v>
      </c>
      <c r="G1969" s="3" t="str">
        <f ca="1">IFERROR(__xludf.UNSUPPORTED("""COMPUTED_VALUE"""),"Regular")</f>
        <v>Regular</v>
      </c>
      <c r="H1969" s="4">
        <f ca="1">IFERROR(__xludf.UNSUPPORTED("""COMPUTED_VALUE"""),45663.4037962963)</f>
        <v>45663.403796296298</v>
      </c>
      <c r="I1969" s="3">
        <f ca="1">IFERROR(__xludf.UNSUPPORTED("""COMPUTED_VALUE"""),6)</f>
        <v>6</v>
      </c>
      <c r="J1969" s="4">
        <f ca="1">IFERROR(__xludf.UNSUPPORTED("""COMPUTED_VALUE"""),45663.6537962963)</f>
        <v>45663.653796296298</v>
      </c>
      <c r="K1969" s="3" t="str">
        <f ca="1">IFERROR(__xludf.UNSUPPORTED("""COMPUTED_VALUE"""),"Porto do Recife")</f>
        <v>Porto do Recife</v>
      </c>
      <c r="L1969" s="3" t="str">
        <f ca="1">IFERROR(__xludf.UNSUPPORTED("""COMPUTED_VALUE"""),"Crítico")</f>
        <v>Crítico</v>
      </c>
    </row>
    <row r="1970" spans="1:12" ht="12.75">
      <c r="A1970" s="3" t="str">
        <f ca="1">IFERROR(__xludf.UNSUPPORTED("""COMPUTED_VALUE"""),"c1d95e06")</f>
        <v>c1d95e06</v>
      </c>
      <c r="B1970" s="4">
        <f ca="1">IFERROR(__xludf.UNSUPPORTED("""COMPUTED_VALUE"""),45664.3787962962)</f>
        <v>45664.378796296201</v>
      </c>
      <c r="C1970" s="8" t="str">
        <f ca="1">IFERROR(__xludf.UNSUPPORTED("""COMPUTED_VALUE"""),"Recife")</f>
        <v>Recife</v>
      </c>
      <c r="D1970" s="3" t="str">
        <f ca="1">IFERROR(__xludf.UNSUPPORTED("""COMPUTED_VALUE"""),"🚢 REGULAR")</f>
        <v>🚢 REGULAR</v>
      </c>
      <c r="E1970" s="3" t="str">
        <f ca="1">IFERROR(__xludf.UNSUPPORTED("""COMPUTED_VALUE"""),"🚛 LIBERADO")</f>
        <v>🚛 LIBERADO</v>
      </c>
      <c r="F1970" s="5">
        <f ca="1">IFERROR(__xludf.UNSUPPORTED("""COMPUTED_VALUE"""),0.25)</f>
        <v>0.25</v>
      </c>
      <c r="G1970" s="3" t="str">
        <f ca="1">IFERROR(__xludf.UNSUPPORTED("""COMPUTED_VALUE"""),"Regular")</f>
        <v>Regular</v>
      </c>
      <c r="H1970" s="4">
        <f ca="1">IFERROR(__xludf.UNSUPPORTED("""COMPUTED_VALUE"""),45664.3787962962)</f>
        <v>45664.378796296201</v>
      </c>
      <c r="I1970" s="3">
        <f ca="1">IFERROR(__xludf.UNSUPPORTED("""COMPUTED_VALUE"""),6)</f>
        <v>6</v>
      </c>
      <c r="J1970" s="4">
        <f ca="1">IFERROR(__xludf.UNSUPPORTED("""COMPUTED_VALUE"""),45664.6287962962)</f>
        <v>45664.628796296201</v>
      </c>
      <c r="K1970" s="3" t="str">
        <f ca="1">IFERROR(__xludf.UNSUPPORTED("""COMPUTED_VALUE"""),"Porto do Recife")</f>
        <v>Porto do Recife</v>
      </c>
      <c r="L1970" s="3" t="str">
        <f ca="1">IFERROR(__xludf.UNSUPPORTED("""COMPUTED_VALUE"""),"Crítico")</f>
        <v>Crítico</v>
      </c>
    </row>
    <row r="1971" spans="1:12" ht="12.75">
      <c r="A1971" s="3" t="str">
        <f ca="1">IFERROR(__xludf.UNSUPPORTED("""COMPUTED_VALUE"""),"275925ea")</f>
        <v>275925ea</v>
      </c>
      <c r="B1971" s="4">
        <f ca="1">IFERROR(__xludf.UNSUPPORTED("""COMPUTED_VALUE"""),45665.4500462963)</f>
        <v>45665.450046296297</v>
      </c>
      <c r="C1971" s="7" t="str">
        <f ca="1">IFERROR(__xludf.UNSUPPORTED("""COMPUTED_VALUE"""),"Recife")</f>
        <v>Recife</v>
      </c>
      <c r="D1971" s="3" t="str">
        <f ca="1">IFERROR(__xludf.UNSUPPORTED("""COMPUTED_VALUE"""),"🚢 REGULAR")</f>
        <v>🚢 REGULAR</v>
      </c>
      <c r="E1971" s="3" t="str">
        <f ca="1">IFERROR(__xludf.UNSUPPORTED("""COMPUTED_VALUE"""),"🚛 LIBERADO")</f>
        <v>🚛 LIBERADO</v>
      </c>
      <c r="F1971" s="5">
        <f ca="1">IFERROR(__xludf.UNSUPPORTED("""COMPUTED_VALUE"""),0.25)</f>
        <v>0.25</v>
      </c>
      <c r="G1971" s="3" t="str">
        <f ca="1">IFERROR(__xludf.UNSUPPORTED("""COMPUTED_VALUE"""),"Regular")</f>
        <v>Regular</v>
      </c>
      <c r="H1971" s="4">
        <f ca="1">IFERROR(__xludf.UNSUPPORTED("""COMPUTED_VALUE"""),45665.4500462963)</f>
        <v>45665.450046296297</v>
      </c>
      <c r="I1971" s="3">
        <f ca="1">IFERROR(__xludf.UNSUPPORTED("""COMPUTED_VALUE"""),6)</f>
        <v>6</v>
      </c>
      <c r="J1971" s="4">
        <f ca="1">IFERROR(__xludf.UNSUPPORTED("""COMPUTED_VALUE"""),45665.7000462963)</f>
        <v>45665.700046296297</v>
      </c>
      <c r="K1971" s="3" t="str">
        <f ca="1">IFERROR(__xludf.UNSUPPORTED("""COMPUTED_VALUE"""),"Porto do Recife")</f>
        <v>Porto do Recife</v>
      </c>
      <c r="L1971" s="3" t="str">
        <f ca="1">IFERROR(__xludf.UNSUPPORTED("""COMPUTED_VALUE"""),"Crítico")</f>
        <v>Crítico</v>
      </c>
    </row>
    <row r="1972" spans="1:12" ht="12.75">
      <c r="A1972" s="3" t="str">
        <f ca="1">IFERROR(__xludf.UNSUPPORTED("""COMPUTED_VALUE"""),"87cb24c4")</f>
        <v>87cb24c4</v>
      </c>
      <c r="B1972" s="4">
        <f ca="1">IFERROR(__xludf.UNSUPPORTED("""COMPUTED_VALUE"""),45666.3897569444)</f>
        <v>45666.389756944402</v>
      </c>
      <c r="C1972" s="8" t="str">
        <f ca="1">IFERROR(__xludf.UNSUPPORTED("""COMPUTED_VALUE"""),"Recife")</f>
        <v>Recife</v>
      </c>
      <c r="D1972" s="3" t="str">
        <f ca="1">IFERROR(__xludf.UNSUPPORTED("""COMPUTED_VALUE"""),"🚢 REGULAR")</f>
        <v>🚢 REGULAR</v>
      </c>
      <c r="E1972" s="3" t="str">
        <f ca="1">IFERROR(__xludf.UNSUPPORTED("""COMPUTED_VALUE"""),"🚛 LIBERADO")</f>
        <v>🚛 LIBERADO</v>
      </c>
      <c r="F1972" s="5">
        <f ca="1">IFERROR(__xludf.UNSUPPORTED("""COMPUTED_VALUE"""),0.25)</f>
        <v>0.25</v>
      </c>
      <c r="G1972" s="3" t="str">
        <f ca="1">IFERROR(__xludf.UNSUPPORTED("""COMPUTED_VALUE"""),"Regular")</f>
        <v>Regular</v>
      </c>
      <c r="H1972" s="4">
        <f ca="1">IFERROR(__xludf.UNSUPPORTED("""COMPUTED_VALUE"""),45666.3897569444)</f>
        <v>45666.389756944402</v>
      </c>
      <c r="I1972" s="3">
        <f ca="1">IFERROR(__xludf.UNSUPPORTED("""COMPUTED_VALUE"""),6)</f>
        <v>6</v>
      </c>
      <c r="J1972" s="4">
        <f ca="1">IFERROR(__xludf.UNSUPPORTED("""COMPUTED_VALUE"""),45666.6397569444)</f>
        <v>45666.639756944402</v>
      </c>
      <c r="K1972" s="3" t="str">
        <f ca="1">IFERROR(__xludf.UNSUPPORTED("""COMPUTED_VALUE"""),"Porto do Recife")</f>
        <v>Porto do Recife</v>
      </c>
      <c r="L1972" s="3" t="str">
        <f ca="1">IFERROR(__xludf.UNSUPPORTED("""COMPUTED_VALUE"""),"Crítico")</f>
        <v>Crítico</v>
      </c>
    </row>
    <row r="1973" spans="1:12" ht="12.75">
      <c r="A1973" s="3" t="str">
        <f ca="1">IFERROR(__xludf.UNSUPPORTED("""COMPUTED_VALUE"""),"50e8dc0f")</f>
        <v>50e8dc0f</v>
      </c>
      <c r="B1973" s="4">
        <f ca="1">IFERROR(__xludf.UNSUPPORTED("""COMPUTED_VALUE"""),45667.3706481481)</f>
        <v>45667.370648148099</v>
      </c>
      <c r="C1973" s="8" t="str">
        <f ca="1">IFERROR(__xludf.UNSUPPORTED("""COMPUTED_VALUE"""),"Recife")</f>
        <v>Recife</v>
      </c>
      <c r="D1973" s="3" t="str">
        <f ca="1">IFERROR(__xludf.UNSUPPORTED("""COMPUTED_VALUE"""),"🚢 REGULAR")</f>
        <v>🚢 REGULAR</v>
      </c>
      <c r="E1973" s="3" t="str">
        <f ca="1">IFERROR(__xludf.UNSUPPORTED("""COMPUTED_VALUE"""),"🚛 LIBERADO")</f>
        <v>🚛 LIBERADO</v>
      </c>
      <c r="F1973" s="5">
        <f ca="1">IFERROR(__xludf.UNSUPPORTED("""COMPUTED_VALUE"""),0.25)</f>
        <v>0.25</v>
      </c>
      <c r="G1973" s="3" t="str">
        <f ca="1">IFERROR(__xludf.UNSUPPORTED("""COMPUTED_VALUE"""),"Regular")</f>
        <v>Regular</v>
      </c>
      <c r="H1973" s="4">
        <f ca="1">IFERROR(__xludf.UNSUPPORTED("""COMPUTED_VALUE"""),45667.3706481481)</f>
        <v>45667.370648148099</v>
      </c>
      <c r="I1973" s="3">
        <f ca="1">IFERROR(__xludf.UNSUPPORTED("""COMPUTED_VALUE"""),6)</f>
        <v>6</v>
      </c>
      <c r="J1973" s="4">
        <f ca="1">IFERROR(__xludf.UNSUPPORTED("""COMPUTED_VALUE"""),45667.6206481481)</f>
        <v>45667.620648148099</v>
      </c>
      <c r="K1973" s="3" t="str">
        <f ca="1">IFERROR(__xludf.UNSUPPORTED("""COMPUTED_VALUE"""),"Porto do Recife")</f>
        <v>Porto do Recife</v>
      </c>
      <c r="L1973" s="3" t="str">
        <f ca="1">IFERROR(__xludf.UNSUPPORTED("""COMPUTED_VALUE"""),"Crítico")</f>
        <v>Crítico</v>
      </c>
    </row>
    <row r="1974" spans="1:12" ht="12.75">
      <c r="A1974" s="3" t="str">
        <f ca="1">IFERROR(__xludf.UNSUPPORTED("""COMPUTED_VALUE"""),"fd66a41a")</f>
        <v>fd66a41a</v>
      </c>
      <c r="B1974" s="4">
        <f ca="1">IFERROR(__xludf.UNSUPPORTED("""COMPUTED_VALUE"""),45668.4760879629)</f>
        <v>45668.476087962903</v>
      </c>
      <c r="C1974" s="7" t="str">
        <f ca="1">IFERROR(__xludf.UNSUPPORTED("""COMPUTED_VALUE"""),"Recife")</f>
        <v>Recife</v>
      </c>
      <c r="D1974" s="3" t="str">
        <f ca="1">IFERROR(__xludf.UNSUPPORTED("""COMPUTED_VALUE"""),"🚢 REGULAR")</f>
        <v>🚢 REGULAR</v>
      </c>
      <c r="E1974" s="3" t="str">
        <f ca="1">IFERROR(__xludf.UNSUPPORTED("""COMPUTED_VALUE"""),"🚛 LIBERADO")</f>
        <v>🚛 LIBERADO</v>
      </c>
      <c r="F1974" s="5">
        <f ca="1">IFERROR(__xludf.UNSUPPORTED("""COMPUTED_VALUE"""),0.25)</f>
        <v>0.25</v>
      </c>
      <c r="G1974" s="3" t="str">
        <f ca="1">IFERROR(__xludf.UNSUPPORTED("""COMPUTED_VALUE"""),"Regular")</f>
        <v>Regular</v>
      </c>
      <c r="H1974" s="4">
        <f ca="1">IFERROR(__xludf.UNSUPPORTED("""COMPUTED_VALUE"""),45668.4760879629)</f>
        <v>45668.476087962903</v>
      </c>
      <c r="I1974" s="3">
        <f ca="1">IFERROR(__xludf.UNSUPPORTED("""COMPUTED_VALUE"""),6)</f>
        <v>6</v>
      </c>
      <c r="J1974" s="4">
        <f ca="1">IFERROR(__xludf.UNSUPPORTED("""COMPUTED_VALUE"""),45668.7260879629)</f>
        <v>45668.726087962903</v>
      </c>
      <c r="K1974" s="3" t="str">
        <f ca="1">IFERROR(__xludf.UNSUPPORTED("""COMPUTED_VALUE"""),"Porto do Recife")</f>
        <v>Porto do Recife</v>
      </c>
      <c r="L1974" s="3" t="str">
        <f ca="1">IFERROR(__xludf.UNSUPPORTED("""COMPUTED_VALUE"""),"Crítico")</f>
        <v>Crítico</v>
      </c>
    </row>
    <row r="1975" spans="1:12" ht="12.75">
      <c r="A1975" s="3" t="str">
        <f ca="1">IFERROR(__xludf.UNSUPPORTED("""COMPUTED_VALUE"""),"67749656")</f>
        <v>67749656</v>
      </c>
      <c r="B1975" s="4">
        <f ca="1">IFERROR(__xludf.UNSUPPORTED("""COMPUTED_VALUE"""),45669.489849537)</f>
        <v>45669.489849537</v>
      </c>
      <c r="C1975" s="8" t="str">
        <f ca="1">IFERROR(__xludf.UNSUPPORTED("""COMPUTED_VALUE"""),"Recife")</f>
        <v>Recife</v>
      </c>
      <c r="D1975" s="3" t="str">
        <f ca="1">IFERROR(__xludf.UNSUPPORTED("""COMPUTED_VALUE"""),"🚢 REGULAR")</f>
        <v>🚢 REGULAR</v>
      </c>
      <c r="E1975" s="3" t="str">
        <f ca="1">IFERROR(__xludf.UNSUPPORTED("""COMPUTED_VALUE"""),"🚛 LIBERADO")</f>
        <v>🚛 LIBERADO</v>
      </c>
      <c r="F1975" s="5">
        <f ca="1">IFERROR(__xludf.UNSUPPORTED("""COMPUTED_VALUE"""),0.25)</f>
        <v>0.25</v>
      </c>
      <c r="G1975" s="3" t="str">
        <f ca="1">IFERROR(__xludf.UNSUPPORTED("""COMPUTED_VALUE"""),"Regular")</f>
        <v>Regular</v>
      </c>
      <c r="H1975" s="4">
        <f ca="1">IFERROR(__xludf.UNSUPPORTED("""COMPUTED_VALUE"""),45669.489849537)</f>
        <v>45669.489849537</v>
      </c>
      <c r="I1975" s="3">
        <f ca="1">IFERROR(__xludf.UNSUPPORTED("""COMPUTED_VALUE"""),6)</f>
        <v>6</v>
      </c>
      <c r="J1975" s="4">
        <f ca="1">IFERROR(__xludf.UNSUPPORTED("""COMPUTED_VALUE"""),45669.739849537)</f>
        <v>45669.739849537</v>
      </c>
      <c r="K1975" s="3" t="str">
        <f ca="1">IFERROR(__xludf.UNSUPPORTED("""COMPUTED_VALUE"""),"Porto do Recife")</f>
        <v>Porto do Recife</v>
      </c>
      <c r="L1975" s="3" t="str">
        <f ca="1">IFERROR(__xludf.UNSUPPORTED("""COMPUTED_VALUE"""),"Crítico")</f>
        <v>Crítico</v>
      </c>
    </row>
    <row r="1976" spans="1:12" ht="12.75">
      <c r="A1976" s="3" t="str">
        <f ca="1">IFERROR(__xludf.UNSUPPORTED("""COMPUTED_VALUE"""),"19bbf6ea")</f>
        <v>19bbf6ea</v>
      </c>
      <c r="B1976" s="4">
        <f ca="1">IFERROR(__xludf.UNSUPPORTED("""COMPUTED_VALUE"""),45670.4105902777)</f>
        <v>45670.410590277701</v>
      </c>
      <c r="C1976" s="7" t="str">
        <f ca="1">IFERROR(__xludf.UNSUPPORTED("""COMPUTED_VALUE"""),"Recife")</f>
        <v>Recife</v>
      </c>
      <c r="D1976" s="3" t="str">
        <f ca="1">IFERROR(__xludf.UNSUPPORTED("""COMPUTED_VALUE"""),"🚢 REGULAR")</f>
        <v>🚢 REGULAR</v>
      </c>
      <c r="E1976" s="3" t="str">
        <f ca="1">IFERROR(__xludf.UNSUPPORTED("""COMPUTED_VALUE"""),"🚛 LIBERADO")</f>
        <v>🚛 LIBERADO</v>
      </c>
      <c r="F1976" s="5">
        <f ca="1">IFERROR(__xludf.UNSUPPORTED("""COMPUTED_VALUE"""),0.25)</f>
        <v>0.25</v>
      </c>
      <c r="G1976" s="3" t="str">
        <f ca="1">IFERROR(__xludf.UNSUPPORTED("""COMPUTED_VALUE"""),"Regular")</f>
        <v>Regular</v>
      </c>
      <c r="H1976" s="4">
        <f ca="1">IFERROR(__xludf.UNSUPPORTED("""COMPUTED_VALUE"""),45670.4105902777)</f>
        <v>45670.410590277701</v>
      </c>
      <c r="I1976" s="3">
        <f ca="1">IFERROR(__xludf.UNSUPPORTED("""COMPUTED_VALUE"""),6)</f>
        <v>6</v>
      </c>
      <c r="J1976" s="4">
        <f ca="1">IFERROR(__xludf.UNSUPPORTED("""COMPUTED_VALUE"""),45670.6605902777)</f>
        <v>45670.660590277701</v>
      </c>
      <c r="K1976" s="3" t="str">
        <f ca="1">IFERROR(__xludf.UNSUPPORTED("""COMPUTED_VALUE"""),"Porto do Recife")</f>
        <v>Porto do Recife</v>
      </c>
      <c r="L1976" s="3" t="str">
        <f ca="1">IFERROR(__xludf.UNSUPPORTED("""COMPUTED_VALUE"""),"Crítico")</f>
        <v>Crítico</v>
      </c>
    </row>
    <row r="1977" spans="1:12" ht="12.75">
      <c r="A1977" s="3" t="str">
        <f ca="1">IFERROR(__xludf.UNSUPPORTED("""COMPUTED_VALUE"""),"df597849")</f>
        <v>df597849</v>
      </c>
      <c r="B1977" s="4">
        <f ca="1">IFERROR(__xludf.UNSUPPORTED("""COMPUTED_VALUE"""),45671.3703472222)</f>
        <v>45671.370347222197</v>
      </c>
      <c r="C1977" s="8" t="str">
        <f ca="1">IFERROR(__xludf.UNSUPPORTED("""COMPUTED_VALUE"""),"Recife")</f>
        <v>Recife</v>
      </c>
      <c r="D1977" s="3" t="str">
        <f ca="1">IFERROR(__xludf.UNSUPPORTED("""COMPUTED_VALUE"""),"🚢 REGULAR")</f>
        <v>🚢 REGULAR</v>
      </c>
      <c r="E1977" s="3" t="str">
        <f ca="1">IFERROR(__xludf.UNSUPPORTED("""COMPUTED_VALUE"""),"🚛 LIBERADO")</f>
        <v>🚛 LIBERADO</v>
      </c>
      <c r="F1977" s="5">
        <f ca="1">IFERROR(__xludf.UNSUPPORTED("""COMPUTED_VALUE"""),0.25)</f>
        <v>0.25</v>
      </c>
      <c r="G1977" s="3" t="str">
        <f ca="1">IFERROR(__xludf.UNSUPPORTED("""COMPUTED_VALUE"""),"Regular")</f>
        <v>Regular</v>
      </c>
      <c r="H1977" s="4">
        <f ca="1">IFERROR(__xludf.UNSUPPORTED("""COMPUTED_VALUE"""),45671.3703472222)</f>
        <v>45671.370347222197</v>
      </c>
      <c r="I1977" s="3">
        <f ca="1">IFERROR(__xludf.UNSUPPORTED("""COMPUTED_VALUE"""),6)</f>
        <v>6</v>
      </c>
      <c r="J1977" s="4">
        <f ca="1">IFERROR(__xludf.UNSUPPORTED("""COMPUTED_VALUE"""),45671.6203472222)</f>
        <v>45671.620347222197</v>
      </c>
      <c r="K1977" s="3" t="str">
        <f ca="1">IFERROR(__xludf.UNSUPPORTED("""COMPUTED_VALUE"""),"Porto do Recife")</f>
        <v>Porto do Recife</v>
      </c>
      <c r="L1977" s="3" t="str">
        <f ca="1">IFERROR(__xludf.UNSUPPORTED("""COMPUTED_VALUE"""),"Crítico")</f>
        <v>Crítico</v>
      </c>
    </row>
    <row r="1978" spans="1:12" ht="12.75">
      <c r="A1978" s="3" t="str">
        <f ca="1">IFERROR(__xludf.UNSUPPORTED("""COMPUTED_VALUE"""),"af1ae011")</f>
        <v>af1ae011</v>
      </c>
      <c r="B1978" s="4">
        <f ca="1">IFERROR(__xludf.UNSUPPORTED("""COMPUTED_VALUE"""),45672.4091087962)</f>
        <v>45672.409108796201</v>
      </c>
      <c r="C1978" s="7" t="str">
        <f ca="1">IFERROR(__xludf.UNSUPPORTED("""COMPUTED_VALUE"""),"Recife")</f>
        <v>Recife</v>
      </c>
      <c r="D1978" s="3" t="str">
        <f ca="1">IFERROR(__xludf.UNSUPPORTED("""COMPUTED_VALUE"""),"🚢 REGULAR")</f>
        <v>🚢 REGULAR</v>
      </c>
      <c r="E1978" s="3" t="str">
        <f ca="1">IFERROR(__xludf.UNSUPPORTED("""COMPUTED_VALUE"""),"🚛 LIBERADO")</f>
        <v>🚛 LIBERADO</v>
      </c>
      <c r="F1978" s="5">
        <f ca="1">IFERROR(__xludf.UNSUPPORTED("""COMPUTED_VALUE"""),0.25)</f>
        <v>0.25</v>
      </c>
      <c r="G1978" s="3" t="str">
        <f ca="1">IFERROR(__xludf.UNSUPPORTED("""COMPUTED_VALUE"""),"Regular")</f>
        <v>Regular</v>
      </c>
      <c r="H1978" s="4">
        <f ca="1">IFERROR(__xludf.UNSUPPORTED("""COMPUTED_VALUE"""),45672.4091087962)</f>
        <v>45672.409108796201</v>
      </c>
      <c r="I1978" s="3">
        <f ca="1">IFERROR(__xludf.UNSUPPORTED("""COMPUTED_VALUE"""),6)</f>
        <v>6</v>
      </c>
      <c r="J1978" s="4">
        <f ca="1">IFERROR(__xludf.UNSUPPORTED("""COMPUTED_VALUE"""),45672.6591087962)</f>
        <v>45672.659108796201</v>
      </c>
      <c r="K1978" s="3" t="str">
        <f ca="1">IFERROR(__xludf.UNSUPPORTED("""COMPUTED_VALUE"""),"Porto do Recife")</f>
        <v>Porto do Recife</v>
      </c>
      <c r="L1978" s="3" t="str">
        <f ca="1">IFERROR(__xludf.UNSUPPORTED("""COMPUTED_VALUE"""),"Crítico")</f>
        <v>Crítico</v>
      </c>
    </row>
    <row r="1979" spans="1:12" ht="12.75">
      <c r="A1979" s="3" t="str">
        <f ca="1">IFERROR(__xludf.UNSUPPORTED("""COMPUTED_VALUE"""),"7703d6e7")</f>
        <v>7703d6e7</v>
      </c>
      <c r="B1979" s="4">
        <f ca="1">IFERROR(__xludf.UNSUPPORTED("""COMPUTED_VALUE"""),45673.4580902777)</f>
        <v>45673.458090277702</v>
      </c>
      <c r="C1979" s="8" t="str">
        <f ca="1">IFERROR(__xludf.UNSUPPORTED("""COMPUTED_VALUE"""),"Recife")</f>
        <v>Recife</v>
      </c>
      <c r="D1979" s="3" t="str">
        <f ca="1">IFERROR(__xludf.UNSUPPORTED("""COMPUTED_VALUE"""),"🚢 REGULAR")</f>
        <v>🚢 REGULAR</v>
      </c>
      <c r="E1979" s="3" t="str">
        <f ca="1">IFERROR(__xludf.UNSUPPORTED("""COMPUTED_VALUE"""),"🚛 LIBERADO")</f>
        <v>🚛 LIBERADO</v>
      </c>
      <c r="F1979" s="5">
        <f ca="1">IFERROR(__xludf.UNSUPPORTED("""COMPUTED_VALUE"""),0)</f>
        <v>0</v>
      </c>
      <c r="G1979" s="3" t="str">
        <f ca="1">IFERROR(__xludf.UNSUPPORTED("""COMPUTED_VALUE"""),"Normalidade")</f>
        <v>Normalidade</v>
      </c>
      <c r="H1979" s="4">
        <f ca="1">IFERROR(__xludf.UNSUPPORTED("""COMPUTED_VALUE"""),45673.4580902777)</f>
        <v>45673.458090277702</v>
      </c>
      <c r="I1979" s="3">
        <f ca="1">IFERROR(__xludf.UNSUPPORTED("""COMPUTED_VALUE"""),24)</f>
        <v>24</v>
      </c>
      <c r="J1979" s="4">
        <f ca="1">IFERROR(__xludf.UNSUPPORTED("""COMPUTED_VALUE"""),45674.4580902777)</f>
        <v>45674.458090277702</v>
      </c>
    </row>
    <row r="1980" spans="1:12" ht="12.75">
      <c r="A1980" s="3" t="str">
        <f ca="1">IFERROR(__xludf.UNSUPPORTED("""COMPUTED_VALUE"""),"6782f081")</f>
        <v>6782f081</v>
      </c>
      <c r="B1980" s="4">
        <f ca="1">IFERROR(__xludf.UNSUPPORTED("""COMPUTED_VALUE"""),45677.7331712962)</f>
        <v>45677.733171296197</v>
      </c>
      <c r="C1980" s="7" t="str">
        <f ca="1">IFERROR(__xludf.UNSUPPORTED("""COMPUTED_VALUE"""),"Recife")</f>
        <v>Recife</v>
      </c>
      <c r="D1980" s="3" t="str">
        <f ca="1">IFERROR(__xludf.UNSUPPORTED("""COMPUTED_VALUE"""),"🚢 REGULAR")</f>
        <v>🚢 REGULAR</v>
      </c>
      <c r="E1980" s="3" t="str">
        <f ca="1">IFERROR(__xludf.UNSUPPORTED("""COMPUTED_VALUE"""),"🚛 LIBERADO")</f>
        <v>🚛 LIBERADO</v>
      </c>
      <c r="F1980" s="5">
        <f ca="1">IFERROR(__xludf.UNSUPPORTED("""COMPUTED_VALUE"""),0)</f>
        <v>0</v>
      </c>
      <c r="G1980" s="3" t="str">
        <f ca="1">IFERROR(__xludf.UNSUPPORTED("""COMPUTED_VALUE"""),"Normalidade")</f>
        <v>Normalidade</v>
      </c>
      <c r="H1980" s="4">
        <f ca="1">IFERROR(__xludf.UNSUPPORTED("""COMPUTED_VALUE"""),45677.7331712962)</f>
        <v>45677.733171296197</v>
      </c>
      <c r="I1980" s="3">
        <f ca="1">IFERROR(__xludf.UNSUPPORTED("""COMPUTED_VALUE"""),24)</f>
        <v>24</v>
      </c>
      <c r="J1980" s="4">
        <f ca="1">IFERROR(__xludf.UNSUPPORTED("""COMPUTED_VALUE"""),45678.7331712962)</f>
        <v>45678.733171296197</v>
      </c>
    </row>
    <row r="1981" spans="1:12" ht="12.75">
      <c r="A1981" s="3" t="str">
        <f ca="1">IFERROR(__xludf.UNSUPPORTED("""COMPUTED_VALUE"""),"3a623064")</f>
        <v>3a623064</v>
      </c>
      <c r="B1981" s="4">
        <f ca="1">IFERROR(__xludf.UNSUPPORTED("""COMPUTED_VALUE"""),45679.379537037)</f>
        <v>45679.379537036999</v>
      </c>
      <c r="C1981" s="8" t="str">
        <f ca="1">IFERROR(__xludf.UNSUPPORTED("""COMPUTED_VALUE"""),"Recife")</f>
        <v>Recife</v>
      </c>
      <c r="D1981" s="3" t="str">
        <f ca="1">IFERROR(__xludf.UNSUPPORTED("""COMPUTED_VALUE"""),"🚢 REGULAR")</f>
        <v>🚢 REGULAR</v>
      </c>
      <c r="E1981" s="3" t="str">
        <f ca="1">IFERROR(__xludf.UNSUPPORTED("""COMPUTED_VALUE"""),"🚛 LIBERADO")</f>
        <v>🚛 LIBERADO</v>
      </c>
      <c r="F1981" s="5">
        <f ca="1">IFERROR(__xludf.UNSUPPORTED("""COMPUTED_VALUE"""),0)</f>
        <v>0</v>
      </c>
      <c r="G1981" s="3" t="str">
        <f ca="1">IFERROR(__xludf.UNSUPPORTED("""COMPUTED_VALUE"""),"Normalidade")</f>
        <v>Normalidade</v>
      </c>
      <c r="H1981" s="4">
        <f ca="1">IFERROR(__xludf.UNSUPPORTED("""COMPUTED_VALUE"""),45679.379537037)</f>
        <v>45679.379537036999</v>
      </c>
      <c r="I1981" s="3">
        <f ca="1">IFERROR(__xludf.UNSUPPORTED("""COMPUTED_VALUE"""),24)</f>
        <v>24</v>
      </c>
      <c r="J1981" s="4">
        <f ca="1">IFERROR(__xludf.UNSUPPORTED("""COMPUTED_VALUE"""),45680.379537037)</f>
        <v>45680.379537036999</v>
      </c>
    </row>
    <row r="1982" spans="1:12" ht="12.75">
      <c r="A1982" s="3" t="str">
        <f ca="1">IFERROR(__xludf.UNSUPPORTED("""COMPUTED_VALUE"""),"e9bd56a8")</f>
        <v>e9bd56a8</v>
      </c>
      <c r="B1982" s="4">
        <f ca="1">IFERROR(__xludf.UNSUPPORTED("""COMPUTED_VALUE"""),45681.5018055555)</f>
        <v>45681.501805555497</v>
      </c>
      <c r="C1982" s="7" t="str">
        <f ca="1">IFERROR(__xludf.UNSUPPORTED("""COMPUTED_VALUE"""),"Recife")</f>
        <v>Recife</v>
      </c>
      <c r="D1982" s="3" t="str">
        <f ca="1">IFERROR(__xludf.UNSUPPORTED("""COMPUTED_VALUE"""),"🚢 REGULAR")</f>
        <v>🚢 REGULAR</v>
      </c>
      <c r="E1982" s="3" t="str">
        <f ca="1">IFERROR(__xludf.UNSUPPORTED("""COMPUTED_VALUE"""),"🚛 LIBERADO")</f>
        <v>🚛 LIBERADO</v>
      </c>
      <c r="F1982" s="5">
        <f ca="1">IFERROR(__xludf.UNSUPPORTED("""COMPUTED_VALUE"""),0)</f>
        <v>0</v>
      </c>
      <c r="G1982" s="3" t="str">
        <f ca="1">IFERROR(__xludf.UNSUPPORTED("""COMPUTED_VALUE"""),"Normalidade")</f>
        <v>Normalidade</v>
      </c>
      <c r="H1982" s="4">
        <f ca="1">IFERROR(__xludf.UNSUPPORTED("""COMPUTED_VALUE"""),45681.5018055555)</f>
        <v>45681.501805555497</v>
      </c>
      <c r="I1982" s="3">
        <f ca="1">IFERROR(__xludf.UNSUPPORTED("""COMPUTED_VALUE"""),24)</f>
        <v>24</v>
      </c>
      <c r="J1982" s="4">
        <f ca="1">IFERROR(__xludf.UNSUPPORTED("""COMPUTED_VALUE"""),45682.5018055555)</f>
        <v>45682.501805555497</v>
      </c>
    </row>
    <row r="1983" spans="1:12" ht="12.75">
      <c r="A1983" s="3" t="str">
        <f ca="1">IFERROR(__xludf.UNSUPPORTED("""COMPUTED_VALUE"""),"fe7b2881")</f>
        <v>fe7b2881</v>
      </c>
      <c r="B1983" s="4">
        <f ca="1">IFERROR(__xludf.UNSUPPORTED("""COMPUTED_VALUE"""),45684.6583333333)</f>
        <v>45684.658333333296</v>
      </c>
      <c r="C1983" s="8" t="str">
        <f ca="1">IFERROR(__xludf.UNSUPPORTED("""COMPUTED_VALUE"""),"Recife")</f>
        <v>Recife</v>
      </c>
      <c r="D1983" s="3" t="str">
        <f ca="1">IFERROR(__xludf.UNSUPPORTED("""COMPUTED_VALUE"""),"🚢 REGULAR")</f>
        <v>🚢 REGULAR</v>
      </c>
      <c r="E1983" s="3" t="str">
        <f ca="1">IFERROR(__xludf.UNSUPPORTED("""COMPUTED_VALUE"""),"🚛 LIBERADO")</f>
        <v>🚛 LIBERADO</v>
      </c>
      <c r="F1983" s="5">
        <f ca="1">IFERROR(__xludf.UNSUPPORTED("""COMPUTED_VALUE"""),0)</f>
        <v>0</v>
      </c>
      <c r="G1983" s="3" t="str">
        <f ca="1">IFERROR(__xludf.UNSUPPORTED("""COMPUTED_VALUE"""),"Normalidade")</f>
        <v>Normalidade</v>
      </c>
      <c r="H1983" s="4">
        <f ca="1">IFERROR(__xludf.UNSUPPORTED("""COMPUTED_VALUE"""),45684.6583333333)</f>
        <v>45684.658333333296</v>
      </c>
      <c r="I1983" s="3">
        <f ca="1">IFERROR(__xludf.UNSUPPORTED("""COMPUTED_VALUE"""),24)</f>
        <v>24</v>
      </c>
      <c r="J1983" s="4">
        <f ca="1">IFERROR(__xludf.UNSUPPORTED("""COMPUTED_VALUE"""),45685.6583333333)</f>
        <v>45685.658333333296</v>
      </c>
    </row>
    <row r="1984" spans="1:12" ht="12.75">
      <c r="A1984" s="3" t="str">
        <f ca="1">IFERROR(__xludf.UNSUPPORTED("""COMPUTED_VALUE"""),"a291eed0")</f>
        <v>a291eed0</v>
      </c>
      <c r="B1984" s="4">
        <f ca="1">IFERROR(__xludf.UNSUPPORTED("""COMPUTED_VALUE"""),45686.6852199074)</f>
        <v>45686.685219907398</v>
      </c>
      <c r="C1984" s="7" t="str">
        <f ca="1">IFERROR(__xludf.UNSUPPORTED("""COMPUTED_VALUE"""),"Recife")</f>
        <v>Recife</v>
      </c>
      <c r="D1984" s="3" t="str">
        <f ca="1">IFERROR(__xludf.UNSUPPORTED("""COMPUTED_VALUE"""),"🚢 REGULAR")</f>
        <v>🚢 REGULAR</v>
      </c>
      <c r="E1984" s="3" t="str">
        <f ca="1">IFERROR(__xludf.UNSUPPORTED("""COMPUTED_VALUE"""),"🚛 LIBERADO")</f>
        <v>🚛 LIBERADO</v>
      </c>
      <c r="F1984" s="5">
        <f ca="1">IFERROR(__xludf.UNSUPPORTED("""COMPUTED_VALUE"""),0)</f>
        <v>0</v>
      </c>
      <c r="G1984" s="3" t="str">
        <f ca="1">IFERROR(__xludf.UNSUPPORTED("""COMPUTED_VALUE"""),"Normalidade")</f>
        <v>Normalidade</v>
      </c>
      <c r="H1984" s="4">
        <f ca="1">IFERROR(__xludf.UNSUPPORTED("""COMPUTED_VALUE"""),45686.6852199074)</f>
        <v>45686.685219907398</v>
      </c>
      <c r="I1984" s="3">
        <f ca="1">IFERROR(__xludf.UNSUPPORTED("""COMPUTED_VALUE"""),24)</f>
        <v>24</v>
      </c>
      <c r="J1984" s="4">
        <f ca="1">IFERROR(__xludf.UNSUPPORTED("""COMPUTED_VALUE"""),45687.6852199074)</f>
        <v>45687.685219907398</v>
      </c>
    </row>
    <row r="1985" spans="1:12" ht="12.75">
      <c r="A1985" s="3" t="str">
        <f ca="1">IFERROR(__xludf.UNSUPPORTED("""COMPUTED_VALUE"""),"17b8b048")</f>
        <v>17b8b048</v>
      </c>
      <c r="B1985" s="4">
        <f ca="1">IFERROR(__xludf.UNSUPPORTED("""COMPUTED_VALUE"""),44866.4182291666)</f>
        <v>44866.4182291666</v>
      </c>
      <c r="C1985" s="8" t="str">
        <f ca="1">IFERROR(__xludf.UNSUPPORTED("""COMPUTED_VALUE"""),"Rio de Janeiro")</f>
        <v>Rio de Janeiro</v>
      </c>
      <c r="D1985" s="3" t="str">
        <f ca="1">IFERROR(__xludf.UNSUPPORTED("""COMPUTED_VALUE"""),"🚢 REGULAR")</f>
        <v>🚢 REGULAR</v>
      </c>
      <c r="E1985" s="3" t="str">
        <f ca="1">IFERROR(__xludf.UNSUPPORTED("""COMPUTED_VALUE"""),"🚛 LIBERADO")</f>
        <v>🚛 LIBERADO</v>
      </c>
      <c r="F1985" s="5">
        <f ca="1">IFERROR(__xludf.UNSUPPORTED("""COMPUTED_VALUE"""),0)</f>
        <v>0</v>
      </c>
      <c r="G1985" s="3" t="str">
        <f ca="1">IFERROR(__xludf.UNSUPPORTED("""COMPUTED_VALUE"""),"Situação normal.")</f>
        <v>Situação normal.</v>
      </c>
      <c r="H1985" s="4">
        <f ca="1">IFERROR(__xludf.UNSUPPORTED("""COMPUTED_VALUE"""),44866.4182291666)</f>
        <v>44866.4182291666</v>
      </c>
      <c r="I1985" s="3">
        <f ca="1">IFERROR(__xludf.UNSUPPORTED("""COMPUTED_VALUE"""),8)</f>
        <v>8</v>
      </c>
      <c r="J1985" s="4">
        <f ca="1">IFERROR(__xludf.UNSUPPORTED("""COMPUTED_VALUE"""),44866.7515625)</f>
        <v>44866.751562500001</v>
      </c>
    </row>
    <row r="1986" spans="1:12" ht="12.75">
      <c r="A1986" s="3" t="str">
        <f ca="1">IFERROR(__xludf.UNSUPPORTED("""COMPUTED_VALUE"""),"98c63162")</f>
        <v>98c63162</v>
      </c>
      <c r="B1986" s="4">
        <f ca="1">IFERROR(__xludf.UNSUPPORTED("""COMPUTED_VALUE"""),44868.4218981481)</f>
        <v>44868.421898148103</v>
      </c>
      <c r="C1986" s="7" t="str">
        <f ca="1">IFERROR(__xludf.UNSUPPORTED("""COMPUTED_VALUE"""),"Rio de Janeiro")</f>
        <v>Rio de Janeiro</v>
      </c>
      <c r="D1986" s="3" t="str">
        <f ca="1">IFERROR(__xludf.UNSUPPORTED("""COMPUTED_VALUE"""),"🚢 REGULAR")</f>
        <v>🚢 REGULAR</v>
      </c>
      <c r="E1986" s="3" t="str">
        <f ca="1">IFERROR(__xludf.UNSUPPORTED("""COMPUTED_VALUE"""),"🚛 LIBERADO")</f>
        <v>🚛 LIBERADO</v>
      </c>
      <c r="F1986" s="5">
        <f ca="1">IFERROR(__xludf.UNSUPPORTED("""COMPUTED_VALUE"""),0)</f>
        <v>0</v>
      </c>
      <c r="G1986" s="3" t="str">
        <f ca="1">IFERROR(__xludf.UNSUPPORTED("""COMPUTED_VALUE"""),"Normal")</f>
        <v>Normal</v>
      </c>
      <c r="H1986" s="4">
        <f ca="1">IFERROR(__xludf.UNSUPPORTED("""COMPUTED_VALUE"""),44868.4218981481)</f>
        <v>44868.421898148103</v>
      </c>
      <c r="I1986" s="3">
        <f ca="1">IFERROR(__xludf.UNSUPPORTED("""COMPUTED_VALUE"""),8)</f>
        <v>8</v>
      </c>
      <c r="J1986" s="4">
        <f ca="1">IFERROR(__xludf.UNSUPPORTED("""COMPUTED_VALUE"""),44868.7552314814)</f>
        <v>44868.755231481402</v>
      </c>
    </row>
    <row r="1987" spans="1:12" ht="12.75">
      <c r="A1987" s="3" t="str">
        <f ca="1">IFERROR(__xludf.UNSUPPORTED("""COMPUTED_VALUE"""),"99f9f10b")</f>
        <v>99f9f10b</v>
      </c>
      <c r="B1987" s="4">
        <f ca="1">IFERROR(__xludf.UNSUPPORTED("""COMPUTED_VALUE"""),44869.4478472222)</f>
        <v>44869.447847222204</v>
      </c>
      <c r="C1987" s="8" t="str">
        <f ca="1">IFERROR(__xludf.UNSUPPORTED("""COMPUTED_VALUE"""),"Rio de Janeiro")</f>
        <v>Rio de Janeiro</v>
      </c>
      <c r="D1987" s="3" t="str">
        <f ca="1">IFERROR(__xludf.UNSUPPORTED("""COMPUTED_VALUE"""),"🚢 REGULAR")</f>
        <v>🚢 REGULAR</v>
      </c>
      <c r="E1987" s="3" t="str">
        <f ca="1">IFERROR(__xludf.UNSUPPORTED("""COMPUTED_VALUE"""),"🚛 LIBERADO")</f>
        <v>🚛 LIBERADO</v>
      </c>
      <c r="F1987" s="5">
        <f ca="1">IFERROR(__xludf.UNSUPPORTED("""COMPUTED_VALUE"""),0)</f>
        <v>0</v>
      </c>
      <c r="G1987" s="3" t="str">
        <f ca="1">IFERROR(__xludf.UNSUPPORTED("""COMPUTED_VALUE"""),"Situação normal.")</f>
        <v>Situação normal.</v>
      </c>
      <c r="H1987" s="4">
        <f ca="1">IFERROR(__xludf.UNSUPPORTED("""COMPUTED_VALUE"""),44869.4478472222)</f>
        <v>44869.447847222204</v>
      </c>
      <c r="I1987" s="3">
        <f ca="1">IFERROR(__xludf.UNSUPPORTED("""COMPUTED_VALUE"""),24)</f>
        <v>24</v>
      </c>
      <c r="J1987" s="4">
        <f ca="1">IFERROR(__xludf.UNSUPPORTED("""COMPUTED_VALUE"""),44870.4478472222)</f>
        <v>44870.447847222204</v>
      </c>
    </row>
    <row r="1988" spans="1:12" ht="12.75">
      <c r="A1988" s="3" t="str">
        <f ca="1">IFERROR(__xludf.UNSUPPORTED("""COMPUTED_VALUE"""),"ffdb0f6a")</f>
        <v>ffdb0f6a</v>
      </c>
      <c r="B1988" s="4">
        <f ca="1">IFERROR(__xludf.UNSUPPORTED("""COMPUTED_VALUE"""),44883.6232407407)</f>
        <v>44883.623240740701</v>
      </c>
      <c r="C1988" s="8" t="str">
        <f ca="1">IFERROR(__xludf.UNSUPPORTED("""COMPUTED_VALUE"""),"Rio de Janeiro")</f>
        <v>Rio de Janeiro</v>
      </c>
      <c r="D1988" s="3" t="str">
        <f ca="1">IFERROR(__xludf.UNSUPPORTED("""COMPUTED_VALUE"""),"🚢 REGULAR")</f>
        <v>🚢 REGULAR</v>
      </c>
      <c r="E1988" s="3" t="str">
        <f ca="1">IFERROR(__xludf.UNSUPPORTED("""COMPUTED_VALUE"""),"🚛 LIBERADO")</f>
        <v>🚛 LIBERADO</v>
      </c>
      <c r="F1988" s="5">
        <f ca="1">IFERROR(__xludf.UNSUPPORTED("""COMPUTED_VALUE"""),0)</f>
        <v>0</v>
      </c>
      <c r="G1988" s="3" t="str">
        <f ca="1">IFERROR(__xludf.UNSUPPORTED("""COMPUTED_VALUE"""),"Situação normal")</f>
        <v>Situação normal</v>
      </c>
      <c r="H1988" s="4">
        <f ca="1">IFERROR(__xludf.UNSUPPORTED("""COMPUTED_VALUE"""),44883.6232407407)</f>
        <v>44883.623240740701</v>
      </c>
      <c r="I1988" s="3">
        <f ca="1">IFERROR(__xludf.UNSUPPORTED("""COMPUTED_VALUE"""),24)</f>
        <v>24</v>
      </c>
      <c r="J1988" s="4">
        <f ca="1">IFERROR(__xludf.UNSUPPORTED("""COMPUTED_VALUE"""),44884.6232407407)</f>
        <v>44884.623240740701</v>
      </c>
    </row>
    <row r="1989" spans="1:12" ht="12.75">
      <c r="A1989" s="3" t="str">
        <f ca="1">IFERROR(__xludf.UNSUPPORTED("""COMPUTED_VALUE"""),"a3a13382")</f>
        <v>a3a13382</v>
      </c>
      <c r="B1989" s="4">
        <f ca="1">IFERROR(__xludf.UNSUPPORTED("""COMPUTED_VALUE"""),44885.4049768518)</f>
        <v>44885.404976851802</v>
      </c>
      <c r="C1989" s="7" t="str">
        <f ca="1">IFERROR(__xludf.UNSUPPORTED("""COMPUTED_VALUE"""),"Rio de Janeiro")</f>
        <v>Rio de Janeiro</v>
      </c>
      <c r="D1989" s="3" t="str">
        <f ca="1">IFERROR(__xludf.UNSUPPORTED("""COMPUTED_VALUE"""),"🚢 REGULAR")</f>
        <v>🚢 REGULAR</v>
      </c>
      <c r="E1989" s="3" t="str">
        <f ca="1">IFERROR(__xludf.UNSUPPORTED("""COMPUTED_VALUE"""),"🚛 LIBERADO")</f>
        <v>🚛 LIBERADO</v>
      </c>
      <c r="F1989" s="5">
        <f ca="1">IFERROR(__xludf.UNSUPPORTED("""COMPUTED_VALUE"""),0)</f>
        <v>0</v>
      </c>
      <c r="G1989" s="3" t="str">
        <f ca="1">IFERROR(__xludf.UNSUPPORTED("""COMPUTED_VALUE"""),"Situação Normal")</f>
        <v>Situação Normal</v>
      </c>
      <c r="H1989" s="4">
        <f ca="1">IFERROR(__xludf.UNSUPPORTED("""COMPUTED_VALUE"""),44887.9827546296)</f>
        <v>44887.9827546296</v>
      </c>
      <c r="I1989" s="3">
        <f ca="1">IFERROR(__xludf.UNSUPPORTED("""COMPUTED_VALUE"""),24)</f>
        <v>24</v>
      </c>
      <c r="J1989" s="4">
        <f ca="1">IFERROR(__xludf.UNSUPPORTED("""COMPUTED_VALUE"""),44888.9827546296)</f>
        <v>44888.9827546296</v>
      </c>
    </row>
    <row r="1990" spans="1:12" ht="12.75">
      <c r="A1990" s="3" t="str">
        <f ca="1">IFERROR(__xludf.UNSUPPORTED("""COMPUTED_VALUE"""),"e0a3a7ac")</f>
        <v>e0a3a7ac</v>
      </c>
      <c r="B1990" s="4">
        <f ca="1">IFERROR(__xludf.UNSUPPORTED("""COMPUTED_VALUE"""),44890.2491087963)</f>
        <v>44890.249108796299</v>
      </c>
      <c r="C1990" s="8" t="str">
        <f ca="1">IFERROR(__xludf.UNSUPPORTED("""COMPUTED_VALUE"""),"Rio de Janeiro")</f>
        <v>Rio de Janeiro</v>
      </c>
      <c r="D1990" s="3" t="str">
        <f ca="1">IFERROR(__xludf.UNSUPPORTED("""COMPUTED_VALUE"""),"🚢 REGULAR")</f>
        <v>🚢 REGULAR</v>
      </c>
      <c r="E1990" s="3" t="str">
        <f ca="1">IFERROR(__xludf.UNSUPPORTED("""COMPUTED_VALUE"""),"🚛 LIBERADO")</f>
        <v>🚛 LIBERADO</v>
      </c>
      <c r="F1990" s="5">
        <f ca="1">IFERROR(__xludf.UNSUPPORTED("""COMPUTED_VALUE"""),0)</f>
        <v>0</v>
      </c>
      <c r="G1990" s="3" t="str">
        <f ca="1">IFERROR(__xludf.UNSUPPORTED("""COMPUTED_VALUE"""),"Situação Normal")</f>
        <v>Situação Normal</v>
      </c>
      <c r="H1990" s="4">
        <f ca="1">IFERROR(__xludf.UNSUPPORTED("""COMPUTED_VALUE"""),44890.2491087963)</f>
        <v>44890.249108796299</v>
      </c>
      <c r="I1990" s="3">
        <f ca="1">IFERROR(__xludf.UNSUPPORTED("""COMPUTED_VALUE"""),24)</f>
        <v>24</v>
      </c>
      <c r="J1990" s="4">
        <f ca="1">IFERROR(__xludf.UNSUPPORTED("""COMPUTED_VALUE"""),44891.2491087963)</f>
        <v>44891.249108796299</v>
      </c>
    </row>
    <row r="1991" spans="1:12" ht="12.75">
      <c r="A1991" s="3" t="str">
        <f ca="1">IFERROR(__xludf.UNSUPPORTED("""COMPUTED_VALUE"""),"285b6edb")</f>
        <v>285b6edb</v>
      </c>
      <c r="B1991" s="4">
        <f ca="1">IFERROR(__xludf.UNSUPPORTED("""COMPUTED_VALUE"""),44893.4011805555)</f>
        <v>44893.401180555498</v>
      </c>
      <c r="C1991" s="7" t="str">
        <f ca="1">IFERROR(__xludf.UNSUPPORTED("""COMPUTED_VALUE"""),"Rio de Janeiro")</f>
        <v>Rio de Janeiro</v>
      </c>
      <c r="D1991" s="3" t="str">
        <f ca="1">IFERROR(__xludf.UNSUPPORTED("""COMPUTED_VALUE"""),"🚢 REGULAR")</f>
        <v>🚢 REGULAR</v>
      </c>
      <c r="E1991" s="3" t="str">
        <f ca="1">IFERROR(__xludf.UNSUPPORTED("""COMPUTED_VALUE"""),"🚛 LIBERADO")</f>
        <v>🚛 LIBERADO</v>
      </c>
      <c r="F1991" s="5">
        <f ca="1">IFERROR(__xludf.UNSUPPORTED("""COMPUTED_VALUE"""),0)</f>
        <v>0</v>
      </c>
      <c r="G1991" s="3" t="str">
        <f ca="1">IFERROR(__xludf.UNSUPPORTED("""COMPUTED_VALUE"""),"Situação normal")</f>
        <v>Situação normal</v>
      </c>
      <c r="H1991" s="4">
        <f ca="1">IFERROR(__xludf.UNSUPPORTED("""COMPUTED_VALUE"""),44893.4011805555)</f>
        <v>44893.401180555498</v>
      </c>
      <c r="I1991" s="3">
        <f ca="1">IFERROR(__xludf.UNSUPPORTED("""COMPUTED_VALUE"""),24)</f>
        <v>24</v>
      </c>
      <c r="J1991" s="4">
        <f ca="1">IFERROR(__xludf.UNSUPPORTED("""COMPUTED_VALUE"""),44894.4011805555)</f>
        <v>44894.401180555498</v>
      </c>
    </row>
    <row r="1992" spans="1:12" ht="12.75">
      <c r="A1992" s="3" t="str">
        <f ca="1">IFERROR(__xludf.UNSUPPORTED("""COMPUTED_VALUE"""),"f590772b")</f>
        <v>f590772b</v>
      </c>
      <c r="B1992" s="4">
        <f ca="1">IFERROR(__xludf.UNSUPPORTED("""COMPUTED_VALUE"""),44894.4250810185)</f>
        <v>44894.425081018497</v>
      </c>
      <c r="C1992" s="8" t="str">
        <f ca="1">IFERROR(__xludf.UNSUPPORTED("""COMPUTED_VALUE"""),"Rio de Janeiro")</f>
        <v>Rio de Janeiro</v>
      </c>
      <c r="D1992" s="3" t="str">
        <f ca="1">IFERROR(__xludf.UNSUPPORTED("""COMPUTED_VALUE"""),"🚢 REGULAR")</f>
        <v>🚢 REGULAR</v>
      </c>
      <c r="E1992" s="3" t="str">
        <f ca="1">IFERROR(__xludf.UNSUPPORTED("""COMPUTED_VALUE"""),"🚛 LIBERADO")</f>
        <v>🚛 LIBERADO</v>
      </c>
      <c r="F1992" s="5">
        <f ca="1">IFERROR(__xludf.UNSUPPORTED("""COMPUTED_VALUE"""),0)</f>
        <v>0</v>
      </c>
      <c r="G1992" s="3" t="str">
        <f ca="1">IFERROR(__xludf.UNSUPPORTED("""COMPUTED_VALUE"""),"Situação normal")</f>
        <v>Situação normal</v>
      </c>
      <c r="H1992" s="4">
        <f ca="1">IFERROR(__xludf.UNSUPPORTED("""COMPUTED_VALUE"""),44894.4250810185)</f>
        <v>44894.425081018497</v>
      </c>
      <c r="I1992" s="3">
        <f ca="1">IFERROR(__xludf.UNSUPPORTED("""COMPUTED_VALUE"""),24)</f>
        <v>24</v>
      </c>
      <c r="J1992" s="4">
        <f ca="1">IFERROR(__xludf.UNSUPPORTED("""COMPUTED_VALUE"""),44895.4250810185)</f>
        <v>44895.425081018497</v>
      </c>
    </row>
    <row r="1993" spans="1:12" ht="12.75">
      <c r="A1993" s="3" t="str">
        <f ca="1">IFERROR(__xludf.UNSUPPORTED("""COMPUTED_VALUE"""),"ac411b92")</f>
        <v>ac411b92</v>
      </c>
      <c r="B1993" s="4">
        <f ca="1">IFERROR(__xludf.UNSUPPORTED("""COMPUTED_VALUE"""),44895.3874884259)</f>
        <v>44895.387488425898</v>
      </c>
      <c r="C1993" s="7" t="str">
        <f ca="1">IFERROR(__xludf.UNSUPPORTED("""COMPUTED_VALUE"""),"Rio de Janeiro")</f>
        <v>Rio de Janeiro</v>
      </c>
      <c r="D1993" s="3" t="str">
        <f ca="1">IFERROR(__xludf.UNSUPPORTED("""COMPUTED_VALUE"""),"🚢 REGULAR")</f>
        <v>🚢 REGULAR</v>
      </c>
      <c r="E1993" s="3" t="str">
        <f ca="1">IFERROR(__xludf.UNSUPPORTED("""COMPUTED_VALUE"""),"🚛 LIBERADO")</f>
        <v>🚛 LIBERADO</v>
      </c>
      <c r="F1993" s="5">
        <f ca="1">IFERROR(__xludf.UNSUPPORTED("""COMPUTED_VALUE"""),0)</f>
        <v>0</v>
      </c>
      <c r="G1993" s="3" t="str">
        <f ca="1">IFERROR(__xludf.UNSUPPORTED("""COMPUTED_VALUE"""),"Situação normal")</f>
        <v>Situação normal</v>
      </c>
      <c r="H1993" s="4">
        <f ca="1">IFERROR(__xludf.UNSUPPORTED("""COMPUTED_VALUE"""),44896.3458217591)</f>
        <v>44896.345821759103</v>
      </c>
      <c r="I1993" s="3">
        <f ca="1">IFERROR(__xludf.UNSUPPORTED("""COMPUTED_VALUE"""),24)</f>
        <v>24</v>
      </c>
      <c r="J1993" s="4">
        <f ca="1">IFERROR(__xludf.UNSUPPORTED("""COMPUTED_VALUE"""),44897.3458217591)</f>
        <v>44897.345821759103</v>
      </c>
    </row>
    <row r="1994" spans="1:12" ht="12.75">
      <c r="A1994" s="3" t="str">
        <f ca="1">IFERROR(__xludf.UNSUPPORTED("""COMPUTED_VALUE"""),"e8157ed0")</f>
        <v>e8157ed0</v>
      </c>
      <c r="B1994" s="4">
        <f ca="1">IFERROR(__xludf.UNSUPPORTED("""COMPUTED_VALUE"""),44897.3176041666)</f>
        <v>44897.317604166601</v>
      </c>
      <c r="C1994" s="7" t="str">
        <f ca="1">IFERROR(__xludf.UNSUPPORTED("""COMPUTED_VALUE"""),"Rio de Janeiro")</f>
        <v>Rio de Janeiro</v>
      </c>
      <c r="D1994" s="3" t="str">
        <f ca="1">IFERROR(__xludf.UNSUPPORTED("""COMPUTED_VALUE"""),"🚢 REGULAR")</f>
        <v>🚢 REGULAR</v>
      </c>
      <c r="E1994" s="3" t="str">
        <f ca="1">IFERROR(__xludf.UNSUPPORTED("""COMPUTED_VALUE"""),"🚛 LIBERADO")</f>
        <v>🚛 LIBERADO</v>
      </c>
      <c r="F1994" s="5">
        <f ca="1">IFERROR(__xludf.UNSUPPORTED("""COMPUTED_VALUE"""),0)</f>
        <v>0</v>
      </c>
      <c r="G1994" s="3" t="str">
        <f ca="1">IFERROR(__xludf.UNSUPPORTED("""COMPUTED_VALUE"""),"Situação normal")</f>
        <v>Situação normal</v>
      </c>
      <c r="H1994" s="4">
        <f ca="1">IFERROR(__xludf.UNSUPPORTED("""COMPUTED_VALUE"""),44897.3176041666)</f>
        <v>44897.317604166601</v>
      </c>
      <c r="I1994" s="3">
        <f ca="1">IFERROR(__xludf.UNSUPPORTED("""COMPUTED_VALUE"""),24)</f>
        <v>24</v>
      </c>
      <c r="J1994" s="4">
        <f ca="1">IFERROR(__xludf.UNSUPPORTED("""COMPUTED_VALUE"""),44898.3176041666)</f>
        <v>44898.317604166601</v>
      </c>
    </row>
    <row r="1995" spans="1:12" ht="12.75">
      <c r="A1995" s="3" t="str">
        <f ca="1">IFERROR(__xludf.UNSUPPORTED("""COMPUTED_VALUE"""),"6e696b5e")</f>
        <v>6e696b5e</v>
      </c>
      <c r="B1995" s="4">
        <f ca="1">IFERROR(__xludf.UNSUPPORTED("""COMPUTED_VALUE"""),44900.4076157407)</f>
        <v>44900.407615740703</v>
      </c>
      <c r="C1995" s="8" t="str">
        <f ca="1">IFERROR(__xludf.UNSUPPORTED("""COMPUTED_VALUE"""),"Rio de Janeiro")</f>
        <v>Rio de Janeiro</v>
      </c>
      <c r="D1995" s="3" t="str">
        <f ca="1">IFERROR(__xludf.UNSUPPORTED("""COMPUTED_VALUE"""),"🚢 REGULAR")</f>
        <v>🚢 REGULAR</v>
      </c>
      <c r="E1995" s="3" t="str">
        <f ca="1">IFERROR(__xludf.UNSUPPORTED("""COMPUTED_VALUE"""),"🚛 LIBERADO")</f>
        <v>🚛 LIBERADO</v>
      </c>
      <c r="F1995" s="5">
        <f ca="1">IFERROR(__xludf.UNSUPPORTED("""COMPUTED_VALUE"""),0)</f>
        <v>0</v>
      </c>
      <c r="G1995" s="3" t="str">
        <f ca="1">IFERROR(__xludf.UNSUPPORTED("""COMPUTED_VALUE"""),"Situação normal")</f>
        <v>Situação normal</v>
      </c>
      <c r="H1995" s="4">
        <f ca="1">IFERROR(__xludf.UNSUPPORTED("""COMPUTED_VALUE"""),44900.4076157407)</f>
        <v>44900.407615740703</v>
      </c>
      <c r="I1995" s="3">
        <f ca="1">IFERROR(__xludf.UNSUPPORTED("""COMPUTED_VALUE"""),24)</f>
        <v>24</v>
      </c>
      <c r="J1995" s="4">
        <f ca="1">IFERROR(__xludf.UNSUPPORTED("""COMPUTED_VALUE"""),44901.4076157407)</f>
        <v>44901.407615740703</v>
      </c>
    </row>
    <row r="1996" spans="1:12" ht="12.75">
      <c r="A1996" s="3" t="str">
        <f ca="1">IFERROR(__xludf.UNSUPPORTED("""COMPUTED_VALUE"""),"c8de8716")</f>
        <v>c8de8716</v>
      </c>
      <c r="B1996" s="4">
        <f ca="1">IFERROR(__xludf.UNSUPPORTED("""COMPUTED_VALUE"""),44901.4178125)</f>
        <v>44901.417812500003</v>
      </c>
      <c r="C1996" s="7" t="str">
        <f ca="1">IFERROR(__xludf.UNSUPPORTED("""COMPUTED_VALUE"""),"Rio de Janeiro")</f>
        <v>Rio de Janeiro</v>
      </c>
      <c r="D1996" s="3" t="str">
        <f ca="1">IFERROR(__xludf.UNSUPPORTED("""COMPUTED_VALUE"""),"🚢 REGULAR")</f>
        <v>🚢 REGULAR</v>
      </c>
      <c r="E1996" s="3" t="str">
        <f ca="1">IFERROR(__xludf.UNSUPPORTED("""COMPUTED_VALUE"""),"🚛 LIBERADO")</f>
        <v>🚛 LIBERADO</v>
      </c>
      <c r="F1996" s="5">
        <f ca="1">IFERROR(__xludf.UNSUPPORTED("""COMPUTED_VALUE"""),0)</f>
        <v>0</v>
      </c>
      <c r="G1996" s="3" t="str">
        <f ca="1">IFERROR(__xludf.UNSUPPORTED("""COMPUTED_VALUE"""),"Situação Normal")</f>
        <v>Situação Normal</v>
      </c>
      <c r="H1996" s="4">
        <f ca="1">IFERROR(__xludf.UNSUPPORTED("""COMPUTED_VALUE"""),44903.2921180555)</f>
        <v>44903.292118055499</v>
      </c>
      <c r="I1996" s="3">
        <f ca="1">IFERROR(__xludf.UNSUPPORTED("""COMPUTED_VALUE"""),24)</f>
        <v>24</v>
      </c>
      <c r="J1996" s="4">
        <f ca="1">IFERROR(__xludf.UNSUPPORTED("""COMPUTED_VALUE"""),44904.2921180555)</f>
        <v>44904.292118055499</v>
      </c>
    </row>
    <row r="1997" spans="1:12" ht="12.75">
      <c r="A1997" s="3" t="str">
        <f ca="1">IFERROR(__xludf.UNSUPPORTED("""COMPUTED_VALUE"""),"5380da51")</f>
        <v>5380da51</v>
      </c>
      <c r="B1997" s="4">
        <f ca="1">IFERROR(__xludf.UNSUPPORTED("""COMPUTED_VALUE"""),44907.5069791666)</f>
        <v>44907.506979166603</v>
      </c>
      <c r="C1997" s="8" t="str">
        <f ca="1">IFERROR(__xludf.UNSUPPORTED("""COMPUTED_VALUE"""),"Rio de Janeiro")</f>
        <v>Rio de Janeiro</v>
      </c>
      <c r="D1997" s="3" t="str">
        <f ca="1">IFERROR(__xludf.UNSUPPORTED("""COMPUTED_VALUE"""),"🚢 REGULAR")</f>
        <v>🚢 REGULAR</v>
      </c>
      <c r="E1997" s="3" t="str">
        <f ca="1">IFERROR(__xludf.UNSUPPORTED("""COMPUTED_VALUE"""),"🚛 LIBERADO")</f>
        <v>🚛 LIBERADO</v>
      </c>
      <c r="F1997" s="5">
        <f ca="1">IFERROR(__xludf.UNSUPPORTED("""COMPUTED_VALUE"""),0)</f>
        <v>0</v>
      </c>
      <c r="G1997" s="3" t="str">
        <f ca="1">IFERROR(__xludf.UNSUPPORTED("""COMPUTED_VALUE"""),"Situação normal")</f>
        <v>Situação normal</v>
      </c>
      <c r="H1997" s="4">
        <f ca="1">IFERROR(__xludf.UNSUPPORTED("""COMPUTED_VALUE"""),44907.4166666666)</f>
        <v>44907.416666666599</v>
      </c>
      <c r="I1997" s="3">
        <f ca="1">IFERROR(__xludf.UNSUPPORTED("""COMPUTED_VALUE"""),24)</f>
        <v>24</v>
      </c>
      <c r="J1997" s="4">
        <f ca="1">IFERROR(__xludf.UNSUPPORTED("""COMPUTED_VALUE"""),44908.4166666666)</f>
        <v>44908.416666666599</v>
      </c>
    </row>
    <row r="1998" spans="1:12" ht="12.75">
      <c r="A1998" s="3" t="str">
        <f ca="1">IFERROR(__xludf.UNSUPPORTED("""COMPUTED_VALUE"""),"3d81edac")</f>
        <v>3d81edac</v>
      </c>
      <c r="B1998" s="4">
        <f ca="1">IFERROR(__xludf.UNSUPPORTED("""COMPUTED_VALUE"""),44928.3861921296)</f>
        <v>44928.386192129597</v>
      </c>
      <c r="C1998" s="7" t="str">
        <f ca="1">IFERROR(__xludf.UNSUPPORTED("""COMPUTED_VALUE"""),"Rio de Janeiro")</f>
        <v>Rio de Janeiro</v>
      </c>
      <c r="D1998" s="3" t="str">
        <f ca="1">IFERROR(__xludf.UNSUPPORTED("""COMPUTED_VALUE"""),"🚢 REGULAR")</f>
        <v>🚢 REGULAR</v>
      </c>
      <c r="E1998" s="3" t="str">
        <f ca="1">IFERROR(__xludf.UNSUPPORTED("""COMPUTED_VALUE"""),"🚛 LIBERADO")</f>
        <v>🚛 LIBERADO</v>
      </c>
      <c r="F1998" s="5">
        <f ca="1">IFERROR(__xludf.UNSUPPORTED("""COMPUTED_VALUE"""),0)</f>
        <v>0</v>
      </c>
      <c r="G1998" s="3" t="str">
        <f ca="1">IFERROR(__xludf.UNSUPPORTED("""COMPUTED_VALUE"""),"Situação Normal")</f>
        <v>Situação Normal</v>
      </c>
      <c r="H1998" s="4">
        <f ca="1">IFERROR(__xludf.UNSUPPORTED("""COMPUTED_VALUE"""),44928.3861921296)</f>
        <v>44928.386192129597</v>
      </c>
      <c r="I1998" s="3">
        <f ca="1">IFERROR(__xludf.UNSUPPORTED("""COMPUTED_VALUE"""),24)</f>
        <v>24</v>
      </c>
      <c r="J1998" s="4">
        <f ca="1">IFERROR(__xludf.UNSUPPORTED("""COMPUTED_VALUE"""),44929.3861921296)</f>
        <v>44929.386192129597</v>
      </c>
    </row>
    <row r="1999" spans="1:12" ht="12.75">
      <c r="A1999" s="3" t="str">
        <f ca="1">IFERROR(__xludf.UNSUPPORTED("""COMPUTED_VALUE"""),"8b290e7c")</f>
        <v>8b290e7c</v>
      </c>
      <c r="B1999" s="4">
        <f ca="1">IFERROR(__xludf.UNSUPPORTED("""COMPUTED_VALUE"""),44935.5001967592)</f>
        <v>44935.500196759203</v>
      </c>
      <c r="C1999" s="7" t="str">
        <f ca="1">IFERROR(__xludf.UNSUPPORTED("""COMPUTED_VALUE"""),"Rio de Janeiro")</f>
        <v>Rio de Janeiro</v>
      </c>
      <c r="D1999" s="3" t="str">
        <f ca="1">IFERROR(__xludf.UNSUPPORTED("""COMPUTED_VALUE"""),"🚢 REGULAR")</f>
        <v>🚢 REGULAR</v>
      </c>
      <c r="E1999" s="3" t="str">
        <f ca="1">IFERROR(__xludf.UNSUPPORTED("""COMPUTED_VALUE"""),"🚛 LIBERADO")</f>
        <v>🚛 LIBERADO</v>
      </c>
      <c r="F1999" s="5">
        <f ca="1">IFERROR(__xludf.UNSUPPORTED("""COMPUTED_VALUE"""),0)</f>
        <v>0</v>
      </c>
      <c r="G1999" s="3" t="str">
        <f ca="1">IFERROR(__xludf.UNSUPPORTED("""COMPUTED_VALUE"""),"Normalidade")</f>
        <v>Normalidade</v>
      </c>
      <c r="H1999" s="4">
        <f ca="1">IFERROR(__xludf.UNSUPPORTED("""COMPUTED_VALUE"""),44935.5001967592)</f>
        <v>44935.500196759203</v>
      </c>
      <c r="I1999" s="3">
        <f ca="1">IFERROR(__xludf.UNSUPPORTED("""COMPUTED_VALUE"""),24)</f>
        <v>24</v>
      </c>
      <c r="J1999" s="4">
        <f ca="1">IFERROR(__xludf.UNSUPPORTED("""COMPUTED_VALUE"""),44936.5001967592)</f>
        <v>44936.500196759203</v>
      </c>
      <c r="L1999" s="3" t="str">
        <f ca="1">IFERROR(__xludf.UNSUPPORTED("""COMPUTED_VALUE"""),"Normalidade")</f>
        <v>Normalidade</v>
      </c>
    </row>
    <row r="2000" spans="1:12" ht="12.75">
      <c r="A2000" s="3" t="str">
        <f ca="1">IFERROR(__xludf.UNSUPPORTED("""COMPUTED_VALUE"""),"5a05b814")</f>
        <v>5a05b814</v>
      </c>
      <c r="B2000" s="4">
        <f ca="1">IFERROR(__xludf.UNSUPPORTED("""COMPUTED_VALUE"""),45120.6364004629)</f>
        <v>45120.636400462899</v>
      </c>
      <c r="C2000" s="7" t="str">
        <f ca="1">IFERROR(__xludf.UNSUPPORTED("""COMPUTED_VALUE"""),"Rio de Janeiro")</f>
        <v>Rio de Janeiro</v>
      </c>
      <c r="D2000" s="3" t="str">
        <f ca="1">IFERROR(__xludf.UNSUPPORTED("""COMPUTED_VALUE"""),"🚢 REGULAR")</f>
        <v>🚢 REGULAR</v>
      </c>
      <c r="E2000" s="3" t="str">
        <f ca="1">IFERROR(__xludf.UNSUPPORTED("""COMPUTED_VALUE"""),"🚛 LIBERADO")</f>
        <v>🚛 LIBERADO</v>
      </c>
      <c r="F2000" s="5">
        <f ca="1">IFERROR(__xludf.UNSUPPORTED("""COMPUTED_VALUE"""),0)</f>
        <v>0</v>
      </c>
      <c r="G2000" s="3" t="str">
        <f ca="1">IFERROR(__xludf.UNSUPPORTED("""COMPUTED_VALUE"""),"Normalidade")</f>
        <v>Normalidade</v>
      </c>
      <c r="H2000" s="4">
        <f ca="1">IFERROR(__xludf.UNSUPPORTED("""COMPUTED_VALUE"""),45120.6364004629)</f>
        <v>45120.636400462899</v>
      </c>
      <c r="I2000" s="3">
        <f ca="1">IFERROR(__xludf.UNSUPPORTED("""COMPUTED_VALUE"""),24)</f>
        <v>24</v>
      </c>
      <c r="J2000" s="4">
        <f ca="1">IFERROR(__xludf.UNSUPPORTED("""COMPUTED_VALUE"""),45121.6364004629)</f>
        <v>45121.636400462899</v>
      </c>
      <c r="L2000" s="3" t="str">
        <f ca="1">IFERROR(__xludf.UNSUPPORTED("""COMPUTED_VALUE"""),"Normalidade")</f>
        <v>Normalidade</v>
      </c>
    </row>
    <row r="2001" spans="1:12" ht="12.75">
      <c r="A2001" s="3" t="str">
        <f ca="1">IFERROR(__xludf.UNSUPPORTED("""COMPUTED_VALUE"""),"95bad747")</f>
        <v>95bad747</v>
      </c>
      <c r="B2001" s="4">
        <f ca="1">IFERROR(__xludf.UNSUPPORTED("""COMPUTED_VALUE"""),45121.6477893518)</f>
        <v>45121.647789351802</v>
      </c>
      <c r="C2001" s="7" t="str">
        <f ca="1">IFERROR(__xludf.UNSUPPORTED("""COMPUTED_VALUE"""),"Rio de Janeiro")</f>
        <v>Rio de Janeiro</v>
      </c>
      <c r="D2001" s="3" t="str">
        <f ca="1">IFERROR(__xludf.UNSUPPORTED("""COMPUTED_VALUE"""),"⚠️ COM ATRASOS")</f>
        <v>⚠️ COM ATRASOS</v>
      </c>
      <c r="E2001" s="3" t="str">
        <f ca="1">IFERROR(__xludf.UNSUPPORTED("""COMPUTED_VALUE"""),"⚠️ PARCIALMENTE BLOQUEADO")</f>
        <v>⚠️ PARCIALMENTE BLOQUEADO</v>
      </c>
      <c r="F2001" s="5">
        <f ca="1">IFERROR(__xludf.UNSUPPORTED("""COMPUTED_VALUE"""),0.5)</f>
        <v>0.5</v>
      </c>
      <c r="G2001" s="3" t="str">
        <f ca="1">IFERROR(__xludf.UNSUPPORTED("""COMPUTED_VALUE"""),"Canal de acesso com restrições")</f>
        <v>Canal de acesso com restrições</v>
      </c>
      <c r="H2001" s="4">
        <f ca="1">IFERROR(__xludf.UNSUPPORTED("""COMPUTED_VALUE"""),45121.6477893518)</f>
        <v>45121.647789351802</v>
      </c>
      <c r="I2001" s="3">
        <f ca="1">IFERROR(__xludf.UNSUPPORTED("""COMPUTED_VALUE"""),24)</f>
        <v>24</v>
      </c>
      <c r="J2001" s="4">
        <f ca="1">IFERROR(__xludf.UNSUPPORTED("""COMPUTED_VALUE"""),45122.6477893518)</f>
        <v>45122.647789351802</v>
      </c>
      <c r="K2001" s="3" t="str">
        <f ca="1">IFERROR(__xludf.UNSUPPORTED("""COMPUTED_VALUE"""),"Marinha do Brasil")</f>
        <v>Marinha do Brasil</v>
      </c>
      <c r="L2001" s="3" t="str">
        <f ca="1">IFERROR(__xludf.UNSUPPORTED("""COMPUTED_VALUE"""),"Crítico")</f>
        <v>Crítico</v>
      </c>
    </row>
    <row r="2002" spans="1:12" ht="12.75">
      <c r="A2002" s="3" t="str">
        <f ca="1">IFERROR(__xludf.UNSUPPORTED("""COMPUTED_VALUE"""),"edae783c")</f>
        <v>edae783c</v>
      </c>
      <c r="B2002" s="4">
        <f ca="1">IFERROR(__xludf.UNSUPPORTED("""COMPUTED_VALUE"""),45124.4135879629)</f>
        <v>45124.413587962903</v>
      </c>
      <c r="C2002" s="7" t="str">
        <f ca="1">IFERROR(__xludf.UNSUPPORTED("""COMPUTED_VALUE"""),"Rio de Janeiro")</f>
        <v>Rio de Janeiro</v>
      </c>
      <c r="D2002" s="3" t="str">
        <f ca="1">IFERROR(__xludf.UNSUPPORTED("""COMPUTED_VALUE"""),"🚢 REGULAR")</f>
        <v>🚢 REGULAR</v>
      </c>
      <c r="E2002" s="3" t="str">
        <f ca="1">IFERROR(__xludf.UNSUPPORTED("""COMPUTED_VALUE"""),"🚛 LIBERADO")</f>
        <v>🚛 LIBERADO</v>
      </c>
      <c r="F2002" s="5">
        <f ca="1">IFERROR(__xludf.UNSUPPORTED("""COMPUTED_VALUE"""),0)</f>
        <v>0</v>
      </c>
      <c r="G2002" s="3" t="str">
        <f ca="1">IFERROR(__xludf.UNSUPPORTED("""COMPUTED_VALUE"""),"Normalidade")</f>
        <v>Normalidade</v>
      </c>
      <c r="H2002" s="4">
        <f ca="1">IFERROR(__xludf.UNSUPPORTED("""COMPUTED_VALUE"""),45124.4135879629)</f>
        <v>45124.413587962903</v>
      </c>
      <c r="I2002" s="3">
        <f ca="1">IFERROR(__xludf.UNSUPPORTED("""COMPUTED_VALUE"""),24)</f>
        <v>24</v>
      </c>
      <c r="J2002" s="4">
        <f ca="1">IFERROR(__xludf.UNSUPPORTED("""COMPUTED_VALUE"""),45125.4135879629)</f>
        <v>45125.413587962903</v>
      </c>
      <c r="L2002" s="3" t="str">
        <f ca="1">IFERROR(__xludf.UNSUPPORTED("""COMPUTED_VALUE"""),"Normalidade")</f>
        <v>Normalidade</v>
      </c>
    </row>
    <row r="2003" spans="1:12" ht="12.75">
      <c r="A2003" s="3" t="str">
        <f ca="1">IFERROR(__xludf.UNSUPPORTED("""COMPUTED_VALUE"""),"702171c5")</f>
        <v>702171c5</v>
      </c>
      <c r="B2003" s="4">
        <f ca="1">IFERROR(__xludf.UNSUPPORTED("""COMPUTED_VALUE"""),45126.9980439814)</f>
        <v>45126.998043981403</v>
      </c>
      <c r="C2003" s="7" t="str">
        <f ca="1">IFERROR(__xludf.UNSUPPORTED("""COMPUTED_VALUE"""),"Rio de Janeiro")</f>
        <v>Rio de Janeiro</v>
      </c>
      <c r="D2003" s="3" t="str">
        <f ca="1">IFERROR(__xludf.UNSUPPORTED("""COMPUTED_VALUE"""),"🚢 REGULAR")</f>
        <v>🚢 REGULAR</v>
      </c>
      <c r="E2003" s="3" t="str">
        <f ca="1">IFERROR(__xludf.UNSUPPORTED("""COMPUTED_VALUE"""),"⚠️ PARCIALMENTE BLOQUEADO")</f>
        <v>⚠️ PARCIALMENTE BLOQUEADO</v>
      </c>
      <c r="F2003" s="5">
        <f ca="1">IFERROR(__xludf.UNSUPPORTED("""COMPUTED_VALUE"""),0.5)</f>
        <v>0.5</v>
      </c>
      <c r="G2003" s="3" t="str">
        <f ca="1">IFERROR(__xludf.UNSUPPORTED("""COMPUTED_VALUE"""),"Condições climáticas adversas")</f>
        <v>Condições climáticas adversas</v>
      </c>
      <c r="H2003" s="4">
        <f ca="1">IFERROR(__xludf.UNSUPPORTED("""COMPUTED_VALUE"""),45127.2916666666)</f>
        <v>45127.291666666599</v>
      </c>
      <c r="I2003" s="3">
        <f ca="1">IFERROR(__xludf.UNSUPPORTED("""COMPUTED_VALUE"""),12)</f>
        <v>12</v>
      </c>
      <c r="J2003" s="4">
        <f ca="1">IFERROR(__xludf.UNSUPPORTED("""COMPUTED_VALUE"""),45127.7916666666)</f>
        <v>45127.791666666599</v>
      </c>
      <c r="K2003" s="3" t="str">
        <f ca="1">IFERROR(__xludf.UNSUPPORTED("""COMPUTED_VALUE"""),"Capitania dos Portos")</f>
        <v>Capitania dos Portos</v>
      </c>
      <c r="L2003" s="3" t="str">
        <f ca="1">IFERROR(__xludf.UNSUPPORTED("""COMPUTED_VALUE"""),"Crítico")</f>
        <v>Crítico</v>
      </c>
    </row>
    <row r="2004" spans="1:12" ht="12.75">
      <c r="A2004" s="3" t="str">
        <f ca="1">IFERROR(__xludf.UNSUPPORTED("""COMPUTED_VALUE"""),"150de5a9")</f>
        <v>150de5a9</v>
      </c>
      <c r="B2004" s="4">
        <f ca="1">IFERROR(__xludf.UNSUPPORTED("""COMPUTED_VALUE"""),45147.3484143518)</f>
        <v>45147.3484143518</v>
      </c>
      <c r="C2004" s="8" t="str">
        <f ca="1">IFERROR(__xludf.UNSUPPORTED("""COMPUTED_VALUE"""),"Rio de Janeiro")</f>
        <v>Rio de Janeiro</v>
      </c>
      <c r="D2004" s="3" t="str">
        <f ca="1">IFERROR(__xludf.UNSUPPORTED("""COMPUTED_VALUE"""),"🚢 REGULAR")</f>
        <v>🚢 REGULAR</v>
      </c>
      <c r="E2004" s="3" t="str">
        <f ca="1">IFERROR(__xludf.UNSUPPORTED("""COMPUTED_VALUE"""),"⚠️ PARCIALMENTE BLOQUEADO")</f>
        <v>⚠️ PARCIALMENTE BLOQUEADO</v>
      </c>
      <c r="F2004" s="5">
        <f ca="1">IFERROR(__xludf.UNSUPPORTED("""COMPUTED_VALUE"""),0.5)</f>
        <v>0.5</v>
      </c>
      <c r="G2004" s="3" t="str">
        <f ca="1">IFERROR(__xludf.UNSUPPORTED("""COMPUTED_VALUE"""),"BARRA RESTRITA DESDE 09/08/2023 07:39 
Canal Varrido Fechado. Barra grande restrita a 11,50 metros. Embarque e desembarque em águas abrigadas para navios e supplies.")</f>
        <v>BARRA RESTRITA DESDE 09/08/2023 07:39 
Canal Varrido Fechado. Barra grande restrita a 11,50 metros. Embarque e desembarque em águas abrigadas para navios e supplies.</v>
      </c>
      <c r="H2004" s="4">
        <f ca="1">IFERROR(__xludf.UNSUPPORTED("""COMPUTED_VALUE"""),45147.3484143518)</f>
        <v>45147.3484143518</v>
      </c>
      <c r="I2004" s="3">
        <f ca="1">IFERROR(__xludf.UNSUPPORTED("""COMPUTED_VALUE"""),24)</f>
        <v>24</v>
      </c>
      <c r="J2004" s="4">
        <f ca="1">IFERROR(__xludf.UNSUPPORTED("""COMPUTED_VALUE"""),45148.3484143518)</f>
        <v>45148.3484143518</v>
      </c>
      <c r="K2004" s="3" t="str">
        <f ca="1">IFERROR(__xludf.UNSUPPORTED("""COMPUTED_VALUE"""),"Portos Rio")</f>
        <v>Portos Rio</v>
      </c>
      <c r="L2004" s="3" t="str">
        <f ca="1">IFERROR(__xludf.UNSUPPORTED("""COMPUTED_VALUE"""),"Crítico")</f>
        <v>Crítico</v>
      </c>
    </row>
    <row r="2005" spans="1:12" ht="12.75">
      <c r="A2005" s="3" t="str">
        <f ca="1">IFERROR(__xludf.UNSUPPORTED("""COMPUTED_VALUE"""),"0dc37054")</f>
        <v>0dc37054</v>
      </c>
      <c r="B2005" s="4">
        <f ca="1">IFERROR(__xludf.UNSUPPORTED("""COMPUTED_VALUE"""),45148.5429861111)</f>
        <v>45148.542986111097</v>
      </c>
      <c r="C2005" s="8" t="str">
        <f ca="1">IFERROR(__xludf.UNSUPPORTED("""COMPUTED_VALUE"""),"Rio de Janeiro")</f>
        <v>Rio de Janeiro</v>
      </c>
      <c r="D2005" s="3" t="str">
        <f ca="1">IFERROR(__xludf.UNSUPPORTED("""COMPUTED_VALUE"""),"🚢 REGULAR")</f>
        <v>🚢 REGULAR</v>
      </c>
      <c r="E2005" s="3" t="str">
        <f ca="1">IFERROR(__xludf.UNSUPPORTED("""COMPUTED_VALUE"""),"🚛 LIBERADO")</f>
        <v>🚛 LIBERADO</v>
      </c>
      <c r="F2005" s="5">
        <f ca="1">IFERROR(__xludf.UNSUPPORTED("""COMPUTED_VALUE"""),0)</f>
        <v>0</v>
      </c>
      <c r="G2005" s="3" t="str">
        <f ca="1">IFERROR(__xludf.UNSUPPORTED("""COMPUTED_VALUE"""),"Normalidade")</f>
        <v>Normalidade</v>
      </c>
      <c r="H2005" s="4">
        <f ca="1">IFERROR(__xludf.UNSUPPORTED("""COMPUTED_VALUE"""),45148.5429861111)</f>
        <v>45148.542986111097</v>
      </c>
      <c r="I2005" s="3">
        <f ca="1">IFERROR(__xludf.UNSUPPORTED("""COMPUTED_VALUE"""),24)</f>
        <v>24</v>
      </c>
      <c r="J2005" s="4">
        <f ca="1">IFERROR(__xludf.UNSUPPORTED("""COMPUTED_VALUE"""),45149.5429861111)</f>
        <v>45149.542986111097</v>
      </c>
      <c r="L2005" s="3" t="str">
        <f ca="1">IFERROR(__xludf.UNSUPPORTED("""COMPUTED_VALUE"""),"Normalidade")</f>
        <v>Normalidade</v>
      </c>
    </row>
    <row r="2006" spans="1:12" ht="12.75">
      <c r="A2006" s="3" t="str">
        <f ca="1">IFERROR(__xludf.UNSUPPORTED("""COMPUTED_VALUE"""),"e23900e8")</f>
        <v>e23900e8</v>
      </c>
      <c r="B2006" s="4">
        <f ca="1">IFERROR(__xludf.UNSUPPORTED("""COMPUTED_VALUE"""),45153.4364236111)</f>
        <v>45153.4364236111</v>
      </c>
      <c r="C2006" s="8" t="str">
        <f ca="1">IFERROR(__xludf.UNSUPPORTED("""COMPUTED_VALUE"""),"Rio de Janeiro")</f>
        <v>Rio de Janeiro</v>
      </c>
      <c r="D2006" s="3" t="str">
        <f ca="1">IFERROR(__xludf.UNSUPPORTED("""COMPUTED_VALUE"""),"🚢 REGULAR")</f>
        <v>🚢 REGULAR</v>
      </c>
      <c r="E2006" s="3" t="str">
        <f ca="1">IFERROR(__xludf.UNSUPPORTED("""COMPUTED_VALUE"""),"⚠️ PARCIALMENTE BLOQUEADO")</f>
        <v>⚠️ PARCIALMENTE BLOQUEADO</v>
      </c>
      <c r="F2006" s="5">
        <f ca="1">IFERROR(__xludf.UNSUPPORTED("""COMPUTED_VALUE"""),0.5)</f>
        <v>0.5</v>
      </c>
      <c r="G2006" s="3" t="str">
        <f ca="1">IFERROR(__xludf.UNSUPPORTED("""COMPUTED_VALUE"""),"BARRA RESTRITA DESDE 14/08/2023 18:05 
Canal Varrido Fechado. Barra grande restrita a 11,50 metros. Embarque e desembarque em águas abrigadas para navios e supplies.")</f>
        <v>BARRA RESTRITA DESDE 14/08/2023 18:05 
Canal Varrido Fechado. Barra grande restrita a 11,50 metros. Embarque e desembarque em águas abrigadas para navios e supplies.</v>
      </c>
      <c r="H2006" s="4">
        <f ca="1">IFERROR(__xludf.UNSUPPORTED("""COMPUTED_VALUE"""),45152.7534722222)</f>
        <v>45152.753472222197</v>
      </c>
      <c r="I2006" s="3">
        <f ca="1">IFERROR(__xludf.UNSUPPORTED("""COMPUTED_VALUE"""),24)</f>
        <v>24</v>
      </c>
      <c r="J2006" s="4">
        <f ca="1">IFERROR(__xludf.UNSUPPORTED("""COMPUTED_VALUE"""),45153.7534722222)</f>
        <v>45153.753472222197</v>
      </c>
      <c r="K2006" s="3" t="str">
        <f ca="1">IFERROR(__xludf.UNSUPPORTED("""COMPUTED_VALUE"""),"Portos Rio")</f>
        <v>Portos Rio</v>
      </c>
      <c r="L2006" s="3" t="str">
        <f ca="1">IFERROR(__xludf.UNSUPPORTED("""COMPUTED_VALUE"""),"Crítico")</f>
        <v>Crítico</v>
      </c>
    </row>
    <row r="2007" spans="1:12" ht="12.75">
      <c r="A2007" s="3" t="str">
        <f ca="1">IFERROR(__xludf.UNSUPPORTED("""COMPUTED_VALUE"""),"b2470504")</f>
        <v>b2470504</v>
      </c>
      <c r="B2007" s="4">
        <f ca="1">IFERROR(__xludf.UNSUPPORTED("""COMPUTED_VALUE"""),45156.3451041666)</f>
        <v>45156.345104166598</v>
      </c>
      <c r="C2007" s="8" t="str">
        <f ca="1">IFERROR(__xludf.UNSUPPORTED("""COMPUTED_VALUE"""),"Rio de Janeiro")</f>
        <v>Rio de Janeiro</v>
      </c>
      <c r="D2007" s="3" t="str">
        <f ca="1">IFERROR(__xludf.UNSUPPORTED("""COMPUTED_VALUE"""),"🚢 REGULAR")</f>
        <v>🚢 REGULAR</v>
      </c>
      <c r="E2007" s="3" t="str">
        <f ca="1">IFERROR(__xludf.UNSUPPORTED("""COMPUTED_VALUE"""),"🚛 LIBERADO")</f>
        <v>🚛 LIBERADO</v>
      </c>
      <c r="F2007" s="5">
        <f ca="1">IFERROR(__xludf.UNSUPPORTED("""COMPUTED_VALUE"""),0)</f>
        <v>0</v>
      </c>
      <c r="G2007" s="3" t="str">
        <f ca="1">IFERROR(__xludf.UNSUPPORTED("""COMPUTED_VALUE"""),"Normalidade")</f>
        <v>Normalidade</v>
      </c>
      <c r="H2007" s="4">
        <f ca="1">IFERROR(__xludf.UNSUPPORTED("""COMPUTED_VALUE"""),45156.3451041666)</f>
        <v>45156.345104166598</v>
      </c>
      <c r="I2007" s="3">
        <f ca="1">IFERROR(__xludf.UNSUPPORTED("""COMPUTED_VALUE"""),24)</f>
        <v>24</v>
      </c>
      <c r="J2007" s="4">
        <f ca="1">IFERROR(__xludf.UNSUPPORTED("""COMPUTED_VALUE"""),45157.3451041666)</f>
        <v>45157.345104166598</v>
      </c>
      <c r="L2007" s="3" t="str">
        <f ca="1">IFERROR(__xludf.UNSUPPORTED("""COMPUTED_VALUE"""),"Normalidade")</f>
        <v>Normalidade</v>
      </c>
    </row>
    <row r="2008" spans="1:12" ht="12.75">
      <c r="A2008" s="3" t="str">
        <f ca="1">IFERROR(__xludf.UNSUPPORTED("""COMPUTED_VALUE"""),"XPwJcMxK")</f>
        <v>XPwJcMxK</v>
      </c>
      <c r="B2008" s="4">
        <f ca="1">IFERROR(__xludf.UNSUPPORTED("""COMPUTED_VALUE"""),44589.5)</f>
        <v>44589.5</v>
      </c>
      <c r="C2008" s="8" t="str">
        <f ca="1">IFERROR(__xludf.UNSUPPORTED("""COMPUTED_VALUE"""),"Rio Grande")</f>
        <v>Rio Grande</v>
      </c>
      <c r="D2008" s="3" t="str">
        <f ca="1">IFERROR(__xludf.UNSUPPORTED("""COMPUTED_VALUE"""),"🚢 REGULAR")</f>
        <v>🚢 REGULAR</v>
      </c>
      <c r="E2008" s="3" t="str">
        <f ca="1">IFERROR(__xludf.UNSUPPORTED("""COMPUTED_VALUE"""),"🚛 LIBERADO")</f>
        <v>🚛 LIBERADO</v>
      </c>
      <c r="F2008" s="5">
        <f ca="1">IFERROR(__xludf.UNSUPPORTED("""COMPUTED_VALUE"""),0)</f>
        <v>0</v>
      </c>
      <c r="G2008" s="3" t="str">
        <f ca="1">IFERROR(__xludf.UNSUPPORTED("""COMPUTED_VALUE"""),"Nada de manifesto ou paralisações no Porto RIG, operações transcorrendo normalmente.")</f>
        <v>Nada de manifesto ou paralisações no Porto RIG, operações transcorrendo normalmente.</v>
      </c>
      <c r="H2008" s="4">
        <f ca="1">IFERROR(__xludf.UNSUPPORTED("""COMPUTED_VALUE"""),44589.3326388888)</f>
        <v>44589.332638888802</v>
      </c>
      <c r="I2008" s="3">
        <f ca="1">IFERROR(__xludf.UNSUPPORTED("""COMPUTED_VALUE"""),3)</f>
        <v>3</v>
      </c>
      <c r="J2008" s="4">
        <f ca="1">IFERROR(__xludf.UNSUPPORTED("""COMPUTED_VALUE"""),44589.4576388888)</f>
        <v>44589.457638888802</v>
      </c>
    </row>
    <row r="2009" spans="1:12" ht="12.75">
      <c r="A2009" s="3" t="str">
        <f ca="1">IFERROR(__xludf.UNSUPPORTED("""COMPUTED_VALUE"""),"6f4fa3ad")</f>
        <v>6f4fa3ad</v>
      </c>
      <c r="B2009" s="4">
        <f ca="1">IFERROR(__xludf.UNSUPPORTED("""COMPUTED_VALUE"""),44866.5067129629)</f>
        <v>44866.506712962902</v>
      </c>
      <c r="C2009" s="8" t="str">
        <f ca="1">IFERROR(__xludf.UNSUPPORTED("""COMPUTED_VALUE"""),"Rio Grande")</f>
        <v>Rio Grande</v>
      </c>
      <c r="D2009" s="3" t="str">
        <f ca="1">IFERROR(__xludf.UNSUPPORTED("""COMPUTED_VALUE"""),"🚢 REGULAR")</f>
        <v>🚢 REGULAR</v>
      </c>
      <c r="E2009" s="3" t="str">
        <f ca="1">IFERROR(__xludf.UNSUPPORTED("""COMPUTED_VALUE"""),"⚠️ PARCIALMENTE BLOQUEADO")</f>
        <v>⚠️ PARCIALMENTE BLOQUEADO</v>
      </c>
      <c r="F2009" s="5">
        <f ca="1">IFERROR(__xludf.UNSUPPORTED("""COMPUTED_VALUE"""),0.25)</f>
        <v>0.25</v>
      </c>
      <c r="G2009" s="3" t="str">
        <f ca="1">IFERROR(__xludf.UNSUPPORTED("""COMPUTED_VALUE"""),"Não há bloqueio em vias localizadas no município de Rio Grande, o que possibilita o fluxo normal de veículos nas atividades portuárias. Contudo, bloqueios em rodovias de ligação ao porto podem impactar o fluxo de cargas nos próximos dias.")</f>
        <v>Não há bloqueio em vias localizadas no município de Rio Grande, o que possibilita o fluxo normal de veículos nas atividades portuárias. Contudo, bloqueios em rodovias de ligação ao porto podem impactar o fluxo de cargas nos próximos dias.</v>
      </c>
      <c r="H2009" s="4">
        <f ca="1">IFERROR(__xludf.UNSUPPORTED("""COMPUTED_VALUE"""),44865.5)</f>
        <v>44865.5</v>
      </c>
      <c r="I2009" s="3">
        <f ca="1">IFERROR(__xludf.UNSUPPORTED("""COMPUTED_VALUE"""),32)</f>
        <v>32</v>
      </c>
      <c r="J2009" s="4">
        <f ca="1">IFERROR(__xludf.UNSUPPORTED("""COMPUTED_VALUE"""),44866.8333333333)</f>
        <v>44866.833333333299</v>
      </c>
    </row>
    <row r="2010" spans="1:12" ht="12.75">
      <c r="A2010" s="3" t="str">
        <f ca="1">IFERROR(__xludf.UNSUPPORTED("""COMPUTED_VALUE"""),"2354d395")</f>
        <v>2354d395</v>
      </c>
      <c r="B2010" s="4">
        <f ca="1">IFERROR(__xludf.UNSUPPORTED("""COMPUTED_VALUE"""),44868.4063425925)</f>
        <v>44868.406342592498</v>
      </c>
      <c r="C2010" s="7" t="str">
        <f ca="1">IFERROR(__xludf.UNSUPPORTED("""COMPUTED_VALUE"""),"Rio Grande")</f>
        <v>Rio Grande</v>
      </c>
      <c r="D2010" s="3" t="str">
        <f ca="1">IFERROR(__xludf.UNSUPPORTED("""COMPUTED_VALUE"""),"🚢 REGULAR")</f>
        <v>🚢 REGULAR</v>
      </c>
      <c r="E2010" s="3" t="str">
        <f ca="1">IFERROR(__xludf.UNSUPPORTED("""COMPUTED_VALUE"""),"🚛 LIBERADO")</f>
        <v>🚛 LIBERADO</v>
      </c>
      <c r="F2010" s="5">
        <f ca="1">IFERROR(__xludf.UNSUPPORTED("""COMPUTED_VALUE"""),0)</f>
        <v>0</v>
      </c>
      <c r="G2010" s="3" t="str">
        <f ca="1">IFERROR(__xludf.UNSUPPORTED("""COMPUTED_VALUE"""),"Não há bloqueio em vias localizadas no município de Porto Alegre, o que possibilita o fluxo normal de veículos nas atividades portuárias.")</f>
        <v>Não há bloqueio em vias localizadas no município de Porto Alegre, o que possibilita o fluxo normal de veículos nas atividades portuárias.</v>
      </c>
      <c r="H2010" s="4">
        <f ca="1">IFERROR(__xludf.UNSUPPORTED("""COMPUTED_VALUE"""),44868.4063425925)</f>
        <v>44868.406342592498</v>
      </c>
      <c r="I2010" s="3">
        <f ca="1">IFERROR(__xludf.UNSUPPORTED("""COMPUTED_VALUE"""),24)</f>
        <v>24</v>
      </c>
      <c r="J2010" s="4">
        <f ca="1">IFERROR(__xludf.UNSUPPORTED("""COMPUTED_VALUE"""),44869.4063425925)</f>
        <v>44869.406342592498</v>
      </c>
    </row>
    <row r="2011" spans="1:12" ht="12.75">
      <c r="A2011" s="3" t="str">
        <f ca="1">IFERROR(__xludf.UNSUPPORTED("""COMPUTED_VALUE"""),"2be5db87")</f>
        <v>2be5db87</v>
      </c>
      <c r="B2011" s="4">
        <f ca="1">IFERROR(__xludf.UNSUPPORTED("""COMPUTED_VALUE"""),44869.4066203703)</f>
        <v>44869.406620370297</v>
      </c>
      <c r="C2011" s="8" t="str">
        <f ca="1">IFERROR(__xludf.UNSUPPORTED("""COMPUTED_VALUE"""),"Rio Grande")</f>
        <v>Rio Grande</v>
      </c>
      <c r="D2011" s="3" t="str">
        <f ca="1">IFERROR(__xludf.UNSUPPORTED("""COMPUTED_VALUE"""),"🚢 REGULAR")</f>
        <v>🚢 REGULAR</v>
      </c>
      <c r="E2011" s="3" t="str">
        <f ca="1">IFERROR(__xludf.UNSUPPORTED("""COMPUTED_VALUE"""),"🚛 LIBERADO")</f>
        <v>🚛 LIBERADO</v>
      </c>
      <c r="F2011" s="5">
        <f ca="1">IFERROR(__xludf.UNSUPPORTED("""COMPUTED_VALUE"""),0)</f>
        <v>0</v>
      </c>
      <c r="G2011" s="3" t="str">
        <f ca="1">IFERROR(__xludf.UNSUPPORTED("""COMPUTED_VALUE"""),"Não há bloqueio em vias localizadas no município, o que possibilita o fluxo normal de veículos nas atividades portuárias.")</f>
        <v>Não há bloqueio em vias localizadas no município, o que possibilita o fluxo normal de veículos nas atividades portuárias.</v>
      </c>
      <c r="H2011" s="4">
        <f ca="1">IFERROR(__xludf.UNSUPPORTED("""COMPUTED_VALUE"""),44869.4066203703)</f>
        <v>44869.406620370297</v>
      </c>
      <c r="I2011" s="3">
        <f ca="1">IFERROR(__xludf.UNSUPPORTED("""COMPUTED_VALUE"""),24)</f>
        <v>24</v>
      </c>
      <c r="J2011" s="4">
        <f ca="1">IFERROR(__xludf.UNSUPPORTED("""COMPUTED_VALUE"""),44870.4066203703)</f>
        <v>44870.406620370297</v>
      </c>
    </row>
    <row r="2012" spans="1:12" ht="12.75">
      <c r="A2012" s="3" t="str">
        <f ca="1">IFERROR(__xludf.UNSUPPORTED("""COMPUTED_VALUE"""),"b5a0cf5f")</f>
        <v>b5a0cf5f</v>
      </c>
      <c r="B2012" s="4">
        <f ca="1">IFERROR(__xludf.UNSUPPORTED("""COMPUTED_VALUE"""),44870.4196296296)</f>
        <v>44870.4196296296</v>
      </c>
      <c r="C2012" s="7" t="str">
        <f ca="1">IFERROR(__xludf.UNSUPPORTED("""COMPUTED_VALUE"""),"Rio Grande")</f>
        <v>Rio Grande</v>
      </c>
      <c r="D2012" s="3" t="str">
        <f ca="1">IFERROR(__xludf.UNSUPPORTED("""COMPUTED_VALUE"""),"🚢 REGULAR")</f>
        <v>🚢 REGULAR</v>
      </c>
      <c r="E2012" s="3" t="str">
        <f ca="1">IFERROR(__xludf.UNSUPPORTED("""COMPUTED_VALUE"""),"🚛 LIBERADO")</f>
        <v>🚛 LIBERADO</v>
      </c>
      <c r="F2012" s="5">
        <f ca="1">IFERROR(__xludf.UNSUPPORTED("""COMPUTED_VALUE"""),0)</f>
        <v>0</v>
      </c>
      <c r="G2012" s="3" t="str">
        <f ca="1">IFERROR(__xludf.UNSUPPORTED("""COMPUTED_VALUE"""),"Não há bloqueio em vias localizadas no município, o que possibilita o fluxo normal de veículos nas atividades portuárias.")</f>
        <v>Não há bloqueio em vias localizadas no município, o que possibilita o fluxo normal de veículos nas atividades portuárias.</v>
      </c>
      <c r="H2012" s="4">
        <f ca="1">IFERROR(__xludf.UNSUPPORTED("""COMPUTED_VALUE"""),44870.4196296296)</f>
        <v>44870.4196296296</v>
      </c>
      <c r="I2012" s="3">
        <f ca="1">IFERROR(__xludf.UNSUPPORTED("""COMPUTED_VALUE"""),24)</f>
        <v>24</v>
      </c>
      <c r="J2012" s="4">
        <f ca="1">IFERROR(__xludf.UNSUPPORTED("""COMPUTED_VALUE"""),44871.4196296296)</f>
        <v>44871.4196296296</v>
      </c>
    </row>
    <row r="2013" spans="1:12" ht="12.75">
      <c r="A2013" s="3" t="str">
        <f ca="1">IFERROR(__xludf.UNSUPPORTED("""COMPUTED_VALUE"""),"926606c1")</f>
        <v>926606c1</v>
      </c>
      <c r="B2013" s="4">
        <f ca="1">IFERROR(__xludf.UNSUPPORTED("""COMPUTED_VALUE"""),44871.7140972222)</f>
        <v>44871.714097222197</v>
      </c>
      <c r="C2013" s="7" t="str">
        <f ca="1">IFERROR(__xludf.UNSUPPORTED("""COMPUTED_VALUE"""),"Rio Grande")</f>
        <v>Rio Grande</v>
      </c>
      <c r="D2013" s="3" t="str">
        <f ca="1">IFERROR(__xludf.UNSUPPORTED("""COMPUTED_VALUE"""),"🚢 REGULAR")</f>
        <v>🚢 REGULAR</v>
      </c>
      <c r="E2013" s="3" t="str">
        <f ca="1">IFERROR(__xludf.UNSUPPORTED("""COMPUTED_VALUE"""),"🚛 LIBERADO")</f>
        <v>🚛 LIBERADO</v>
      </c>
      <c r="F2013" s="5">
        <f ca="1">IFERROR(__xludf.UNSUPPORTED("""COMPUTED_VALUE"""),0)</f>
        <v>0</v>
      </c>
      <c r="G2013" s="3" t="str">
        <f ca="1">IFERROR(__xludf.UNSUPPORTED("""COMPUTED_VALUE"""),"Situação de normalidade")</f>
        <v>Situação de normalidade</v>
      </c>
      <c r="H2013" s="4">
        <f ca="1">IFERROR(__xludf.UNSUPPORTED("""COMPUTED_VALUE"""),44871.7140972222)</f>
        <v>44871.714097222197</v>
      </c>
      <c r="I2013" s="3">
        <f ca="1">IFERROR(__xludf.UNSUPPORTED("""COMPUTED_VALUE"""),24)</f>
        <v>24</v>
      </c>
      <c r="J2013" s="4">
        <f ca="1">IFERROR(__xludf.UNSUPPORTED("""COMPUTED_VALUE"""),44872.7140972222)</f>
        <v>44872.714097222197</v>
      </c>
    </row>
    <row r="2014" spans="1:12" ht="12.75">
      <c r="A2014" s="3" t="str">
        <f ca="1">IFERROR(__xludf.UNSUPPORTED("""COMPUTED_VALUE"""),"78342f7b")</f>
        <v>78342f7b</v>
      </c>
      <c r="B2014" s="4">
        <f ca="1">IFERROR(__xludf.UNSUPPORTED("""COMPUTED_VALUE"""),44872.4318749999)</f>
        <v>44872.4318749999</v>
      </c>
      <c r="C2014" s="7" t="str">
        <f ca="1">IFERROR(__xludf.UNSUPPORTED("""COMPUTED_VALUE"""),"Rio Grande")</f>
        <v>Rio Grande</v>
      </c>
      <c r="D2014" s="3" t="str">
        <f ca="1">IFERROR(__xludf.UNSUPPORTED("""COMPUTED_VALUE"""),"🚢 REGULAR")</f>
        <v>🚢 REGULAR</v>
      </c>
      <c r="E2014" s="3" t="str">
        <f ca="1">IFERROR(__xludf.UNSUPPORTED("""COMPUTED_VALUE"""),"🚛 LIBERADO")</f>
        <v>🚛 LIBERADO</v>
      </c>
      <c r="F2014" s="5">
        <f ca="1">IFERROR(__xludf.UNSUPPORTED("""COMPUTED_VALUE"""),0)</f>
        <v>0</v>
      </c>
      <c r="G2014" s="3" t="str">
        <f ca="1">IFERROR(__xludf.UNSUPPORTED("""COMPUTED_VALUE"""),"Situação de normalidade")</f>
        <v>Situação de normalidade</v>
      </c>
      <c r="H2014" s="4">
        <f ca="1">IFERROR(__xludf.UNSUPPORTED("""COMPUTED_VALUE"""),44872.4318749999)</f>
        <v>44872.4318749999</v>
      </c>
      <c r="I2014" s="3">
        <f ca="1">IFERROR(__xludf.UNSUPPORTED("""COMPUTED_VALUE"""),24)</f>
        <v>24</v>
      </c>
      <c r="J2014" s="4">
        <f ca="1">IFERROR(__xludf.UNSUPPORTED("""COMPUTED_VALUE"""),44873.4318749999)</f>
        <v>44873.4318749999</v>
      </c>
    </row>
    <row r="2015" spans="1:12" ht="12.75">
      <c r="A2015" s="3" t="str">
        <f ca="1">IFERROR(__xludf.UNSUPPORTED("""COMPUTED_VALUE"""),"1504a4eb")</f>
        <v>1504a4eb</v>
      </c>
      <c r="B2015" s="4">
        <f ca="1">IFERROR(__xludf.UNSUPPORTED("""COMPUTED_VALUE"""),44883.7473263888)</f>
        <v>44883.747326388802</v>
      </c>
      <c r="C2015" s="8" t="str">
        <f ca="1">IFERROR(__xludf.UNSUPPORTED("""COMPUTED_VALUE"""),"Rio Grande")</f>
        <v>Rio Grande</v>
      </c>
      <c r="D2015" s="3" t="str">
        <f ca="1">IFERROR(__xludf.UNSUPPORTED("""COMPUTED_VALUE"""),"🚢 REGULAR")</f>
        <v>🚢 REGULAR</v>
      </c>
      <c r="E2015" s="3" t="str">
        <f ca="1">IFERROR(__xludf.UNSUPPORTED("""COMPUTED_VALUE"""),"🚛 LIBERADO")</f>
        <v>🚛 LIBERADO</v>
      </c>
      <c r="F2015" s="5">
        <f ca="1">IFERROR(__xludf.UNSUPPORTED("""COMPUTED_VALUE"""),0)</f>
        <v>0</v>
      </c>
      <c r="G2015" s="3" t="str">
        <f ca="1">IFERROR(__xludf.UNSUPPORTED("""COMPUTED_VALUE"""),"Normalidade.")</f>
        <v>Normalidade.</v>
      </c>
      <c r="H2015" s="4">
        <f ca="1">IFERROR(__xludf.UNSUPPORTED("""COMPUTED_VALUE"""),44883.7473263888)</f>
        <v>44883.747326388802</v>
      </c>
      <c r="I2015" s="3">
        <f ca="1">IFERROR(__xludf.UNSUPPORTED("""COMPUTED_VALUE"""),24)</f>
        <v>24</v>
      </c>
      <c r="J2015" s="4">
        <f ca="1">IFERROR(__xludf.UNSUPPORTED("""COMPUTED_VALUE"""),44884.7473263888)</f>
        <v>44884.747326388802</v>
      </c>
    </row>
    <row r="2016" spans="1:12" ht="12.75">
      <c r="A2016" s="3" t="str">
        <f ca="1">IFERROR(__xludf.UNSUPPORTED("""COMPUTED_VALUE"""),"eafd3ca8")</f>
        <v>eafd3ca8</v>
      </c>
      <c r="B2016" s="4">
        <f ca="1">IFERROR(__xludf.UNSUPPORTED("""COMPUTED_VALUE"""),44886.3827083333)</f>
        <v>44886.382708333302</v>
      </c>
      <c r="C2016" s="8" t="str">
        <f ca="1">IFERROR(__xludf.UNSUPPORTED("""COMPUTED_VALUE"""),"Rio Grande")</f>
        <v>Rio Grande</v>
      </c>
      <c r="D2016" s="3" t="str">
        <f ca="1">IFERROR(__xludf.UNSUPPORTED("""COMPUTED_VALUE"""),"🚢 REGULAR")</f>
        <v>🚢 REGULAR</v>
      </c>
      <c r="E2016" s="3" t="str">
        <f ca="1">IFERROR(__xludf.UNSUPPORTED("""COMPUTED_VALUE"""),"🚛 LIBERADO")</f>
        <v>🚛 LIBERADO</v>
      </c>
      <c r="F2016" s="5">
        <f ca="1">IFERROR(__xludf.UNSUPPORTED("""COMPUTED_VALUE"""),0)</f>
        <v>0</v>
      </c>
      <c r="G2016" s="3" t="str">
        <f ca="1">IFERROR(__xludf.UNSUPPORTED("""COMPUTED_VALUE"""),"Normalidade")</f>
        <v>Normalidade</v>
      </c>
      <c r="H2016" s="4">
        <f ca="1">IFERROR(__xludf.UNSUPPORTED("""COMPUTED_VALUE"""),44886.3827083333)</f>
        <v>44886.382708333302</v>
      </c>
      <c r="I2016" s="3">
        <f ca="1">IFERROR(__xludf.UNSUPPORTED("""COMPUTED_VALUE"""),24)</f>
        <v>24</v>
      </c>
      <c r="J2016" s="4">
        <f ca="1">IFERROR(__xludf.UNSUPPORTED("""COMPUTED_VALUE"""),44887.3827083333)</f>
        <v>44887.382708333302</v>
      </c>
    </row>
    <row r="2017" spans="1:10" ht="12.75">
      <c r="A2017" s="3" t="str">
        <f ca="1">IFERROR(__xludf.UNSUPPORTED("""COMPUTED_VALUE"""),"180475db")</f>
        <v>180475db</v>
      </c>
      <c r="B2017" s="4">
        <f ca="1">IFERROR(__xludf.UNSUPPORTED("""COMPUTED_VALUE"""),44887.3954282407)</f>
        <v>44887.395428240699</v>
      </c>
      <c r="C2017" s="7" t="str">
        <f ca="1">IFERROR(__xludf.UNSUPPORTED("""COMPUTED_VALUE"""),"Rio Grande")</f>
        <v>Rio Grande</v>
      </c>
      <c r="D2017" s="3" t="str">
        <f ca="1">IFERROR(__xludf.UNSUPPORTED("""COMPUTED_VALUE"""),"🚢 REGULAR")</f>
        <v>🚢 REGULAR</v>
      </c>
      <c r="E2017" s="3" t="str">
        <f ca="1">IFERROR(__xludf.UNSUPPORTED("""COMPUTED_VALUE"""),"🚛 LIBERADO")</f>
        <v>🚛 LIBERADO</v>
      </c>
      <c r="F2017" s="5">
        <f ca="1">IFERROR(__xludf.UNSUPPORTED("""COMPUTED_VALUE"""),0)</f>
        <v>0</v>
      </c>
      <c r="G2017" s="3" t="str">
        <f ca="1">IFERROR(__xludf.UNSUPPORTED("""COMPUTED_VALUE"""),"Normalidade")</f>
        <v>Normalidade</v>
      </c>
      <c r="H2017" s="4">
        <f ca="1">IFERROR(__xludf.UNSUPPORTED("""COMPUTED_VALUE"""),44887.3954282407)</f>
        <v>44887.395428240699</v>
      </c>
      <c r="I2017" s="3">
        <f ca="1">IFERROR(__xludf.UNSUPPORTED("""COMPUTED_VALUE"""),24)</f>
        <v>24</v>
      </c>
      <c r="J2017" s="4">
        <f ca="1">IFERROR(__xludf.UNSUPPORTED("""COMPUTED_VALUE"""),44888.3954282407)</f>
        <v>44888.395428240699</v>
      </c>
    </row>
    <row r="2018" spans="1:10" ht="12.75">
      <c r="A2018" s="3" t="str">
        <f ca="1">IFERROR(__xludf.UNSUPPORTED("""COMPUTED_VALUE"""),"9efcf234")</f>
        <v>9efcf234</v>
      </c>
      <c r="B2018" s="4">
        <f ca="1">IFERROR(__xludf.UNSUPPORTED("""COMPUTED_VALUE"""),44888.3541898148)</f>
        <v>44888.354189814803</v>
      </c>
      <c r="C2018" s="7" t="str">
        <f ca="1">IFERROR(__xludf.UNSUPPORTED("""COMPUTED_VALUE"""),"Rio Grande")</f>
        <v>Rio Grande</v>
      </c>
      <c r="D2018" s="3" t="str">
        <f ca="1">IFERROR(__xludf.UNSUPPORTED("""COMPUTED_VALUE"""),"🚢 REGULAR")</f>
        <v>🚢 REGULAR</v>
      </c>
      <c r="E2018" s="3" t="str">
        <f ca="1">IFERROR(__xludf.UNSUPPORTED("""COMPUTED_VALUE"""),"🚛 LIBERADO")</f>
        <v>🚛 LIBERADO</v>
      </c>
      <c r="F2018" s="5">
        <f ca="1">IFERROR(__xludf.UNSUPPORTED("""COMPUTED_VALUE"""),0)</f>
        <v>0</v>
      </c>
      <c r="G2018" s="3" t="str">
        <f ca="1">IFERROR(__xludf.UNSUPPORTED("""COMPUTED_VALUE"""),"Normalidade")</f>
        <v>Normalidade</v>
      </c>
      <c r="H2018" s="4">
        <f ca="1">IFERROR(__xludf.UNSUPPORTED("""COMPUTED_VALUE"""),44888.3541898148)</f>
        <v>44888.354189814803</v>
      </c>
      <c r="I2018" s="3">
        <f ca="1">IFERROR(__xludf.UNSUPPORTED("""COMPUTED_VALUE"""),24)</f>
        <v>24</v>
      </c>
      <c r="J2018" s="4">
        <f ca="1">IFERROR(__xludf.UNSUPPORTED("""COMPUTED_VALUE"""),44889.3541898148)</f>
        <v>44889.354189814803</v>
      </c>
    </row>
    <row r="2019" spans="1:10" ht="12.75">
      <c r="A2019" s="3" t="str">
        <f ca="1">IFERROR(__xludf.UNSUPPORTED("""COMPUTED_VALUE"""),"78f80e64")</f>
        <v>78f80e64</v>
      </c>
      <c r="B2019" s="4">
        <f ca="1">IFERROR(__xludf.UNSUPPORTED("""COMPUTED_VALUE"""),44889.3680324074)</f>
        <v>44889.368032407401</v>
      </c>
      <c r="C2019" s="8" t="str">
        <f ca="1">IFERROR(__xludf.UNSUPPORTED("""COMPUTED_VALUE"""),"Rio Grande")</f>
        <v>Rio Grande</v>
      </c>
      <c r="D2019" s="3" t="str">
        <f ca="1">IFERROR(__xludf.UNSUPPORTED("""COMPUTED_VALUE"""),"🚢 REGULAR")</f>
        <v>🚢 REGULAR</v>
      </c>
      <c r="E2019" s="3" t="str">
        <f ca="1">IFERROR(__xludf.UNSUPPORTED("""COMPUTED_VALUE"""),"🚛 LIBERADO")</f>
        <v>🚛 LIBERADO</v>
      </c>
      <c r="F2019" s="5">
        <f ca="1">IFERROR(__xludf.UNSUPPORTED("""COMPUTED_VALUE"""),0)</f>
        <v>0</v>
      </c>
      <c r="G2019" s="3" t="str">
        <f ca="1">IFERROR(__xludf.UNSUPPORTED("""COMPUTED_VALUE"""),"Normal")</f>
        <v>Normal</v>
      </c>
      <c r="H2019" s="4">
        <f ca="1">IFERROR(__xludf.UNSUPPORTED("""COMPUTED_VALUE"""),44889.3680324074)</f>
        <v>44889.368032407401</v>
      </c>
      <c r="I2019" s="3">
        <f ca="1">IFERROR(__xludf.UNSUPPORTED("""COMPUTED_VALUE"""),24)</f>
        <v>24</v>
      </c>
      <c r="J2019" s="4">
        <f ca="1">IFERROR(__xludf.UNSUPPORTED("""COMPUTED_VALUE"""),44890.3680324074)</f>
        <v>44890.368032407401</v>
      </c>
    </row>
    <row r="2020" spans="1:10" ht="12.75">
      <c r="A2020" s="3" t="str">
        <f ca="1">IFERROR(__xludf.UNSUPPORTED("""COMPUTED_VALUE"""),"d3887fa4")</f>
        <v>d3887fa4</v>
      </c>
      <c r="B2020" s="4">
        <f ca="1">IFERROR(__xludf.UNSUPPORTED("""COMPUTED_VALUE"""),44890.6316550925)</f>
        <v>44890.631655092497</v>
      </c>
      <c r="C2020" s="7" t="str">
        <f ca="1">IFERROR(__xludf.UNSUPPORTED("""COMPUTED_VALUE"""),"Rio Grande")</f>
        <v>Rio Grande</v>
      </c>
      <c r="D2020" s="3" t="str">
        <f ca="1">IFERROR(__xludf.UNSUPPORTED("""COMPUTED_VALUE"""),"🚢 REGULAR")</f>
        <v>🚢 REGULAR</v>
      </c>
      <c r="E2020" s="3" t="str">
        <f ca="1">IFERROR(__xludf.UNSUPPORTED("""COMPUTED_VALUE"""),"🚛 LIBERADO")</f>
        <v>🚛 LIBERADO</v>
      </c>
      <c r="F2020" s="5">
        <f ca="1">IFERROR(__xludf.UNSUPPORTED("""COMPUTED_VALUE"""),0)</f>
        <v>0</v>
      </c>
      <c r="G2020" s="3" t="str">
        <f ca="1">IFERROR(__xludf.UNSUPPORTED("""COMPUTED_VALUE"""),"Normal")</f>
        <v>Normal</v>
      </c>
      <c r="H2020" s="4">
        <f ca="1">IFERROR(__xludf.UNSUPPORTED("""COMPUTED_VALUE"""),44890.6316550925)</f>
        <v>44890.631655092497</v>
      </c>
      <c r="I2020" s="3">
        <f ca="1">IFERROR(__xludf.UNSUPPORTED("""COMPUTED_VALUE"""),24)</f>
        <v>24</v>
      </c>
      <c r="J2020" s="4">
        <f ca="1">IFERROR(__xludf.UNSUPPORTED("""COMPUTED_VALUE"""),44891.6316550925)</f>
        <v>44891.631655092497</v>
      </c>
    </row>
    <row r="2021" spans="1:10" ht="12.75">
      <c r="A2021" s="3" t="str">
        <f ca="1">IFERROR(__xludf.UNSUPPORTED("""COMPUTED_VALUE"""),"010d40c6")</f>
        <v>010d40c6</v>
      </c>
      <c r="B2021" s="4">
        <f ca="1">IFERROR(__xludf.UNSUPPORTED("""COMPUTED_VALUE"""),44893.3998958333)</f>
        <v>44893.399895833303</v>
      </c>
      <c r="C2021" s="7" t="str">
        <f ca="1">IFERROR(__xludf.UNSUPPORTED("""COMPUTED_VALUE"""),"Rio Grande")</f>
        <v>Rio Grande</v>
      </c>
      <c r="D2021" s="3" t="str">
        <f ca="1">IFERROR(__xludf.UNSUPPORTED("""COMPUTED_VALUE"""),"🚢 REGULAR")</f>
        <v>🚢 REGULAR</v>
      </c>
      <c r="E2021" s="3" t="str">
        <f ca="1">IFERROR(__xludf.UNSUPPORTED("""COMPUTED_VALUE"""),"🚛 LIBERADO")</f>
        <v>🚛 LIBERADO</v>
      </c>
      <c r="F2021" s="5">
        <f ca="1">IFERROR(__xludf.UNSUPPORTED("""COMPUTED_VALUE"""),0)</f>
        <v>0</v>
      </c>
      <c r="G2021" s="3" t="str">
        <f ca="1">IFERROR(__xludf.UNSUPPORTED("""COMPUTED_VALUE"""),"Normal")</f>
        <v>Normal</v>
      </c>
      <c r="H2021" s="4">
        <f ca="1">IFERROR(__xludf.UNSUPPORTED("""COMPUTED_VALUE"""),44893.3998958333)</f>
        <v>44893.399895833303</v>
      </c>
      <c r="I2021" s="3">
        <f ca="1">IFERROR(__xludf.UNSUPPORTED("""COMPUTED_VALUE"""),24)</f>
        <v>24</v>
      </c>
      <c r="J2021" s="4">
        <f ca="1">IFERROR(__xludf.UNSUPPORTED("""COMPUTED_VALUE"""),44894.3998958333)</f>
        <v>44894.399895833303</v>
      </c>
    </row>
    <row r="2022" spans="1:10" ht="12.75">
      <c r="A2022" s="3" t="str">
        <f ca="1">IFERROR(__xludf.UNSUPPORTED("""COMPUTED_VALUE"""),"a54b0fa7")</f>
        <v>a54b0fa7</v>
      </c>
      <c r="B2022" s="4">
        <f ca="1">IFERROR(__xludf.UNSUPPORTED("""COMPUTED_VALUE"""),44894.4053009259)</f>
        <v>44894.405300925901</v>
      </c>
      <c r="C2022" s="8" t="str">
        <f ca="1">IFERROR(__xludf.UNSUPPORTED("""COMPUTED_VALUE"""),"Rio Grande")</f>
        <v>Rio Grande</v>
      </c>
      <c r="D2022" s="3" t="str">
        <f ca="1">IFERROR(__xludf.UNSUPPORTED("""COMPUTED_VALUE"""),"🚢 REGULAR")</f>
        <v>🚢 REGULAR</v>
      </c>
      <c r="E2022" s="3" t="str">
        <f ca="1">IFERROR(__xludf.UNSUPPORTED("""COMPUTED_VALUE"""),"🚛 LIBERADO")</f>
        <v>🚛 LIBERADO</v>
      </c>
      <c r="F2022" s="5">
        <f ca="1">IFERROR(__xludf.UNSUPPORTED("""COMPUTED_VALUE"""),0)</f>
        <v>0</v>
      </c>
      <c r="G2022" s="3" t="str">
        <f ca="1">IFERROR(__xludf.UNSUPPORTED("""COMPUTED_VALUE"""),"Normal")</f>
        <v>Normal</v>
      </c>
      <c r="H2022" s="4">
        <f ca="1">IFERROR(__xludf.UNSUPPORTED("""COMPUTED_VALUE"""),44894.4053009259)</f>
        <v>44894.405300925901</v>
      </c>
      <c r="I2022" s="3">
        <f ca="1">IFERROR(__xludf.UNSUPPORTED("""COMPUTED_VALUE"""),24)</f>
        <v>24</v>
      </c>
      <c r="J2022" s="4">
        <f ca="1">IFERROR(__xludf.UNSUPPORTED("""COMPUTED_VALUE"""),44895.4053009259)</f>
        <v>44895.405300925901</v>
      </c>
    </row>
    <row r="2023" spans="1:10" ht="12.75">
      <c r="A2023" s="3" t="str">
        <f ca="1">IFERROR(__xludf.UNSUPPORTED("""COMPUTED_VALUE"""),"df138bbc")</f>
        <v>df138bbc</v>
      </c>
      <c r="B2023" s="4">
        <f ca="1">IFERROR(__xludf.UNSUPPORTED("""COMPUTED_VALUE"""),44895.3467129629)</f>
        <v>44895.346712962899</v>
      </c>
      <c r="C2023" s="7" t="str">
        <f ca="1">IFERROR(__xludf.UNSUPPORTED("""COMPUTED_VALUE"""),"Rio Grande")</f>
        <v>Rio Grande</v>
      </c>
      <c r="D2023" s="3" t="str">
        <f ca="1">IFERROR(__xludf.UNSUPPORTED("""COMPUTED_VALUE"""),"🚢 REGULAR")</f>
        <v>🚢 REGULAR</v>
      </c>
      <c r="E2023" s="3" t="str">
        <f ca="1">IFERROR(__xludf.UNSUPPORTED("""COMPUTED_VALUE"""),"🚛 LIBERADO")</f>
        <v>🚛 LIBERADO</v>
      </c>
      <c r="F2023" s="5">
        <f ca="1">IFERROR(__xludf.UNSUPPORTED("""COMPUTED_VALUE"""),0)</f>
        <v>0</v>
      </c>
      <c r="G2023" s="3" t="str">
        <f ca="1">IFERROR(__xludf.UNSUPPORTED("""COMPUTED_VALUE"""),"Normal")</f>
        <v>Normal</v>
      </c>
      <c r="H2023" s="4">
        <f ca="1">IFERROR(__xludf.UNSUPPORTED("""COMPUTED_VALUE"""),44895.3467129629)</f>
        <v>44895.346712962899</v>
      </c>
      <c r="I2023" s="3">
        <f ca="1">IFERROR(__xludf.UNSUPPORTED("""COMPUTED_VALUE"""),24)</f>
        <v>24</v>
      </c>
      <c r="J2023" s="4">
        <f ca="1">IFERROR(__xludf.UNSUPPORTED("""COMPUTED_VALUE"""),44896.3467129629)</f>
        <v>44896.346712962899</v>
      </c>
    </row>
    <row r="2024" spans="1:10" ht="12.75">
      <c r="A2024" s="3" t="str">
        <f ca="1">IFERROR(__xludf.UNSUPPORTED("""COMPUTED_VALUE"""),"c6d7c081")</f>
        <v>c6d7c081</v>
      </c>
      <c r="B2024" s="4">
        <f ca="1">IFERROR(__xludf.UNSUPPORTED("""COMPUTED_VALUE"""),44896.3541782407)</f>
        <v>44896.354178240697</v>
      </c>
      <c r="C2024" s="8" t="str">
        <f ca="1">IFERROR(__xludf.UNSUPPORTED("""COMPUTED_VALUE"""),"Rio Grande")</f>
        <v>Rio Grande</v>
      </c>
      <c r="D2024" s="3" t="str">
        <f ca="1">IFERROR(__xludf.UNSUPPORTED("""COMPUTED_VALUE"""),"🚢 REGULAR")</f>
        <v>🚢 REGULAR</v>
      </c>
      <c r="E2024" s="3" t="str">
        <f ca="1">IFERROR(__xludf.UNSUPPORTED("""COMPUTED_VALUE"""),"🚛 LIBERADO")</f>
        <v>🚛 LIBERADO</v>
      </c>
      <c r="F2024" s="5">
        <f ca="1">IFERROR(__xludf.UNSUPPORTED("""COMPUTED_VALUE"""),0)</f>
        <v>0</v>
      </c>
      <c r="G2024" s="3" t="str">
        <f ca="1">IFERROR(__xludf.UNSUPPORTED("""COMPUTED_VALUE"""),"Normal")</f>
        <v>Normal</v>
      </c>
      <c r="H2024" s="4">
        <f ca="1">IFERROR(__xludf.UNSUPPORTED("""COMPUTED_VALUE"""),44896.3541782407)</f>
        <v>44896.354178240697</v>
      </c>
      <c r="I2024" s="3">
        <f ca="1">IFERROR(__xludf.UNSUPPORTED("""COMPUTED_VALUE"""),24)</f>
        <v>24</v>
      </c>
      <c r="J2024" s="4">
        <f ca="1">IFERROR(__xludf.UNSUPPORTED("""COMPUTED_VALUE"""),44897.3541782407)</f>
        <v>44897.354178240697</v>
      </c>
    </row>
    <row r="2025" spans="1:10" ht="12.75">
      <c r="A2025" s="3" t="str">
        <f ca="1">IFERROR(__xludf.UNSUPPORTED("""COMPUTED_VALUE"""),"e16612dd")</f>
        <v>e16612dd</v>
      </c>
      <c r="B2025" s="4">
        <f ca="1">IFERROR(__xludf.UNSUPPORTED("""COMPUTED_VALUE"""),44897.3969212963)</f>
        <v>44897.396921296298</v>
      </c>
      <c r="C2025" s="7" t="str">
        <f ca="1">IFERROR(__xludf.UNSUPPORTED("""COMPUTED_VALUE"""),"Rio Grande")</f>
        <v>Rio Grande</v>
      </c>
      <c r="D2025" s="3" t="str">
        <f ca="1">IFERROR(__xludf.UNSUPPORTED("""COMPUTED_VALUE"""),"🚢 REGULAR")</f>
        <v>🚢 REGULAR</v>
      </c>
      <c r="E2025" s="3" t="str">
        <f ca="1">IFERROR(__xludf.UNSUPPORTED("""COMPUTED_VALUE"""),"🚛 LIBERADO")</f>
        <v>🚛 LIBERADO</v>
      </c>
      <c r="F2025" s="5">
        <f ca="1">IFERROR(__xludf.UNSUPPORTED("""COMPUTED_VALUE"""),0)</f>
        <v>0</v>
      </c>
      <c r="G2025" s="3" t="str">
        <f ca="1">IFERROR(__xludf.UNSUPPORTED("""COMPUTED_VALUE"""),"Normal")</f>
        <v>Normal</v>
      </c>
      <c r="H2025" s="4">
        <f ca="1">IFERROR(__xludf.UNSUPPORTED("""COMPUTED_VALUE"""),44897.3969212963)</f>
        <v>44897.396921296298</v>
      </c>
      <c r="I2025" s="3">
        <f ca="1">IFERROR(__xludf.UNSUPPORTED("""COMPUTED_VALUE"""),24)</f>
        <v>24</v>
      </c>
      <c r="J2025" s="4">
        <f ca="1">IFERROR(__xludf.UNSUPPORTED("""COMPUTED_VALUE"""),44898.3969212963)</f>
        <v>44898.396921296298</v>
      </c>
    </row>
    <row r="2026" spans="1:10" ht="12.75">
      <c r="A2026" s="3" t="str">
        <f ca="1">IFERROR(__xludf.UNSUPPORTED("""COMPUTED_VALUE"""),"528130b0")</f>
        <v>528130b0</v>
      </c>
      <c r="B2026" s="4">
        <f ca="1">IFERROR(__xludf.UNSUPPORTED("""COMPUTED_VALUE"""),44900.4244907407)</f>
        <v>44900.424490740697</v>
      </c>
      <c r="C2026" s="8" t="str">
        <f ca="1">IFERROR(__xludf.UNSUPPORTED("""COMPUTED_VALUE"""),"Rio Grande")</f>
        <v>Rio Grande</v>
      </c>
      <c r="D2026" s="3" t="str">
        <f ca="1">IFERROR(__xludf.UNSUPPORTED("""COMPUTED_VALUE"""),"🚢 REGULAR")</f>
        <v>🚢 REGULAR</v>
      </c>
      <c r="E2026" s="3" t="str">
        <f ca="1">IFERROR(__xludf.UNSUPPORTED("""COMPUTED_VALUE"""),"🚛 LIBERADO")</f>
        <v>🚛 LIBERADO</v>
      </c>
      <c r="F2026" s="5">
        <f ca="1">IFERROR(__xludf.UNSUPPORTED("""COMPUTED_VALUE"""),0)</f>
        <v>0</v>
      </c>
      <c r="G2026" s="3" t="str">
        <f ca="1">IFERROR(__xludf.UNSUPPORTED("""COMPUTED_VALUE"""),"Normal")</f>
        <v>Normal</v>
      </c>
      <c r="H2026" s="4">
        <f ca="1">IFERROR(__xludf.UNSUPPORTED("""COMPUTED_VALUE"""),44900.4244907407)</f>
        <v>44900.424490740697</v>
      </c>
      <c r="I2026" s="3">
        <f ca="1">IFERROR(__xludf.UNSUPPORTED("""COMPUTED_VALUE"""),24)</f>
        <v>24</v>
      </c>
      <c r="J2026" s="4">
        <f ca="1">IFERROR(__xludf.UNSUPPORTED("""COMPUTED_VALUE"""),44901.4244907407)</f>
        <v>44901.424490740697</v>
      </c>
    </row>
    <row r="2027" spans="1:10" ht="12.75">
      <c r="A2027" s="3" t="str">
        <f ca="1">IFERROR(__xludf.UNSUPPORTED("""COMPUTED_VALUE"""),"e243130a")</f>
        <v>e243130a</v>
      </c>
      <c r="B2027" s="4">
        <f ca="1">IFERROR(__xludf.UNSUPPORTED("""COMPUTED_VALUE"""),44901.3644791666)</f>
        <v>44901.364479166601</v>
      </c>
      <c r="C2027" s="8" t="str">
        <f ca="1">IFERROR(__xludf.UNSUPPORTED("""COMPUTED_VALUE"""),"Rio Grande")</f>
        <v>Rio Grande</v>
      </c>
      <c r="D2027" s="3" t="str">
        <f ca="1">IFERROR(__xludf.UNSUPPORTED("""COMPUTED_VALUE"""),"🚢 REGULAR")</f>
        <v>🚢 REGULAR</v>
      </c>
      <c r="E2027" s="3" t="str">
        <f ca="1">IFERROR(__xludf.UNSUPPORTED("""COMPUTED_VALUE"""),"🚛 LIBERADO")</f>
        <v>🚛 LIBERADO</v>
      </c>
      <c r="F2027" s="5">
        <f ca="1">IFERROR(__xludf.UNSUPPORTED("""COMPUTED_VALUE"""),0)</f>
        <v>0</v>
      </c>
      <c r="G2027" s="3" t="str">
        <f ca="1">IFERROR(__xludf.UNSUPPORTED("""COMPUTED_VALUE"""),"Normal")</f>
        <v>Normal</v>
      </c>
      <c r="H2027" s="4">
        <f ca="1">IFERROR(__xludf.UNSUPPORTED("""COMPUTED_VALUE"""),44901.3644791666)</f>
        <v>44901.364479166601</v>
      </c>
      <c r="I2027" s="3">
        <f ca="1">IFERROR(__xludf.UNSUPPORTED("""COMPUTED_VALUE"""),24)</f>
        <v>24</v>
      </c>
      <c r="J2027" s="4">
        <f ca="1">IFERROR(__xludf.UNSUPPORTED("""COMPUTED_VALUE"""),44902.3644791666)</f>
        <v>44902.364479166601</v>
      </c>
    </row>
    <row r="2028" spans="1:10" ht="12.75">
      <c r="A2028" s="3" t="str">
        <f ca="1">IFERROR(__xludf.UNSUPPORTED("""COMPUTED_VALUE"""),"59b834b5")</f>
        <v>59b834b5</v>
      </c>
      <c r="B2028" s="4">
        <f ca="1">IFERROR(__xludf.UNSUPPORTED("""COMPUTED_VALUE"""),44902.3530902777)</f>
        <v>44902.353090277698</v>
      </c>
      <c r="C2028" s="7" t="str">
        <f ca="1">IFERROR(__xludf.UNSUPPORTED("""COMPUTED_VALUE"""),"Rio Grande")</f>
        <v>Rio Grande</v>
      </c>
      <c r="D2028" s="3" t="str">
        <f ca="1">IFERROR(__xludf.UNSUPPORTED("""COMPUTED_VALUE"""),"🚢 REGULAR")</f>
        <v>🚢 REGULAR</v>
      </c>
      <c r="E2028" s="3" t="str">
        <f ca="1">IFERROR(__xludf.UNSUPPORTED("""COMPUTED_VALUE"""),"🚛 LIBERADO")</f>
        <v>🚛 LIBERADO</v>
      </c>
      <c r="F2028" s="5">
        <f ca="1">IFERROR(__xludf.UNSUPPORTED("""COMPUTED_VALUE"""),0)</f>
        <v>0</v>
      </c>
      <c r="G2028" s="3" t="str">
        <f ca="1">IFERROR(__xludf.UNSUPPORTED("""COMPUTED_VALUE"""),"Normal")</f>
        <v>Normal</v>
      </c>
      <c r="H2028" s="4">
        <f ca="1">IFERROR(__xludf.UNSUPPORTED("""COMPUTED_VALUE"""),44902.3530902777)</f>
        <v>44902.353090277698</v>
      </c>
      <c r="I2028" s="3">
        <f ca="1">IFERROR(__xludf.UNSUPPORTED("""COMPUTED_VALUE"""),24)</f>
        <v>24</v>
      </c>
      <c r="J2028" s="4">
        <f ca="1">IFERROR(__xludf.UNSUPPORTED("""COMPUTED_VALUE"""),44903.3530902777)</f>
        <v>44903.353090277698</v>
      </c>
    </row>
    <row r="2029" spans="1:10" ht="12.75">
      <c r="A2029" s="3" t="str">
        <f ca="1">IFERROR(__xludf.UNSUPPORTED("""COMPUTED_VALUE"""),"ffaf0222")</f>
        <v>ffaf0222</v>
      </c>
      <c r="B2029" s="4">
        <f ca="1">IFERROR(__xludf.UNSUPPORTED("""COMPUTED_VALUE"""),44903.4086111111)</f>
        <v>44903.408611111103</v>
      </c>
      <c r="C2029" s="7" t="str">
        <f ca="1">IFERROR(__xludf.UNSUPPORTED("""COMPUTED_VALUE"""),"Rio Grande")</f>
        <v>Rio Grande</v>
      </c>
      <c r="D2029" s="3" t="str">
        <f ca="1">IFERROR(__xludf.UNSUPPORTED("""COMPUTED_VALUE"""),"🚢 REGULAR")</f>
        <v>🚢 REGULAR</v>
      </c>
      <c r="E2029" s="3" t="str">
        <f ca="1">IFERROR(__xludf.UNSUPPORTED("""COMPUTED_VALUE"""),"🚛 LIBERADO")</f>
        <v>🚛 LIBERADO</v>
      </c>
      <c r="F2029" s="5">
        <f ca="1">IFERROR(__xludf.UNSUPPORTED("""COMPUTED_VALUE"""),0)</f>
        <v>0</v>
      </c>
      <c r="G2029" s="3" t="str">
        <f ca="1">IFERROR(__xludf.UNSUPPORTED("""COMPUTED_VALUE"""),"Normal")</f>
        <v>Normal</v>
      </c>
      <c r="H2029" s="4">
        <f ca="1">IFERROR(__xludf.UNSUPPORTED("""COMPUTED_VALUE"""),44903.4086111111)</f>
        <v>44903.408611111103</v>
      </c>
      <c r="I2029" s="3">
        <f ca="1">IFERROR(__xludf.UNSUPPORTED("""COMPUTED_VALUE"""),24)</f>
        <v>24</v>
      </c>
      <c r="J2029" s="4">
        <f ca="1">IFERROR(__xludf.UNSUPPORTED("""COMPUTED_VALUE"""),44904.4086111111)</f>
        <v>44904.408611111103</v>
      </c>
    </row>
    <row r="2030" spans="1:10" ht="12.75">
      <c r="A2030" s="3" t="str">
        <f ca="1">IFERROR(__xludf.UNSUPPORTED("""COMPUTED_VALUE"""),"5a524bab")</f>
        <v>5a524bab</v>
      </c>
      <c r="B2030" s="4">
        <f ca="1">IFERROR(__xludf.UNSUPPORTED("""COMPUTED_VALUE"""),44904.3688310185)</f>
        <v>44904.368831018503</v>
      </c>
      <c r="C2030" s="7" t="str">
        <f ca="1">IFERROR(__xludf.UNSUPPORTED("""COMPUTED_VALUE"""),"Rio Grande")</f>
        <v>Rio Grande</v>
      </c>
      <c r="D2030" s="3" t="str">
        <f ca="1">IFERROR(__xludf.UNSUPPORTED("""COMPUTED_VALUE"""),"🚢 REGULAR")</f>
        <v>🚢 REGULAR</v>
      </c>
      <c r="E2030" s="3" t="str">
        <f ca="1">IFERROR(__xludf.UNSUPPORTED("""COMPUTED_VALUE"""),"🚛 LIBERADO")</f>
        <v>🚛 LIBERADO</v>
      </c>
      <c r="F2030" s="5">
        <f ca="1">IFERROR(__xludf.UNSUPPORTED("""COMPUTED_VALUE"""),0)</f>
        <v>0</v>
      </c>
      <c r="G2030" s="3" t="str">
        <f ca="1">IFERROR(__xludf.UNSUPPORTED("""COMPUTED_VALUE"""),"Normal")</f>
        <v>Normal</v>
      </c>
      <c r="H2030" s="4">
        <f ca="1">IFERROR(__xludf.UNSUPPORTED("""COMPUTED_VALUE"""),44904.3688310185)</f>
        <v>44904.368831018503</v>
      </c>
      <c r="I2030" s="3">
        <f ca="1">IFERROR(__xludf.UNSUPPORTED("""COMPUTED_VALUE"""),24)</f>
        <v>24</v>
      </c>
      <c r="J2030" s="4">
        <f ca="1">IFERROR(__xludf.UNSUPPORTED("""COMPUTED_VALUE"""),44905.3688310185)</f>
        <v>44905.368831018503</v>
      </c>
    </row>
    <row r="2031" spans="1:10" ht="12.75">
      <c r="A2031" s="3" t="str">
        <f ca="1">IFERROR(__xludf.UNSUPPORTED("""COMPUTED_VALUE"""),"3077f6ef")</f>
        <v>3077f6ef</v>
      </c>
      <c r="B2031" s="4">
        <f ca="1">IFERROR(__xludf.UNSUPPORTED("""COMPUTED_VALUE"""),44905.3891782407)</f>
        <v>44905.389178240701</v>
      </c>
      <c r="C2031" s="8" t="str">
        <f ca="1">IFERROR(__xludf.UNSUPPORTED("""COMPUTED_VALUE"""),"Rio Grande")</f>
        <v>Rio Grande</v>
      </c>
      <c r="D2031" s="3" t="str">
        <f ca="1">IFERROR(__xludf.UNSUPPORTED("""COMPUTED_VALUE"""),"🚢 REGULAR")</f>
        <v>🚢 REGULAR</v>
      </c>
      <c r="E2031" s="3" t="str">
        <f ca="1">IFERROR(__xludf.UNSUPPORTED("""COMPUTED_VALUE"""),"🚛 LIBERADO")</f>
        <v>🚛 LIBERADO</v>
      </c>
      <c r="F2031" s="5">
        <f ca="1">IFERROR(__xludf.UNSUPPORTED("""COMPUTED_VALUE"""),0)</f>
        <v>0</v>
      </c>
      <c r="G2031" s="3" t="str">
        <f ca="1">IFERROR(__xludf.UNSUPPORTED("""COMPUTED_VALUE"""),"Normal")</f>
        <v>Normal</v>
      </c>
      <c r="H2031" s="4">
        <f ca="1">IFERROR(__xludf.UNSUPPORTED("""COMPUTED_VALUE"""),44905.3891782407)</f>
        <v>44905.389178240701</v>
      </c>
      <c r="I2031" s="3">
        <f ca="1">IFERROR(__xludf.UNSUPPORTED("""COMPUTED_VALUE"""),24)</f>
        <v>24</v>
      </c>
      <c r="J2031" s="4">
        <f ca="1">IFERROR(__xludf.UNSUPPORTED("""COMPUTED_VALUE"""),44906.3891782407)</f>
        <v>44906.389178240701</v>
      </c>
    </row>
    <row r="2032" spans="1:10" ht="12.75">
      <c r="A2032" s="3" t="str">
        <f ca="1">IFERROR(__xludf.UNSUPPORTED("""COMPUTED_VALUE"""),"ab16c90c")</f>
        <v>ab16c90c</v>
      </c>
      <c r="B2032" s="4">
        <f ca="1">IFERROR(__xludf.UNSUPPORTED("""COMPUTED_VALUE"""),44907.4152777777)</f>
        <v>44907.415277777698</v>
      </c>
      <c r="C2032" s="7" t="str">
        <f ca="1">IFERROR(__xludf.UNSUPPORTED("""COMPUTED_VALUE"""),"Rio Grande")</f>
        <v>Rio Grande</v>
      </c>
      <c r="D2032" s="3" t="str">
        <f ca="1">IFERROR(__xludf.UNSUPPORTED("""COMPUTED_VALUE"""),"🚢 REGULAR")</f>
        <v>🚢 REGULAR</v>
      </c>
      <c r="E2032" s="3" t="str">
        <f ca="1">IFERROR(__xludf.UNSUPPORTED("""COMPUTED_VALUE"""),"🚛 LIBERADO")</f>
        <v>🚛 LIBERADO</v>
      </c>
      <c r="F2032" s="5">
        <f ca="1">IFERROR(__xludf.UNSUPPORTED("""COMPUTED_VALUE"""),0)</f>
        <v>0</v>
      </c>
      <c r="G2032" s="3" t="str">
        <f ca="1">IFERROR(__xludf.UNSUPPORTED("""COMPUTED_VALUE"""),"Normal")</f>
        <v>Normal</v>
      </c>
      <c r="H2032" s="4">
        <f ca="1">IFERROR(__xludf.UNSUPPORTED("""COMPUTED_VALUE"""),44907.4152777777)</f>
        <v>44907.415277777698</v>
      </c>
      <c r="I2032" s="3">
        <f ca="1">IFERROR(__xludf.UNSUPPORTED("""COMPUTED_VALUE"""),24)</f>
        <v>24</v>
      </c>
      <c r="J2032" s="4">
        <f ca="1">IFERROR(__xludf.UNSUPPORTED("""COMPUTED_VALUE"""),44908.4152777777)</f>
        <v>44908.415277777698</v>
      </c>
    </row>
    <row r="2033" spans="1:12" ht="12.75">
      <c r="A2033" s="3" t="str">
        <f ca="1">IFERROR(__xludf.UNSUPPORTED("""COMPUTED_VALUE"""),"759a7fad")</f>
        <v>759a7fad</v>
      </c>
      <c r="B2033" s="4">
        <f ca="1">IFERROR(__xludf.UNSUPPORTED("""COMPUTED_VALUE"""),44908.3957754629)</f>
        <v>44908.395775462901</v>
      </c>
      <c r="C2033" s="8" t="str">
        <f ca="1">IFERROR(__xludf.UNSUPPORTED("""COMPUTED_VALUE"""),"Rio Grande")</f>
        <v>Rio Grande</v>
      </c>
      <c r="D2033" s="3" t="str">
        <f ca="1">IFERROR(__xludf.UNSUPPORTED("""COMPUTED_VALUE"""),"🚢 REGULAR")</f>
        <v>🚢 REGULAR</v>
      </c>
      <c r="E2033" s="3" t="str">
        <f ca="1">IFERROR(__xludf.UNSUPPORTED("""COMPUTED_VALUE"""),"🚛 LIBERADO")</f>
        <v>🚛 LIBERADO</v>
      </c>
      <c r="F2033" s="5">
        <f ca="1">IFERROR(__xludf.UNSUPPORTED("""COMPUTED_VALUE"""),0)</f>
        <v>0</v>
      </c>
      <c r="G2033" s="3" t="str">
        <f ca="1">IFERROR(__xludf.UNSUPPORTED("""COMPUTED_VALUE"""),"Normal")</f>
        <v>Normal</v>
      </c>
      <c r="H2033" s="4">
        <f ca="1">IFERROR(__xludf.UNSUPPORTED("""COMPUTED_VALUE"""),44908.3957754629)</f>
        <v>44908.395775462901</v>
      </c>
      <c r="I2033" s="3">
        <f ca="1">IFERROR(__xludf.UNSUPPORTED("""COMPUTED_VALUE"""),24)</f>
        <v>24</v>
      </c>
      <c r="J2033" s="4">
        <f ca="1">IFERROR(__xludf.UNSUPPORTED("""COMPUTED_VALUE"""),44909.3957754629)</f>
        <v>44909.395775462901</v>
      </c>
    </row>
    <row r="2034" spans="1:12" ht="12.75">
      <c r="A2034" s="3" t="str">
        <f ca="1">IFERROR(__xludf.UNSUPPORTED("""COMPUTED_VALUE"""),"43ae2b80")</f>
        <v>43ae2b80</v>
      </c>
      <c r="B2034" s="4">
        <f ca="1">IFERROR(__xludf.UNSUPPORTED("""COMPUTED_VALUE"""),44909.4363194444)</f>
        <v>44909.436319444401</v>
      </c>
      <c r="C2034" s="8" t="str">
        <f ca="1">IFERROR(__xludf.UNSUPPORTED("""COMPUTED_VALUE"""),"Rio Grande")</f>
        <v>Rio Grande</v>
      </c>
      <c r="D2034" s="3" t="str">
        <f ca="1">IFERROR(__xludf.UNSUPPORTED("""COMPUTED_VALUE"""),"🚢 REGULAR")</f>
        <v>🚢 REGULAR</v>
      </c>
      <c r="E2034" s="3" t="str">
        <f ca="1">IFERROR(__xludf.UNSUPPORTED("""COMPUTED_VALUE"""),"🚛 LIBERADO")</f>
        <v>🚛 LIBERADO</v>
      </c>
      <c r="F2034" s="5">
        <f ca="1">IFERROR(__xludf.UNSUPPORTED("""COMPUTED_VALUE"""),0)</f>
        <v>0</v>
      </c>
      <c r="G2034" s="3" t="str">
        <f ca="1">IFERROR(__xludf.UNSUPPORTED("""COMPUTED_VALUE"""),"Normal")</f>
        <v>Normal</v>
      </c>
      <c r="H2034" s="4">
        <f ca="1">IFERROR(__xludf.UNSUPPORTED("""COMPUTED_VALUE"""),44909.4363194444)</f>
        <v>44909.436319444401</v>
      </c>
      <c r="I2034" s="3">
        <f ca="1">IFERROR(__xludf.UNSUPPORTED("""COMPUTED_VALUE"""),24)</f>
        <v>24</v>
      </c>
      <c r="J2034" s="4">
        <f ca="1">IFERROR(__xludf.UNSUPPORTED("""COMPUTED_VALUE"""),44910.4363194444)</f>
        <v>44910.436319444401</v>
      </c>
    </row>
    <row r="2035" spans="1:12" ht="12.75">
      <c r="A2035" s="3" t="str">
        <f ca="1">IFERROR(__xludf.UNSUPPORTED("""COMPUTED_VALUE"""),"a5525c1d")</f>
        <v>a5525c1d</v>
      </c>
      <c r="B2035" s="4">
        <f ca="1">IFERROR(__xludf.UNSUPPORTED("""COMPUTED_VALUE"""),44910.3954050926)</f>
        <v>44910.395405092597</v>
      </c>
      <c r="C2035" s="8" t="str">
        <f ca="1">IFERROR(__xludf.UNSUPPORTED("""COMPUTED_VALUE"""),"Rio Grande")</f>
        <v>Rio Grande</v>
      </c>
      <c r="D2035" s="3" t="str">
        <f ca="1">IFERROR(__xludf.UNSUPPORTED("""COMPUTED_VALUE"""),"🚢 REGULAR")</f>
        <v>🚢 REGULAR</v>
      </c>
      <c r="E2035" s="3" t="str">
        <f ca="1">IFERROR(__xludf.UNSUPPORTED("""COMPUTED_VALUE"""),"🚛 LIBERADO")</f>
        <v>🚛 LIBERADO</v>
      </c>
      <c r="F2035" s="5">
        <f ca="1">IFERROR(__xludf.UNSUPPORTED("""COMPUTED_VALUE"""),0)</f>
        <v>0</v>
      </c>
      <c r="G2035" s="3" t="str">
        <f ca="1">IFERROR(__xludf.UNSUPPORTED("""COMPUTED_VALUE"""),"Normal")</f>
        <v>Normal</v>
      </c>
      <c r="H2035" s="4">
        <f ca="1">IFERROR(__xludf.UNSUPPORTED("""COMPUTED_VALUE"""),44910.3954050926)</f>
        <v>44910.395405092597</v>
      </c>
      <c r="I2035" s="3">
        <f ca="1">IFERROR(__xludf.UNSUPPORTED("""COMPUTED_VALUE"""),24)</f>
        <v>24</v>
      </c>
      <c r="J2035" s="4">
        <f ca="1">IFERROR(__xludf.UNSUPPORTED("""COMPUTED_VALUE"""),44911.3954050926)</f>
        <v>44911.395405092597</v>
      </c>
    </row>
    <row r="2036" spans="1:12" ht="12.75">
      <c r="A2036" s="3" t="str">
        <f ca="1">IFERROR(__xludf.UNSUPPORTED("""COMPUTED_VALUE"""),"1b55728d")</f>
        <v>1b55728d</v>
      </c>
      <c r="B2036" s="4">
        <f ca="1">IFERROR(__xludf.UNSUPPORTED("""COMPUTED_VALUE"""),44911.3554861111)</f>
        <v>44911.355486111097</v>
      </c>
      <c r="C2036" s="8" t="str">
        <f ca="1">IFERROR(__xludf.UNSUPPORTED("""COMPUTED_VALUE"""),"Rio Grande")</f>
        <v>Rio Grande</v>
      </c>
      <c r="D2036" s="3" t="str">
        <f ca="1">IFERROR(__xludf.UNSUPPORTED("""COMPUTED_VALUE"""),"🚢 REGULAR")</f>
        <v>🚢 REGULAR</v>
      </c>
      <c r="E2036" s="3" t="str">
        <f ca="1">IFERROR(__xludf.UNSUPPORTED("""COMPUTED_VALUE"""),"🚛 LIBERADO")</f>
        <v>🚛 LIBERADO</v>
      </c>
      <c r="F2036" s="5">
        <f ca="1">IFERROR(__xludf.UNSUPPORTED("""COMPUTED_VALUE"""),0)</f>
        <v>0</v>
      </c>
      <c r="G2036" s="3" t="str">
        <f ca="1">IFERROR(__xludf.UNSUPPORTED("""COMPUTED_VALUE"""),"Normal")</f>
        <v>Normal</v>
      </c>
      <c r="H2036" s="4">
        <f ca="1">IFERROR(__xludf.UNSUPPORTED("""COMPUTED_VALUE"""),44911.3554861111)</f>
        <v>44911.355486111097</v>
      </c>
      <c r="I2036" s="3">
        <f ca="1">IFERROR(__xludf.UNSUPPORTED("""COMPUTED_VALUE"""),24)</f>
        <v>24</v>
      </c>
      <c r="J2036" s="4">
        <f ca="1">IFERROR(__xludf.UNSUPPORTED("""COMPUTED_VALUE"""),44912.3554861111)</f>
        <v>44912.355486111097</v>
      </c>
    </row>
    <row r="2037" spans="1:12" ht="12.75">
      <c r="A2037" s="3" t="str">
        <f ca="1">IFERROR(__xludf.UNSUPPORTED("""COMPUTED_VALUE"""),"da6a0e38")</f>
        <v>da6a0e38</v>
      </c>
      <c r="B2037" s="4">
        <f ca="1">IFERROR(__xludf.UNSUPPORTED("""COMPUTED_VALUE"""),44914.3179166666)</f>
        <v>44914.317916666601</v>
      </c>
      <c r="C2037" s="8" t="str">
        <f ca="1">IFERROR(__xludf.UNSUPPORTED("""COMPUTED_VALUE"""),"Rio Grande")</f>
        <v>Rio Grande</v>
      </c>
      <c r="D2037" s="3" t="str">
        <f ca="1">IFERROR(__xludf.UNSUPPORTED("""COMPUTED_VALUE"""),"🚢 REGULAR")</f>
        <v>🚢 REGULAR</v>
      </c>
      <c r="E2037" s="3" t="str">
        <f ca="1">IFERROR(__xludf.UNSUPPORTED("""COMPUTED_VALUE"""),"🚛 LIBERADO")</f>
        <v>🚛 LIBERADO</v>
      </c>
      <c r="F2037" s="5">
        <f ca="1">IFERROR(__xludf.UNSUPPORTED("""COMPUTED_VALUE"""),0)</f>
        <v>0</v>
      </c>
      <c r="G2037" s="3" t="str">
        <f ca="1">IFERROR(__xludf.UNSUPPORTED("""COMPUTED_VALUE"""),"Normal")</f>
        <v>Normal</v>
      </c>
      <c r="H2037" s="4">
        <f ca="1">IFERROR(__xludf.UNSUPPORTED("""COMPUTED_VALUE"""),44914.3179166666)</f>
        <v>44914.317916666601</v>
      </c>
      <c r="I2037" s="3">
        <f ca="1">IFERROR(__xludf.UNSUPPORTED("""COMPUTED_VALUE"""),24)</f>
        <v>24</v>
      </c>
      <c r="J2037" s="4">
        <f ca="1">IFERROR(__xludf.UNSUPPORTED("""COMPUTED_VALUE"""),44915.3179166666)</f>
        <v>44915.317916666601</v>
      </c>
    </row>
    <row r="2038" spans="1:12" ht="12.75">
      <c r="A2038" s="3" t="str">
        <f ca="1">IFERROR(__xludf.UNSUPPORTED("""COMPUTED_VALUE"""),"7e1d9e3e")</f>
        <v>7e1d9e3e</v>
      </c>
      <c r="B2038" s="4">
        <f ca="1">IFERROR(__xludf.UNSUPPORTED("""COMPUTED_VALUE"""),44915.413287037)</f>
        <v>44915.413287037001</v>
      </c>
      <c r="C2038" s="7" t="str">
        <f ca="1">IFERROR(__xludf.UNSUPPORTED("""COMPUTED_VALUE"""),"Rio Grande")</f>
        <v>Rio Grande</v>
      </c>
      <c r="D2038" s="3" t="str">
        <f ca="1">IFERROR(__xludf.UNSUPPORTED("""COMPUTED_VALUE"""),"🚢 REGULAR")</f>
        <v>🚢 REGULAR</v>
      </c>
      <c r="E2038" s="3" t="str">
        <f ca="1">IFERROR(__xludf.UNSUPPORTED("""COMPUTED_VALUE"""),"🚛 LIBERADO")</f>
        <v>🚛 LIBERADO</v>
      </c>
      <c r="F2038" s="5">
        <f ca="1">IFERROR(__xludf.UNSUPPORTED("""COMPUTED_VALUE"""),0)</f>
        <v>0</v>
      </c>
      <c r="G2038" s="3" t="str">
        <f ca="1">IFERROR(__xludf.UNSUPPORTED("""COMPUTED_VALUE"""),"Normal")</f>
        <v>Normal</v>
      </c>
      <c r="H2038" s="4">
        <f ca="1">IFERROR(__xludf.UNSUPPORTED("""COMPUTED_VALUE"""),44915.413287037)</f>
        <v>44915.413287037001</v>
      </c>
      <c r="I2038" s="3">
        <f ca="1">IFERROR(__xludf.UNSUPPORTED("""COMPUTED_VALUE"""),24)</f>
        <v>24</v>
      </c>
      <c r="J2038" s="4">
        <f ca="1">IFERROR(__xludf.UNSUPPORTED("""COMPUTED_VALUE"""),44916.413287037)</f>
        <v>44916.413287037001</v>
      </c>
    </row>
    <row r="2039" spans="1:12" ht="12.75">
      <c r="A2039" s="3" t="str">
        <f ca="1">IFERROR(__xludf.UNSUPPORTED("""COMPUTED_VALUE"""),"c727d45d")</f>
        <v>c727d45d</v>
      </c>
      <c r="B2039" s="4">
        <f ca="1">IFERROR(__xludf.UNSUPPORTED("""COMPUTED_VALUE"""),44916.3453356481)</f>
        <v>44916.345335648097</v>
      </c>
      <c r="C2039" s="8" t="str">
        <f ca="1">IFERROR(__xludf.UNSUPPORTED("""COMPUTED_VALUE"""),"Rio Grande")</f>
        <v>Rio Grande</v>
      </c>
      <c r="D2039" s="3" t="str">
        <f ca="1">IFERROR(__xludf.UNSUPPORTED("""COMPUTED_VALUE"""),"🚢 REGULAR")</f>
        <v>🚢 REGULAR</v>
      </c>
      <c r="E2039" s="3" t="str">
        <f ca="1">IFERROR(__xludf.UNSUPPORTED("""COMPUTED_VALUE"""),"🚛 LIBERADO")</f>
        <v>🚛 LIBERADO</v>
      </c>
      <c r="F2039" s="5">
        <f ca="1">IFERROR(__xludf.UNSUPPORTED("""COMPUTED_VALUE"""),0)</f>
        <v>0</v>
      </c>
      <c r="G2039" s="3" t="str">
        <f ca="1">IFERROR(__xludf.UNSUPPORTED("""COMPUTED_VALUE"""),"Normal")</f>
        <v>Normal</v>
      </c>
      <c r="H2039" s="4">
        <f ca="1">IFERROR(__xludf.UNSUPPORTED("""COMPUTED_VALUE"""),44916.3453356481)</f>
        <v>44916.345335648097</v>
      </c>
      <c r="I2039" s="3">
        <f ca="1">IFERROR(__xludf.UNSUPPORTED("""COMPUTED_VALUE"""),24)</f>
        <v>24</v>
      </c>
      <c r="J2039" s="4">
        <f ca="1">IFERROR(__xludf.UNSUPPORTED("""COMPUTED_VALUE"""),44917.3453356481)</f>
        <v>44917.345335648097</v>
      </c>
    </row>
    <row r="2040" spans="1:12" ht="12.75">
      <c r="A2040" s="3" t="str">
        <f ca="1">IFERROR(__xludf.UNSUPPORTED("""COMPUTED_VALUE"""),"54a7322c")</f>
        <v>54a7322c</v>
      </c>
      <c r="B2040" s="4">
        <f ca="1">IFERROR(__xludf.UNSUPPORTED("""COMPUTED_VALUE"""),44917.3899074074)</f>
        <v>44917.3899074074</v>
      </c>
      <c r="C2040" s="8" t="str">
        <f ca="1">IFERROR(__xludf.UNSUPPORTED("""COMPUTED_VALUE"""),"Rio Grande")</f>
        <v>Rio Grande</v>
      </c>
      <c r="D2040" s="3" t="str">
        <f ca="1">IFERROR(__xludf.UNSUPPORTED("""COMPUTED_VALUE"""),"🚢 REGULAR")</f>
        <v>🚢 REGULAR</v>
      </c>
      <c r="E2040" s="3" t="str">
        <f ca="1">IFERROR(__xludf.UNSUPPORTED("""COMPUTED_VALUE"""),"🚛 LIBERADO")</f>
        <v>🚛 LIBERADO</v>
      </c>
      <c r="F2040" s="5">
        <f ca="1">IFERROR(__xludf.UNSUPPORTED("""COMPUTED_VALUE"""),0)</f>
        <v>0</v>
      </c>
      <c r="G2040" s="3" t="str">
        <f ca="1">IFERROR(__xludf.UNSUPPORTED("""COMPUTED_VALUE"""),"Normal")</f>
        <v>Normal</v>
      </c>
      <c r="H2040" s="4">
        <f ca="1">IFERROR(__xludf.UNSUPPORTED("""COMPUTED_VALUE"""),44917.3899074074)</f>
        <v>44917.3899074074</v>
      </c>
      <c r="I2040" s="3">
        <f ca="1">IFERROR(__xludf.UNSUPPORTED("""COMPUTED_VALUE"""),24)</f>
        <v>24</v>
      </c>
      <c r="J2040" s="4">
        <f ca="1">IFERROR(__xludf.UNSUPPORTED("""COMPUTED_VALUE"""),44918.3899074074)</f>
        <v>44918.3899074074</v>
      </c>
    </row>
    <row r="2041" spans="1:12" ht="12.75">
      <c r="A2041" s="3" t="str">
        <f ca="1">IFERROR(__xludf.UNSUPPORTED("""COMPUTED_VALUE"""),"8ba0944f")</f>
        <v>8ba0944f</v>
      </c>
      <c r="B2041" s="4">
        <f ca="1">IFERROR(__xludf.UNSUPPORTED("""COMPUTED_VALUE"""),44925.4128587962)</f>
        <v>44925.412858796197</v>
      </c>
      <c r="C2041" s="7" t="str">
        <f ca="1">IFERROR(__xludf.UNSUPPORTED("""COMPUTED_VALUE"""),"Rio Grande")</f>
        <v>Rio Grande</v>
      </c>
      <c r="D2041" s="3" t="str">
        <f ca="1">IFERROR(__xludf.UNSUPPORTED("""COMPUTED_VALUE"""),"🚢 REGULAR")</f>
        <v>🚢 REGULAR</v>
      </c>
      <c r="E2041" s="3" t="str">
        <f ca="1">IFERROR(__xludf.UNSUPPORTED("""COMPUTED_VALUE"""),"🚛 LIBERADO")</f>
        <v>🚛 LIBERADO</v>
      </c>
      <c r="F2041" s="5">
        <f ca="1">IFERROR(__xludf.UNSUPPORTED("""COMPUTED_VALUE"""),0)</f>
        <v>0</v>
      </c>
      <c r="G2041" s="3" t="str">
        <f ca="1">IFERROR(__xludf.UNSUPPORTED("""COMPUTED_VALUE"""),"Normal")</f>
        <v>Normal</v>
      </c>
      <c r="H2041" s="4">
        <f ca="1">IFERROR(__xludf.UNSUPPORTED("""COMPUTED_VALUE"""),44925.4128587962)</f>
        <v>44925.412858796197</v>
      </c>
      <c r="I2041" s="3">
        <f ca="1">IFERROR(__xludf.UNSUPPORTED("""COMPUTED_VALUE"""),24)</f>
        <v>24</v>
      </c>
      <c r="J2041" s="4">
        <f ca="1">IFERROR(__xludf.UNSUPPORTED("""COMPUTED_VALUE"""),44926.4128587962)</f>
        <v>44926.412858796197</v>
      </c>
    </row>
    <row r="2042" spans="1:12" ht="12.75">
      <c r="A2042" s="3" t="str">
        <f ca="1">IFERROR(__xludf.UNSUPPORTED("""COMPUTED_VALUE"""),"30b3a624")</f>
        <v>30b3a624</v>
      </c>
      <c r="B2042" s="4">
        <f ca="1">IFERROR(__xludf.UNSUPPORTED("""COMPUTED_VALUE"""),44932.5174884259)</f>
        <v>44932.517488425903</v>
      </c>
      <c r="C2042" s="8" t="str">
        <f ca="1">IFERROR(__xludf.UNSUPPORTED("""COMPUTED_VALUE"""),"Rio Grande")</f>
        <v>Rio Grande</v>
      </c>
      <c r="D2042" s="3" t="str">
        <f ca="1">IFERROR(__xludf.UNSUPPORTED("""COMPUTED_VALUE"""),"🚢 REGULAR")</f>
        <v>🚢 REGULAR</v>
      </c>
      <c r="E2042" s="3" t="str">
        <f ca="1">IFERROR(__xludf.UNSUPPORTED("""COMPUTED_VALUE"""),"🚛 LIBERADO")</f>
        <v>🚛 LIBERADO</v>
      </c>
      <c r="F2042" s="5">
        <f ca="1">IFERROR(__xludf.UNSUPPORTED("""COMPUTED_VALUE"""),0)</f>
        <v>0</v>
      </c>
      <c r="G2042" s="3" t="str">
        <f ca="1">IFERROR(__xludf.UNSUPPORTED("""COMPUTED_VALUE"""),"Normalidade")</f>
        <v>Normalidade</v>
      </c>
      <c r="H2042" s="4">
        <f ca="1">IFERROR(__xludf.UNSUPPORTED("""COMPUTED_VALUE"""),44932.5174884259)</f>
        <v>44932.517488425903</v>
      </c>
      <c r="I2042" s="3">
        <f ca="1">IFERROR(__xludf.UNSUPPORTED("""COMPUTED_VALUE"""),24)</f>
        <v>24</v>
      </c>
      <c r="J2042" s="4">
        <f ca="1">IFERROR(__xludf.UNSUPPORTED("""COMPUTED_VALUE"""),44933.5174884259)</f>
        <v>44933.517488425903</v>
      </c>
      <c r="L2042" s="3" t="str">
        <f ca="1">IFERROR(__xludf.UNSUPPORTED("""COMPUTED_VALUE"""),"Normalidade")</f>
        <v>Normalidade</v>
      </c>
    </row>
    <row r="2043" spans="1:12" ht="12.75">
      <c r="A2043" s="3" t="str">
        <f ca="1">IFERROR(__xludf.UNSUPPORTED("""COMPUTED_VALUE"""),"24344487")</f>
        <v>24344487</v>
      </c>
      <c r="B2043" s="4">
        <f ca="1">IFERROR(__xludf.UNSUPPORTED("""COMPUTED_VALUE"""),44935.3254166666)</f>
        <v>44935.325416666601</v>
      </c>
      <c r="C2043" s="7" t="str">
        <f ca="1">IFERROR(__xludf.UNSUPPORTED("""COMPUTED_VALUE"""),"Rio Grande")</f>
        <v>Rio Grande</v>
      </c>
      <c r="D2043" s="3" t="str">
        <f ca="1">IFERROR(__xludf.UNSUPPORTED("""COMPUTED_VALUE"""),"🚢 REGULAR")</f>
        <v>🚢 REGULAR</v>
      </c>
      <c r="E2043" s="3" t="str">
        <f ca="1">IFERROR(__xludf.UNSUPPORTED("""COMPUTED_VALUE"""),"🚛 LIBERADO")</f>
        <v>🚛 LIBERADO</v>
      </c>
      <c r="F2043" s="5">
        <f ca="1">IFERROR(__xludf.UNSUPPORTED("""COMPUTED_VALUE"""),0)</f>
        <v>0</v>
      </c>
      <c r="G2043" s="3" t="str">
        <f ca="1">IFERROR(__xludf.UNSUPPORTED("""COMPUTED_VALUE"""),"Normalidade")</f>
        <v>Normalidade</v>
      </c>
      <c r="H2043" s="4">
        <f ca="1">IFERROR(__xludf.UNSUPPORTED("""COMPUTED_VALUE"""),44935.3254166666)</f>
        <v>44935.325416666601</v>
      </c>
      <c r="I2043" s="3">
        <f ca="1">IFERROR(__xludf.UNSUPPORTED("""COMPUTED_VALUE"""),24)</f>
        <v>24</v>
      </c>
      <c r="J2043" s="4">
        <f ca="1">IFERROR(__xludf.UNSUPPORTED("""COMPUTED_VALUE"""),44936.3254166666)</f>
        <v>44936.325416666601</v>
      </c>
      <c r="L2043" s="3" t="str">
        <f ca="1">IFERROR(__xludf.UNSUPPORTED("""COMPUTED_VALUE"""),"Normalidade")</f>
        <v>Normalidade</v>
      </c>
    </row>
    <row r="2044" spans="1:12" ht="12.75">
      <c r="A2044" s="3" t="str">
        <f ca="1">IFERROR(__xludf.UNSUPPORTED("""COMPUTED_VALUE"""),"17ab7a48")</f>
        <v>17ab7a48</v>
      </c>
      <c r="B2044" s="4">
        <f ca="1">IFERROR(__xludf.UNSUPPORTED("""COMPUTED_VALUE"""),44936.489375)</f>
        <v>44936.489374999997</v>
      </c>
      <c r="C2044" s="7" t="str">
        <f ca="1">IFERROR(__xludf.UNSUPPORTED("""COMPUTED_VALUE"""),"Rio Grande")</f>
        <v>Rio Grande</v>
      </c>
      <c r="D2044" s="3" t="str">
        <f ca="1">IFERROR(__xludf.UNSUPPORTED("""COMPUTED_VALUE"""),"🚢 REGULAR")</f>
        <v>🚢 REGULAR</v>
      </c>
      <c r="E2044" s="3" t="str">
        <f ca="1">IFERROR(__xludf.UNSUPPORTED("""COMPUTED_VALUE"""),"🚛 LIBERADO")</f>
        <v>🚛 LIBERADO</v>
      </c>
      <c r="F2044" s="5">
        <f ca="1">IFERROR(__xludf.UNSUPPORTED("""COMPUTED_VALUE"""),0)</f>
        <v>0</v>
      </c>
      <c r="G2044" s="3" t="str">
        <f ca="1">IFERROR(__xludf.UNSUPPORTED("""COMPUTED_VALUE"""),"Normalidade")</f>
        <v>Normalidade</v>
      </c>
      <c r="H2044" s="4">
        <f ca="1">IFERROR(__xludf.UNSUPPORTED("""COMPUTED_VALUE"""),44936.489375)</f>
        <v>44936.489374999997</v>
      </c>
      <c r="I2044" s="3">
        <f ca="1">IFERROR(__xludf.UNSUPPORTED("""COMPUTED_VALUE"""),24)</f>
        <v>24</v>
      </c>
      <c r="J2044" s="4">
        <f ca="1">IFERROR(__xludf.UNSUPPORTED("""COMPUTED_VALUE"""),44937.489375)</f>
        <v>44937.489374999997</v>
      </c>
      <c r="L2044" s="3" t="str">
        <f ca="1">IFERROR(__xludf.UNSUPPORTED("""COMPUTED_VALUE"""),"Normalidade")</f>
        <v>Normalidade</v>
      </c>
    </row>
    <row r="2045" spans="1:12" ht="12.75">
      <c r="A2045" s="3" t="str">
        <f ca="1">IFERROR(__xludf.UNSUPPORTED("""COMPUTED_VALUE"""),"cb5aa5c3")</f>
        <v>cb5aa5c3</v>
      </c>
      <c r="B2045" s="4">
        <f ca="1">IFERROR(__xludf.UNSUPPORTED("""COMPUTED_VALUE"""),44937.3760300925)</f>
        <v>44937.376030092499</v>
      </c>
      <c r="C2045" s="8" t="str">
        <f ca="1">IFERROR(__xludf.UNSUPPORTED("""COMPUTED_VALUE"""),"Rio Grande")</f>
        <v>Rio Grande</v>
      </c>
      <c r="D2045" s="3" t="str">
        <f ca="1">IFERROR(__xludf.UNSUPPORTED("""COMPUTED_VALUE"""),"🚢 REGULAR")</f>
        <v>🚢 REGULAR</v>
      </c>
      <c r="E2045" s="3" t="str">
        <f ca="1">IFERROR(__xludf.UNSUPPORTED("""COMPUTED_VALUE"""),"🚛 LIBERADO")</f>
        <v>🚛 LIBERADO</v>
      </c>
      <c r="F2045" s="5">
        <f ca="1">IFERROR(__xludf.UNSUPPORTED("""COMPUTED_VALUE"""),0)</f>
        <v>0</v>
      </c>
      <c r="G2045" s="3" t="str">
        <f ca="1">IFERROR(__xludf.UNSUPPORTED("""COMPUTED_VALUE"""),"Normalidade")</f>
        <v>Normalidade</v>
      </c>
      <c r="H2045" s="4">
        <f ca="1">IFERROR(__xludf.UNSUPPORTED("""COMPUTED_VALUE"""),44937.3760300925)</f>
        <v>44937.376030092499</v>
      </c>
      <c r="I2045" s="3">
        <f ca="1">IFERROR(__xludf.UNSUPPORTED("""COMPUTED_VALUE"""),24)</f>
        <v>24</v>
      </c>
      <c r="J2045" s="4">
        <f ca="1">IFERROR(__xludf.UNSUPPORTED("""COMPUTED_VALUE"""),44938.3760300925)</f>
        <v>44938.376030092499</v>
      </c>
      <c r="L2045" s="3" t="str">
        <f ca="1">IFERROR(__xludf.UNSUPPORTED("""COMPUTED_VALUE"""),"Normalidade")</f>
        <v>Normalidade</v>
      </c>
    </row>
    <row r="2046" spans="1:12" ht="12.75">
      <c r="A2046" s="3" t="str">
        <f ca="1">IFERROR(__xludf.UNSUPPORTED("""COMPUTED_VALUE"""),"e00cf773")</f>
        <v>e00cf773</v>
      </c>
      <c r="B2046" s="4">
        <f ca="1">IFERROR(__xludf.UNSUPPORTED("""COMPUTED_VALUE"""),44942.4389004629)</f>
        <v>44942.438900462897</v>
      </c>
      <c r="C2046" s="7" t="str">
        <f ca="1">IFERROR(__xludf.UNSUPPORTED("""COMPUTED_VALUE"""),"Rio Grande")</f>
        <v>Rio Grande</v>
      </c>
      <c r="D2046" s="3" t="str">
        <f ca="1">IFERROR(__xludf.UNSUPPORTED("""COMPUTED_VALUE"""),"🚢 REGULAR")</f>
        <v>🚢 REGULAR</v>
      </c>
      <c r="E2046" s="3" t="str">
        <f ca="1">IFERROR(__xludf.UNSUPPORTED("""COMPUTED_VALUE"""),"🚛 LIBERADO")</f>
        <v>🚛 LIBERADO</v>
      </c>
      <c r="F2046" s="5">
        <f ca="1">IFERROR(__xludf.UNSUPPORTED("""COMPUTED_VALUE"""),0)</f>
        <v>0</v>
      </c>
      <c r="G2046" s="3" t="str">
        <f ca="1">IFERROR(__xludf.UNSUPPORTED("""COMPUTED_VALUE"""),"Normalidade")</f>
        <v>Normalidade</v>
      </c>
      <c r="H2046" s="4">
        <f ca="1">IFERROR(__xludf.UNSUPPORTED("""COMPUTED_VALUE"""),44942.4389004629)</f>
        <v>44942.438900462897</v>
      </c>
      <c r="I2046" s="3">
        <f ca="1">IFERROR(__xludf.UNSUPPORTED("""COMPUTED_VALUE"""),24)</f>
        <v>24</v>
      </c>
      <c r="J2046" s="4">
        <f ca="1">IFERROR(__xludf.UNSUPPORTED("""COMPUTED_VALUE"""),44943.4389004629)</f>
        <v>44943.438900462897</v>
      </c>
      <c r="L2046" s="3" t="str">
        <f ca="1">IFERROR(__xludf.UNSUPPORTED("""COMPUTED_VALUE"""),"Normalidade")</f>
        <v>Normalidade</v>
      </c>
    </row>
    <row r="2047" spans="1:12" ht="12.75">
      <c r="A2047" s="3" t="str">
        <f ca="1">IFERROR(__xludf.UNSUPPORTED("""COMPUTED_VALUE"""),"36a6377b")</f>
        <v>36a6377b</v>
      </c>
      <c r="B2047" s="4">
        <f ca="1">IFERROR(__xludf.UNSUPPORTED("""COMPUTED_VALUE"""),44943.383912037)</f>
        <v>44943.383912037003</v>
      </c>
      <c r="C2047" s="8" t="str">
        <f ca="1">IFERROR(__xludf.UNSUPPORTED("""COMPUTED_VALUE"""),"Rio Grande")</f>
        <v>Rio Grande</v>
      </c>
      <c r="D2047" s="3" t="str">
        <f ca="1">IFERROR(__xludf.UNSUPPORTED("""COMPUTED_VALUE"""),"🚢 REGULAR")</f>
        <v>🚢 REGULAR</v>
      </c>
      <c r="E2047" s="3" t="str">
        <f ca="1">IFERROR(__xludf.UNSUPPORTED("""COMPUTED_VALUE"""),"🚛 LIBERADO")</f>
        <v>🚛 LIBERADO</v>
      </c>
      <c r="F2047" s="5">
        <f ca="1">IFERROR(__xludf.UNSUPPORTED("""COMPUTED_VALUE"""),0)</f>
        <v>0</v>
      </c>
      <c r="G2047" s="3" t="str">
        <f ca="1">IFERROR(__xludf.UNSUPPORTED("""COMPUTED_VALUE"""),"Normalidade")</f>
        <v>Normalidade</v>
      </c>
      <c r="H2047" s="4">
        <f ca="1">IFERROR(__xludf.UNSUPPORTED("""COMPUTED_VALUE"""),44943.383912037)</f>
        <v>44943.383912037003</v>
      </c>
      <c r="I2047" s="3">
        <f ca="1">IFERROR(__xludf.UNSUPPORTED("""COMPUTED_VALUE"""),24)</f>
        <v>24</v>
      </c>
      <c r="J2047" s="4">
        <f ca="1">IFERROR(__xludf.UNSUPPORTED("""COMPUTED_VALUE"""),44944.383912037)</f>
        <v>44944.383912037003</v>
      </c>
      <c r="L2047" s="3" t="str">
        <f ca="1">IFERROR(__xludf.UNSUPPORTED("""COMPUTED_VALUE"""),"Normalidade")</f>
        <v>Normalidade</v>
      </c>
    </row>
    <row r="2048" spans="1:12" ht="12.75">
      <c r="A2048" s="3" t="str">
        <f ca="1">IFERROR(__xludf.UNSUPPORTED("""COMPUTED_VALUE"""),"9468a99a")</f>
        <v>9468a99a</v>
      </c>
      <c r="B2048" s="4">
        <f ca="1">IFERROR(__xludf.UNSUPPORTED("""COMPUTED_VALUE"""),44945.4370717592)</f>
        <v>44945.437071759203</v>
      </c>
      <c r="C2048" s="7" t="str">
        <f ca="1">IFERROR(__xludf.UNSUPPORTED("""COMPUTED_VALUE"""),"Rio Grande")</f>
        <v>Rio Grande</v>
      </c>
      <c r="D2048" s="3" t="str">
        <f ca="1">IFERROR(__xludf.UNSUPPORTED("""COMPUTED_VALUE"""),"🚢 REGULAR")</f>
        <v>🚢 REGULAR</v>
      </c>
      <c r="E2048" s="3" t="str">
        <f ca="1">IFERROR(__xludf.UNSUPPORTED("""COMPUTED_VALUE"""),"🚛 LIBERADO")</f>
        <v>🚛 LIBERADO</v>
      </c>
      <c r="F2048" s="5">
        <f ca="1">IFERROR(__xludf.UNSUPPORTED("""COMPUTED_VALUE"""),0)</f>
        <v>0</v>
      </c>
      <c r="G2048" s="3" t="str">
        <f ca="1">IFERROR(__xludf.UNSUPPORTED("""COMPUTED_VALUE"""),"Normalidade")</f>
        <v>Normalidade</v>
      </c>
      <c r="H2048" s="4">
        <f ca="1">IFERROR(__xludf.UNSUPPORTED("""COMPUTED_VALUE"""),44945.4370717592)</f>
        <v>44945.437071759203</v>
      </c>
      <c r="I2048" s="3">
        <f ca="1">IFERROR(__xludf.UNSUPPORTED("""COMPUTED_VALUE"""),24)</f>
        <v>24</v>
      </c>
      <c r="J2048" s="4">
        <f ca="1">IFERROR(__xludf.UNSUPPORTED("""COMPUTED_VALUE"""),44946.4370717592)</f>
        <v>44946.437071759203</v>
      </c>
      <c r="L2048" s="3" t="str">
        <f ca="1">IFERROR(__xludf.UNSUPPORTED("""COMPUTED_VALUE"""),"Normalidade")</f>
        <v>Normalidade</v>
      </c>
    </row>
    <row r="2049" spans="1:12" ht="12.75">
      <c r="A2049" s="3" t="str">
        <f ca="1">IFERROR(__xludf.UNSUPPORTED("""COMPUTED_VALUE"""),"f33431f7")</f>
        <v>f33431f7</v>
      </c>
      <c r="B2049" s="4">
        <f ca="1">IFERROR(__xludf.UNSUPPORTED("""COMPUTED_VALUE"""),44946.3979050925)</f>
        <v>44946.397905092497</v>
      </c>
      <c r="C2049" s="8" t="str">
        <f ca="1">IFERROR(__xludf.UNSUPPORTED("""COMPUTED_VALUE"""),"Rio Grande")</f>
        <v>Rio Grande</v>
      </c>
      <c r="D2049" s="3" t="str">
        <f ca="1">IFERROR(__xludf.UNSUPPORTED("""COMPUTED_VALUE"""),"🚢 REGULAR")</f>
        <v>🚢 REGULAR</v>
      </c>
      <c r="E2049" s="3" t="str">
        <f ca="1">IFERROR(__xludf.UNSUPPORTED("""COMPUTED_VALUE"""),"🚛 LIBERADO")</f>
        <v>🚛 LIBERADO</v>
      </c>
      <c r="F2049" s="5">
        <f ca="1">IFERROR(__xludf.UNSUPPORTED("""COMPUTED_VALUE"""),0)</f>
        <v>0</v>
      </c>
      <c r="G2049" s="3" t="str">
        <f ca="1">IFERROR(__xludf.UNSUPPORTED("""COMPUTED_VALUE"""),"Normalidade")</f>
        <v>Normalidade</v>
      </c>
      <c r="H2049" s="4">
        <f ca="1">IFERROR(__xludf.UNSUPPORTED("""COMPUTED_VALUE"""),44946.3979050925)</f>
        <v>44946.397905092497</v>
      </c>
      <c r="I2049" s="3">
        <f ca="1">IFERROR(__xludf.UNSUPPORTED("""COMPUTED_VALUE"""),24)</f>
        <v>24</v>
      </c>
      <c r="J2049" s="4">
        <f ca="1">IFERROR(__xludf.UNSUPPORTED("""COMPUTED_VALUE"""),44947.3979050925)</f>
        <v>44947.397905092497</v>
      </c>
      <c r="L2049" s="3" t="str">
        <f ca="1">IFERROR(__xludf.UNSUPPORTED("""COMPUTED_VALUE"""),"Normalidade")</f>
        <v>Normalidade</v>
      </c>
    </row>
    <row r="2050" spans="1:12" ht="12.75">
      <c r="A2050" s="3" t="str">
        <f ca="1">IFERROR(__xludf.UNSUPPORTED("""COMPUTED_VALUE"""),"ff918591")</f>
        <v>ff918591</v>
      </c>
      <c r="B2050" s="4">
        <f ca="1">IFERROR(__xludf.UNSUPPORTED("""COMPUTED_VALUE"""),44949.3830671296)</f>
        <v>44949.383067129602</v>
      </c>
      <c r="C2050" s="7" t="str">
        <f ca="1">IFERROR(__xludf.UNSUPPORTED("""COMPUTED_VALUE"""),"Rio Grande")</f>
        <v>Rio Grande</v>
      </c>
      <c r="D2050" s="3" t="str">
        <f ca="1">IFERROR(__xludf.UNSUPPORTED("""COMPUTED_VALUE"""),"🚢 REGULAR")</f>
        <v>🚢 REGULAR</v>
      </c>
      <c r="E2050" s="3" t="str">
        <f ca="1">IFERROR(__xludf.UNSUPPORTED("""COMPUTED_VALUE"""),"🚛 LIBERADO")</f>
        <v>🚛 LIBERADO</v>
      </c>
      <c r="F2050" s="5">
        <f ca="1">IFERROR(__xludf.UNSUPPORTED("""COMPUTED_VALUE"""),0)</f>
        <v>0</v>
      </c>
      <c r="G2050" s="3" t="str">
        <f ca="1">IFERROR(__xludf.UNSUPPORTED("""COMPUTED_VALUE"""),"Normalidade")</f>
        <v>Normalidade</v>
      </c>
      <c r="H2050" s="4">
        <f ca="1">IFERROR(__xludf.UNSUPPORTED("""COMPUTED_VALUE"""),44949.3830671296)</f>
        <v>44949.383067129602</v>
      </c>
      <c r="I2050" s="3">
        <f ca="1">IFERROR(__xludf.UNSUPPORTED("""COMPUTED_VALUE"""),24)</f>
        <v>24</v>
      </c>
      <c r="J2050" s="4">
        <f ca="1">IFERROR(__xludf.UNSUPPORTED("""COMPUTED_VALUE"""),44950.3830671296)</f>
        <v>44950.383067129602</v>
      </c>
      <c r="L2050" s="3" t="str">
        <f ca="1">IFERROR(__xludf.UNSUPPORTED("""COMPUTED_VALUE"""),"Normalidade")</f>
        <v>Normalidade</v>
      </c>
    </row>
    <row r="2051" spans="1:12" ht="12.75">
      <c r="A2051" s="3" t="str">
        <f ca="1">IFERROR(__xludf.UNSUPPORTED("""COMPUTED_VALUE"""),"3cac4939")</f>
        <v>3cac4939</v>
      </c>
      <c r="B2051" s="4">
        <f ca="1">IFERROR(__xludf.UNSUPPORTED("""COMPUTED_VALUE"""),44950.3675231481)</f>
        <v>44950.367523148103</v>
      </c>
      <c r="C2051" s="8" t="str">
        <f ca="1">IFERROR(__xludf.UNSUPPORTED("""COMPUTED_VALUE"""),"Rio Grande")</f>
        <v>Rio Grande</v>
      </c>
      <c r="D2051" s="3" t="str">
        <f ca="1">IFERROR(__xludf.UNSUPPORTED("""COMPUTED_VALUE"""),"🚢 REGULAR")</f>
        <v>🚢 REGULAR</v>
      </c>
      <c r="E2051" s="3" t="str">
        <f ca="1">IFERROR(__xludf.UNSUPPORTED("""COMPUTED_VALUE"""),"🚛 LIBERADO")</f>
        <v>🚛 LIBERADO</v>
      </c>
      <c r="F2051" s="5">
        <f ca="1">IFERROR(__xludf.UNSUPPORTED("""COMPUTED_VALUE"""),0)</f>
        <v>0</v>
      </c>
      <c r="G2051" s="3" t="str">
        <f ca="1">IFERROR(__xludf.UNSUPPORTED("""COMPUTED_VALUE"""),"Normalidade")</f>
        <v>Normalidade</v>
      </c>
      <c r="H2051" s="4">
        <f ca="1">IFERROR(__xludf.UNSUPPORTED("""COMPUTED_VALUE"""),44950.3675231481)</f>
        <v>44950.367523148103</v>
      </c>
      <c r="I2051" s="3">
        <f ca="1">IFERROR(__xludf.UNSUPPORTED("""COMPUTED_VALUE"""),24)</f>
        <v>24</v>
      </c>
      <c r="J2051" s="4">
        <f ca="1">IFERROR(__xludf.UNSUPPORTED("""COMPUTED_VALUE"""),44951.3675231481)</f>
        <v>44951.367523148103</v>
      </c>
      <c r="L2051" s="3" t="str">
        <f ca="1">IFERROR(__xludf.UNSUPPORTED("""COMPUTED_VALUE"""),"Normalidade")</f>
        <v>Normalidade</v>
      </c>
    </row>
    <row r="2052" spans="1:12" ht="12.75">
      <c r="A2052" s="3" t="str">
        <f ca="1">IFERROR(__xludf.UNSUPPORTED("""COMPUTED_VALUE"""),"94404610")</f>
        <v>94404610</v>
      </c>
      <c r="B2052" s="4">
        <f ca="1">IFERROR(__xludf.UNSUPPORTED("""COMPUTED_VALUE"""),44951.3693981481)</f>
        <v>44951.369398148097</v>
      </c>
      <c r="C2052" s="7" t="str">
        <f ca="1">IFERROR(__xludf.UNSUPPORTED("""COMPUTED_VALUE"""),"Rio Grande")</f>
        <v>Rio Grande</v>
      </c>
      <c r="D2052" s="3" t="str">
        <f ca="1">IFERROR(__xludf.UNSUPPORTED("""COMPUTED_VALUE"""),"🚢 REGULAR")</f>
        <v>🚢 REGULAR</v>
      </c>
      <c r="E2052" s="3" t="str">
        <f ca="1">IFERROR(__xludf.UNSUPPORTED("""COMPUTED_VALUE"""),"🚛 LIBERADO")</f>
        <v>🚛 LIBERADO</v>
      </c>
      <c r="F2052" s="5">
        <f ca="1">IFERROR(__xludf.UNSUPPORTED("""COMPUTED_VALUE"""),0)</f>
        <v>0</v>
      </c>
      <c r="G2052" s="3" t="str">
        <f ca="1">IFERROR(__xludf.UNSUPPORTED("""COMPUTED_VALUE"""),"Normalidade")</f>
        <v>Normalidade</v>
      </c>
      <c r="H2052" s="4">
        <f ca="1">IFERROR(__xludf.UNSUPPORTED("""COMPUTED_VALUE"""),44951.3693981481)</f>
        <v>44951.369398148097</v>
      </c>
      <c r="I2052" s="3">
        <f ca="1">IFERROR(__xludf.UNSUPPORTED("""COMPUTED_VALUE"""),24)</f>
        <v>24</v>
      </c>
      <c r="J2052" s="4">
        <f ca="1">IFERROR(__xludf.UNSUPPORTED("""COMPUTED_VALUE"""),44952.3693981481)</f>
        <v>44952.369398148097</v>
      </c>
      <c r="L2052" s="3" t="str">
        <f ca="1">IFERROR(__xludf.UNSUPPORTED("""COMPUTED_VALUE"""),"Normalidade")</f>
        <v>Normalidade</v>
      </c>
    </row>
    <row r="2053" spans="1:12" ht="12.75">
      <c r="A2053" s="3" t="str">
        <f ca="1">IFERROR(__xludf.UNSUPPORTED("""COMPUTED_VALUE"""),"811b1cef")</f>
        <v>811b1cef</v>
      </c>
      <c r="B2053" s="4">
        <f ca="1">IFERROR(__xludf.UNSUPPORTED("""COMPUTED_VALUE"""),44952.3751504629)</f>
        <v>44952.375150462904</v>
      </c>
      <c r="C2053" s="8" t="str">
        <f ca="1">IFERROR(__xludf.UNSUPPORTED("""COMPUTED_VALUE"""),"Rio Grande")</f>
        <v>Rio Grande</v>
      </c>
      <c r="D2053" s="3" t="str">
        <f ca="1">IFERROR(__xludf.UNSUPPORTED("""COMPUTED_VALUE"""),"🚢 REGULAR")</f>
        <v>🚢 REGULAR</v>
      </c>
      <c r="E2053" s="3" t="str">
        <f ca="1">IFERROR(__xludf.UNSUPPORTED("""COMPUTED_VALUE"""),"🚛 LIBERADO")</f>
        <v>🚛 LIBERADO</v>
      </c>
      <c r="F2053" s="5">
        <f ca="1">IFERROR(__xludf.UNSUPPORTED("""COMPUTED_VALUE"""),0)</f>
        <v>0</v>
      </c>
      <c r="G2053" s="3" t="str">
        <f ca="1">IFERROR(__xludf.UNSUPPORTED("""COMPUTED_VALUE"""),"Normalidade")</f>
        <v>Normalidade</v>
      </c>
      <c r="H2053" s="4">
        <f ca="1">IFERROR(__xludf.UNSUPPORTED("""COMPUTED_VALUE"""),44952.3751504629)</f>
        <v>44952.375150462904</v>
      </c>
      <c r="I2053" s="3">
        <f ca="1">IFERROR(__xludf.UNSUPPORTED("""COMPUTED_VALUE"""),24)</f>
        <v>24</v>
      </c>
      <c r="J2053" s="4">
        <f ca="1">IFERROR(__xludf.UNSUPPORTED("""COMPUTED_VALUE"""),44953.3751504629)</f>
        <v>44953.375150462904</v>
      </c>
      <c r="L2053" s="3" t="str">
        <f ca="1">IFERROR(__xludf.UNSUPPORTED("""COMPUTED_VALUE"""),"Normalidade")</f>
        <v>Normalidade</v>
      </c>
    </row>
    <row r="2054" spans="1:12" ht="12.75">
      <c r="A2054" s="3" t="str">
        <f ca="1">IFERROR(__xludf.UNSUPPORTED("""COMPUTED_VALUE"""),"1ec68787")</f>
        <v>1ec68787</v>
      </c>
      <c r="B2054" s="4">
        <f ca="1">IFERROR(__xludf.UNSUPPORTED("""COMPUTED_VALUE"""),44953.3468402777)</f>
        <v>44953.3468402777</v>
      </c>
      <c r="C2054" s="7" t="str">
        <f ca="1">IFERROR(__xludf.UNSUPPORTED("""COMPUTED_VALUE"""),"Rio Grande")</f>
        <v>Rio Grande</v>
      </c>
      <c r="D2054" s="3" t="str">
        <f ca="1">IFERROR(__xludf.UNSUPPORTED("""COMPUTED_VALUE"""),"🚢 REGULAR")</f>
        <v>🚢 REGULAR</v>
      </c>
      <c r="E2054" s="3" t="str">
        <f ca="1">IFERROR(__xludf.UNSUPPORTED("""COMPUTED_VALUE"""),"🚛 LIBERADO")</f>
        <v>🚛 LIBERADO</v>
      </c>
      <c r="F2054" s="5">
        <f ca="1">IFERROR(__xludf.UNSUPPORTED("""COMPUTED_VALUE"""),0)</f>
        <v>0</v>
      </c>
      <c r="G2054" s="3" t="str">
        <f ca="1">IFERROR(__xludf.UNSUPPORTED("""COMPUTED_VALUE"""),"Normalidade")</f>
        <v>Normalidade</v>
      </c>
      <c r="H2054" s="4">
        <f ca="1">IFERROR(__xludf.UNSUPPORTED("""COMPUTED_VALUE"""),44953.3468402777)</f>
        <v>44953.3468402777</v>
      </c>
      <c r="I2054" s="3">
        <f ca="1">IFERROR(__xludf.UNSUPPORTED("""COMPUTED_VALUE"""),24)</f>
        <v>24</v>
      </c>
      <c r="J2054" s="4">
        <f ca="1">IFERROR(__xludf.UNSUPPORTED("""COMPUTED_VALUE"""),44954.3468402777)</f>
        <v>44954.3468402777</v>
      </c>
      <c r="L2054" s="3" t="str">
        <f ca="1">IFERROR(__xludf.UNSUPPORTED("""COMPUTED_VALUE"""),"Normalidade")</f>
        <v>Normalidade</v>
      </c>
    </row>
    <row r="2055" spans="1:12" ht="12.75">
      <c r="A2055" s="3" t="str">
        <f ca="1">IFERROR(__xludf.UNSUPPORTED("""COMPUTED_VALUE"""),"de8f21a9")</f>
        <v>de8f21a9</v>
      </c>
      <c r="B2055" s="4">
        <f ca="1">IFERROR(__xludf.UNSUPPORTED("""COMPUTED_VALUE"""),44956.3974768518)</f>
        <v>44956.397476851802</v>
      </c>
      <c r="C2055" s="7" t="str">
        <f ca="1">IFERROR(__xludf.UNSUPPORTED("""COMPUTED_VALUE"""),"Rio Grande")</f>
        <v>Rio Grande</v>
      </c>
      <c r="D2055" s="3" t="str">
        <f ca="1">IFERROR(__xludf.UNSUPPORTED("""COMPUTED_VALUE"""),"🚢 REGULAR")</f>
        <v>🚢 REGULAR</v>
      </c>
      <c r="E2055" s="3" t="str">
        <f ca="1">IFERROR(__xludf.UNSUPPORTED("""COMPUTED_VALUE"""),"🚛 LIBERADO")</f>
        <v>🚛 LIBERADO</v>
      </c>
      <c r="F2055" s="5">
        <f ca="1">IFERROR(__xludf.UNSUPPORTED("""COMPUTED_VALUE"""),0)</f>
        <v>0</v>
      </c>
      <c r="G2055" s="3" t="str">
        <f ca="1">IFERROR(__xludf.UNSUPPORTED("""COMPUTED_VALUE"""),"Normalidade")</f>
        <v>Normalidade</v>
      </c>
      <c r="H2055" s="4">
        <f ca="1">IFERROR(__xludf.UNSUPPORTED("""COMPUTED_VALUE"""),44956.3974768518)</f>
        <v>44956.397476851802</v>
      </c>
      <c r="I2055" s="3">
        <f ca="1">IFERROR(__xludf.UNSUPPORTED("""COMPUTED_VALUE"""),24)</f>
        <v>24</v>
      </c>
      <c r="J2055" s="4">
        <f ca="1">IFERROR(__xludf.UNSUPPORTED("""COMPUTED_VALUE"""),44957.3974768518)</f>
        <v>44957.397476851802</v>
      </c>
      <c r="L2055" s="3" t="str">
        <f ca="1">IFERROR(__xludf.UNSUPPORTED("""COMPUTED_VALUE"""),"Normalidade")</f>
        <v>Normalidade</v>
      </c>
    </row>
    <row r="2056" spans="1:12" ht="12.75">
      <c r="A2056" s="3" t="str">
        <f ca="1">IFERROR(__xludf.UNSUPPORTED("""COMPUTED_VALUE"""),"8c15543a")</f>
        <v>8c15543a</v>
      </c>
      <c r="B2056" s="4">
        <f ca="1">IFERROR(__xludf.UNSUPPORTED("""COMPUTED_VALUE"""),44957.3365162037)</f>
        <v>44957.336516203701</v>
      </c>
      <c r="C2056" s="7" t="str">
        <f ca="1">IFERROR(__xludf.UNSUPPORTED("""COMPUTED_VALUE"""),"Rio Grande")</f>
        <v>Rio Grande</v>
      </c>
      <c r="D2056" s="3" t="str">
        <f ca="1">IFERROR(__xludf.UNSUPPORTED("""COMPUTED_VALUE"""),"🚢 REGULAR")</f>
        <v>🚢 REGULAR</v>
      </c>
      <c r="E2056" s="3" t="str">
        <f ca="1">IFERROR(__xludf.UNSUPPORTED("""COMPUTED_VALUE"""),"🚛 LIBERADO")</f>
        <v>🚛 LIBERADO</v>
      </c>
      <c r="F2056" s="5">
        <f ca="1">IFERROR(__xludf.UNSUPPORTED("""COMPUTED_VALUE"""),0)</f>
        <v>0</v>
      </c>
      <c r="G2056" s="3" t="str">
        <f ca="1">IFERROR(__xludf.UNSUPPORTED("""COMPUTED_VALUE"""),"Normalidade")</f>
        <v>Normalidade</v>
      </c>
      <c r="H2056" s="4">
        <f ca="1">IFERROR(__xludf.UNSUPPORTED("""COMPUTED_VALUE"""),44957.3365162037)</f>
        <v>44957.336516203701</v>
      </c>
      <c r="I2056" s="3">
        <f ca="1">IFERROR(__xludf.UNSUPPORTED("""COMPUTED_VALUE"""),24)</f>
        <v>24</v>
      </c>
      <c r="J2056" s="4">
        <f ca="1">IFERROR(__xludf.UNSUPPORTED("""COMPUTED_VALUE"""),44958.3365162037)</f>
        <v>44958.336516203701</v>
      </c>
      <c r="L2056" s="3" t="str">
        <f ca="1">IFERROR(__xludf.UNSUPPORTED("""COMPUTED_VALUE"""),"Normalidade")</f>
        <v>Normalidade</v>
      </c>
    </row>
    <row r="2057" spans="1:12" ht="12.75">
      <c r="A2057" s="3" t="str">
        <f ca="1">IFERROR(__xludf.UNSUPPORTED("""COMPUTED_VALUE"""),"cd28e910")</f>
        <v>cd28e910</v>
      </c>
      <c r="B2057" s="4">
        <f ca="1">IFERROR(__xludf.UNSUPPORTED("""COMPUTED_VALUE"""),44958.3729513888)</f>
        <v>44958.372951388803</v>
      </c>
      <c r="C2057" s="8" t="str">
        <f ca="1">IFERROR(__xludf.UNSUPPORTED("""COMPUTED_VALUE"""),"Rio Grande")</f>
        <v>Rio Grande</v>
      </c>
      <c r="D2057" s="3" t="str">
        <f ca="1">IFERROR(__xludf.UNSUPPORTED("""COMPUTED_VALUE"""),"🚢 REGULAR")</f>
        <v>🚢 REGULAR</v>
      </c>
      <c r="E2057" s="3" t="str">
        <f ca="1">IFERROR(__xludf.UNSUPPORTED("""COMPUTED_VALUE"""),"🚛 LIBERADO")</f>
        <v>🚛 LIBERADO</v>
      </c>
      <c r="F2057" s="5">
        <f ca="1">IFERROR(__xludf.UNSUPPORTED("""COMPUTED_VALUE"""),0)</f>
        <v>0</v>
      </c>
      <c r="G2057" s="3" t="str">
        <f ca="1">IFERROR(__xludf.UNSUPPORTED("""COMPUTED_VALUE"""),"Normalidade")</f>
        <v>Normalidade</v>
      </c>
      <c r="H2057" s="4">
        <f ca="1">IFERROR(__xludf.UNSUPPORTED("""COMPUTED_VALUE"""),44958.3729513888)</f>
        <v>44958.372951388803</v>
      </c>
      <c r="I2057" s="3">
        <f ca="1">IFERROR(__xludf.UNSUPPORTED("""COMPUTED_VALUE"""),24)</f>
        <v>24</v>
      </c>
      <c r="J2057" s="4">
        <f ca="1">IFERROR(__xludf.UNSUPPORTED("""COMPUTED_VALUE"""),44959.3729513888)</f>
        <v>44959.372951388803</v>
      </c>
      <c r="L2057" s="3" t="str">
        <f ca="1">IFERROR(__xludf.UNSUPPORTED("""COMPUTED_VALUE"""),"Normalidade")</f>
        <v>Normalidade</v>
      </c>
    </row>
    <row r="2058" spans="1:12" ht="12.75">
      <c r="A2058" s="3" t="str">
        <f ca="1">IFERROR(__xludf.UNSUPPORTED("""COMPUTED_VALUE"""),"1c007133")</f>
        <v>1c007133</v>
      </c>
      <c r="B2058" s="4">
        <f ca="1">IFERROR(__xludf.UNSUPPORTED("""COMPUTED_VALUE"""),44959.3597685185)</f>
        <v>44959.359768518501</v>
      </c>
      <c r="C2058" s="7" t="str">
        <f ca="1">IFERROR(__xludf.UNSUPPORTED("""COMPUTED_VALUE"""),"Rio Grande")</f>
        <v>Rio Grande</v>
      </c>
      <c r="D2058" s="3" t="str">
        <f ca="1">IFERROR(__xludf.UNSUPPORTED("""COMPUTED_VALUE"""),"🚢 REGULAR")</f>
        <v>🚢 REGULAR</v>
      </c>
      <c r="E2058" s="3" t="str">
        <f ca="1">IFERROR(__xludf.UNSUPPORTED("""COMPUTED_VALUE"""),"🚛 LIBERADO")</f>
        <v>🚛 LIBERADO</v>
      </c>
      <c r="F2058" s="5">
        <f ca="1">IFERROR(__xludf.UNSUPPORTED("""COMPUTED_VALUE"""),0)</f>
        <v>0</v>
      </c>
      <c r="G2058" s="3" t="str">
        <f ca="1">IFERROR(__xludf.UNSUPPORTED("""COMPUTED_VALUE"""),"Normalidade")</f>
        <v>Normalidade</v>
      </c>
      <c r="H2058" s="4">
        <f ca="1">IFERROR(__xludf.UNSUPPORTED("""COMPUTED_VALUE"""),44959.3597685185)</f>
        <v>44959.359768518501</v>
      </c>
      <c r="I2058" s="3">
        <f ca="1">IFERROR(__xludf.UNSUPPORTED("""COMPUTED_VALUE"""),24)</f>
        <v>24</v>
      </c>
      <c r="J2058" s="4">
        <f ca="1">IFERROR(__xludf.UNSUPPORTED("""COMPUTED_VALUE"""),44960.3597685185)</f>
        <v>44960.359768518501</v>
      </c>
      <c r="L2058" s="3" t="str">
        <f ca="1">IFERROR(__xludf.UNSUPPORTED("""COMPUTED_VALUE"""),"Normalidade")</f>
        <v>Normalidade</v>
      </c>
    </row>
    <row r="2059" spans="1:12" ht="12.75">
      <c r="A2059" s="3" t="str">
        <f ca="1">IFERROR(__xludf.UNSUPPORTED("""COMPUTED_VALUE"""),"ae429081")</f>
        <v>ae429081</v>
      </c>
      <c r="B2059" s="4">
        <f ca="1">IFERROR(__xludf.UNSUPPORTED("""COMPUTED_VALUE"""),44960.352824074)</f>
        <v>44960.352824073998</v>
      </c>
      <c r="C2059" s="7" t="str">
        <f ca="1">IFERROR(__xludf.UNSUPPORTED("""COMPUTED_VALUE"""),"Rio Grande")</f>
        <v>Rio Grande</v>
      </c>
      <c r="D2059" s="3" t="str">
        <f ca="1">IFERROR(__xludf.UNSUPPORTED("""COMPUTED_VALUE"""),"🚢 REGULAR")</f>
        <v>🚢 REGULAR</v>
      </c>
      <c r="E2059" s="3" t="str">
        <f ca="1">IFERROR(__xludf.UNSUPPORTED("""COMPUTED_VALUE"""),"🚛 LIBERADO")</f>
        <v>🚛 LIBERADO</v>
      </c>
      <c r="F2059" s="5">
        <f ca="1">IFERROR(__xludf.UNSUPPORTED("""COMPUTED_VALUE"""),0)</f>
        <v>0</v>
      </c>
      <c r="G2059" s="3" t="str">
        <f ca="1">IFERROR(__xludf.UNSUPPORTED("""COMPUTED_VALUE"""),"Normalidade")</f>
        <v>Normalidade</v>
      </c>
      <c r="H2059" s="4">
        <f ca="1">IFERROR(__xludf.UNSUPPORTED("""COMPUTED_VALUE"""),44960.352824074)</f>
        <v>44960.352824073998</v>
      </c>
      <c r="I2059" s="3">
        <f ca="1">IFERROR(__xludf.UNSUPPORTED("""COMPUTED_VALUE"""),24)</f>
        <v>24</v>
      </c>
      <c r="J2059" s="4">
        <f ca="1">IFERROR(__xludf.UNSUPPORTED("""COMPUTED_VALUE"""),44961.352824074)</f>
        <v>44961.352824073998</v>
      </c>
      <c r="L2059" s="3" t="str">
        <f ca="1">IFERROR(__xludf.UNSUPPORTED("""COMPUTED_VALUE"""),"Normalidade")</f>
        <v>Normalidade</v>
      </c>
    </row>
    <row r="2060" spans="1:12" ht="12.75">
      <c r="A2060" s="3" t="str">
        <f ca="1">IFERROR(__xludf.UNSUPPORTED("""COMPUTED_VALUE"""),"5d5bc8c6")</f>
        <v>5d5bc8c6</v>
      </c>
      <c r="B2060" s="4">
        <f ca="1">IFERROR(__xludf.UNSUPPORTED("""COMPUTED_VALUE"""),44963.373599537)</f>
        <v>44963.373599537001</v>
      </c>
      <c r="C2060" s="8" t="str">
        <f ca="1">IFERROR(__xludf.UNSUPPORTED("""COMPUTED_VALUE"""),"Rio Grande")</f>
        <v>Rio Grande</v>
      </c>
      <c r="D2060" s="3" t="str">
        <f ca="1">IFERROR(__xludf.UNSUPPORTED("""COMPUTED_VALUE"""),"🚢 REGULAR")</f>
        <v>🚢 REGULAR</v>
      </c>
      <c r="E2060" s="3" t="str">
        <f ca="1">IFERROR(__xludf.UNSUPPORTED("""COMPUTED_VALUE"""),"🚛 LIBERADO")</f>
        <v>🚛 LIBERADO</v>
      </c>
      <c r="F2060" s="5">
        <f ca="1">IFERROR(__xludf.UNSUPPORTED("""COMPUTED_VALUE"""),0)</f>
        <v>0</v>
      </c>
      <c r="G2060" s="3" t="str">
        <f ca="1">IFERROR(__xludf.UNSUPPORTED("""COMPUTED_VALUE"""),"Normalidade")</f>
        <v>Normalidade</v>
      </c>
      <c r="H2060" s="4">
        <f ca="1">IFERROR(__xludf.UNSUPPORTED("""COMPUTED_VALUE"""),44963.373599537)</f>
        <v>44963.373599537001</v>
      </c>
      <c r="I2060" s="3">
        <f ca="1">IFERROR(__xludf.UNSUPPORTED("""COMPUTED_VALUE"""),24)</f>
        <v>24</v>
      </c>
      <c r="J2060" s="4">
        <f ca="1">IFERROR(__xludf.UNSUPPORTED("""COMPUTED_VALUE"""),44964.373599537)</f>
        <v>44964.373599537001</v>
      </c>
      <c r="L2060" s="3" t="str">
        <f ca="1">IFERROR(__xludf.UNSUPPORTED("""COMPUTED_VALUE"""),"Normalidade")</f>
        <v>Normalidade</v>
      </c>
    </row>
    <row r="2061" spans="1:12" ht="12.75">
      <c r="A2061" s="3" t="str">
        <f ca="1">IFERROR(__xludf.UNSUPPORTED("""COMPUTED_VALUE"""),"5677e74f")</f>
        <v>5677e74f</v>
      </c>
      <c r="B2061" s="4">
        <f ca="1">IFERROR(__xludf.UNSUPPORTED("""COMPUTED_VALUE"""),44963.3745601851)</f>
        <v>44963.374560185097</v>
      </c>
      <c r="C2061" s="7" t="str">
        <f ca="1">IFERROR(__xludf.UNSUPPORTED("""COMPUTED_VALUE"""),"Rio Grande")</f>
        <v>Rio Grande</v>
      </c>
      <c r="D2061" s="3" t="str">
        <f ca="1">IFERROR(__xludf.UNSUPPORTED("""COMPUTED_VALUE"""),"🚢 REGULAR")</f>
        <v>🚢 REGULAR</v>
      </c>
      <c r="E2061" s="3" t="str">
        <f ca="1">IFERROR(__xludf.UNSUPPORTED("""COMPUTED_VALUE"""),"🚛 LIBERADO")</f>
        <v>🚛 LIBERADO</v>
      </c>
      <c r="F2061" s="5">
        <f ca="1">IFERROR(__xludf.UNSUPPORTED("""COMPUTED_VALUE"""),0)</f>
        <v>0</v>
      </c>
      <c r="G2061" s="3" t="str">
        <f ca="1">IFERROR(__xludf.UNSUPPORTED("""COMPUTED_VALUE"""),"Normalidade")</f>
        <v>Normalidade</v>
      </c>
      <c r="H2061" s="4">
        <f ca="1">IFERROR(__xludf.UNSUPPORTED("""COMPUTED_VALUE"""),44963.3745601851)</f>
        <v>44963.374560185097</v>
      </c>
      <c r="I2061" s="3">
        <f ca="1">IFERROR(__xludf.UNSUPPORTED("""COMPUTED_VALUE"""),24)</f>
        <v>24</v>
      </c>
      <c r="J2061" s="4">
        <f ca="1">IFERROR(__xludf.UNSUPPORTED("""COMPUTED_VALUE"""),44964.3745601851)</f>
        <v>44964.374560185097</v>
      </c>
      <c r="L2061" s="3" t="str">
        <f ca="1">IFERROR(__xludf.UNSUPPORTED("""COMPUTED_VALUE"""),"Normalidade")</f>
        <v>Normalidade</v>
      </c>
    </row>
    <row r="2062" spans="1:12" ht="12.75">
      <c r="A2062" s="3" t="str">
        <f ca="1">IFERROR(__xludf.UNSUPPORTED("""COMPUTED_VALUE"""),"c373421c")</f>
        <v>c373421c</v>
      </c>
      <c r="B2062" s="4">
        <f ca="1">IFERROR(__xludf.UNSUPPORTED("""COMPUTED_VALUE"""),44964.3700347222)</f>
        <v>44964.370034722197</v>
      </c>
      <c r="C2062" s="7" t="str">
        <f ca="1">IFERROR(__xludf.UNSUPPORTED("""COMPUTED_VALUE"""),"Rio Grande")</f>
        <v>Rio Grande</v>
      </c>
      <c r="D2062" s="3" t="str">
        <f ca="1">IFERROR(__xludf.UNSUPPORTED("""COMPUTED_VALUE"""),"🚢 REGULAR")</f>
        <v>🚢 REGULAR</v>
      </c>
      <c r="E2062" s="3" t="str">
        <f ca="1">IFERROR(__xludf.UNSUPPORTED("""COMPUTED_VALUE"""),"🚛 LIBERADO")</f>
        <v>🚛 LIBERADO</v>
      </c>
      <c r="F2062" s="5">
        <f ca="1">IFERROR(__xludf.UNSUPPORTED("""COMPUTED_VALUE"""),0)</f>
        <v>0</v>
      </c>
      <c r="G2062" s="3" t="str">
        <f ca="1">IFERROR(__xludf.UNSUPPORTED("""COMPUTED_VALUE"""),"Normalidade")</f>
        <v>Normalidade</v>
      </c>
      <c r="H2062" s="4">
        <f ca="1">IFERROR(__xludf.UNSUPPORTED("""COMPUTED_VALUE"""),44964.3700347222)</f>
        <v>44964.370034722197</v>
      </c>
      <c r="I2062" s="3">
        <f ca="1">IFERROR(__xludf.UNSUPPORTED("""COMPUTED_VALUE"""),24)</f>
        <v>24</v>
      </c>
      <c r="J2062" s="4">
        <f ca="1">IFERROR(__xludf.UNSUPPORTED("""COMPUTED_VALUE"""),44965.3700347222)</f>
        <v>44965.370034722197</v>
      </c>
      <c r="L2062" s="3" t="str">
        <f ca="1">IFERROR(__xludf.UNSUPPORTED("""COMPUTED_VALUE"""),"Normalidade")</f>
        <v>Normalidade</v>
      </c>
    </row>
    <row r="2063" spans="1:12" ht="12.75">
      <c r="A2063" s="3" t="str">
        <f ca="1">IFERROR(__xludf.UNSUPPORTED("""COMPUTED_VALUE"""),"e8714232")</f>
        <v>e8714232</v>
      </c>
      <c r="B2063" s="4">
        <f ca="1">IFERROR(__xludf.UNSUPPORTED("""COMPUTED_VALUE"""),44964.3723726851)</f>
        <v>44964.372372685102</v>
      </c>
      <c r="C2063" s="8" t="str">
        <f ca="1">IFERROR(__xludf.UNSUPPORTED("""COMPUTED_VALUE"""),"Rio Grande")</f>
        <v>Rio Grande</v>
      </c>
      <c r="D2063" s="3" t="str">
        <f ca="1">IFERROR(__xludf.UNSUPPORTED("""COMPUTED_VALUE"""),"🚢 REGULAR")</f>
        <v>🚢 REGULAR</v>
      </c>
      <c r="E2063" s="3" t="str">
        <f ca="1">IFERROR(__xludf.UNSUPPORTED("""COMPUTED_VALUE"""),"🚛 LIBERADO")</f>
        <v>🚛 LIBERADO</v>
      </c>
      <c r="F2063" s="5">
        <f ca="1">IFERROR(__xludf.UNSUPPORTED("""COMPUTED_VALUE"""),0)</f>
        <v>0</v>
      </c>
      <c r="G2063" s="3" t="str">
        <f ca="1">IFERROR(__xludf.UNSUPPORTED("""COMPUTED_VALUE"""),"Normalidade")</f>
        <v>Normalidade</v>
      </c>
      <c r="H2063" s="4">
        <f ca="1">IFERROR(__xludf.UNSUPPORTED("""COMPUTED_VALUE"""),44964.3723726851)</f>
        <v>44964.372372685102</v>
      </c>
      <c r="I2063" s="3">
        <f ca="1">IFERROR(__xludf.UNSUPPORTED("""COMPUTED_VALUE"""),24)</f>
        <v>24</v>
      </c>
      <c r="J2063" s="4">
        <f ca="1">IFERROR(__xludf.UNSUPPORTED("""COMPUTED_VALUE"""),44965.3723726851)</f>
        <v>44965.372372685102</v>
      </c>
      <c r="L2063" s="3" t="str">
        <f ca="1">IFERROR(__xludf.UNSUPPORTED("""COMPUTED_VALUE"""),"Normalidade")</f>
        <v>Normalidade</v>
      </c>
    </row>
    <row r="2064" spans="1:12" ht="12.75">
      <c r="A2064" s="3" t="str">
        <f ca="1">IFERROR(__xludf.UNSUPPORTED("""COMPUTED_VALUE"""),"2e6afc28")</f>
        <v>2e6afc28</v>
      </c>
      <c r="B2064" s="4">
        <f ca="1">IFERROR(__xludf.UNSUPPORTED("""COMPUTED_VALUE"""),44965.3457754629)</f>
        <v>44965.345775462898</v>
      </c>
      <c r="C2064" s="8" t="str">
        <f ca="1">IFERROR(__xludf.UNSUPPORTED("""COMPUTED_VALUE"""),"Rio Grande")</f>
        <v>Rio Grande</v>
      </c>
      <c r="D2064" s="3" t="str">
        <f ca="1">IFERROR(__xludf.UNSUPPORTED("""COMPUTED_VALUE"""),"🚢 REGULAR")</f>
        <v>🚢 REGULAR</v>
      </c>
      <c r="E2064" s="3" t="str">
        <f ca="1">IFERROR(__xludf.UNSUPPORTED("""COMPUTED_VALUE"""),"🚛 LIBERADO")</f>
        <v>🚛 LIBERADO</v>
      </c>
      <c r="F2064" s="5">
        <f ca="1">IFERROR(__xludf.UNSUPPORTED("""COMPUTED_VALUE"""),0)</f>
        <v>0</v>
      </c>
      <c r="G2064" s="3" t="str">
        <f ca="1">IFERROR(__xludf.UNSUPPORTED("""COMPUTED_VALUE"""),"Normalidade")</f>
        <v>Normalidade</v>
      </c>
      <c r="H2064" s="4">
        <f ca="1">IFERROR(__xludf.UNSUPPORTED("""COMPUTED_VALUE"""),44965.3457754629)</f>
        <v>44965.345775462898</v>
      </c>
      <c r="I2064" s="3">
        <f ca="1">IFERROR(__xludf.UNSUPPORTED("""COMPUTED_VALUE"""),24)</f>
        <v>24</v>
      </c>
      <c r="J2064" s="4">
        <f ca="1">IFERROR(__xludf.UNSUPPORTED("""COMPUTED_VALUE"""),44966.3457754629)</f>
        <v>44966.345775462898</v>
      </c>
      <c r="L2064" s="3" t="str">
        <f ca="1">IFERROR(__xludf.UNSUPPORTED("""COMPUTED_VALUE"""),"Normalidade")</f>
        <v>Normalidade</v>
      </c>
    </row>
    <row r="2065" spans="1:12" ht="12.75">
      <c r="A2065" s="3" t="str">
        <f ca="1">IFERROR(__xludf.UNSUPPORTED("""COMPUTED_VALUE"""),"6e1f2331")</f>
        <v>6e1f2331</v>
      </c>
      <c r="B2065" s="4">
        <f ca="1">IFERROR(__xludf.UNSUPPORTED("""COMPUTED_VALUE"""),44966.3781134259)</f>
        <v>44966.378113425897</v>
      </c>
      <c r="C2065" s="8" t="str">
        <f ca="1">IFERROR(__xludf.UNSUPPORTED("""COMPUTED_VALUE"""),"Rio Grande")</f>
        <v>Rio Grande</v>
      </c>
      <c r="D2065" s="3" t="str">
        <f ca="1">IFERROR(__xludf.UNSUPPORTED("""COMPUTED_VALUE"""),"🚢 REGULAR")</f>
        <v>🚢 REGULAR</v>
      </c>
      <c r="E2065" s="3" t="str">
        <f ca="1">IFERROR(__xludf.UNSUPPORTED("""COMPUTED_VALUE"""),"🚛 LIBERADO")</f>
        <v>🚛 LIBERADO</v>
      </c>
      <c r="F2065" s="5">
        <f ca="1">IFERROR(__xludf.UNSUPPORTED("""COMPUTED_VALUE"""),0)</f>
        <v>0</v>
      </c>
      <c r="G2065" s="3" t="str">
        <f ca="1">IFERROR(__xludf.UNSUPPORTED("""COMPUTED_VALUE"""),"Normalidade")</f>
        <v>Normalidade</v>
      </c>
      <c r="H2065" s="4">
        <f ca="1">IFERROR(__xludf.UNSUPPORTED("""COMPUTED_VALUE"""),44966.3781134259)</f>
        <v>44966.378113425897</v>
      </c>
      <c r="I2065" s="3">
        <f ca="1">IFERROR(__xludf.UNSUPPORTED("""COMPUTED_VALUE"""),24)</f>
        <v>24</v>
      </c>
      <c r="J2065" s="4">
        <f ca="1">IFERROR(__xludf.UNSUPPORTED("""COMPUTED_VALUE"""),44967.3781134259)</f>
        <v>44967.378113425897</v>
      </c>
      <c r="L2065" s="3" t="str">
        <f ca="1">IFERROR(__xludf.UNSUPPORTED("""COMPUTED_VALUE"""),"Normalidade")</f>
        <v>Normalidade</v>
      </c>
    </row>
    <row r="2066" spans="1:12" ht="12.75">
      <c r="A2066" s="3" t="str">
        <f ca="1">IFERROR(__xludf.UNSUPPORTED("""COMPUTED_VALUE"""),"12a9643f")</f>
        <v>12a9643f</v>
      </c>
      <c r="B2066" s="4">
        <f ca="1">IFERROR(__xludf.UNSUPPORTED("""COMPUTED_VALUE"""),44967.3623263888)</f>
        <v>44967.3623263888</v>
      </c>
      <c r="C2066" s="8" t="str">
        <f ca="1">IFERROR(__xludf.UNSUPPORTED("""COMPUTED_VALUE"""),"Rio Grande")</f>
        <v>Rio Grande</v>
      </c>
      <c r="D2066" s="3" t="str">
        <f ca="1">IFERROR(__xludf.UNSUPPORTED("""COMPUTED_VALUE"""),"🚢 REGULAR")</f>
        <v>🚢 REGULAR</v>
      </c>
      <c r="E2066" s="3" t="str">
        <f ca="1">IFERROR(__xludf.UNSUPPORTED("""COMPUTED_VALUE"""),"🚛 LIBERADO")</f>
        <v>🚛 LIBERADO</v>
      </c>
      <c r="F2066" s="5">
        <f ca="1">IFERROR(__xludf.UNSUPPORTED("""COMPUTED_VALUE"""),0)</f>
        <v>0</v>
      </c>
      <c r="G2066" s="3" t="str">
        <f ca="1">IFERROR(__xludf.UNSUPPORTED("""COMPUTED_VALUE"""),"Normalidade")</f>
        <v>Normalidade</v>
      </c>
      <c r="H2066" s="4">
        <f ca="1">IFERROR(__xludf.UNSUPPORTED("""COMPUTED_VALUE"""),44967.3623263888)</f>
        <v>44967.3623263888</v>
      </c>
      <c r="I2066" s="3">
        <f ca="1">IFERROR(__xludf.UNSUPPORTED("""COMPUTED_VALUE"""),24)</f>
        <v>24</v>
      </c>
      <c r="J2066" s="4">
        <f ca="1">IFERROR(__xludf.UNSUPPORTED("""COMPUTED_VALUE"""),44968.3623263888)</f>
        <v>44968.3623263888</v>
      </c>
      <c r="L2066" s="3" t="str">
        <f ca="1">IFERROR(__xludf.UNSUPPORTED("""COMPUTED_VALUE"""),"Normalidade")</f>
        <v>Normalidade</v>
      </c>
    </row>
    <row r="2067" spans="1:12" ht="12.75">
      <c r="A2067" s="3" t="str">
        <f ca="1">IFERROR(__xludf.UNSUPPORTED("""COMPUTED_VALUE"""),"ab428904")</f>
        <v>ab428904</v>
      </c>
      <c r="B2067" s="4">
        <f ca="1">IFERROR(__xludf.UNSUPPORTED("""COMPUTED_VALUE"""),44970.3713773148)</f>
        <v>44970.371377314797</v>
      </c>
      <c r="C2067" s="8" t="str">
        <f ca="1">IFERROR(__xludf.UNSUPPORTED("""COMPUTED_VALUE"""),"Rio Grande")</f>
        <v>Rio Grande</v>
      </c>
      <c r="D2067" s="3" t="str">
        <f ca="1">IFERROR(__xludf.UNSUPPORTED("""COMPUTED_VALUE"""),"🚢 REGULAR")</f>
        <v>🚢 REGULAR</v>
      </c>
      <c r="E2067" s="3" t="str">
        <f ca="1">IFERROR(__xludf.UNSUPPORTED("""COMPUTED_VALUE"""),"🚛 LIBERADO")</f>
        <v>🚛 LIBERADO</v>
      </c>
      <c r="F2067" s="5">
        <f ca="1">IFERROR(__xludf.UNSUPPORTED("""COMPUTED_VALUE"""),0)</f>
        <v>0</v>
      </c>
      <c r="G2067" s="3" t="str">
        <f ca="1">IFERROR(__xludf.UNSUPPORTED("""COMPUTED_VALUE"""),"Normalidade")</f>
        <v>Normalidade</v>
      </c>
      <c r="H2067" s="4">
        <f ca="1">IFERROR(__xludf.UNSUPPORTED("""COMPUTED_VALUE"""),44970.3713773148)</f>
        <v>44970.371377314797</v>
      </c>
      <c r="I2067" s="3">
        <f ca="1">IFERROR(__xludf.UNSUPPORTED("""COMPUTED_VALUE"""),24)</f>
        <v>24</v>
      </c>
      <c r="J2067" s="4">
        <f ca="1">IFERROR(__xludf.UNSUPPORTED("""COMPUTED_VALUE"""),44971.3713773148)</f>
        <v>44971.371377314797</v>
      </c>
      <c r="L2067" s="3" t="str">
        <f ca="1">IFERROR(__xludf.UNSUPPORTED("""COMPUTED_VALUE"""),"Normalidade")</f>
        <v>Normalidade</v>
      </c>
    </row>
    <row r="2068" spans="1:12" ht="12.75">
      <c r="A2068" s="3" t="str">
        <f ca="1">IFERROR(__xludf.UNSUPPORTED("""COMPUTED_VALUE"""),"0c2b1b28")</f>
        <v>0c2b1b28</v>
      </c>
      <c r="B2068" s="4">
        <f ca="1">IFERROR(__xludf.UNSUPPORTED("""COMPUTED_VALUE"""),44971.3681018518)</f>
        <v>44971.368101851796</v>
      </c>
      <c r="C2068" s="7" t="str">
        <f ca="1">IFERROR(__xludf.UNSUPPORTED("""COMPUTED_VALUE"""),"Rio Grande")</f>
        <v>Rio Grande</v>
      </c>
      <c r="D2068" s="3" t="str">
        <f ca="1">IFERROR(__xludf.UNSUPPORTED("""COMPUTED_VALUE"""),"🚢 REGULAR")</f>
        <v>🚢 REGULAR</v>
      </c>
      <c r="E2068" s="3" t="str">
        <f ca="1">IFERROR(__xludf.UNSUPPORTED("""COMPUTED_VALUE"""),"🚛 LIBERADO")</f>
        <v>🚛 LIBERADO</v>
      </c>
      <c r="F2068" s="5">
        <f ca="1">IFERROR(__xludf.UNSUPPORTED("""COMPUTED_VALUE"""),0)</f>
        <v>0</v>
      </c>
      <c r="G2068" s="3" t="str">
        <f ca="1">IFERROR(__xludf.UNSUPPORTED("""COMPUTED_VALUE"""),"Normalidade")</f>
        <v>Normalidade</v>
      </c>
      <c r="H2068" s="4">
        <f ca="1">IFERROR(__xludf.UNSUPPORTED("""COMPUTED_VALUE"""),44971.3681018518)</f>
        <v>44971.368101851796</v>
      </c>
      <c r="I2068" s="3">
        <f ca="1">IFERROR(__xludf.UNSUPPORTED("""COMPUTED_VALUE"""),24)</f>
        <v>24</v>
      </c>
      <c r="J2068" s="4">
        <f ca="1">IFERROR(__xludf.UNSUPPORTED("""COMPUTED_VALUE"""),44972.3681018518)</f>
        <v>44972.368101851796</v>
      </c>
      <c r="L2068" s="3" t="str">
        <f ca="1">IFERROR(__xludf.UNSUPPORTED("""COMPUTED_VALUE"""),"Normalidade")</f>
        <v>Normalidade</v>
      </c>
    </row>
    <row r="2069" spans="1:12" ht="12.75">
      <c r="A2069" s="3" t="str">
        <f ca="1">IFERROR(__xludf.UNSUPPORTED("""COMPUTED_VALUE"""),"1df6327b")</f>
        <v>1df6327b</v>
      </c>
      <c r="B2069" s="4">
        <f ca="1">IFERROR(__xludf.UNSUPPORTED("""COMPUTED_VALUE"""),44972.3866435185)</f>
        <v>44972.386643518497</v>
      </c>
      <c r="C2069" s="7" t="str">
        <f ca="1">IFERROR(__xludf.UNSUPPORTED("""COMPUTED_VALUE"""),"Rio Grande")</f>
        <v>Rio Grande</v>
      </c>
      <c r="D2069" s="3" t="str">
        <f ca="1">IFERROR(__xludf.UNSUPPORTED("""COMPUTED_VALUE"""),"🚢 REGULAR")</f>
        <v>🚢 REGULAR</v>
      </c>
      <c r="E2069" s="3" t="str">
        <f ca="1">IFERROR(__xludf.UNSUPPORTED("""COMPUTED_VALUE"""),"🚛 LIBERADO")</f>
        <v>🚛 LIBERADO</v>
      </c>
      <c r="F2069" s="5">
        <f ca="1">IFERROR(__xludf.UNSUPPORTED("""COMPUTED_VALUE"""),0)</f>
        <v>0</v>
      </c>
      <c r="G2069" s="3" t="str">
        <f ca="1">IFERROR(__xludf.UNSUPPORTED("""COMPUTED_VALUE"""),"Normalidade")</f>
        <v>Normalidade</v>
      </c>
      <c r="H2069" s="4">
        <f ca="1">IFERROR(__xludf.UNSUPPORTED("""COMPUTED_VALUE"""),44972.3866435185)</f>
        <v>44972.386643518497</v>
      </c>
      <c r="I2069" s="3">
        <f ca="1">IFERROR(__xludf.UNSUPPORTED("""COMPUTED_VALUE"""),24)</f>
        <v>24</v>
      </c>
      <c r="J2069" s="4">
        <f ca="1">IFERROR(__xludf.UNSUPPORTED("""COMPUTED_VALUE"""),44973.3866435185)</f>
        <v>44973.386643518497</v>
      </c>
      <c r="L2069" s="3" t="str">
        <f ca="1">IFERROR(__xludf.UNSUPPORTED("""COMPUTED_VALUE"""),"Normalidade")</f>
        <v>Normalidade</v>
      </c>
    </row>
    <row r="2070" spans="1:12" ht="12.75">
      <c r="A2070" s="3" t="str">
        <f ca="1">IFERROR(__xludf.UNSUPPORTED("""COMPUTED_VALUE"""),"f6ec8d45")</f>
        <v>f6ec8d45</v>
      </c>
      <c r="B2070" s="4">
        <f ca="1">IFERROR(__xludf.UNSUPPORTED("""COMPUTED_VALUE"""),44972.3975694444)</f>
        <v>44972.397569444402</v>
      </c>
      <c r="C2070" s="8" t="str">
        <f ca="1">IFERROR(__xludf.UNSUPPORTED("""COMPUTED_VALUE"""),"Rio Grande")</f>
        <v>Rio Grande</v>
      </c>
      <c r="D2070" s="3" t="str">
        <f ca="1">IFERROR(__xludf.UNSUPPORTED("""COMPUTED_VALUE"""),"🚢 REGULAR")</f>
        <v>🚢 REGULAR</v>
      </c>
      <c r="E2070" s="3" t="str">
        <f ca="1">IFERROR(__xludf.UNSUPPORTED("""COMPUTED_VALUE"""),"🚛 LIBERADO")</f>
        <v>🚛 LIBERADO</v>
      </c>
      <c r="F2070" s="5">
        <f ca="1">IFERROR(__xludf.UNSUPPORTED("""COMPUTED_VALUE"""),0)</f>
        <v>0</v>
      </c>
      <c r="G2070" s="3" t="str">
        <f ca="1">IFERROR(__xludf.UNSUPPORTED("""COMPUTED_VALUE"""),"Normalidade")</f>
        <v>Normalidade</v>
      </c>
      <c r="H2070" s="4">
        <f ca="1">IFERROR(__xludf.UNSUPPORTED("""COMPUTED_VALUE"""),44972.3975694444)</f>
        <v>44972.397569444402</v>
      </c>
      <c r="I2070" s="3">
        <f ca="1">IFERROR(__xludf.UNSUPPORTED("""COMPUTED_VALUE"""),24)</f>
        <v>24</v>
      </c>
      <c r="J2070" s="4">
        <f ca="1">IFERROR(__xludf.UNSUPPORTED("""COMPUTED_VALUE"""),44973.3975694444)</f>
        <v>44973.397569444402</v>
      </c>
      <c r="L2070" s="3" t="str">
        <f ca="1">IFERROR(__xludf.UNSUPPORTED("""COMPUTED_VALUE"""),"Normalidade")</f>
        <v>Normalidade</v>
      </c>
    </row>
    <row r="2071" spans="1:12" ht="12.75">
      <c r="A2071" s="3" t="str">
        <f ca="1">IFERROR(__xludf.UNSUPPORTED("""COMPUTED_VALUE"""),"d51360f6")</f>
        <v>d51360f6</v>
      </c>
      <c r="B2071" s="4">
        <f ca="1">IFERROR(__xludf.UNSUPPORTED("""COMPUTED_VALUE"""),44973.3785416666)</f>
        <v>44973.3785416666</v>
      </c>
      <c r="C2071" s="8" t="str">
        <f ca="1">IFERROR(__xludf.UNSUPPORTED("""COMPUTED_VALUE"""),"Rio Grande")</f>
        <v>Rio Grande</v>
      </c>
      <c r="D2071" s="3" t="str">
        <f ca="1">IFERROR(__xludf.UNSUPPORTED("""COMPUTED_VALUE"""),"🚢 REGULAR")</f>
        <v>🚢 REGULAR</v>
      </c>
      <c r="E2071" s="3" t="str">
        <f ca="1">IFERROR(__xludf.UNSUPPORTED("""COMPUTED_VALUE"""),"🚛 LIBERADO")</f>
        <v>🚛 LIBERADO</v>
      </c>
      <c r="F2071" s="5">
        <f ca="1">IFERROR(__xludf.UNSUPPORTED("""COMPUTED_VALUE"""),0)</f>
        <v>0</v>
      </c>
      <c r="G2071" s="3" t="str">
        <f ca="1">IFERROR(__xludf.UNSUPPORTED("""COMPUTED_VALUE"""),"Normalidade")</f>
        <v>Normalidade</v>
      </c>
      <c r="H2071" s="4">
        <f ca="1">IFERROR(__xludf.UNSUPPORTED("""COMPUTED_VALUE"""),44973.3785416666)</f>
        <v>44973.3785416666</v>
      </c>
      <c r="I2071" s="3">
        <f ca="1">IFERROR(__xludf.UNSUPPORTED("""COMPUTED_VALUE"""),24)</f>
        <v>24</v>
      </c>
      <c r="J2071" s="4">
        <f ca="1">IFERROR(__xludf.UNSUPPORTED("""COMPUTED_VALUE"""),44974.3785416666)</f>
        <v>44974.3785416666</v>
      </c>
      <c r="L2071" s="3" t="str">
        <f ca="1">IFERROR(__xludf.UNSUPPORTED("""COMPUTED_VALUE"""),"Normalidade")</f>
        <v>Normalidade</v>
      </c>
    </row>
    <row r="2072" spans="1:12" ht="12.75">
      <c r="A2072" s="3" t="str">
        <f ca="1">IFERROR(__xludf.UNSUPPORTED("""COMPUTED_VALUE"""),"d38834c8")</f>
        <v>d38834c8</v>
      </c>
      <c r="B2072" s="4">
        <f ca="1">IFERROR(__xludf.UNSUPPORTED("""COMPUTED_VALUE"""),44974.358136574)</f>
        <v>44974.358136574003</v>
      </c>
      <c r="C2072" s="7" t="str">
        <f ca="1">IFERROR(__xludf.UNSUPPORTED("""COMPUTED_VALUE"""),"Rio Grande")</f>
        <v>Rio Grande</v>
      </c>
      <c r="D2072" s="3" t="str">
        <f ca="1">IFERROR(__xludf.UNSUPPORTED("""COMPUTED_VALUE"""),"🚢 REGULAR")</f>
        <v>🚢 REGULAR</v>
      </c>
      <c r="E2072" s="3" t="str">
        <f ca="1">IFERROR(__xludf.UNSUPPORTED("""COMPUTED_VALUE"""),"🚛 LIBERADO")</f>
        <v>🚛 LIBERADO</v>
      </c>
      <c r="F2072" s="5">
        <f ca="1">IFERROR(__xludf.UNSUPPORTED("""COMPUTED_VALUE"""),0)</f>
        <v>0</v>
      </c>
      <c r="G2072" s="3" t="str">
        <f ca="1">IFERROR(__xludf.UNSUPPORTED("""COMPUTED_VALUE"""),"Normalidade")</f>
        <v>Normalidade</v>
      </c>
      <c r="H2072" s="4">
        <f ca="1">IFERROR(__xludf.UNSUPPORTED("""COMPUTED_VALUE"""),44974.358136574)</f>
        <v>44974.358136574003</v>
      </c>
      <c r="I2072" s="3">
        <f ca="1">IFERROR(__xludf.UNSUPPORTED("""COMPUTED_VALUE"""),24)</f>
        <v>24</v>
      </c>
      <c r="J2072" s="4">
        <f ca="1">IFERROR(__xludf.UNSUPPORTED("""COMPUTED_VALUE"""),44975.358136574)</f>
        <v>44975.358136574003</v>
      </c>
      <c r="L2072" s="3" t="str">
        <f ca="1">IFERROR(__xludf.UNSUPPORTED("""COMPUTED_VALUE"""),"Normalidade")</f>
        <v>Normalidade</v>
      </c>
    </row>
    <row r="2073" spans="1:12" ht="12.75">
      <c r="A2073" s="3" t="str">
        <f ca="1">IFERROR(__xludf.UNSUPPORTED("""COMPUTED_VALUE"""),"f4f877c6")</f>
        <v>f4f877c6</v>
      </c>
      <c r="B2073" s="4">
        <f ca="1">IFERROR(__xludf.UNSUPPORTED("""COMPUTED_VALUE"""),44980.3811805555)</f>
        <v>44980.381180555501</v>
      </c>
      <c r="C2073" s="7" t="str">
        <f ca="1">IFERROR(__xludf.UNSUPPORTED("""COMPUTED_VALUE"""),"Rio Grande")</f>
        <v>Rio Grande</v>
      </c>
      <c r="D2073" s="3" t="str">
        <f ca="1">IFERROR(__xludf.UNSUPPORTED("""COMPUTED_VALUE"""),"🚢 REGULAR")</f>
        <v>🚢 REGULAR</v>
      </c>
      <c r="E2073" s="3" t="str">
        <f ca="1">IFERROR(__xludf.UNSUPPORTED("""COMPUTED_VALUE"""),"🚛 LIBERADO")</f>
        <v>🚛 LIBERADO</v>
      </c>
      <c r="F2073" s="5">
        <f ca="1">IFERROR(__xludf.UNSUPPORTED("""COMPUTED_VALUE"""),0)</f>
        <v>0</v>
      </c>
      <c r="G2073" s="3" t="str">
        <f ca="1">IFERROR(__xludf.UNSUPPORTED("""COMPUTED_VALUE"""),"Normalidade")</f>
        <v>Normalidade</v>
      </c>
      <c r="H2073" s="4">
        <f ca="1">IFERROR(__xludf.UNSUPPORTED("""COMPUTED_VALUE"""),44980.3811805555)</f>
        <v>44980.381180555501</v>
      </c>
      <c r="I2073" s="3">
        <f ca="1">IFERROR(__xludf.UNSUPPORTED("""COMPUTED_VALUE"""),24)</f>
        <v>24</v>
      </c>
      <c r="J2073" s="4">
        <f ca="1">IFERROR(__xludf.UNSUPPORTED("""COMPUTED_VALUE"""),44981.3811805555)</f>
        <v>44981.381180555501</v>
      </c>
      <c r="L2073" s="3" t="str">
        <f ca="1">IFERROR(__xludf.UNSUPPORTED("""COMPUTED_VALUE"""),"Normalidade")</f>
        <v>Normalidade</v>
      </c>
    </row>
    <row r="2074" spans="1:12" ht="12.75">
      <c r="A2074" s="3" t="str">
        <f ca="1">IFERROR(__xludf.UNSUPPORTED("""COMPUTED_VALUE"""),"9427a491")</f>
        <v>9427a491</v>
      </c>
      <c r="B2074" s="4">
        <f ca="1">IFERROR(__xludf.UNSUPPORTED("""COMPUTED_VALUE"""),45120.6561111111)</f>
        <v>45120.6561111111</v>
      </c>
      <c r="C2074" s="8" t="str">
        <f ca="1">IFERROR(__xludf.UNSUPPORTED("""COMPUTED_VALUE"""),"Rio Grande")</f>
        <v>Rio Grande</v>
      </c>
      <c r="D2074" s="3" t="str">
        <f ca="1">IFERROR(__xludf.UNSUPPORTED("""COMPUTED_VALUE"""),"❗️ PARALISADA")</f>
        <v>❗️ PARALISADA</v>
      </c>
      <c r="E2074" s="3" t="str">
        <f ca="1">IFERROR(__xludf.UNSUPPORTED("""COMPUTED_VALUE"""),"🚛 LIBERADO")</f>
        <v>🚛 LIBERADO</v>
      </c>
      <c r="F2074" s="5">
        <f ca="1">IFERROR(__xludf.UNSUPPORTED("""COMPUTED_VALUE"""),1)</f>
        <v>1</v>
      </c>
      <c r="G2074" s="3" t="str">
        <f ca="1">IFERROR(__xludf.UNSUPPORTED("""COMPUTED_VALUE"""),"Barra (acesso aquaviário) fechada desde às 19h do dia 12/07/2023. Operações portuárias suspensas em função de chuva e vento desde então.")</f>
        <v>Barra (acesso aquaviário) fechada desde às 19h do dia 12/07/2023. Operações portuárias suspensas em função de chuva e vento desde então.</v>
      </c>
      <c r="H2074" s="4">
        <f ca="1">IFERROR(__xludf.UNSUPPORTED("""COMPUTED_VALUE"""),45120.6561111111)</f>
        <v>45120.6561111111</v>
      </c>
      <c r="I2074" s="3">
        <f ca="1">IFERROR(__xludf.UNSUPPORTED("""COMPUTED_VALUE"""),12)</f>
        <v>12</v>
      </c>
      <c r="J2074" s="4">
        <f ca="1">IFERROR(__xludf.UNSUPPORTED("""COMPUTED_VALUE"""),45121.1561111111)</f>
        <v>45121.1561111111</v>
      </c>
      <c r="K2074" s="3" t="str">
        <f ca="1">IFERROR(__xludf.UNSUPPORTED("""COMPUTED_VALUE"""),"Portos RS.")</f>
        <v>Portos RS.</v>
      </c>
      <c r="L2074" s="3" t="str">
        <f ca="1">IFERROR(__xludf.UNSUPPORTED("""COMPUTED_VALUE"""),"Crítico")</f>
        <v>Crítico</v>
      </c>
    </row>
    <row r="2075" spans="1:12" ht="12.75">
      <c r="A2075" s="3" t="str">
        <f ca="1">IFERROR(__xludf.UNSUPPORTED("""COMPUTED_VALUE"""),"19fee5c7")</f>
        <v>19fee5c7</v>
      </c>
      <c r="B2075" s="4">
        <f ca="1">IFERROR(__xludf.UNSUPPORTED("""COMPUTED_VALUE"""),45121.4492476851)</f>
        <v>45121.449247685101</v>
      </c>
      <c r="C2075" s="7" t="str">
        <f ca="1">IFERROR(__xludf.UNSUPPORTED("""COMPUTED_VALUE"""),"Rio Grande")</f>
        <v>Rio Grande</v>
      </c>
      <c r="D2075" s="3" t="str">
        <f ca="1">IFERROR(__xludf.UNSUPPORTED("""COMPUTED_VALUE"""),"🚢 REGULAR")</f>
        <v>🚢 REGULAR</v>
      </c>
      <c r="E2075" s="3" t="str">
        <f ca="1">IFERROR(__xludf.UNSUPPORTED("""COMPUTED_VALUE"""),"🚛 LIBERADO")</f>
        <v>🚛 LIBERADO</v>
      </c>
      <c r="F2075" s="5">
        <f ca="1">IFERROR(__xludf.UNSUPPORTED("""COMPUTED_VALUE"""),0)</f>
        <v>0</v>
      </c>
      <c r="G2075" s="3" t="str">
        <f ca="1">IFERROR(__xludf.UNSUPPORTED("""COMPUTED_VALUE"""),"Normalidade")</f>
        <v>Normalidade</v>
      </c>
      <c r="H2075" s="4">
        <f ca="1">IFERROR(__xludf.UNSUPPORTED("""COMPUTED_VALUE"""),45121.4492476851)</f>
        <v>45121.449247685101</v>
      </c>
      <c r="I2075" s="3">
        <f ca="1">IFERROR(__xludf.UNSUPPORTED("""COMPUTED_VALUE"""),24)</f>
        <v>24</v>
      </c>
      <c r="J2075" s="4">
        <f ca="1">IFERROR(__xludf.UNSUPPORTED("""COMPUTED_VALUE"""),45122.4492476851)</f>
        <v>45122.449247685101</v>
      </c>
      <c r="L2075" s="3" t="str">
        <f ca="1">IFERROR(__xludf.UNSUPPORTED("""COMPUTED_VALUE"""),"Normalidade")</f>
        <v>Normalidade</v>
      </c>
    </row>
    <row r="2076" spans="1:12" ht="12.75">
      <c r="A2076" s="3" t="str">
        <f ca="1">IFERROR(__xludf.UNSUPPORTED("""COMPUTED_VALUE"""),"399b4085")</f>
        <v>399b4085</v>
      </c>
      <c r="B2076" s="4">
        <f ca="1">IFERROR(__xludf.UNSUPPORTED("""COMPUTED_VALUE"""),45400.4429629629)</f>
        <v>45400.442962962901</v>
      </c>
      <c r="C2076" s="8" t="str">
        <f ca="1">IFERROR(__xludf.UNSUPPORTED("""COMPUTED_VALUE"""),"Rio Grande")</f>
        <v>Rio Grande</v>
      </c>
      <c r="D2076" s="3" t="str">
        <f ca="1">IFERROR(__xludf.UNSUPPORTED("""COMPUTED_VALUE"""),"🚢 REGULAR")</f>
        <v>🚢 REGULAR</v>
      </c>
      <c r="E2076" s="3" t="str">
        <f ca="1">IFERROR(__xludf.UNSUPPORTED("""COMPUTED_VALUE"""),"🚛 LIBERADO")</f>
        <v>🚛 LIBERADO</v>
      </c>
      <c r="F2076" s="5">
        <f ca="1">IFERROR(__xludf.UNSUPPORTED("""COMPUTED_VALUE"""),0)</f>
        <v>0</v>
      </c>
      <c r="G2076" s="3" t="str">
        <f ca="1">IFERROR(__xludf.UNSUPPORTED("""COMPUTED_VALUE"""),"Normalidade")</f>
        <v>Normalidade</v>
      </c>
      <c r="H2076" s="4">
        <f ca="1">IFERROR(__xludf.UNSUPPORTED("""COMPUTED_VALUE"""),45400.4429629629)</f>
        <v>45400.442962962901</v>
      </c>
      <c r="I2076" s="3">
        <f ca="1">IFERROR(__xludf.UNSUPPORTED("""COMPUTED_VALUE"""),24)</f>
        <v>24</v>
      </c>
      <c r="J2076" s="4">
        <f ca="1">IFERROR(__xludf.UNSUPPORTED("""COMPUTED_VALUE"""),45401.4429629629)</f>
        <v>45401.442962962901</v>
      </c>
      <c r="L2076" s="3" t="str">
        <f ca="1">IFERROR(__xludf.UNSUPPORTED("""COMPUTED_VALUE"""),"Normalidade")</f>
        <v>Normalidade</v>
      </c>
    </row>
    <row r="2077" spans="1:12" ht="12.75">
      <c r="A2077" s="3" t="str">
        <f ca="1">IFERROR(__xludf.UNSUPPORTED("""COMPUTED_VALUE"""),"2620c46c")</f>
        <v>2620c46c</v>
      </c>
      <c r="B2077" s="4">
        <f ca="1">IFERROR(__xludf.UNSUPPORTED("""COMPUTED_VALUE"""),45420.4092708333)</f>
        <v>45420.409270833297</v>
      </c>
      <c r="C2077" s="7" t="str">
        <f ca="1">IFERROR(__xludf.UNSUPPORTED("""COMPUTED_VALUE"""),"Rio Grande")</f>
        <v>Rio Grande</v>
      </c>
      <c r="D2077" s="3" t="str">
        <f ca="1">IFERROR(__xludf.UNSUPPORTED("""COMPUTED_VALUE"""),"🚢 REGULAR")</f>
        <v>🚢 REGULAR</v>
      </c>
      <c r="E2077" s="3" t="str">
        <f ca="1">IFERROR(__xludf.UNSUPPORTED("""COMPUTED_VALUE"""),"⚠️ PARCIALMENTE BLOQUEADO")</f>
        <v>⚠️ PARCIALMENTE BLOQUEADO</v>
      </c>
      <c r="F2077" s="5">
        <f ca="1">IFERROR(__xludf.UNSUPPORTED("""COMPUTED_VALUE"""),0.25)</f>
        <v>0.25</v>
      </c>
      <c r="G2077" s="3" t="str">
        <f ca="1">IFERROR(__xludf.UNSUPPORTED("""COMPUTED_VALUE"""),"Já o Porto do Rio Grande segue operando normalmente. A correnteza permanece de vazante a uma velocidade de 3.2 nós, o equivalente a 5.92 km/h. A tábua de maré da Praticagem da Barra apontou que a Laguna dos Patos atingiu os 80 cm acima do nível normal, às"&amp;" 08h.
Quanto à travessia para São José do Norte, permanece em operação o serviço de balsas. O transporte de passageiros segue suspenso, conforme informativo da empresa responsável.")</f>
        <v>Já o Porto do Rio Grande segue operando normalmente. A correnteza permanece de vazante a uma velocidade de 3.2 nós, o equivalente a 5.92 km/h. A tábua de maré da Praticagem da Barra apontou que a Laguna dos Patos atingiu os 80 cm acima do nível normal, às 08h.
Quanto à travessia para São José do Norte, permanece em operação o serviço de balsas. O transporte de passageiros segue suspenso, conforme informativo da empresa responsável.</v>
      </c>
      <c r="H2077" s="4">
        <f ca="1">IFERROR(__xludf.UNSUPPORTED("""COMPUTED_VALUE"""),45420.4092708333)</f>
        <v>45420.409270833297</v>
      </c>
      <c r="I2077" s="3">
        <f ca="1">IFERROR(__xludf.UNSUPPORTED("""COMPUTED_VALUE"""),280)</f>
        <v>280</v>
      </c>
      <c r="J2077" s="4">
        <f ca="1">IFERROR(__xludf.UNSUPPORTED("""COMPUTED_VALUE"""),45432.0759375)</f>
        <v>45432.075937499998</v>
      </c>
      <c r="K2077" s="3" t="str">
        <f ca="1">IFERROR(__xludf.UNSUPPORTED("""COMPUTED_VALUE"""),"Portos RS")</f>
        <v>Portos RS</v>
      </c>
      <c r="L2077" s="3" t="str">
        <f ca="1">IFERROR(__xludf.UNSUPPORTED("""COMPUTED_VALUE"""),"Crítico")</f>
        <v>Crítico</v>
      </c>
    </row>
    <row r="2078" spans="1:12" ht="12.75">
      <c r="A2078" s="3" t="str">
        <f ca="1">IFERROR(__xludf.UNSUPPORTED("""COMPUTED_VALUE"""),"dd5bd80d")</f>
        <v>dd5bd80d</v>
      </c>
      <c r="B2078" s="4">
        <f ca="1">IFERROR(__xludf.UNSUPPORTED("""COMPUTED_VALUE"""),44865.8932291666)</f>
        <v>44865.893229166599</v>
      </c>
      <c r="C2078" s="8" t="str">
        <f ca="1">IFERROR(__xludf.UNSUPPORTED("""COMPUTED_VALUE"""),"Salvador")</f>
        <v>Salvador</v>
      </c>
      <c r="D2078" s="3" t="str">
        <f ca="1">IFERROR(__xludf.UNSUPPORTED("""COMPUTED_VALUE"""),"🚢 REGULAR")</f>
        <v>🚢 REGULAR</v>
      </c>
      <c r="E2078" s="3" t="str">
        <f ca="1">IFERROR(__xludf.UNSUPPORTED("""COMPUTED_VALUE"""),"🚛 LIBERADO")</f>
        <v>🚛 LIBERADO</v>
      </c>
      <c r="F2078" s="5">
        <f ca="1">IFERROR(__xludf.UNSUPPORTED("""COMPUTED_VALUE"""),0)</f>
        <v>0</v>
      </c>
      <c r="G2078" s="3" t="str">
        <f ca="1">IFERROR(__xludf.UNSUPPORTED("""COMPUTED_VALUE"""),"Normal")</f>
        <v>Normal</v>
      </c>
      <c r="H2078" s="4">
        <f ca="1">IFERROR(__xludf.UNSUPPORTED("""COMPUTED_VALUE"""),44868.3479166666)</f>
        <v>44868.3479166666</v>
      </c>
      <c r="I2078" s="3">
        <f ca="1">IFERROR(__xludf.UNSUPPORTED("""COMPUTED_VALUE"""),23)</f>
        <v>23</v>
      </c>
      <c r="J2078" s="4">
        <f ca="1">IFERROR(__xludf.UNSUPPORTED("""COMPUTED_VALUE"""),44869.30625)</f>
        <v>44869.306250000001</v>
      </c>
    </row>
    <row r="2079" spans="1:12" ht="12.75">
      <c r="A2079" s="3" t="str">
        <f ca="1">IFERROR(__xludf.UNSUPPORTED("""COMPUTED_VALUE"""),"d5854076")</f>
        <v>d5854076</v>
      </c>
      <c r="B2079" s="4">
        <f ca="1">IFERROR(__xludf.UNSUPPORTED("""COMPUTED_VALUE"""),44868.4461689814)</f>
        <v>44868.446168981398</v>
      </c>
      <c r="C2079" s="7" t="str">
        <f ca="1">IFERROR(__xludf.UNSUPPORTED("""COMPUTED_VALUE"""),"Salvador")</f>
        <v>Salvador</v>
      </c>
      <c r="D2079" s="3" t="str">
        <f ca="1">IFERROR(__xludf.UNSUPPORTED("""COMPUTED_VALUE"""),"🚢 REGULAR")</f>
        <v>🚢 REGULAR</v>
      </c>
      <c r="E2079" s="3" t="str">
        <f ca="1">IFERROR(__xludf.UNSUPPORTED("""COMPUTED_VALUE"""),"🚛 LIBERADO")</f>
        <v>🚛 LIBERADO</v>
      </c>
      <c r="F2079" s="5">
        <f ca="1">IFERROR(__xludf.UNSUPPORTED("""COMPUTED_VALUE"""),0)</f>
        <v>0</v>
      </c>
      <c r="G2079" s="3" t="str">
        <f ca="1">IFERROR(__xludf.UNSUPPORTED("""COMPUTED_VALUE"""),"Normal")</f>
        <v>Normal</v>
      </c>
      <c r="H2079" s="4">
        <f ca="1">IFERROR(__xludf.UNSUPPORTED("""COMPUTED_VALUE"""),44868.4041666666)</f>
        <v>44868.404166666602</v>
      </c>
      <c r="I2079" s="3">
        <f ca="1">IFERROR(__xludf.UNSUPPORTED("""COMPUTED_VALUE"""),24)</f>
        <v>24</v>
      </c>
      <c r="J2079" s="4">
        <f ca="1">IFERROR(__xludf.UNSUPPORTED("""COMPUTED_VALUE"""),44869.4041666666)</f>
        <v>44869.404166666602</v>
      </c>
    </row>
    <row r="2080" spans="1:12" ht="12.75">
      <c r="A2080" s="3" t="str">
        <f ca="1">IFERROR(__xludf.UNSUPPORTED("""COMPUTED_VALUE"""),"4af64771")</f>
        <v>4af64771</v>
      </c>
      <c r="B2080" s="4">
        <f ca="1">IFERROR(__xludf.UNSUPPORTED("""COMPUTED_VALUE"""),44869.3117592592)</f>
        <v>44869.311759259203</v>
      </c>
      <c r="C2080" s="8" t="str">
        <f ca="1">IFERROR(__xludf.UNSUPPORTED("""COMPUTED_VALUE"""),"Salvador")</f>
        <v>Salvador</v>
      </c>
      <c r="D2080" s="3" t="str">
        <f ca="1">IFERROR(__xludf.UNSUPPORTED("""COMPUTED_VALUE"""),"🚢 REGULAR")</f>
        <v>🚢 REGULAR</v>
      </c>
      <c r="E2080" s="3" t="str">
        <f ca="1">IFERROR(__xludf.UNSUPPORTED("""COMPUTED_VALUE"""),"🚛 LIBERADO")</f>
        <v>🚛 LIBERADO</v>
      </c>
      <c r="F2080" s="5">
        <f ca="1">IFERROR(__xludf.UNSUPPORTED("""COMPUTED_VALUE"""),0)</f>
        <v>0</v>
      </c>
      <c r="G2080" s="3" t="str">
        <f ca="1">IFERROR(__xludf.UNSUPPORTED("""COMPUTED_VALUE"""),"Normalidade")</f>
        <v>Normalidade</v>
      </c>
      <c r="H2080" s="4">
        <f ca="1">IFERROR(__xludf.UNSUPPORTED("""COMPUTED_VALUE"""),44869.3117592592)</f>
        <v>44869.311759259203</v>
      </c>
      <c r="I2080" s="3">
        <f ca="1">IFERROR(__xludf.UNSUPPORTED("""COMPUTED_VALUE"""),24)</f>
        <v>24</v>
      </c>
      <c r="J2080" s="4">
        <f ca="1">IFERROR(__xludf.UNSUPPORTED("""COMPUTED_VALUE"""),44870.3117592592)</f>
        <v>44870.311759259203</v>
      </c>
    </row>
    <row r="2081" spans="1:10" ht="12.75">
      <c r="A2081" s="3" t="str">
        <f ca="1">IFERROR(__xludf.UNSUPPORTED("""COMPUTED_VALUE"""),"365f5737")</f>
        <v>365f5737</v>
      </c>
      <c r="B2081" s="4">
        <f ca="1">IFERROR(__xludf.UNSUPPORTED("""COMPUTED_VALUE"""),44870.3254398148)</f>
        <v>44870.325439814798</v>
      </c>
      <c r="C2081" s="7" t="str">
        <f ca="1">IFERROR(__xludf.UNSUPPORTED("""COMPUTED_VALUE"""),"Salvador")</f>
        <v>Salvador</v>
      </c>
      <c r="D2081" s="3" t="str">
        <f ca="1">IFERROR(__xludf.UNSUPPORTED("""COMPUTED_VALUE"""),"🚢 REGULAR")</f>
        <v>🚢 REGULAR</v>
      </c>
      <c r="E2081" s="3" t="str">
        <f ca="1">IFERROR(__xludf.UNSUPPORTED("""COMPUTED_VALUE"""),"🚛 LIBERADO")</f>
        <v>🚛 LIBERADO</v>
      </c>
      <c r="F2081" s="5">
        <f ca="1">IFERROR(__xludf.UNSUPPORTED("""COMPUTED_VALUE"""),0)</f>
        <v>0</v>
      </c>
      <c r="G2081" s="3" t="str">
        <f ca="1">IFERROR(__xludf.UNSUPPORTED("""COMPUTED_VALUE"""),"Normalidade")</f>
        <v>Normalidade</v>
      </c>
      <c r="H2081" s="4">
        <f ca="1">IFERROR(__xludf.UNSUPPORTED("""COMPUTED_VALUE"""),44870.3254398148)</f>
        <v>44870.325439814798</v>
      </c>
      <c r="I2081" s="3">
        <f ca="1">IFERROR(__xludf.UNSUPPORTED("""COMPUTED_VALUE"""),24)</f>
        <v>24</v>
      </c>
      <c r="J2081" s="4">
        <f ca="1">IFERROR(__xludf.UNSUPPORTED("""COMPUTED_VALUE"""),44871.3254398148)</f>
        <v>44871.325439814798</v>
      </c>
    </row>
    <row r="2082" spans="1:10" ht="12.75">
      <c r="A2082" s="3" t="str">
        <f ca="1">IFERROR(__xludf.UNSUPPORTED("""COMPUTED_VALUE"""),"e45f37c2")</f>
        <v>e45f37c2</v>
      </c>
      <c r="B2082" s="4">
        <f ca="1">IFERROR(__xludf.UNSUPPORTED("""COMPUTED_VALUE"""),44871.415011574)</f>
        <v>44871.415011573998</v>
      </c>
      <c r="C2082" s="7" t="str">
        <f ca="1">IFERROR(__xludf.UNSUPPORTED("""COMPUTED_VALUE"""),"Salvador")</f>
        <v>Salvador</v>
      </c>
      <c r="D2082" s="3" t="str">
        <f ca="1">IFERROR(__xludf.UNSUPPORTED("""COMPUTED_VALUE"""),"🚢 REGULAR")</f>
        <v>🚢 REGULAR</v>
      </c>
      <c r="E2082" s="3" t="str">
        <f ca="1">IFERROR(__xludf.UNSUPPORTED("""COMPUTED_VALUE"""),"🚛 LIBERADO")</f>
        <v>🚛 LIBERADO</v>
      </c>
      <c r="F2082" s="5">
        <f ca="1">IFERROR(__xludf.UNSUPPORTED("""COMPUTED_VALUE"""),0)</f>
        <v>0</v>
      </c>
      <c r="G2082" s="3" t="str">
        <f ca="1">IFERROR(__xludf.UNSUPPORTED("""COMPUTED_VALUE"""),"Normalidade")</f>
        <v>Normalidade</v>
      </c>
      <c r="H2082" s="4">
        <f ca="1">IFERROR(__xludf.UNSUPPORTED("""COMPUTED_VALUE"""),44871.415011574)</f>
        <v>44871.415011573998</v>
      </c>
      <c r="I2082" s="3">
        <f ca="1">IFERROR(__xludf.UNSUPPORTED("""COMPUTED_VALUE"""),23)</f>
        <v>23</v>
      </c>
      <c r="J2082" s="4">
        <f ca="1">IFERROR(__xludf.UNSUPPORTED("""COMPUTED_VALUE"""),44872.3733449074)</f>
        <v>44872.373344907399</v>
      </c>
    </row>
    <row r="2083" spans="1:10" ht="12.75">
      <c r="A2083" s="3" t="str">
        <f ca="1">IFERROR(__xludf.UNSUPPORTED("""COMPUTED_VALUE"""),"a5a8f4f1")</f>
        <v>a5a8f4f1</v>
      </c>
      <c r="B2083" s="4">
        <f ca="1">IFERROR(__xludf.UNSUPPORTED("""COMPUTED_VALUE"""),44872.4190046295)</f>
        <v>44872.419004629497</v>
      </c>
      <c r="C2083" s="7" t="str">
        <f ca="1">IFERROR(__xludf.UNSUPPORTED("""COMPUTED_VALUE"""),"Salvador")</f>
        <v>Salvador</v>
      </c>
      <c r="D2083" s="3" t="str">
        <f ca="1">IFERROR(__xludf.UNSUPPORTED("""COMPUTED_VALUE"""),"🚢 REGULAR")</f>
        <v>🚢 REGULAR</v>
      </c>
      <c r="E2083" s="3" t="str">
        <f ca="1">IFERROR(__xludf.UNSUPPORTED("""COMPUTED_VALUE"""),"🚛 LIBERADO")</f>
        <v>🚛 LIBERADO</v>
      </c>
      <c r="F2083" s="5">
        <f ca="1">IFERROR(__xludf.UNSUPPORTED("""COMPUTED_VALUE"""),0)</f>
        <v>0</v>
      </c>
      <c r="G2083" s="3" t="str">
        <f ca="1">IFERROR(__xludf.UNSUPPORTED("""COMPUTED_VALUE"""),"Normalidade")</f>
        <v>Normalidade</v>
      </c>
      <c r="H2083" s="4">
        <f ca="1">IFERROR(__xludf.UNSUPPORTED("""COMPUTED_VALUE"""),44872.4190046295)</f>
        <v>44872.419004629497</v>
      </c>
      <c r="I2083" s="3">
        <f ca="1">IFERROR(__xludf.UNSUPPORTED("""COMPUTED_VALUE"""),24)</f>
        <v>24</v>
      </c>
      <c r="J2083" s="4">
        <f ca="1">IFERROR(__xludf.UNSUPPORTED("""COMPUTED_VALUE"""),44873.4190046295)</f>
        <v>44873.419004629497</v>
      </c>
    </row>
    <row r="2084" spans="1:10" ht="12.75">
      <c r="A2084" s="3" t="str">
        <f ca="1">IFERROR(__xludf.UNSUPPORTED("""COMPUTED_VALUE"""),"500321c3")</f>
        <v>500321c3</v>
      </c>
      <c r="B2084" s="4">
        <f ca="1">IFERROR(__xludf.UNSUPPORTED("""COMPUTED_VALUE"""),44873.4132291666)</f>
        <v>44873.413229166603</v>
      </c>
      <c r="C2084" s="8" t="str">
        <f ca="1">IFERROR(__xludf.UNSUPPORTED("""COMPUTED_VALUE"""),"Salvador")</f>
        <v>Salvador</v>
      </c>
      <c r="D2084" s="3" t="str">
        <f ca="1">IFERROR(__xludf.UNSUPPORTED("""COMPUTED_VALUE"""),"🚢 REGULAR")</f>
        <v>🚢 REGULAR</v>
      </c>
      <c r="E2084" s="3" t="str">
        <f ca="1">IFERROR(__xludf.UNSUPPORTED("""COMPUTED_VALUE"""),"🚛 LIBERADO")</f>
        <v>🚛 LIBERADO</v>
      </c>
      <c r="F2084" s="5">
        <f ca="1">IFERROR(__xludf.UNSUPPORTED("""COMPUTED_VALUE"""),0)</f>
        <v>0</v>
      </c>
      <c r="G2084" s="3" t="str">
        <f ca="1">IFERROR(__xludf.UNSUPPORTED("""COMPUTED_VALUE"""),"Normalidade")</f>
        <v>Normalidade</v>
      </c>
      <c r="H2084" s="4">
        <f ca="1">IFERROR(__xludf.UNSUPPORTED("""COMPUTED_VALUE"""),44873.4132291666)</f>
        <v>44873.413229166603</v>
      </c>
      <c r="I2084" s="3">
        <f ca="1">IFERROR(__xludf.UNSUPPORTED("""COMPUTED_VALUE"""),24)</f>
        <v>24</v>
      </c>
      <c r="J2084" s="4">
        <f ca="1">IFERROR(__xludf.UNSUPPORTED("""COMPUTED_VALUE"""),44874.4132291666)</f>
        <v>44874.413229166603</v>
      </c>
    </row>
    <row r="2085" spans="1:10" ht="12.75">
      <c r="A2085" s="3" t="str">
        <f ca="1">IFERROR(__xludf.UNSUPPORTED("""COMPUTED_VALUE"""),"38dcfd4d")</f>
        <v>38dcfd4d</v>
      </c>
      <c r="B2085" s="4">
        <f ca="1">IFERROR(__xludf.UNSUPPORTED("""COMPUTED_VALUE"""),44874.2447569444)</f>
        <v>44874.244756944398</v>
      </c>
      <c r="C2085" s="8" t="str">
        <f ca="1">IFERROR(__xludf.UNSUPPORTED("""COMPUTED_VALUE"""),"Salvador")</f>
        <v>Salvador</v>
      </c>
      <c r="D2085" s="3" t="str">
        <f ca="1">IFERROR(__xludf.UNSUPPORTED("""COMPUTED_VALUE"""),"🚢 REGULAR")</f>
        <v>🚢 REGULAR</v>
      </c>
      <c r="E2085" s="3" t="str">
        <f ca="1">IFERROR(__xludf.UNSUPPORTED("""COMPUTED_VALUE"""),"🚛 LIBERADO")</f>
        <v>🚛 LIBERADO</v>
      </c>
      <c r="F2085" s="5">
        <f ca="1">IFERROR(__xludf.UNSUPPORTED("""COMPUTED_VALUE"""),0)</f>
        <v>0</v>
      </c>
      <c r="G2085" s="3" t="str">
        <f ca="1">IFERROR(__xludf.UNSUPPORTED("""COMPUTED_VALUE"""),"Normalidade")</f>
        <v>Normalidade</v>
      </c>
      <c r="H2085" s="4">
        <f ca="1">IFERROR(__xludf.UNSUPPORTED("""COMPUTED_VALUE"""),44874.2447569444)</f>
        <v>44874.244756944398</v>
      </c>
      <c r="I2085" s="3">
        <f ca="1">IFERROR(__xludf.UNSUPPORTED("""COMPUTED_VALUE"""),24)</f>
        <v>24</v>
      </c>
      <c r="J2085" s="4">
        <f ca="1">IFERROR(__xludf.UNSUPPORTED("""COMPUTED_VALUE"""),44875.2447569444)</f>
        <v>44875.244756944398</v>
      </c>
    </row>
    <row r="2086" spans="1:10" ht="12.75">
      <c r="A2086" s="3" t="str">
        <f ca="1">IFERROR(__xludf.UNSUPPORTED("""COMPUTED_VALUE"""),"0fbed0ab")</f>
        <v>0fbed0ab</v>
      </c>
      <c r="B2086" s="4">
        <f ca="1">IFERROR(__xludf.UNSUPPORTED("""COMPUTED_VALUE"""),44875.4474884259)</f>
        <v>44875.447488425903</v>
      </c>
      <c r="C2086" s="7" t="str">
        <f ca="1">IFERROR(__xludf.UNSUPPORTED("""COMPUTED_VALUE"""),"Salvador")</f>
        <v>Salvador</v>
      </c>
      <c r="D2086" s="3" t="str">
        <f ca="1">IFERROR(__xludf.UNSUPPORTED("""COMPUTED_VALUE"""),"🚢 REGULAR")</f>
        <v>🚢 REGULAR</v>
      </c>
      <c r="E2086" s="3" t="str">
        <f ca="1">IFERROR(__xludf.UNSUPPORTED("""COMPUTED_VALUE"""),"🚛 LIBERADO")</f>
        <v>🚛 LIBERADO</v>
      </c>
      <c r="F2086" s="5">
        <f ca="1">IFERROR(__xludf.UNSUPPORTED("""COMPUTED_VALUE"""),0)</f>
        <v>0</v>
      </c>
      <c r="G2086" s="3" t="str">
        <f ca="1">IFERROR(__xludf.UNSUPPORTED("""COMPUTED_VALUE"""),"Normalidade")</f>
        <v>Normalidade</v>
      </c>
      <c r="H2086" s="4">
        <f ca="1">IFERROR(__xludf.UNSUPPORTED("""COMPUTED_VALUE"""),44875.4474884259)</f>
        <v>44875.447488425903</v>
      </c>
      <c r="I2086" s="3">
        <f ca="1">IFERROR(__xludf.UNSUPPORTED("""COMPUTED_VALUE"""),24)</f>
        <v>24</v>
      </c>
      <c r="J2086" s="4">
        <f ca="1">IFERROR(__xludf.UNSUPPORTED("""COMPUTED_VALUE"""),44876.4474884259)</f>
        <v>44876.447488425903</v>
      </c>
    </row>
    <row r="2087" spans="1:10" ht="12.75">
      <c r="A2087" s="3" t="str">
        <f ca="1">IFERROR(__xludf.UNSUPPORTED("""COMPUTED_VALUE"""),"12159eb0")</f>
        <v>12159eb0</v>
      </c>
      <c r="B2087" s="4">
        <f ca="1">IFERROR(__xludf.UNSUPPORTED("""COMPUTED_VALUE"""),44876.3510648148)</f>
        <v>44876.3510648148</v>
      </c>
      <c r="C2087" s="8" t="str">
        <f ca="1">IFERROR(__xludf.UNSUPPORTED("""COMPUTED_VALUE"""),"Salvador")</f>
        <v>Salvador</v>
      </c>
      <c r="D2087" s="3" t="str">
        <f ca="1">IFERROR(__xludf.UNSUPPORTED("""COMPUTED_VALUE"""),"🚢 REGULAR")</f>
        <v>🚢 REGULAR</v>
      </c>
      <c r="E2087" s="3" t="str">
        <f ca="1">IFERROR(__xludf.UNSUPPORTED("""COMPUTED_VALUE"""),"🚛 LIBERADO")</f>
        <v>🚛 LIBERADO</v>
      </c>
      <c r="F2087" s="5">
        <f ca="1">IFERROR(__xludf.UNSUPPORTED("""COMPUTED_VALUE"""),0)</f>
        <v>0</v>
      </c>
      <c r="G2087" s="3" t="str">
        <f ca="1">IFERROR(__xludf.UNSUPPORTED("""COMPUTED_VALUE"""),"Normalidade")</f>
        <v>Normalidade</v>
      </c>
      <c r="H2087" s="4">
        <f ca="1">IFERROR(__xludf.UNSUPPORTED("""COMPUTED_VALUE"""),44876.3510648148)</f>
        <v>44876.3510648148</v>
      </c>
      <c r="I2087" s="3">
        <f ca="1">IFERROR(__xludf.UNSUPPORTED("""COMPUTED_VALUE"""),24)</f>
        <v>24</v>
      </c>
      <c r="J2087" s="4">
        <f ca="1">IFERROR(__xludf.UNSUPPORTED("""COMPUTED_VALUE"""),44877.3510648148)</f>
        <v>44877.3510648148</v>
      </c>
    </row>
    <row r="2088" spans="1:10" ht="12.75">
      <c r="A2088" s="3" t="str">
        <f ca="1">IFERROR(__xludf.UNSUPPORTED("""COMPUTED_VALUE"""),"a0d259ca")</f>
        <v>a0d259ca</v>
      </c>
      <c r="B2088" s="4">
        <f ca="1">IFERROR(__xludf.UNSUPPORTED("""COMPUTED_VALUE"""),44877.3249652777)</f>
        <v>44877.324965277701</v>
      </c>
      <c r="C2088" s="7" t="str">
        <f ca="1">IFERROR(__xludf.UNSUPPORTED("""COMPUTED_VALUE"""),"Salvador")</f>
        <v>Salvador</v>
      </c>
      <c r="D2088" s="3" t="str">
        <f ca="1">IFERROR(__xludf.UNSUPPORTED("""COMPUTED_VALUE"""),"🚢 REGULAR")</f>
        <v>🚢 REGULAR</v>
      </c>
      <c r="E2088" s="3" t="str">
        <f ca="1">IFERROR(__xludf.UNSUPPORTED("""COMPUTED_VALUE"""),"🚛 LIBERADO")</f>
        <v>🚛 LIBERADO</v>
      </c>
      <c r="F2088" s="5">
        <f ca="1">IFERROR(__xludf.UNSUPPORTED("""COMPUTED_VALUE"""),0)</f>
        <v>0</v>
      </c>
      <c r="G2088" s="3" t="str">
        <f ca="1">IFERROR(__xludf.UNSUPPORTED("""COMPUTED_VALUE"""),"Normalidade")</f>
        <v>Normalidade</v>
      </c>
      <c r="H2088" s="4">
        <f ca="1">IFERROR(__xludf.UNSUPPORTED("""COMPUTED_VALUE"""),44877.3249652777)</f>
        <v>44877.324965277701</v>
      </c>
      <c r="I2088" s="3">
        <f ca="1">IFERROR(__xludf.UNSUPPORTED("""COMPUTED_VALUE"""),24)</f>
        <v>24</v>
      </c>
      <c r="J2088" s="4">
        <f ca="1">IFERROR(__xludf.UNSUPPORTED("""COMPUTED_VALUE"""),44878.3249652777)</f>
        <v>44878.324965277701</v>
      </c>
    </row>
    <row r="2089" spans="1:10" ht="12.75">
      <c r="A2089" s="3" t="str">
        <f ca="1">IFERROR(__xludf.UNSUPPORTED("""COMPUTED_VALUE"""),"900ee7f3")</f>
        <v>900ee7f3</v>
      </c>
      <c r="B2089" s="4">
        <f ca="1">IFERROR(__xludf.UNSUPPORTED("""COMPUTED_VALUE"""),44878.4460763888)</f>
        <v>44878.446076388798</v>
      </c>
      <c r="C2089" s="7" t="str">
        <f ca="1">IFERROR(__xludf.UNSUPPORTED("""COMPUTED_VALUE"""),"Salvador")</f>
        <v>Salvador</v>
      </c>
      <c r="D2089" s="3" t="str">
        <f ca="1">IFERROR(__xludf.UNSUPPORTED("""COMPUTED_VALUE"""),"🚢 REGULAR")</f>
        <v>🚢 REGULAR</v>
      </c>
      <c r="E2089" s="3" t="str">
        <f ca="1">IFERROR(__xludf.UNSUPPORTED("""COMPUTED_VALUE"""),"🚛 LIBERADO")</f>
        <v>🚛 LIBERADO</v>
      </c>
      <c r="F2089" s="5">
        <f ca="1">IFERROR(__xludf.UNSUPPORTED("""COMPUTED_VALUE"""),0)</f>
        <v>0</v>
      </c>
      <c r="G2089" s="3" t="str">
        <f ca="1">IFERROR(__xludf.UNSUPPORTED("""COMPUTED_VALUE"""),"Normalidade")</f>
        <v>Normalidade</v>
      </c>
      <c r="H2089" s="4">
        <f ca="1">IFERROR(__xludf.UNSUPPORTED("""COMPUTED_VALUE"""),44878.4460763888)</f>
        <v>44878.446076388798</v>
      </c>
      <c r="I2089" s="3">
        <f ca="1">IFERROR(__xludf.UNSUPPORTED("""COMPUTED_VALUE"""),24)</f>
        <v>24</v>
      </c>
      <c r="J2089" s="4">
        <f ca="1">IFERROR(__xludf.UNSUPPORTED("""COMPUTED_VALUE"""),44879.4460763888)</f>
        <v>44879.446076388798</v>
      </c>
    </row>
    <row r="2090" spans="1:10" ht="12.75">
      <c r="A2090" s="3" t="str">
        <f ca="1">IFERROR(__xludf.UNSUPPORTED("""COMPUTED_VALUE"""),"bc05c3ef")</f>
        <v>bc05c3ef</v>
      </c>
      <c r="B2090" s="4">
        <f ca="1">IFERROR(__xludf.UNSUPPORTED("""COMPUTED_VALUE"""),44879.233761574)</f>
        <v>44879.233761574003</v>
      </c>
      <c r="C2090" s="7" t="str">
        <f ca="1">IFERROR(__xludf.UNSUPPORTED("""COMPUTED_VALUE"""),"Salvador")</f>
        <v>Salvador</v>
      </c>
      <c r="D2090" s="3" t="str">
        <f ca="1">IFERROR(__xludf.UNSUPPORTED("""COMPUTED_VALUE"""),"🚢 REGULAR")</f>
        <v>🚢 REGULAR</v>
      </c>
      <c r="E2090" s="3" t="str">
        <f ca="1">IFERROR(__xludf.UNSUPPORTED("""COMPUTED_VALUE"""),"🚛 LIBERADO")</f>
        <v>🚛 LIBERADO</v>
      </c>
      <c r="F2090" s="5">
        <f ca="1">IFERROR(__xludf.UNSUPPORTED("""COMPUTED_VALUE"""),0)</f>
        <v>0</v>
      </c>
      <c r="G2090" s="3" t="str">
        <f ca="1">IFERROR(__xludf.UNSUPPORTED("""COMPUTED_VALUE"""),"Normalidade")</f>
        <v>Normalidade</v>
      </c>
      <c r="H2090" s="4">
        <f ca="1">IFERROR(__xludf.UNSUPPORTED("""COMPUTED_VALUE"""),44879.233761574)</f>
        <v>44879.233761574003</v>
      </c>
      <c r="I2090" s="3">
        <f ca="1">IFERROR(__xludf.UNSUPPORTED("""COMPUTED_VALUE"""),24)</f>
        <v>24</v>
      </c>
      <c r="J2090" s="4">
        <f ca="1">IFERROR(__xludf.UNSUPPORTED("""COMPUTED_VALUE"""),44880.233761574)</f>
        <v>44880.233761574003</v>
      </c>
    </row>
    <row r="2091" spans="1:10" ht="12.75">
      <c r="A2091" s="3" t="str">
        <f ca="1">IFERROR(__xludf.UNSUPPORTED("""COMPUTED_VALUE"""),"a2d5ca32")</f>
        <v>a2d5ca32</v>
      </c>
      <c r="B2091" s="4">
        <f ca="1">IFERROR(__xludf.UNSUPPORTED("""COMPUTED_VALUE"""),44880.2944328703)</f>
        <v>44880.294432870302</v>
      </c>
      <c r="C2091" s="7" t="str">
        <f ca="1">IFERROR(__xludf.UNSUPPORTED("""COMPUTED_VALUE"""),"Salvador")</f>
        <v>Salvador</v>
      </c>
      <c r="D2091" s="3" t="str">
        <f ca="1">IFERROR(__xludf.UNSUPPORTED("""COMPUTED_VALUE"""),"🚢 REGULAR")</f>
        <v>🚢 REGULAR</v>
      </c>
      <c r="E2091" s="3" t="str">
        <f ca="1">IFERROR(__xludf.UNSUPPORTED("""COMPUTED_VALUE"""),"🚛 LIBERADO")</f>
        <v>🚛 LIBERADO</v>
      </c>
      <c r="F2091" s="5">
        <f ca="1">IFERROR(__xludf.UNSUPPORTED("""COMPUTED_VALUE"""),0)</f>
        <v>0</v>
      </c>
      <c r="G2091" s="3" t="str">
        <f ca="1">IFERROR(__xludf.UNSUPPORTED("""COMPUTED_VALUE"""),"Normalidade")</f>
        <v>Normalidade</v>
      </c>
      <c r="H2091" s="4">
        <f ca="1">IFERROR(__xludf.UNSUPPORTED("""COMPUTED_VALUE"""),44880.2944328703)</f>
        <v>44880.294432870302</v>
      </c>
      <c r="I2091" s="3">
        <f ca="1">IFERROR(__xludf.UNSUPPORTED("""COMPUTED_VALUE"""),24)</f>
        <v>24</v>
      </c>
      <c r="J2091" s="4">
        <f ca="1">IFERROR(__xludf.UNSUPPORTED("""COMPUTED_VALUE"""),44881.2944328703)</f>
        <v>44881.294432870302</v>
      </c>
    </row>
    <row r="2092" spans="1:10" ht="12.75">
      <c r="A2092" s="3" t="str">
        <f ca="1">IFERROR(__xludf.UNSUPPORTED("""COMPUTED_VALUE"""),"cf967c2f")</f>
        <v>cf967c2f</v>
      </c>
      <c r="B2092" s="4">
        <f ca="1">IFERROR(__xludf.UNSUPPORTED("""COMPUTED_VALUE"""),44881.352037037)</f>
        <v>44881.352037037002</v>
      </c>
      <c r="C2092" s="8" t="str">
        <f ca="1">IFERROR(__xludf.UNSUPPORTED("""COMPUTED_VALUE"""),"Salvador")</f>
        <v>Salvador</v>
      </c>
      <c r="D2092" s="3" t="str">
        <f ca="1">IFERROR(__xludf.UNSUPPORTED("""COMPUTED_VALUE"""),"🚢 REGULAR")</f>
        <v>🚢 REGULAR</v>
      </c>
      <c r="E2092" s="3" t="str">
        <f ca="1">IFERROR(__xludf.UNSUPPORTED("""COMPUTED_VALUE"""),"🚛 LIBERADO")</f>
        <v>🚛 LIBERADO</v>
      </c>
      <c r="F2092" s="5">
        <f ca="1">IFERROR(__xludf.UNSUPPORTED("""COMPUTED_VALUE"""),0)</f>
        <v>0</v>
      </c>
      <c r="G2092" s="3" t="str">
        <f ca="1">IFERROR(__xludf.UNSUPPORTED("""COMPUTED_VALUE"""),"Normalidade")</f>
        <v>Normalidade</v>
      </c>
      <c r="H2092" s="4">
        <f ca="1">IFERROR(__xludf.UNSUPPORTED("""COMPUTED_VALUE"""),44881.352037037)</f>
        <v>44881.352037037002</v>
      </c>
      <c r="I2092" s="3">
        <f ca="1">IFERROR(__xludf.UNSUPPORTED("""COMPUTED_VALUE"""),24)</f>
        <v>24</v>
      </c>
      <c r="J2092" s="4">
        <f ca="1">IFERROR(__xludf.UNSUPPORTED("""COMPUTED_VALUE"""),44882.352037037)</f>
        <v>44882.352037037002</v>
      </c>
    </row>
    <row r="2093" spans="1:10" ht="12.75">
      <c r="A2093" s="3" t="str">
        <f ca="1">IFERROR(__xludf.UNSUPPORTED("""COMPUTED_VALUE"""),"8d2c8db1")</f>
        <v>8d2c8db1</v>
      </c>
      <c r="B2093" s="4">
        <f ca="1">IFERROR(__xludf.UNSUPPORTED("""COMPUTED_VALUE"""),44882.2878935185)</f>
        <v>44882.2878935185</v>
      </c>
      <c r="C2093" s="8" t="str">
        <f ca="1">IFERROR(__xludf.UNSUPPORTED("""COMPUTED_VALUE"""),"Salvador")</f>
        <v>Salvador</v>
      </c>
      <c r="D2093" s="3" t="str">
        <f ca="1">IFERROR(__xludf.UNSUPPORTED("""COMPUTED_VALUE"""),"🚢 REGULAR")</f>
        <v>🚢 REGULAR</v>
      </c>
      <c r="E2093" s="3" t="str">
        <f ca="1">IFERROR(__xludf.UNSUPPORTED("""COMPUTED_VALUE"""),"🚛 LIBERADO")</f>
        <v>🚛 LIBERADO</v>
      </c>
      <c r="F2093" s="5">
        <f ca="1">IFERROR(__xludf.UNSUPPORTED("""COMPUTED_VALUE"""),0)</f>
        <v>0</v>
      </c>
      <c r="G2093" s="3" t="str">
        <f ca="1">IFERROR(__xludf.UNSUPPORTED("""COMPUTED_VALUE"""),"Normalidade")</f>
        <v>Normalidade</v>
      </c>
      <c r="H2093" s="4">
        <f ca="1">IFERROR(__xludf.UNSUPPORTED("""COMPUTED_VALUE"""),44882.2878935185)</f>
        <v>44882.2878935185</v>
      </c>
      <c r="I2093" s="3">
        <f ca="1">IFERROR(__xludf.UNSUPPORTED("""COMPUTED_VALUE"""),24)</f>
        <v>24</v>
      </c>
      <c r="J2093" s="4">
        <f ca="1">IFERROR(__xludf.UNSUPPORTED("""COMPUTED_VALUE"""),44883.2878935185)</f>
        <v>44883.2878935185</v>
      </c>
    </row>
    <row r="2094" spans="1:10" ht="12.75">
      <c r="A2094" s="3" t="str">
        <f ca="1">IFERROR(__xludf.UNSUPPORTED("""COMPUTED_VALUE"""),"801b1ffc")</f>
        <v>801b1ffc</v>
      </c>
      <c r="B2094" s="4">
        <f ca="1">IFERROR(__xludf.UNSUPPORTED("""COMPUTED_VALUE"""),44883.4942939814)</f>
        <v>44883.494293981399</v>
      </c>
      <c r="C2094" s="7" t="str">
        <f ca="1">IFERROR(__xludf.UNSUPPORTED("""COMPUTED_VALUE"""),"Salvador")</f>
        <v>Salvador</v>
      </c>
      <c r="D2094" s="3" t="str">
        <f ca="1">IFERROR(__xludf.UNSUPPORTED("""COMPUTED_VALUE"""),"🚢 REGULAR")</f>
        <v>🚢 REGULAR</v>
      </c>
      <c r="E2094" s="3" t="str">
        <f ca="1">IFERROR(__xludf.UNSUPPORTED("""COMPUTED_VALUE"""),"🚛 LIBERADO")</f>
        <v>🚛 LIBERADO</v>
      </c>
      <c r="F2094" s="5">
        <f ca="1">IFERROR(__xludf.UNSUPPORTED("""COMPUTED_VALUE"""),0)</f>
        <v>0</v>
      </c>
      <c r="G2094" s="3" t="str">
        <f ca="1">IFERROR(__xludf.UNSUPPORTED("""COMPUTED_VALUE"""),"Normalidade")</f>
        <v>Normalidade</v>
      </c>
      <c r="H2094" s="4">
        <f ca="1">IFERROR(__xludf.UNSUPPORTED("""COMPUTED_VALUE"""),44883.4942939814)</f>
        <v>44883.494293981399</v>
      </c>
      <c r="I2094" s="3">
        <f ca="1">IFERROR(__xludf.UNSUPPORTED("""COMPUTED_VALUE"""),24)</f>
        <v>24</v>
      </c>
      <c r="J2094" s="4">
        <f ca="1">IFERROR(__xludf.UNSUPPORTED("""COMPUTED_VALUE"""),44884.4942939814)</f>
        <v>44884.494293981399</v>
      </c>
    </row>
    <row r="2095" spans="1:10" ht="12.75">
      <c r="A2095" s="3" t="str">
        <f ca="1">IFERROR(__xludf.UNSUPPORTED("""COMPUTED_VALUE"""),"f927e04e")</f>
        <v>f927e04e</v>
      </c>
      <c r="B2095" s="4">
        <f ca="1">IFERROR(__xludf.UNSUPPORTED("""COMPUTED_VALUE"""),44883.4953356481)</f>
        <v>44883.495335648098</v>
      </c>
      <c r="C2095" s="8" t="str">
        <f ca="1">IFERROR(__xludf.UNSUPPORTED("""COMPUTED_VALUE"""),"Salvador")</f>
        <v>Salvador</v>
      </c>
      <c r="D2095" s="3" t="str">
        <f ca="1">IFERROR(__xludf.UNSUPPORTED("""COMPUTED_VALUE"""),"🚢 REGULAR")</f>
        <v>🚢 REGULAR</v>
      </c>
      <c r="E2095" s="3" t="str">
        <f ca="1">IFERROR(__xludf.UNSUPPORTED("""COMPUTED_VALUE"""),"🚛 LIBERADO")</f>
        <v>🚛 LIBERADO</v>
      </c>
      <c r="F2095" s="5">
        <f ca="1">IFERROR(__xludf.UNSUPPORTED("""COMPUTED_VALUE"""),0)</f>
        <v>0</v>
      </c>
      <c r="G2095" s="3" t="str">
        <f ca="1">IFERROR(__xludf.UNSUPPORTED("""COMPUTED_VALUE"""),"Normalidade")</f>
        <v>Normalidade</v>
      </c>
      <c r="H2095" s="4">
        <f ca="1">IFERROR(__xludf.UNSUPPORTED("""COMPUTED_VALUE"""),44883.4953356481)</f>
        <v>44883.495335648098</v>
      </c>
      <c r="I2095" s="3">
        <f ca="1">IFERROR(__xludf.UNSUPPORTED("""COMPUTED_VALUE"""),23)</f>
        <v>23</v>
      </c>
      <c r="J2095" s="4">
        <f ca="1">IFERROR(__xludf.UNSUPPORTED("""COMPUTED_VALUE"""),44884.4536689814)</f>
        <v>44884.453668981398</v>
      </c>
    </row>
    <row r="2096" spans="1:10" ht="12.75">
      <c r="A2096" s="3" t="str">
        <f ca="1">IFERROR(__xludf.UNSUPPORTED("""COMPUTED_VALUE"""),"ff964863")</f>
        <v>ff964863</v>
      </c>
      <c r="B2096" s="4">
        <f ca="1">IFERROR(__xludf.UNSUPPORTED("""COMPUTED_VALUE"""),44884.4009953703)</f>
        <v>44884.400995370299</v>
      </c>
      <c r="C2096" s="8" t="str">
        <f ca="1">IFERROR(__xludf.UNSUPPORTED("""COMPUTED_VALUE"""),"Salvador")</f>
        <v>Salvador</v>
      </c>
      <c r="D2096" s="3" t="str">
        <f ca="1">IFERROR(__xludf.UNSUPPORTED("""COMPUTED_VALUE"""),"🚢 REGULAR")</f>
        <v>🚢 REGULAR</v>
      </c>
      <c r="E2096" s="3" t="str">
        <f ca="1">IFERROR(__xludf.UNSUPPORTED("""COMPUTED_VALUE"""),"🚛 LIBERADO")</f>
        <v>🚛 LIBERADO</v>
      </c>
      <c r="F2096" s="5">
        <f ca="1">IFERROR(__xludf.UNSUPPORTED("""COMPUTED_VALUE"""),0)</f>
        <v>0</v>
      </c>
      <c r="G2096" s="3" t="str">
        <f ca="1">IFERROR(__xludf.UNSUPPORTED("""COMPUTED_VALUE"""),"Normalidade")</f>
        <v>Normalidade</v>
      </c>
      <c r="H2096" s="4">
        <f ca="1">IFERROR(__xludf.UNSUPPORTED("""COMPUTED_VALUE"""),44884.4009953703)</f>
        <v>44884.400995370299</v>
      </c>
      <c r="I2096" s="3">
        <f ca="1">IFERROR(__xludf.UNSUPPORTED("""COMPUTED_VALUE"""),24)</f>
        <v>24</v>
      </c>
      <c r="J2096" s="4">
        <f ca="1">IFERROR(__xludf.UNSUPPORTED("""COMPUTED_VALUE"""),44885.4009953703)</f>
        <v>44885.400995370299</v>
      </c>
    </row>
    <row r="2097" spans="1:10" ht="12.75">
      <c r="A2097" s="3" t="str">
        <f ca="1">IFERROR(__xludf.UNSUPPORTED("""COMPUTED_VALUE"""),"d36b1cf0")</f>
        <v>d36b1cf0</v>
      </c>
      <c r="B2097" s="4">
        <f ca="1">IFERROR(__xludf.UNSUPPORTED("""COMPUTED_VALUE"""),44886.3337037037)</f>
        <v>44886.333703703698</v>
      </c>
      <c r="C2097" s="8" t="str">
        <f ca="1">IFERROR(__xludf.UNSUPPORTED("""COMPUTED_VALUE"""),"Salvador")</f>
        <v>Salvador</v>
      </c>
      <c r="D2097" s="3" t="str">
        <f ca="1">IFERROR(__xludf.UNSUPPORTED("""COMPUTED_VALUE"""),"🚢 REGULAR")</f>
        <v>🚢 REGULAR</v>
      </c>
      <c r="E2097" s="3" t="str">
        <f ca="1">IFERROR(__xludf.UNSUPPORTED("""COMPUTED_VALUE"""),"🚛 LIBERADO")</f>
        <v>🚛 LIBERADO</v>
      </c>
      <c r="F2097" s="5">
        <f ca="1">IFERROR(__xludf.UNSUPPORTED("""COMPUTED_VALUE"""),0)</f>
        <v>0</v>
      </c>
      <c r="G2097" s="3" t="str">
        <f ca="1">IFERROR(__xludf.UNSUPPORTED("""COMPUTED_VALUE"""),"Normalidade")</f>
        <v>Normalidade</v>
      </c>
      <c r="H2097" s="4">
        <f ca="1">IFERROR(__xludf.UNSUPPORTED("""COMPUTED_VALUE"""),44886.3337037037)</f>
        <v>44886.333703703698</v>
      </c>
      <c r="I2097" s="3">
        <f ca="1">IFERROR(__xludf.UNSUPPORTED("""COMPUTED_VALUE"""),24)</f>
        <v>24</v>
      </c>
      <c r="J2097" s="4">
        <f ca="1">IFERROR(__xludf.UNSUPPORTED("""COMPUTED_VALUE"""),44887.3337037037)</f>
        <v>44887.333703703698</v>
      </c>
    </row>
    <row r="2098" spans="1:10" ht="12.75">
      <c r="A2098" s="3" t="str">
        <f ca="1">IFERROR(__xludf.UNSUPPORTED("""COMPUTED_VALUE"""),"91c0b967")</f>
        <v>91c0b967</v>
      </c>
      <c r="B2098" s="4">
        <f ca="1">IFERROR(__xludf.UNSUPPORTED("""COMPUTED_VALUE"""),44888.2596180555)</f>
        <v>44888.259618055497</v>
      </c>
      <c r="C2098" s="7" t="str">
        <f ca="1">IFERROR(__xludf.UNSUPPORTED("""COMPUTED_VALUE"""),"Salvador")</f>
        <v>Salvador</v>
      </c>
      <c r="D2098" s="3" t="str">
        <f ca="1">IFERROR(__xludf.UNSUPPORTED("""COMPUTED_VALUE"""),"🚢 REGULAR")</f>
        <v>🚢 REGULAR</v>
      </c>
      <c r="E2098" s="3" t="str">
        <f ca="1">IFERROR(__xludf.UNSUPPORTED("""COMPUTED_VALUE"""),"🚛 LIBERADO")</f>
        <v>🚛 LIBERADO</v>
      </c>
      <c r="F2098" s="5">
        <f ca="1">IFERROR(__xludf.UNSUPPORTED("""COMPUTED_VALUE"""),0)</f>
        <v>0</v>
      </c>
      <c r="G2098" s="3" t="str">
        <f ca="1">IFERROR(__xludf.UNSUPPORTED("""COMPUTED_VALUE"""),"Normalidade")</f>
        <v>Normalidade</v>
      </c>
      <c r="H2098" s="4">
        <f ca="1">IFERROR(__xludf.UNSUPPORTED("""COMPUTED_VALUE"""),44888.2596180555)</f>
        <v>44888.259618055497</v>
      </c>
      <c r="I2098" s="3">
        <f ca="1">IFERROR(__xludf.UNSUPPORTED("""COMPUTED_VALUE"""),24)</f>
        <v>24</v>
      </c>
      <c r="J2098" s="4">
        <f ca="1">IFERROR(__xludf.UNSUPPORTED("""COMPUTED_VALUE"""),44889.2596180555)</f>
        <v>44889.259618055497</v>
      </c>
    </row>
    <row r="2099" spans="1:10" ht="12.75">
      <c r="A2099" s="3" t="str">
        <f ca="1">IFERROR(__xludf.UNSUPPORTED("""COMPUTED_VALUE"""),"318994f3")</f>
        <v>318994f3</v>
      </c>
      <c r="B2099" s="4">
        <f ca="1">IFERROR(__xludf.UNSUPPORTED("""COMPUTED_VALUE"""),44890.1358333333)</f>
        <v>44890.135833333297</v>
      </c>
      <c r="C2099" s="7" t="str">
        <f ca="1">IFERROR(__xludf.UNSUPPORTED("""COMPUTED_VALUE"""),"Salvador")</f>
        <v>Salvador</v>
      </c>
      <c r="D2099" s="3" t="str">
        <f ca="1">IFERROR(__xludf.UNSUPPORTED("""COMPUTED_VALUE"""),"🚢 REGULAR")</f>
        <v>🚢 REGULAR</v>
      </c>
      <c r="E2099" s="3" t="str">
        <f ca="1">IFERROR(__xludf.UNSUPPORTED("""COMPUTED_VALUE"""),"🚛 LIBERADO")</f>
        <v>🚛 LIBERADO</v>
      </c>
      <c r="F2099" s="5">
        <f ca="1">IFERROR(__xludf.UNSUPPORTED("""COMPUTED_VALUE"""),0)</f>
        <v>0</v>
      </c>
      <c r="G2099" s="3" t="str">
        <f ca="1">IFERROR(__xludf.UNSUPPORTED("""COMPUTED_VALUE"""),"Normalidade")</f>
        <v>Normalidade</v>
      </c>
      <c r="H2099" s="4">
        <f ca="1">IFERROR(__xludf.UNSUPPORTED("""COMPUTED_VALUE"""),44890.1358333333)</f>
        <v>44890.135833333297</v>
      </c>
      <c r="I2099" s="3">
        <f ca="1">IFERROR(__xludf.UNSUPPORTED("""COMPUTED_VALUE"""),24)</f>
        <v>24</v>
      </c>
      <c r="J2099" s="4">
        <f ca="1">IFERROR(__xludf.UNSUPPORTED("""COMPUTED_VALUE"""),44891.1358333333)</f>
        <v>44891.135833333297</v>
      </c>
    </row>
    <row r="2100" spans="1:10" ht="12.75">
      <c r="A2100" s="3" t="str">
        <f ca="1">IFERROR(__xludf.UNSUPPORTED("""COMPUTED_VALUE"""),"1583ee33")</f>
        <v>1583ee33</v>
      </c>
      <c r="B2100" s="4">
        <f ca="1">IFERROR(__xludf.UNSUPPORTED("""COMPUTED_VALUE"""),44892.4589583333)</f>
        <v>44892.4589583333</v>
      </c>
      <c r="C2100" s="8" t="str">
        <f ca="1">IFERROR(__xludf.UNSUPPORTED("""COMPUTED_VALUE"""),"Salvador")</f>
        <v>Salvador</v>
      </c>
      <c r="D2100" s="3" t="str">
        <f ca="1">IFERROR(__xludf.UNSUPPORTED("""COMPUTED_VALUE"""),"🚢 REGULAR")</f>
        <v>🚢 REGULAR</v>
      </c>
      <c r="E2100" s="3" t="str">
        <f ca="1">IFERROR(__xludf.UNSUPPORTED("""COMPUTED_VALUE"""),"🚛 LIBERADO")</f>
        <v>🚛 LIBERADO</v>
      </c>
      <c r="F2100" s="5">
        <f ca="1">IFERROR(__xludf.UNSUPPORTED("""COMPUTED_VALUE"""),0)</f>
        <v>0</v>
      </c>
      <c r="G2100" s="3" t="str">
        <f ca="1">IFERROR(__xludf.UNSUPPORTED("""COMPUTED_VALUE"""),"Normalidade")</f>
        <v>Normalidade</v>
      </c>
      <c r="H2100" s="4">
        <f ca="1">IFERROR(__xludf.UNSUPPORTED("""COMPUTED_VALUE"""),44892.4589583333)</f>
        <v>44892.4589583333</v>
      </c>
      <c r="I2100" s="3">
        <f ca="1">IFERROR(__xludf.UNSUPPORTED("""COMPUTED_VALUE"""),24)</f>
        <v>24</v>
      </c>
      <c r="J2100" s="4">
        <f ca="1">IFERROR(__xludf.UNSUPPORTED("""COMPUTED_VALUE"""),44893.4589583333)</f>
        <v>44893.4589583333</v>
      </c>
    </row>
    <row r="2101" spans="1:10" ht="12.75">
      <c r="A2101" s="3" t="str">
        <f ca="1">IFERROR(__xludf.UNSUPPORTED("""COMPUTED_VALUE"""),"f20d322f")</f>
        <v>f20d322f</v>
      </c>
      <c r="B2101" s="4">
        <f ca="1">IFERROR(__xludf.UNSUPPORTED("""COMPUTED_VALUE"""),44893.3763657407)</f>
        <v>44893.376365740703</v>
      </c>
      <c r="C2101" s="8" t="str">
        <f ca="1">IFERROR(__xludf.UNSUPPORTED("""COMPUTED_VALUE"""),"Salvador")</f>
        <v>Salvador</v>
      </c>
      <c r="D2101" s="3" t="str">
        <f ca="1">IFERROR(__xludf.UNSUPPORTED("""COMPUTED_VALUE"""),"🚢 REGULAR")</f>
        <v>🚢 REGULAR</v>
      </c>
      <c r="E2101" s="3" t="str">
        <f ca="1">IFERROR(__xludf.UNSUPPORTED("""COMPUTED_VALUE"""),"🚛 LIBERADO")</f>
        <v>🚛 LIBERADO</v>
      </c>
      <c r="F2101" s="5">
        <f ca="1">IFERROR(__xludf.UNSUPPORTED("""COMPUTED_VALUE"""),0)</f>
        <v>0</v>
      </c>
      <c r="G2101" s="3" t="str">
        <f ca="1">IFERROR(__xludf.UNSUPPORTED("""COMPUTED_VALUE"""),"Normalidade")</f>
        <v>Normalidade</v>
      </c>
      <c r="H2101" s="4">
        <f ca="1">IFERROR(__xludf.UNSUPPORTED("""COMPUTED_VALUE"""),44893.3763657407)</f>
        <v>44893.376365740703</v>
      </c>
      <c r="I2101" s="3">
        <f ca="1">IFERROR(__xludf.UNSUPPORTED("""COMPUTED_VALUE"""),24)</f>
        <v>24</v>
      </c>
      <c r="J2101" s="4">
        <f ca="1">IFERROR(__xludf.UNSUPPORTED("""COMPUTED_VALUE"""),44894.3763657407)</f>
        <v>44894.376365740703</v>
      </c>
    </row>
    <row r="2102" spans="1:10" ht="12.75">
      <c r="A2102" s="3" t="str">
        <f ca="1">IFERROR(__xludf.UNSUPPORTED("""COMPUTED_VALUE"""),"c17e53d9")</f>
        <v>c17e53d9</v>
      </c>
      <c r="B2102" s="4">
        <f ca="1">IFERROR(__xludf.UNSUPPORTED("""COMPUTED_VALUE"""),44893.3766087963)</f>
        <v>44893.376608796301</v>
      </c>
      <c r="C2102" s="7" t="str">
        <f ca="1">IFERROR(__xludf.UNSUPPORTED("""COMPUTED_VALUE"""),"Salvador")</f>
        <v>Salvador</v>
      </c>
      <c r="D2102" s="3" t="str">
        <f ca="1">IFERROR(__xludf.UNSUPPORTED("""COMPUTED_VALUE"""),"🚢 REGULAR")</f>
        <v>🚢 REGULAR</v>
      </c>
      <c r="E2102" s="3" t="str">
        <f ca="1">IFERROR(__xludf.UNSUPPORTED("""COMPUTED_VALUE"""),"🚛 LIBERADO")</f>
        <v>🚛 LIBERADO</v>
      </c>
      <c r="F2102" s="5">
        <f ca="1">IFERROR(__xludf.UNSUPPORTED("""COMPUTED_VALUE"""),0)</f>
        <v>0</v>
      </c>
      <c r="G2102" s="3" t="str">
        <f ca="1">IFERROR(__xludf.UNSUPPORTED("""COMPUTED_VALUE"""),"Normalidade")</f>
        <v>Normalidade</v>
      </c>
      <c r="H2102" s="4">
        <f ca="1">IFERROR(__xludf.UNSUPPORTED("""COMPUTED_VALUE"""),44893.3766087963)</f>
        <v>44893.376608796301</v>
      </c>
      <c r="I2102" s="3">
        <f ca="1">IFERROR(__xludf.UNSUPPORTED("""COMPUTED_VALUE"""),24)</f>
        <v>24</v>
      </c>
      <c r="J2102" s="4">
        <f ca="1">IFERROR(__xludf.UNSUPPORTED("""COMPUTED_VALUE"""),44894.3766087963)</f>
        <v>44894.376608796301</v>
      </c>
    </row>
    <row r="2103" spans="1:10" ht="12.75">
      <c r="A2103" s="3" t="str">
        <f ca="1">IFERROR(__xludf.UNSUPPORTED("""COMPUTED_VALUE"""),"c8fe1255")</f>
        <v>c8fe1255</v>
      </c>
      <c r="B2103" s="4">
        <f ca="1">IFERROR(__xludf.UNSUPPORTED("""COMPUTED_VALUE"""),44894.3689814814)</f>
        <v>44894.368981481399</v>
      </c>
      <c r="C2103" s="7" t="str">
        <f ca="1">IFERROR(__xludf.UNSUPPORTED("""COMPUTED_VALUE"""),"Salvador")</f>
        <v>Salvador</v>
      </c>
      <c r="D2103" s="3" t="str">
        <f ca="1">IFERROR(__xludf.UNSUPPORTED("""COMPUTED_VALUE"""),"🚢 REGULAR")</f>
        <v>🚢 REGULAR</v>
      </c>
      <c r="E2103" s="3" t="str">
        <f ca="1">IFERROR(__xludf.UNSUPPORTED("""COMPUTED_VALUE"""),"🚛 LIBERADO")</f>
        <v>🚛 LIBERADO</v>
      </c>
      <c r="F2103" s="5">
        <f ca="1">IFERROR(__xludf.UNSUPPORTED("""COMPUTED_VALUE"""),0)</f>
        <v>0</v>
      </c>
      <c r="G2103" s="3" t="str">
        <f ca="1">IFERROR(__xludf.UNSUPPORTED("""COMPUTED_VALUE"""),"Normalidade")</f>
        <v>Normalidade</v>
      </c>
      <c r="H2103" s="4">
        <f ca="1">IFERROR(__xludf.UNSUPPORTED("""COMPUTED_VALUE"""),44894.3689814814)</f>
        <v>44894.368981481399</v>
      </c>
      <c r="I2103" s="3">
        <f ca="1">IFERROR(__xludf.UNSUPPORTED("""COMPUTED_VALUE"""),24)</f>
        <v>24</v>
      </c>
      <c r="J2103" s="4">
        <f ca="1">IFERROR(__xludf.UNSUPPORTED("""COMPUTED_VALUE"""),44895.3689814814)</f>
        <v>44895.368981481399</v>
      </c>
    </row>
    <row r="2104" spans="1:10" ht="12.75">
      <c r="A2104" s="3" t="str">
        <f ca="1">IFERROR(__xludf.UNSUPPORTED("""COMPUTED_VALUE"""),"dfb6bb51")</f>
        <v>dfb6bb51</v>
      </c>
      <c r="B2104" s="4">
        <f ca="1">IFERROR(__xludf.UNSUPPORTED("""COMPUTED_VALUE"""),44895.2882291666)</f>
        <v>44895.288229166603</v>
      </c>
      <c r="C2104" s="8" t="str">
        <f ca="1">IFERROR(__xludf.UNSUPPORTED("""COMPUTED_VALUE"""),"Salvador")</f>
        <v>Salvador</v>
      </c>
      <c r="D2104" s="3" t="str">
        <f ca="1">IFERROR(__xludf.UNSUPPORTED("""COMPUTED_VALUE"""),"🚢 REGULAR")</f>
        <v>🚢 REGULAR</v>
      </c>
      <c r="E2104" s="3" t="str">
        <f ca="1">IFERROR(__xludf.UNSUPPORTED("""COMPUTED_VALUE"""),"🚛 LIBERADO")</f>
        <v>🚛 LIBERADO</v>
      </c>
      <c r="F2104" s="5">
        <f ca="1">IFERROR(__xludf.UNSUPPORTED("""COMPUTED_VALUE"""),0)</f>
        <v>0</v>
      </c>
      <c r="G2104" s="3" t="str">
        <f ca="1">IFERROR(__xludf.UNSUPPORTED("""COMPUTED_VALUE"""),"Normalidade")</f>
        <v>Normalidade</v>
      </c>
      <c r="H2104" s="4">
        <f ca="1">IFERROR(__xludf.UNSUPPORTED("""COMPUTED_VALUE"""),44895.2882291666)</f>
        <v>44895.288229166603</v>
      </c>
      <c r="I2104" s="3">
        <f ca="1">IFERROR(__xludf.UNSUPPORTED("""COMPUTED_VALUE"""),24)</f>
        <v>24</v>
      </c>
      <c r="J2104" s="4">
        <f ca="1">IFERROR(__xludf.UNSUPPORTED("""COMPUTED_VALUE"""),44896.2882291666)</f>
        <v>44896.288229166603</v>
      </c>
    </row>
    <row r="2105" spans="1:10" ht="12.75">
      <c r="A2105" s="3" t="str">
        <f ca="1">IFERROR(__xludf.UNSUPPORTED("""COMPUTED_VALUE"""),"c5e2f0af")</f>
        <v>c5e2f0af</v>
      </c>
      <c r="B2105" s="4">
        <f ca="1">IFERROR(__xludf.UNSUPPORTED("""COMPUTED_VALUE"""),44896.4335069444)</f>
        <v>44896.433506944399</v>
      </c>
      <c r="C2105" s="7" t="str">
        <f ca="1">IFERROR(__xludf.UNSUPPORTED("""COMPUTED_VALUE"""),"Salvador")</f>
        <v>Salvador</v>
      </c>
      <c r="D2105" s="3" t="str">
        <f ca="1">IFERROR(__xludf.UNSUPPORTED("""COMPUTED_VALUE"""),"🚢 REGULAR")</f>
        <v>🚢 REGULAR</v>
      </c>
      <c r="E2105" s="3" t="str">
        <f ca="1">IFERROR(__xludf.UNSUPPORTED("""COMPUTED_VALUE"""),"🚛 LIBERADO")</f>
        <v>🚛 LIBERADO</v>
      </c>
      <c r="F2105" s="5">
        <f ca="1">IFERROR(__xludf.UNSUPPORTED("""COMPUTED_VALUE"""),0)</f>
        <v>0</v>
      </c>
      <c r="G2105" s="3" t="str">
        <f ca="1">IFERROR(__xludf.UNSUPPORTED("""COMPUTED_VALUE"""),"Normalidade")</f>
        <v>Normalidade</v>
      </c>
      <c r="H2105" s="4">
        <f ca="1">IFERROR(__xludf.UNSUPPORTED("""COMPUTED_VALUE"""),44896.4335069444)</f>
        <v>44896.433506944399</v>
      </c>
      <c r="I2105" s="3">
        <f ca="1">IFERROR(__xludf.UNSUPPORTED("""COMPUTED_VALUE"""),24)</f>
        <v>24</v>
      </c>
      <c r="J2105" s="4">
        <f ca="1">IFERROR(__xludf.UNSUPPORTED("""COMPUTED_VALUE"""),44897.4335069444)</f>
        <v>44897.433506944399</v>
      </c>
    </row>
    <row r="2106" spans="1:10" ht="12.75">
      <c r="A2106" s="3" t="str">
        <f ca="1">IFERROR(__xludf.UNSUPPORTED("""COMPUTED_VALUE"""),"ca5e1ff0")</f>
        <v>ca5e1ff0</v>
      </c>
      <c r="B2106" s="4">
        <f ca="1">IFERROR(__xludf.UNSUPPORTED("""COMPUTED_VALUE"""),44897.4074189814)</f>
        <v>44897.407418981398</v>
      </c>
      <c r="C2106" s="8" t="str">
        <f ca="1">IFERROR(__xludf.UNSUPPORTED("""COMPUTED_VALUE"""),"Salvador")</f>
        <v>Salvador</v>
      </c>
      <c r="D2106" s="3" t="str">
        <f ca="1">IFERROR(__xludf.UNSUPPORTED("""COMPUTED_VALUE"""),"🚢 REGULAR")</f>
        <v>🚢 REGULAR</v>
      </c>
      <c r="E2106" s="3" t="str">
        <f ca="1">IFERROR(__xludf.UNSUPPORTED("""COMPUTED_VALUE"""),"🚛 LIBERADO")</f>
        <v>🚛 LIBERADO</v>
      </c>
      <c r="F2106" s="5">
        <f ca="1">IFERROR(__xludf.UNSUPPORTED("""COMPUTED_VALUE"""),0)</f>
        <v>0</v>
      </c>
      <c r="G2106" s="3" t="str">
        <f ca="1">IFERROR(__xludf.UNSUPPORTED("""COMPUTED_VALUE"""),"Normalidade")</f>
        <v>Normalidade</v>
      </c>
      <c r="H2106" s="4">
        <f ca="1">IFERROR(__xludf.UNSUPPORTED("""COMPUTED_VALUE"""),44897.4074189814)</f>
        <v>44897.407418981398</v>
      </c>
      <c r="I2106" s="3">
        <f ca="1">IFERROR(__xludf.UNSUPPORTED("""COMPUTED_VALUE"""),24)</f>
        <v>24</v>
      </c>
      <c r="J2106" s="4">
        <f ca="1">IFERROR(__xludf.UNSUPPORTED("""COMPUTED_VALUE"""),44898.4074189814)</f>
        <v>44898.407418981398</v>
      </c>
    </row>
    <row r="2107" spans="1:10" ht="12.75">
      <c r="A2107" s="3" t="str">
        <f ca="1">IFERROR(__xludf.UNSUPPORTED("""COMPUTED_VALUE"""),"cbb65fc8")</f>
        <v>cbb65fc8</v>
      </c>
      <c r="B2107" s="4">
        <f ca="1">IFERROR(__xludf.UNSUPPORTED("""COMPUTED_VALUE"""),44898.2925810185)</f>
        <v>44898.292581018497</v>
      </c>
      <c r="C2107" s="7" t="str">
        <f ca="1">IFERROR(__xludf.UNSUPPORTED("""COMPUTED_VALUE"""),"Salvador")</f>
        <v>Salvador</v>
      </c>
      <c r="D2107" s="3" t="str">
        <f ca="1">IFERROR(__xludf.UNSUPPORTED("""COMPUTED_VALUE"""),"🚢 REGULAR")</f>
        <v>🚢 REGULAR</v>
      </c>
      <c r="E2107" s="3" t="str">
        <f ca="1">IFERROR(__xludf.UNSUPPORTED("""COMPUTED_VALUE"""),"🚛 LIBERADO")</f>
        <v>🚛 LIBERADO</v>
      </c>
      <c r="F2107" s="5">
        <f ca="1">IFERROR(__xludf.UNSUPPORTED("""COMPUTED_VALUE"""),0)</f>
        <v>0</v>
      </c>
      <c r="G2107" s="3" t="str">
        <f ca="1">IFERROR(__xludf.UNSUPPORTED("""COMPUTED_VALUE"""),"Normalidade")</f>
        <v>Normalidade</v>
      </c>
      <c r="H2107" s="4">
        <f ca="1">IFERROR(__xludf.UNSUPPORTED("""COMPUTED_VALUE"""),44898.2925810185)</f>
        <v>44898.292581018497</v>
      </c>
      <c r="I2107" s="3">
        <f ca="1">IFERROR(__xludf.UNSUPPORTED("""COMPUTED_VALUE"""),24)</f>
        <v>24</v>
      </c>
      <c r="J2107" s="4">
        <f ca="1">IFERROR(__xludf.UNSUPPORTED("""COMPUTED_VALUE"""),44899.2925810185)</f>
        <v>44899.292581018497</v>
      </c>
    </row>
    <row r="2108" spans="1:10" ht="12.75">
      <c r="A2108" s="3" t="str">
        <f ca="1">IFERROR(__xludf.UNSUPPORTED("""COMPUTED_VALUE"""),"fac385da")</f>
        <v>fac385da</v>
      </c>
      <c r="B2108" s="4">
        <f ca="1">IFERROR(__xludf.UNSUPPORTED("""COMPUTED_VALUE"""),44899.2505324074)</f>
        <v>44899.250532407401</v>
      </c>
      <c r="C2108" s="7" t="str">
        <f ca="1">IFERROR(__xludf.UNSUPPORTED("""COMPUTED_VALUE"""),"Salvador")</f>
        <v>Salvador</v>
      </c>
      <c r="D2108" s="3" t="str">
        <f ca="1">IFERROR(__xludf.UNSUPPORTED("""COMPUTED_VALUE"""),"🚢 REGULAR")</f>
        <v>🚢 REGULAR</v>
      </c>
      <c r="E2108" s="3" t="str">
        <f ca="1">IFERROR(__xludf.UNSUPPORTED("""COMPUTED_VALUE"""),"🚛 LIBERADO")</f>
        <v>🚛 LIBERADO</v>
      </c>
      <c r="F2108" s="5">
        <f ca="1">IFERROR(__xludf.UNSUPPORTED("""COMPUTED_VALUE"""),0)</f>
        <v>0</v>
      </c>
      <c r="G2108" s="3" t="str">
        <f ca="1">IFERROR(__xludf.UNSUPPORTED("""COMPUTED_VALUE"""),"Normalidade")</f>
        <v>Normalidade</v>
      </c>
      <c r="H2108" s="4">
        <f ca="1">IFERROR(__xludf.UNSUPPORTED("""COMPUTED_VALUE"""),44899.2505324074)</f>
        <v>44899.250532407401</v>
      </c>
      <c r="I2108" s="3">
        <f ca="1">IFERROR(__xludf.UNSUPPORTED("""COMPUTED_VALUE"""),24)</f>
        <v>24</v>
      </c>
      <c r="J2108" s="4">
        <f ca="1">IFERROR(__xludf.UNSUPPORTED("""COMPUTED_VALUE"""),44900.2505324074)</f>
        <v>44900.250532407401</v>
      </c>
    </row>
    <row r="2109" spans="1:10" ht="12.75">
      <c r="A2109" s="3" t="str">
        <f ca="1">IFERROR(__xludf.UNSUPPORTED("""COMPUTED_VALUE"""),"44be1693")</f>
        <v>44be1693</v>
      </c>
      <c r="B2109" s="4">
        <f ca="1">IFERROR(__xludf.UNSUPPORTED("""COMPUTED_VALUE"""),44900.3857986111)</f>
        <v>44900.385798611103</v>
      </c>
      <c r="C2109" s="7" t="str">
        <f ca="1">IFERROR(__xludf.UNSUPPORTED("""COMPUTED_VALUE"""),"Salvador")</f>
        <v>Salvador</v>
      </c>
      <c r="D2109" s="3" t="str">
        <f ca="1">IFERROR(__xludf.UNSUPPORTED("""COMPUTED_VALUE"""),"🚢 REGULAR")</f>
        <v>🚢 REGULAR</v>
      </c>
      <c r="E2109" s="3" t="str">
        <f ca="1">IFERROR(__xludf.UNSUPPORTED("""COMPUTED_VALUE"""),"🚛 LIBERADO")</f>
        <v>🚛 LIBERADO</v>
      </c>
      <c r="F2109" s="5">
        <f ca="1">IFERROR(__xludf.UNSUPPORTED("""COMPUTED_VALUE"""),0)</f>
        <v>0</v>
      </c>
      <c r="G2109" s="3" t="str">
        <f ca="1">IFERROR(__xludf.UNSUPPORTED("""COMPUTED_VALUE"""),"Sem registros de bloqueios.")</f>
        <v>Sem registros de bloqueios.</v>
      </c>
      <c r="H2109" s="4">
        <f ca="1">IFERROR(__xludf.UNSUPPORTED("""COMPUTED_VALUE"""),44900.3857986111)</f>
        <v>44900.385798611103</v>
      </c>
      <c r="I2109" s="3">
        <f ca="1">IFERROR(__xludf.UNSUPPORTED("""COMPUTED_VALUE"""),24)</f>
        <v>24</v>
      </c>
      <c r="J2109" s="4">
        <f ca="1">IFERROR(__xludf.UNSUPPORTED("""COMPUTED_VALUE"""),44901.3857986111)</f>
        <v>44901.385798611103</v>
      </c>
    </row>
    <row r="2110" spans="1:10" ht="12.75">
      <c r="A2110" s="3" t="str">
        <f ca="1">IFERROR(__xludf.UNSUPPORTED("""COMPUTED_VALUE"""),"d4934c62")</f>
        <v>d4934c62</v>
      </c>
      <c r="B2110" s="4">
        <f ca="1">IFERROR(__xludf.UNSUPPORTED("""COMPUTED_VALUE"""),44901.3118981481)</f>
        <v>44901.311898148102</v>
      </c>
      <c r="C2110" s="8" t="str">
        <f ca="1">IFERROR(__xludf.UNSUPPORTED("""COMPUTED_VALUE"""),"Salvador")</f>
        <v>Salvador</v>
      </c>
      <c r="D2110" s="3" t="str">
        <f ca="1">IFERROR(__xludf.UNSUPPORTED("""COMPUTED_VALUE"""),"🚢 REGULAR")</f>
        <v>🚢 REGULAR</v>
      </c>
      <c r="E2110" s="3" t="str">
        <f ca="1">IFERROR(__xludf.UNSUPPORTED("""COMPUTED_VALUE"""),"🚛 LIBERADO")</f>
        <v>🚛 LIBERADO</v>
      </c>
      <c r="F2110" s="5">
        <f ca="1">IFERROR(__xludf.UNSUPPORTED("""COMPUTED_VALUE"""),0)</f>
        <v>0</v>
      </c>
      <c r="G2110" s="3" t="str">
        <f ca="1">IFERROR(__xludf.UNSUPPORTED("""COMPUTED_VALUE"""),"Sem ocorrências de bloqueios.")</f>
        <v>Sem ocorrências de bloqueios.</v>
      </c>
      <c r="H2110" s="4">
        <f ca="1">IFERROR(__xludf.UNSUPPORTED("""COMPUTED_VALUE"""),44901.3118981481)</f>
        <v>44901.311898148102</v>
      </c>
      <c r="I2110" s="3">
        <f ca="1">IFERROR(__xludf.UNSUPPORTED("""COMPUTED_VALUE"""),24)</f>
        <v>24</v>
      </c>
      <c r="J2110" s="4">
        <f ca="1">IFERROR(__xludf.UNSUPPORTED("""COMPUTED_VALUE"""),44902.3118981481)</f>
        <v>44902.311898148102</v>
      </c>
    </row>
    <row r="2111" spans="1:10" ht="12.75">
      <c r="A2111" s="3" t="str">
        <f ca="1">IFERROR(__xludf.UNSUPPORTED("""COMPUTED_VALUE"""),"10bb075d")</f>
        <v>10bb075d</v>
      </c>
      <c r="B2111" s="4">
        <f ca="1">IFERROR(__xludf.UNSUPPORTED("""COMPUTED_VALUE"""),44902.3504050925)</f>
        <v>44902.350405092497</v>
      </c>
      <c r="C2111" s="7" t="str">
        <f ca="1">IFERROR(__xludf.UNSUPPORTED("""COMPUTED_VALUE"""),"Salvador")</f>
        <v>Salvador</v>
      </c>
      <c r="D2111" s="3" t="str">
        <f ca="1">IFERROR(__xludf.UNSUPPORTED("""COMPUTED_VALUE"""),"🚢 REGULAR")</f>
        <v>🚢 REGULAR</v>
      </c>
      <c r="E2111" s="3" t="str">
        <f ca="1">IFERROR(__xludf.UNSUPPORTED("""COMPUTED_VALUE"""),"🚛 LIBERADO")</f>
        <v>🚛 LIBERADO</v>
      </c>
      <c r="F2111" s="5">
        <f ca="1">IFERROR(__xludf.UNSUPPORTED("""COMPUTED_VALUE"""),0)</f>
        <v>0</v>
      </c>
      <c r="G2111" s="3" t="str">
        <f ca="1">IFERROR(__xludf.UNSUPPORTED("""COMPUTED_VALUE"""),"Sem ocorrências de bloqueios.")</f>
        <v>Sem ocorrências de bloqueios.</v>
      </c>
      <c r="H2111" s="4">
        <f ca="1">IFERROR(__xludf.UNSUPPORTED("""COMPUTED_VALUE"""),44902.3504050925)</f>
        <v>44902.350405092497</v>
      </c>
      <c r="I2111" s="3">
        <f ca="1">IFERROR(__xludf.UNSUPPORTED("""COMPUTED_VALUE"""),24)</f>
        <v>24</v>
      </c>
      <c r="J2111" s="4">
        <f ca="1">IFERROR(__xludf.UNSUPPORTED("""COMPUTED_VALUE"""),44903.3504050925)</f>
        <v>44903.350405092497</v>
      </c>
    </row>
    <row r="2112" spans="1:10" ht="12.75">
      <c r="A2112" s="3" t="str">
        <f ca="1">IFERROR(__xludf.UNSUPPORTED("""COMPUTED_VALUE"""),"3fa3316d")</f>
        <v>3fa3316d</v>
      </c>
      <c r="B2112" s="4">
        <f ca="1">IFERROR(__xludf.UNSUPPORTED("""COMPUTED_VALUE"""),44903.6677893518)</f>
        <v>44903.667789351799</v>
      </c>
      <c r="C2112" s="8" t="str">
        <f ca="1">IFERROR(__xludf.UNSUPPORTED("""COMPUTED_VALUE"""),"Salvador")</f>
        <v>Salvador</v>
      </c>
      <c r="D2112" s="3" t="str">
        <f ca="1">IFERROR(__xludf.UNSUPPORTED("""COMPUTED_VALUE"""),"🚢 REGULAR")</f>
        <v>🚢 REGULAR</v>
      </c>
      <c r="E2112" s="3" t="str">
        <f ca="1">IFERROR(__xludf.UNSUPPORTED("""COMPUTED_VALUE"""),"🚛 LIBERADO")</f>
        <v>🚛 LIBERADO</v>
      </c>
      <c r="F2112" s="5">
        <f ca="1">IFERROR(__xludf.UNSUPPORTED("""COMPUTED_VALUE"""),0)</f>
        <v>0</v>
      </c>
      <c r="G2112" s="3" t="str">
        <f ca="1">IFERROR(__xludf.UNSUPPORTED("""COMPUTED_VALUE"""),"Sem registros de bloqueios.")</f>
        <v>Sem registros de bloqueios.</v>
      </c>
      <c r="H2112" s="4">
        <f ca="1">IFERROR(__xludf.UNSUPPORTED("""COMPUTED_VALUE"""),44903.6677893518)</f>
        <v>44903.667789351799</v>
      </c>
      <c r="I2112" s="3">
        <f ca="1">IFERROR(__xludf.UNSUPPORTED("""COMPUTED_VALUE"""),24)</f>
        <v>24</v>
      </c>
      <c r="J2112" s="4">
        <f ca="1">IFERROR(__xludf.UNSUPPORTED("""COMPUTED_VALUE"""),44904.6677893518)</f>
        <v>44904.667789351799</v>
      </c>
    </row>
    <row r="2113" spans="1:10" ht="12.75">
      <c r="A2113" s="3" t="str">
        <f ca="1">IFERROR(__xludf.UNSUPPORTED("""COMPUTED_VALUE"""),"f4351de4")</f>
        <v>f4351de4</v>
      </c>
      <c r="B2113" s="4">
        <f ca="1">IFERROR(__xludf.UNSUPPORTED("""COMPUTED_VALUE"""),44904.3442129629)</f>
        <v>44904.344212962897</v>
      </c>
      <c r="C2113" s="8" t="str">
        <f ca="1">IFERROR(__xludf.UNSUPPORTED("""COMPUTED_VALUE"""),"Salvador")</f>
        <v>Salvador</v>
      </c>
      <c r="D2113" s="3" t="str">
        <f ca="1">IFERROR(__xludf.UNSUPPORTED("""COMPUTED_VALUE"""),"🚢 REGULAR")</f>
        <v>🚢 REGULAR</v>
      </c>
      <c r="E2113" s="3" t="str">
        <f ca="1">IFERROR(__xludf.UNSUPPORTED("""COMPUTED_VALUE"""),"🚛 LIBERADO")</f>
        <v>🚛 LIBERADO</v>
      </c>
      <c r="F2113" s="5">
        <f ca="1">IFERROR(__xludf.UNSUPPORTED("""COMPUTED_VALUE"""),0)</f>
        <v>0</v>
      </c>
      <c r="G2113" s="3" t="str">
        <f ca="1">IFERROR(__xludf.UNSUPPORTED("""COMPUTED_VALUE"""),"Sem registros de bloqueios.")</f>
        <v>Sem registros de bloqueios.</v>
      </c>
      <c r="H2113" s="4">
        <f ca="1">IFERROR(__xludf.UNSUPPORTED("""COMPUTED_VALUE"""),44904.3442129629)</f>
        <v>44904.344212962897</v>
      </c>
      <c r="I2113" s="3">
        <f ca="1">IFERROR(__xludf.UNSUPPORTED("""COMPUTED_VALUE"""),24)</f>
        <v>24</v>
      </c>
      <c r="J2113" s="4">
        <f ca="1">IFERROR(__xludf.UNSUPPORTED("""COMPUTED_VALUE"""),44905.3442129629)</f>
        <v>44905.344212962897</v>
      </c>
    </row>
    <row r="2114" spans="1:10" ht="12.75">
      <c r="A2114" s="3" t="str">
        <f ca="1">IFERROR(__xludf.UNSUPPORTED("""COMPUTED_VALUE"""),"b4b10d1a")</f>
        <v>b4b10d1a</v>
      </c>
      <c r="B2114" s="4">
        <f ca="1">IFERROR(__xludf.UNSUPPORTED("""COMPUTED_VALUE"""),44906.308912037)</f>
        <v>44906.308912036999</v>
      </c>
      <c r="C2114" s="7" t="str">
        <f ca="1">IFERROR(__xludf.UNSUPPORTED("""COMPUTED_VALUE"""),"Salvador")</f>
        <v>Salvador</v>
      </c>
      <c r="D2114" s="3" t="str">
        <f ca="1">IFERROR(__xludf.UNSUPPORTED("""COMPUTED_VALUE"""),"🚢 REGULAR")</f>
        <v>🚢 REGULAR</v>
      </c>
      <c r="E2114" s="3" t="str">
        <f ca="1">IFERROR(__xludf.UNSUPPORTED("""COMPUTED_VALUE"""),"🚛 LIBERADO")</f>
        <v>🚛 LIBERADO</v>
      </c>
      <c r="F2114" s="5">
        <f ca="1">IFERROR(__xludf.UNSUPPORTED("""COMPUTED_VALUE"""),0)</f>
        <v>0</v>
      </c>
      <c r="G2114" s="3" t="str">
        <f ca="1">IFERROR(__xludf.UNSUPPORTED("""COMPUTED_VALUE"""),"Sem bloqueios registrados.")</f>
        <v>Sem bloqueios registrados.</v>
      </c>
      <c r="H2114" s="4">
        <f ca="1">IFERROR(__xludf.UNSUPPORTED("""COMPUTED_VALUE"""),44906.308912037)</f>
        <v>44906.308912036999</v>
      </c>
      <c r="I2114" s="3">
        <f ca="1">IFERROR(__xludf.UNSUPPORTED("""COMPUTED_VALUE"""),24)</f>
        <v>24</v>
      </c>
      <c r="J2114" s="4">
        <f ca="1">IFERROR(__xludf.UNSUPPORTED("""COMPUTED_VALUE"""),44907.308912037)</f>
        <v>44907.308912036999</v>
      </c>
    </row>
    <row r="2115" spans="1:10" ht="12.75">
      <c r="A2115" s="3" t="str">
        <f ca="1">IFERROR(__xludf.UNSUPPORTED("""COMPUTED_VALUE"""),"02c78a4f")</f>
        <v>02c78a4f</v>
      </c>
      <c r="B2115" s="4">
        <f ca="1">IFERROR(__xludf.UNSUPPORTED("""COMPUTED_VALUE"""),44907.2229629629)</f>
        <v>44907.2229629629</v>
      </c>
      <c r="C2115" s="8" t="str">
        <f ca="1">IFERROR(__xludf.UNSUPPORTED("""COMPUTED_VALUE"""),"Salvador")</f>
        <v>Salvador</v>
      </c>
      <c r="D2115" s="3" t="str">
        <f ca="1">IFERROR(__xludf.UNSUPPORTED("""COMPUTED_VALUE"""),"🚢 REGULAR")</f>
        <v>🚢 REGULAR</v>
      </c>
      <c r="E2115" s="3" t="str">
        <f ca="1">IFERROR(__xludf.UNSUPPORTED("""COMPUTED_VALUE"""),"🚛 LIBERADO")</f>
        <v>🚛 LIBERADO</v>
      </c>
      <c r="F2115" s="5">
        <f ca="1">IFERROR(__xludf.UNSUPPORTED("""COMPUTED_VALUE"""),0)</f>
        <v>0</v>
      </c>
      <c r="G2115" s="3" t="str">
        <f ca="1">IFERROR(__xludf.UNSUPPORTED("""COMPUTED_VALUE"""),"Sem bloqueios registrados.")</f>
        <v>Sem bloqueios registrados.</v>
      </c>
      <c r="H2115" s="4">
        <f ca="1">IFERROR(__xludf.UNSUPPORTED("""COMPUTED_VALUE"""),44907.2229629629)</f>
        <v>44907.2229629629</v>
      </c>
      <c r="I2115" s="3">
        <f ca="1">IFERROR(__xludf.UNSUPPORTED("""COMPUTED_VALUE"""),24)</f>
        <v>24</v>
      </c>
      <c r="J2115" s="4">
        <f ca="1">IFERROR(__xludf.UNSUPPORTED("""COMPUTED_VALUE"""),44908.2229629629)</f>
        <v>44908.2229629629</v>
      </c>
    </row>
    <row r="2116" spans="1:10" ht="12.75">
      <c r="A2116" s="3" t="str">
        <f ca="1">IFERROR(__xludf.UNSUPPORTED("""COMPUTED_VALUE"""),"7a063ca0")</f>
        <v>7a063ca0</v>
      </c>
      <c r="B2116" s="4">
        <f ca="1">IFERROR(__xludf.UNSUPPORTED("""COMPUTED_VALUE"""),44908.3617824074)</f>
        <v>44908.361782407403</v>
      </c>
      <c r="C2116" s="7" t="str">
        <f ca="1">IFERROR(__xludf.UNSUPPORTED("""COMPUTED_VALUE"""),"Salvador")</f>
        <v>Salvador</v>
      </c>
      <c r="D2116" s="3" t="str">
        <f ca="1">IFERROR(__xludf.UNSUPPORTED("""COMPUTED_VALUE"""),"🚢 REGULAR")</f>
        <v>🚢 REGULAR</v>
      </c>
      <c r="E2116" s="3" t="str">
        <f ca="1">IFERROR(__xludf.UNSUPPORTED("""COMPUTED_VALUE"""),"🚛 LIBERADO")</f>
        <v>🚛 LIBERADO</v>
      </c>
      <c r="F2116" s="5">
        <f ca="1">IFERROR(__xludf.UNSUPPORTED("""COMPUTED_VALUE"""),0)</f>
        <v>0</v>
      </c>
      <c r="G2116" s="3" t="str">
        <f ca="1">IFERROR(__xludf.UNSUPPORTED("""COMPUTED_VALUE"""),"Sem registros de bloqueios.")</f>
        <v>Sem registros de bloqueios.</v>
      </c>
      <c r="H2116" s="4">
        <f ca="1">IFERROR(__xludf.UNSUPPORTED("""COMPUTED_VALUE"""),44908.3617824074)</f>
        <v>44908.361782407403</v>
      </c>
      <c r="I2116" s="3">
        <f ca="1">IFERROR(__xludf.UNSUPPORTED("""COMPUTED_VALUE"""),24)</f>
        <v>24</v>
      </c>
      <c r="J2116" s="4">
        <f ca="1">IFERROR(__xludf.UNSUPPORTED("""COMPUTED_VALUE"""),44909.3617824074)</f>
        <v>44909.361782407403</v>
      </c>
    </row>
    <row r="2117" spans="1:10" ht="12.75">
      <c r="A2117" s="3" t="str">
        <f ca="1">IFERROR(__xludf.UNSUPPORTED("""COMPUTED_VALUE"""),"ce69ccfe")</f>
        <v>ce69ccfe</v>
      </c>
      <c r="B2117" s="4">
        <f ca="1">IFERROR(__xludf.UNSUPPORTED("""COMPUTED_VALUE"""),44909.3286921296)</f>
        <v>44909.328692129602</v>
      </c>
      <c r="C2117" s="8" t="str">
        <f ca="1">IFERROR(__xludf.UNSUPPORTED("""COMPUTED_VALUE"""),"Salvador")</f>
        <v>Salvador</v>
      </c>
      <c r="D2117" s="3" t="str">
        <f ca="1">IFERROR(__xludf.UNSUPPORTED("""COMPUTED_VALUE"""),"🚢 REGULAR")</f>
        <v>🚢 REGULAR</v>
      </c>
      <c r="E2117" s="3" t="str">
        <f ca="1">IFERROR(__xludf.UNSUPPORTED("""COMPUTED_VALUE"""),"🚛 LIBERADO")</f>
        <v>🚛 LIBERADO</v>
      </c>
      <c r="F2117" s="5">
        <f ca="1">IFERROR(__xludf.UNSUPPORTED("""COMPUTED_VALUE"""),0)</f>
        <v>0</v>
      </c>
      <c r="G2117" s="3" t="str">
        <f ca="1">IFERROR(__xludf.UNSUPPORTED("""COMPUTED_VALUE"""),"Sem registros de bloqueios.")</f>
        <v>Sem registros de bloqueios.</v>
      </c>
      <c r="H2117" s="4">
        <f ca="1">IFERROR(__xludf.UNSUPPORTED("""COMPUTED_VALUE"""),44909.3286921296)</f>
        <v>44909.328692129602</v>
      </c>
      <c r="I2117" s="3">
        <f ca="1">IFERROR(__xludf.UNSUPPORTED("""COMPUTED_VALUE"""),24)</f>
        <v>24</v>
      </c>
      <c r="J2117" s="4">
        <f ca="1">IFERROR(__xludf.UNSUPPORTED("""COMPUTED_VALUE"""),44910.3286921296)</f>
        <v>44910.328692129602</v>
      </c>
    </row>
    <row r="2118" spans="1:10" ht="12.75">
      <c r="A2118" s="3" t="str">
        <f ca="1">IFERROR(__xludf.UNSUPPORTED("""COMPUTED_VALUE"""),"15b3168e")</f>
        <v>15b3168e</v>
      </c>
      <c r="B2118" s="4">
        <f ca="1">IFERROR(__xludf.UNSUPPORTED("""COMPUTED_VALUE"""),44910.4655324073)</f>
        <v>44910.465532407303</v>
      </c>
      <c r="C2118" s="8" t="str">
        <f ca="1">IFERROR(__xludf.UNSUPPORTED("""COMPUTED_VALUE"""),"Salvador")</f>
        <v>Salvador</v>
      </c>
      <c r="D2118" s="3" t="str">
        <f ca="1">IFERROR(__xludf.UNSUPPORTED("""COMPUTED_VALUE"""),"🚢 REGULAR")</f>
        <v>🚢 REGULAR</v>
      </c>
      <c r="E2118" s="3" t="str">
        <f ca="1">IFERROR(__xludf.UNSUPPORTED("""COMPUTED_VALUE"""),"🚛 LIBERADO")</f>
        <v>🚛 LIBERADO</v>
      </c>
      <c r="F2118" s="5">
        <f ca="1">IFERROR(__xludf.UNSUPPORTED("""COMPUTED_VALUE"""),0)</f>
        <v>0</v>
      </c>
      <c r="G2118" s="3" t="str">
        <f ca="1">IFERROR(__xludf.UNSUPPORTED("""COMPUTED_VALUE"""),"Sem registros de bloqueios.")</f>
        <v>Sem registros de bloqueios.</v>
      </c>
      <c r="H2118" s="4">
        <f ca="1">IFERROR(__xludf.UNSUPPORTED("""COMPUTED_VALUE"""),44910.4655324073)</f>
        <v>44910.465532407303</v>
      </c>
      <c r="I2118" s="3">
        <f ca="1">IFERROR(__xludf.UNSUPPORTED("""COMPUTED_VALUE"""),24)</f>
        <v>24</v>
      </c>
      <c r="J2118" s="4">
        <f ca="1">IFERROR(__xludf.UNSUPPORTED("""COMPUTED_VALUE"""),44911.4655324073)</f>
        <v>44911.465532407303</v>
      </c>
    </row>
    <row r="2119" spans="1:10" ht="12.75">
      <c r="A2119" s="3" t="str">
        <f ca="1">IFERROR(__xludf.UNSUPPORTED("""COMPUTED_VALUE"""),"cfb1c6e5")</f>
        <v>cfb1c6e5</v>
      </c>
      <c r="B2119" s="4">
        <f ca="1">IFERROR(__xludf.UNSUPPORTED("""COMPUTED_VALUE"""),44911.3246643518)</f>
        <v>44911.3246643518</v>
      </c>
      <c r="C2119" s="8" t="str">
        <f ca="1">IFERROR(__xludf.UNSUPPORTED("""COMPUTED_VALUE"""),"Salvador")</f>
        <v>Salvador</v>
      </c>
      <c r="D2119" s="3" t="str">
        <f ca="1">IFERROR(__xludf.UNSUPPORTED("""COMPUTED_VALUE"""),"🚢 REGULAR")</f>
        <v>🚢 REGULAR</v>
      </c>
      <c r="E2119" s="3" t="str">
        <f ca="1">IFERROR(__xludf.UNSUPPORTED("""COMPUTED_VALUE"""),"🚛 LIBERADO")</f>
        <v>🚛 LIBERADO</v>
      </c>
      <c r="F2119" s="5">
        <f ca="1">IFERROR(__xludf.UNSUPPORTED("""COMPUTED_VALUE"""),0)</f>
        <v>0</v>
      </c>
      <c r="G2119" s="3" t="str">
        <f ca="1">IFERROR(__xludf.UNSUPPORTED("""COMPUTED_VALUE"""),"Sem registros de bloqueios.")</f>
        <v>Sem registros de bloqueios.</v>
      </c>
      <c r="H2119" s="4">
        <f ca="1">IFERROR(__xludf.UNSUPPORTED("""COMPUTED_VALUE"""),44911.3246643518)</f>
        <v>44911.3246643518</v>
      </c>
      <c r="I2119" s="3">
        <f ca="1">IFERROR(__xludf.UNSUPPORTED("""COMPUTED_VALUE"""),24)</f>
        <v>24</v>
      </c>
      <c r="J2119" s="4">
        <f ca="1">IFERROR(__xludf.UNSUPPORTED("""COMPUTED_VALUE"""),44912.3246643518)</f>
        <v>44912.3246643518</v>
      </c>
    </row>
    <row r="2120" spans="1:10" ht="12.75">
      <c r="A2120" s="3" t="str">
        <f ca="1">IFERROR(__xludf.UNSUPPORTED("""COMPUTED_VALUE"""),"2dd5277d")</f>
        <v>2dd5277d</v>
      </c>
      <c r="B2120" s="4">
        <f ca="1">IFERROR(__xludf.UNSUPPORTED("""COMPUTED_VALUE"""),44913.374699074)</f>
        <v>44913.374699073996</v>
      </c>
      <c r="C2120" s="8" t="str">
        <f ca="1">IFERROR(__xludf.UNSUPPORTED("""COMPUTED_VALUE"""),"Salvador")</f>
        <v>Salvador</v>
      </c>
      <c r="D2120" s="3" t="str">
        <f ca="1">IFERROR(__xludf.UNSUPPORTED("""COMPUTED_VALUE"""),"🚢 REGULAR")</f>
        <v>🚢 REGULAR</v>
      </c>
      <c r="E2120" s="3" t="str">
        <f ca="1">IFERROR(__xludf.UNSUPPORTED("""COMPUTED_VALUE"""),"🚛 LIBERADO")</f>
        <v>🚛 LIBERADO</v>
      </c>
      <c r="F2120" s="5">
        <f ca="1">IFERROR(__xludf.UNSUPPORTED("""COMPUTED_VALUE"""),0)</f>
        <v>0</v>
      </c>
      <c r="G2120" s="3" t="str">
        <f ca="1">IFERROR(__xludf.UNSUPPORTED("""COMPUTED_VALUE"""),"Sem registros de bloqueios.")</f>
        <v>Sem registros de bloqueios.</v>
      </c>
      <c r="H2120" s="4">
        <f ca="1">IFERROR(__xludf.UNSUPPORTED("""COMPUTED_VALUE"""),44913.374699074)</f>
        <v>44913.374699073996</v>
      </c>
      <c r="I2120" s="3">
        <f ca="1">IFERROR(__xludf.UNSUPPORTED("""COMPUTED_VALUE"""),24)</f>
        <v>24</v>
      </c>
      <c r="J2120" s="4">
        <f ca="1">IFERROR(__xludf.UNSUPPORTED("""COMPUTED_VALUE"""),44914.374699074)</f>
        <v>44914.374699073996</v>
      </c>
    </row>
    <row r="2121" spans="1:10" ht="12.75">
      <c r="A2121" s="3" t="str">
        <f ca="1">IFERROR(__xludf.UNSUPPORTED("""COMPUTED_VALUE"""),"67d65643")</f>
        <v>67d65643</v>
      </c>
      <c r="B2121" s="4">
        <f ca="1">IFERROR(__xludf.UNSUPPORTED("""COMPUTED_VALUE"""),44914.8368981481)</f>
        <v>44914.836898148104</v>
      </c>
      <c r="C2121" s="7" t="str">
        <f ca="1">IFERROR(__xludf.UNSUPPORTED("""COMPUTED_VALUE"""),"Salvador")</f>
        <v>Salvador</v>
      </c>
      <c r="D2121" s="3" t="str">
        <f ca="1">IFERROR(__xludf.UNSUPPORTED("""COMPUTED_VALUE"""),"🚢 REGULAR")</f>
        <v>🚢 REGULAR</v>
      </c>
      <c r="E2121" s="3" t="str">
        <f ca="1">IFERROR(__xludf.UNSUPPORTED("""COMPUTED_VALUE"""),"🚛 LIBERADO")</f>
        <v>🚛 LIBERADO</v>
      </c>
      <c r="F2121" s="5">
        <f ca="1">IFERROR(__xludf.UNSUPPORTED("""COMPUTED_VALUE"""),0)</f>
        <v>0</v>
      </c>
      <c r="G2121" s="3" t="str">
        <f ca="1">IFERROR(__xludf.UNSUPPORTED("""COMPUTED_VALUE"""),"Sem registros de bloqueios.")</f>
        <v>Sem registros de bloqueios.</v>
      </c>
      <c r="H2121" s="4">
        <f ca="1">IFERROR(__xludf.UNSUPPORTED("""COMPUTED_VALUE"""),44914.8368981481)</f>
        <v>44914.836898148104</v>
      </c>
      <c r="I2121" s="3">
        <f ca="1">IFERROR(__xludf.UNSUPPORTED("""COMPUTED_VALUE"""),24)</f>
        <v>24</v>
      </c>
      <c r="J2121" s="4">
        <f ca="1">IFERROR(__xludf.UNSUPPORTED("""COMPUTED_VALUE"""),44915.8368981481)</f>
        <v>44915.836898148104</v>
      </c>
    </row>
    <row r="2122" spans="1:10" ht="12.75">
      <c r="A2122" s="3" t="str">
        <f ca="1">IFERROR(__xludf.UNSUPPORTED("""COMPUTED_VALUE"""),"3690ac13")</f>
        <v>3690ac13</v>
      </c>
      <c r="B2122" s="4">
        <f ca="1">IFERROR(__xludf.UNSUPPORTED("""COMPUTED_VALUE"""),44915.3076504629)</f>
        <v>44915.307650462899</v>
      </c>
      <c r="C2122" s="7" t="str">
        <f ca="1">IFERROR(__xludf.UNSUPPORTED("""COMPUTED_VALUE"""),"Salvador")</f>
        <v>Salvador</v>
      </c>
      <c r="D2122" s="3" t="str">
        <f ca="1">IFERROR(__xludf.UNSUPPORTED("""COMPUTED_VALUE"""),"🚢 REGULAR")</f>
        <v>🚢 REGULAR</v>
      </c>
      <c r="E2122" s="3" t="str">
        <f ca="1">IFERROR(__xludf.UNSUPPORTED("""COMPUTED_VALUE"""),"🚛 LIBERADO")</f>
        <v>🚛 LIBERADO</v>
      </c>
      <c r="F2122" s="5">
        <f ca="1">IFERROR(__xludf.UNSUPPORTED("""COMPUTED_VALUE"""),0)</f>
        <v>0</v>
      </c>
      <c r="G2122" s="3" t="str">
        <f ca="1">IFERROR(__xludf.UNSUPPORTED("""COMPUTED_VALUE"""),"Sem registros de bloqueios.")</f>
        <v>Sem registros de bloqueios.</v>
      </c>
      <c r="H2122" s="4">
        <f ca="1">IFERROR(__xludf.UNSUPPORTED("""COMPUTED_VALUE"""),44915.3076504629)</f>
        <v>44915.307650462899</v>
      </c>
      <c r="I2122" s="3">
        <f ca="1">IFERROR(__xludf.UNSUPPORTED("""COMPUTED_VALUE"""),24)</f>
        <v>24</v>
      </c>
      <c r="J2122" s="4">
        <f ca="1">IFERROR(__xludf.UNSUPPORTED("""COMPUTED_VALUE"""),44916.3076504629)</f>
        <v>44916.307650462899</v>
      </c>
    </row>
    <row r="2123" spans="1:10" ht="12.75">
      <c r="A2123" s="3" t="str">
        <f ca="1">IFERROR(__xludf.UNSUPPORTED("""COMPUTED_VALUE"""),"427fd4b2")</f>
        <v>427fd4b2</v>
      </c>
      <c r="B2123" s="4">
        <f ca="1">IFERROR(__xludf.UNSUPPORTED("""COMPUTED_VALUE"""),44916.4082060185)</f>
        <v>44916.408206018503</v>
      </c>
      <c r="C2123" s="7" t="str">
        <f ca="1">IFERROR(__xludf.UNSUPPORTED("""COMPUTED_VALUE"""),"Salvador")</f>
        <v>Salvador</v>
      </c>
      <c r="D2123" s="3" t="str">
        <f ca="1">IFERROR(__xludf.UNSUPPORTED("""COMPUTED_VALUE"""),"🚢 REGULAR")</f>
        <v>🚢 REGULAR</v>
      </c>
      <c r="E2123" s="3" t="str">
        <f ca="1">IFERROR(__xludf.UNSUPPORTED("""COMPUTED_VALUE"""),"🚛 LIBERADO")</f>
        <v>🚛 LIBERADO</v>
      </c>
      <c r="F2123" s="5">
        <f ca="1">IFERROR(__xludf.UNSUPPORTED("""COMPUTED_VALUE"""),0)</f>
        <v>0</v>
      </c>
      <c r="G2123" s="3" t="str">
        <f ca="1">IFERROR(__xludf.UNSUPPORTED("""COMPUTED_VALUE"""),"Sem registros de bloqueios.")</f>
        <v>Sem registros de bloqueios.</v>
      </c>
      <c r="H2123" s="4">
        <f ca="1">IFERROR(__xludf.UNSUPPORTED("""COMPUTED_VALUE"""),44916.4082060185)</f>
        <v>44916.408206018503</v>
      </c>
      <c r="I2123" s="3">
        <f ca="1">IFERROR(__xludf.UNSUPPORTED("""COMPUTED_VALUE"""),24)</f>
        <v>24</v>
      </c>
      <c r="J2123" s="4">
        <f ca="1">IFERROR(__xludf.UNSUPPORTED("""COMPUTED_VALUE"""),44917.4082060185)</f>
        <v>44917.408206018503</v>
      </c>
    </row>
    <row r="2124" spans="1:10" ht="12.75">
      <c r="A2124" s="3" t="str">
        <f ca="1">IFERROR(__xludf.UNSUPPORTED("""COMPUTED_VALUE"""),"0c220ad4")</f>
        <v>0c220ad4</v>
      </c>
      <c r="B2124" s="4">
        <f ca="1">IFERROR(__xludf.UNSUPPORTED("""COMPUTED_VALUE"""),44917.1903356481)</f>
        <v>44917.190335648098</v>
      </c>
      <c r="C2124" s="8" t="str">
        <f ca="1">IFERROR(__xludf.UNSUPPORTED("""COMPUTED_VALUE"""),"Salvador")</f>
        <v>Salvador</v>
      </c>
      <c r="D2124" s="3" t="str">
        <f ca="1">IFERROR(__xludf.UNSUPPORTED("""COMPUTED_VALUE"""),"🚢 REGULAR")</f>
        <v>🚢 REGULAR</v>
      </c>
      <c r="E2124" s="3" t="str">
        <f ca="1">IFERROR(__xludf.UNSUPPORTED("""COMPUTED_VALUE"""),"🚛 LIBERADO")</f>
        <v>🚛 LIBERADO</v>
      </c>
      <c r="F2124" s="5">
        <f ca="1">IFERROR(__xludf.UNSUPPORTED("""COMPUTED_VALUE"""),0)</f>
        <v>0</v>
      </c>
      <c r="G2124" s="3" t="str">
        <f ca="1">IFERROR(__xludf.UNSUPPORTED("""COMPUTED_VALUE"""),"Normalidade")</f>
        <v>Normalidade</v>
      </c>
      <c r="H2124" s="4">
        <f ca="1">IFERROR(__xludf.UNSUPPORTED("""COMPUTED_VALUE"""),44917.1903356481)</f>
        <v>44917.190335648098</v>
      </c>
      <c r="I2124" s="3">
        <f ca="1">IFERROR(__xludf.UNSUPPORTED("""COMPUTED_VALUE"""),24)</f>
        <v>24</v>
      </c>
      <c r="J2124" s="4">
        <f ca="1">IFERROR(__xludf.UNSUPPORTED("""COMPUTED_VALUE"""),44918.1903356481)</f>
        <v>44918.190335648098</v>
      </c>
    </row>
    <row r="2125" spans="1:10" ht="12.75">
      <c r="A2125" s="3" t="str">
        <f ca="1">IFERROR(__xludf.UNSUPPORTED("""COMPUTED_VALUE"""),"55c48424")</f>
        <v>55c48424</v>
      </c>
      <c r="B2125" s="4">
        <f ca="1">IFERROR(__xludf.UNSUPPORTED("""COMPUTED_VALUE"""),44918.2607175925)</f>
        <v>44918.2607175925</v>
      </c>
      <c r="C2125" s="7" t="str">
        <f ca="1">IFERROR(__xludf.UNSUPPORTED("""COMPUTED_VALUE"""),"Salvador")</f>
        <v>Salvador</v>
      </c>
      <c r="D2125" s="3" t="str">
        <f ca="1">IFERROR(__xludf.UNSUPPORTED("""COMPUTED_VALUE"""),"🚢 REGULAR")</f>
        <v>🚢 REGULAR</v>
      </c>
      <c r="E2125" s="3" t="str">
        <f ca="1">IFERROR(__xludf.UNSUPPORTED("""COMPUTED_VALUE"""),"🚛 LIBERADO")</f>
        <v>🚛 LIBERADO</v>
      </c>
      <c r="F2125" s="5">
        <f ca="1">IFERROR(__xludf.UNSUPPORTED("""COMPUTED_VALUE"""),0)</f>
        <v>0</v>
      </c>
      <c r="G2125" s="3" t="str">
        <f ca="1">IFERROR(__xludf.UNSUPPORTED("""COMPUTED_VALUE"""),"Normalidade")</f>
        <v>Normalidade</v>
      </c>
      <c r="H2125" s="4">
        <f ca="1">IFERROR(__xludf.UNSUPPORTED("""COMPUTED_VALUE"""),44918.2607175925)</f>
        <v>44918.2607175925</v>
      </c>
      <c r="I2125" s="3">
        <f ca="1">IFERROR(__xludf.UNSUPPORTED("""COMPUTED_VALUE"""),24)</f>
        <v>24</v>
      </c>
      <c r="J2125" s="4">
        <f ca="1">IFERROR(__xludf.UNSUPPORTED("""COMPUTED_VALUE"""),44919.2607175925)</f>
        <v>44919.2607175925</v>
      </c>
    </row>
    <row r="2126" spans="1:10" ht="12.75">
      <c r="A2126" s="3" t="str">
        <f ca="1">IFERROR(__xludf.UNSUPPORTED("""COMPUTED_VALUE"""),"cd12becf")</f>
        <v>cd12becf</v>
      </c>
      <c r="B2126" s="4">
        <f ca="1">IFERROR(__xludf.UNSUPPORTED("""COMPUTED_VALUE"""),44919.517974537)</f>
        <v>44919.517974536997</v>
      </c>
      <c r="C2126" s="7" t="str">
        <f ca="1">IFERROR(__xludf.UNSUPPORTED("""COMPUTED_VALUE"""),"Salvador")</f>
        <v>Salvador</v>
      </c>
      <c r="D2126" s="3" t="str">
        <f ca="1">IFERROR(__xludf.UNSUPPORTED("""COMPUTED_VALUE"""),"🚢 REGULAR")</f>
        <v>🚢 REGULAR</v>
      </c>
      <c r="E2126" s="3" t="str">
        <f ca="1">IFERROR(__xludf.UNSUPPORTED("""COMPUTED_VALUE"""),"🚛 LIBERADO")</f>
        <v>🚛 LIBERADO</v>
      </c>
      <c r="F2126" s="5">
        <f ca="1">IFERROR(__xludf.UNSUPPORTED("""COMPUTED_VALUE"""),0)</f>
        <v>0</v>
      </c>
      <c r="G2126" s="3" t="str">
        <f ca="1">IFERROR(__xludf.UNSUPPORTED("""COMPUTED_VALUE"""),"Normalidade")</f>
        <v>Normalidade</v>
      </c>
      <c r="H2126" s="4">
        <f ca="1">IFERROR(__xludf.UNSUPPORTED("""COMPUTED_VALUE"""),44919.517974537)</f>
        <v>44919.517974536997</v>
      </c>
      <c r="I2126" s="3">
        <f ca="1">IFERROR(__xludf.UNSUPPORTED("""COMPUTED_VALUE"""),24)</f>
        <v>24</v>
      </c>
      <c r="J2126" s="4">
        <f ca="1">IFERROR(__xludf.UNSUPPORTED("""COMPUTED_VALUE"""),44920.517974537)</f>
        <v>44920.517974536997</v>
      </c>
    </row>
    <row r="2127" spans="1:10" ht="12.75">
      <c r="A2127" s="3" t="str">
        <f ca="1">IFERROR(__xludf.UNSUPPORTED("""COMPUTED_VALUE"""),"c65ae1b6")</f>
        <v>c65ae1b6</v>
      </c>
      <c r="B2127" s="4">
        <f ca="1">IFERROR(__xludf.UNSUPPORTED("""COMPUTED_VALUE"""),44920.509224537)</f>
        <v>44920.509224537003</v>
      </c>
      <c r="C2127" s="8" t="str">
        <f ca="1">IFERROR(__xludf.UNSUPPORTED("""COMPUTED_VALUE"""),"Salvador")</f>
        <v>Salvador</v>
      </c>
      <c r="D2127" s="3" t="str">
        <f ca="1">IFERROR(__xludf.UNSUPPORTED("""COMPUTED_VALUE"""),"🚢 REGULAR")</f>
        <v>🚢 REGULAR</v>
      </c>
      <c r="E2127" s="3" t="str">
        <f ca="1">IFERROR(__xludf.UNSUPPORTED("""COMPUTED_VALUE"""),"🚛 LIBERADO")</f>
        <v>🚛 LIBERADO</v>
      </c>
      <c r="F2127" s="5">
        <f ca="1">IFERROR(__xludf.UNSUPPORTED("""COMPUTED_VALUE"""),0)</f>
        <v>0</v>
      </c>
      <c r="G2127" s="3" t="str">
        <f ca="1">IFERROR(__xludf.UNSUPPORTED("""COMPUTED_VALUE"""),"Normalidade")</f>
        <v>Normalidade</v>
      </c>
      <c r="H2127" s="4">
        <f ca="1">IFERROR(__xludf.UNSUPPORTED("""COMPUTED_VALUE"""),44920.509224537)</f>
        <v>44920.509224537003</v>
      </c>
      <c r="I2127" s="3">
        <f ca="1">IFERROR(__xludf.UNSUPPORTED("""COMPUTED_VALUE"""),24)</f>
        <v>24</v>
      </c>
      <c r="J2127" s="4">
        <f ca="1">IFERROR(__xludf.UNSUPPORTED("""COMPUTED_VALUE"""),44921.509224537)</f>
        <v>44921.509224537003</v>
      </c>
    </row>
    <row r="2128" spans="1:10" ht="12.75">
      <c r="A2128" s="3" t="str">
        <f ca="1">IFERROR(__xludf.UNSUPPORTED("""COMPUTED_VALUE"""),"370686ab")</f>
        <v>370686ab</v>
      </c>
      <c r="B2128" s="4">
        <f ca="1">IFERROR(__xludf.UNSUPPORTED("""COMPUTED_VALUE"""),44921.2956944444)</f>
        <v>44921.295694444401</v>
      </c>
      <c r="C2128" s="8" t="str">
        <f ca="1">IFERROR(__xludf.UNSUPPORTED("""COMPUTED_VALUE"""),"Salvador")</f>
        <v>Salvador</v>
      </c>
      <c r="D2128" s="3" t="str">
        <f ca="1">IFERROR(__xludf.UNSUPPORTED("""COMPUTED_VALUE"""),"🚢 REGULAR")</f>
        <v>🚢 REGULAR</v>
      </c>
      <c r="E2128" s="3" t="str">
        <f ca="1">IFERROR(__xludf.UNSUPPORTED("""COMPUTED_VALUE"""),"🚛 LIBERADO")</f>
        <v>🚛 LIBERADO</v>
      </c>
      <c r="F2128" s="5">
        <f ca="1">IFERROR(__xludf.UNSUPPORTED("""COMPUTED_VALUE"""),0)</f>
        <v>0</v>
      </c>
      <c r="G2128" s="3" t="str">
        <f ca="1">IFERROR(__xludf.UNSUPPORTED("""COMPUTED_VALUE"""),"Normalidade")</f>
        <v>Normalidade</v>
      </c>
      <c r="H2128" s="4">
        <f ca="1">IFERROR(__xludf.UNSUPPORTED("""COMPUTED_VALUE"""),44921.2956944444)</f>
        <v>44921.295694444401</v>
      </c>
      <c r="I2128" s="3">
        <f ca="1">IFERROR(__xludf.UNSUPPORTED("""COMPUTED_VALUE"""),24)</f>
        <v>24</v>
      </c>
      <c r="J2128" s="4">
        <f ca="1">IFERROR(__xludf.UNSUPPORTED("""COMPUTED_VALUE"""),44922.2956944444)</f>
        <v>44922.295694444401</v>
      </c>
    </row>
    <row r="2129" spans="1:12" ht="12.75">
      <c r="A2129" s="3" t="str">
        <f ca="1">IFERROR(__xludf.UNSUPPORTED("""COMPUTED_VALUE"""),"5c309b11")</f>
        <v>5c309b11</v>
      </c>
      <c r="B2129" s="4">
        <f ca="1">IFERROR(__xludf.UNSUPPORTED("""COMPUTED_VALUE"""),44922.2622569444)</f>
        <v>44922.262256944399</v>
      </c>
      <c r="C2129" s="7" t="str">
        <f ca="1">IFERROR(__xludf.UNSUPPORTED("""COMPUTED_VALUE"""),"Salvador")</f>
        <v>Salvador</v>
      </c>
      <c r="D2129" s="3" t="str">
        <f ca="1">IFERROR(__xludf.UNSUPPORTED("""COMPUTED_VALUE"""),"🚢 REGULAR")</f>
        <v>🚢 REGULAR</v>
      </c>
      <c r="E2129" s="3" t="str">
        <f ca="1">IFERROR(__xludf.UNSUPPORTED("""COMPUTED_VALUE"""),"🚛 LIBERADO")</f>
        <v>🚛 LIBERADO</v>
      </c>
      <c r="F2129" s="5">
        <f ca="1">IFERROR(__xludf.UNSUPPORTED("""COMPUTED_VALUE"""),0)</f>
        <v>0</v>
      </c>
      <c r="G2129" s="3" t="str">
        <f ca="1">IFERROR(__xludf.UNSUPPORTED("""COMPUTED_VALUE"""),"Normalidade")</f>
        <v>Normalidade</v>
      </c>
      <c r="H2129" s="4">
        <f ca="1">IFERROR(__xludf.UNSUPPORTED("""COMPUTED_VALUE"""),44922.2622569444)</f>
        <v>44922.262256944399</v>
      </c>
      <c r="I2129" s="3">
        <f ca="1">IFERROR(__xludf.UNSUPPORTED("""COMPUTED_VALUE"""),24)</f>
        <v>24</v>
      </c>
      <c r="J2129" s="4">
        <f ca="1">IFERROR(__xludf.UNSUPPORTED("""COMPUTED_VALUE"""),44923.2622569444)</f>
        <v>44923.262256944399</v>
      </c>
    </row>
    <row r="2130" spans="1:12" ht="12.75">
      <c r="A2130" s="3" t="str">
        <f ca="1">IFERROR(__xludf.UNSUPPORTED("""COMPUTED_VALUE"""),"d1974fb7")</f>
        <v>d1974fb7</v>
      </c>
      <c r="B2130" s="4">
        <f ca="1">IFERROR(__xludf.UNSUPPORTED("""COMPUTED_VALUE"""),44923.2745833333)</f>
        <v>44923.274583333303</v>
      </c>
      <c r="C2130" s="8" t="str">
        <f ca="1">IFERROR(__xludf.UNSUPPORTED("""COMPUTED_VALUE"""),"Salvador")</f>
        <v>Salvador</v>
      </c>
      <c r="D2130" s="3" t="str">
        <f ca="1">IFERROR(__xludf.UNSUPPORTED("""COMPUTED_VALUE"""),"🚢 REGULAR")</f>
        <v>🚢 REGULAR</v>
      </c>
      <c r="E2130" s="3" t="str">
        <f ca="1">IFERROR(__xludf.UNSUPPORTED("""COMPUTED_VALUE"""),"🚛 LIBERADO")</f>
        <v>🚛 LIBERADO</v>
      </c>
      <c r="F2130" s="5">
        <f ca="1">IFERROR(__xludf.UNSUPPORTED("""COMPUTED_VALUE"""),0)</f>
        <v>0</v>
      </c>
      <c r="G2130" s="3" t="str">
        <f ca="1">IFERROR(__xludf.UNSUPPORTED("""COMPUTED_VALUE"""),"Normalidade")</f>
        <v>Normalidade</v>
      </c>
      <c r="H2130" s="4">
        <f ca="1">IFERROR(__xludf.UNSUPPORTED("""COMPUTED_VALUE"""),44923.2745833333)</f>
        <v>44923.274583333303</v>
      </c>
      <c r="I2130" s="3">
        <f ca="1">IFERROR(__xludf.UNSUPPORTED("""COMPUTED_VALUE"""),24)</f>
        <v>24</v>
      </c>
      <c r="J2130" s="4">
        <f ca="1">IFERROR(__xludf.UNSUPPORTED("""COMPUTED_VALUE"""),44924.2745833333)</f>
        <v>44924.274583333303</v>
      </c>
    </row>
    <row r="2131" spans="1:12" ht="12.75">
      <c r="A2131" s="3" t="str">
        <f ca="1">IFERROR(__xludf.UNSUPPORTED("""COMPUTED_VALUE"""),"c5197ab4")</f>
        <v>c5197ab4</v>
      </c>
      <c r="B2131" s="4">
        <f ca="1">IFERROR(__xludf.UNSUPPORTED("""COMPUTED_VALUE"""),44924.2564004629)</f>
        <v>44924.256400462902</v>
      </c>
      <c r="C2131" s="8" t="str">
        <f ca="1">IFERROR(__xludf.UNSUPPORTED("""COMPUTED_VALUE"""),"Salvador")</f>
        <v>Salvador</v>
      </c>
      <c r="D2131" s="3" t="str">
        <f ca="1">IFERROR(__xludf.UNSUPPORTED("""COMPUTED_VALUE"""),"🚢 REGULAR")</f>
        <v>🚢 REGULAR</v>
      </c>
      <c r="E2131" s="3" t="str">
        <f ca="1">IFERROR(__xludf.UNSUPPORTED("""COMPUTED_VALUE"""),"🚛 LIBERADO")</f>
        <v>🚛 LIBERADO</v>
      </c>
      <c r="F2131" s="5">
        <f ca="1">IFERROR(__xludf.UNSUPPORTED("""COMPUTED_VALUE"""),0)</f>
        <v>0</v>
      </c>
      <c r="G2131" s="3" t="str">
        <f ca="1">IFERROR(__xludf.UNSUPPORTED("""COMPUTED_VALUE"""),"Normalidade")</f>
        <v>Normalidade</v>
      </c>
      <c r="H2131" s="4">
        <f ca="1">IFERROR(__xludf.UNSUPPORTED("""COMPUTED_VALUE"""),44924.2564004629)</f>
        <v>44924.256400462902</v>
      </c>
      <c r="I2131" s="3">
        <f ca="1">IFERROR(__xludf.UNSUPPORTED("""COMPUTED_VALUE"""),24)</f>
        <v>24</v>
      </c>
      <c r="J2131" s="4">
        <f ca="1">IFERROR(__xludf.UNSUPPORTED("""COMPUTED_VALUE"""),44925.2564004629)</f>
        <v>44925.256400462902</v>
      </c>
    </row>
    <row r="2132" spans="1:12" ht="12.75">
      <c r="A2132" s="3" t="str">
        <f ca="1">IFERROR(__xludf.UNSUPPORTED("""COMPUTED_VALUE"""),"45fb0f7d")</f>
        <v>45fb0f7d</v>
      </c>
      <c r="B2132" s="4">
        <f ca="1">IFERROR(__xludf.UNSUPPORTED("""COMPUTED_VALUE"""),44925.2891898148)</f>
        <v>44925.289189814801</v>
      </c>
      <c r="C2132" s="7" t="str">
        <f ca="1">IFERROR(__xludf.UNSUPPORTED("""COMPUTED_VALUE"""),"Salvador")</f>
        <v>Salvador</v>
      </c>
      <c r="D2132" s="3" t="str">
        <f ca="1">IFERROR(__xludf.UNSUPPORTED("""COMPUTED_VALUE"""),"🚢 REGULAR")</f>
        <v>🚢 REGULAR</v>
      </c>
      <c r="E2132" s="3" t="str">
        <f ca="1">IFERROR(__xludf.UNSUPPORTED("""COMPUTED_VALUE"""),"🚛 LIBERADO")</f>
        <v>🚛 LIBERADO</v>
      </c>
      <c r="F2132" s="5">
        <f ca="1">IFERROR(__xludf.UNSUPPORTED("""COMPUTED_VALUE"""),0)</f>
        <v>0</v>
      </c>
      <c r="G2132" s="3" t="str">
        <f ca="1">IFERROR(__xludf.UNSUPPORTED("""COMPUTED_VALUE"""),"Normalidade")</f>
        <v>Normalidade</v>
      </c>
      <c r="H2132" s="4">
        <f ca="1">IFERROR(__xludf.UNSUPPORTED("""COMPUTED_VALUE"""),44925.2891898148)</f>
        <v>44925.289189814801</v>
      </c>
      <c r="I2132" s="3">
        <f ca="1">IFERROR(__xludf.UNSUPPORTED("""COMPUTED_VALUE"""),24)</f>
        <v>24</v>
      </c>
      <c r="J2132" s="4">
        <f ca="1">IFERROR(__xludf.UNSUPPORTED("""COMPUTED_VALUE"""),44926.2891898148)</f>
        <v>44926.289189814801</v>
      </c>
    </row>
    <row r="2133" spans="1:12" ht="12.75">
      <c r="A2133" s="3" t="str">
        <f ca="1">IFERROR(__xludf.UNSUPPORTED("""COMPUTED_VALUE"""),"c2fd729b")</f>
        <v>c2fd729b</v>
      </c>
      <c r="B2133" s="4">
        <f ca="1">IFERROR(__xludf.UNSUPPORTED("""COMPUTED_VALUE"""),44926.4882175925)</f>
        <v>44926.488217592501</v>
      </c>
      <c r="C2133" s="8" t="str">
        <f ca="1">IFERROR(__xludf.UNSUPPORTED("""COMPUTED_VALUE"""),"Salvador")</f>
        <v>Salvador</v>
      </c>
      <c r="D2133" s="3" t="str">
        <f ca="1">IFERROR(__xludf.UNSUPPORTED("""COMPUTED_VALUE"""),"🚢 REGULAR")</f>
        <v>🚢 REGULAR</v>
      </c>
      <c r="E2133" s="3" t="str">
        <f ca="1">IFERROR(__xludf.UNSUPPORTED("""COMPUTED_VALUE"""),"🚛 LIBERADO")</f>
        <v>🚛 LIBERADO</v>
      </c>
      <c r="F2133" s="5">
        <f ca="1">IFERROR(__xludf.UNSUPPORTED("""COMPUTED_VALUE"""),0)</f>
        <v>0</v>
      </c>
      <c r="G2133" s="3" t="str">
        <f ca="1">IFERROR(__xludf.UNSUPPORTED("""COMPUTED_VALUE"""),"Normalidade")</f>
        <v>Normalidade</v>
      </c>
      <c r="H2133" s="4">
        <f ca="1">IFERROR(__xludf.UNSUPPORTED("""COMPUTED_VALUE"""),44926.4882175925)</f>
        <v>44926.488217592501</v>
      </c>
      <c r="I2133" s="3">
        <f ca="1">IFERROR(__xludf.UNSUPPORTED("""COMPUTED_VALUE"""),24)</f>
        <v>24</v>
      </c>
      <c r="J2133" s="4">
        <f ca="1">IFERROR(__xludf.UNSUPPORTED("""COMPUTED_VALUE"""),44927.4882175925)</f>
        <v>44927.488217592501</v>
      </c>
    </row>
    <row r="2134" spans="1:12" ht="12.75">
      <c r="A2134" s="3" t="str">
        <f ca="1">IFERROR(__xludf.UNSUPPORTED("""COMPUTED_VALUE"""),"204ddb42")</f>
        <v>204ddb42</v>
      </c>
      <c r="B2134" s="4">
        <f ca="1">IFERROR(__xludf.UNSUPPORTED("""COMPUTED_VALUE"""),44927.3406134259)</f>
        <v>44927.340613425898</v>
      </c>
      <c r="C2134" s="8" t="str">
        <f ca="1">IFERROR(__xludf.UNSUPPORTED("""COMPUTED_VALUE"""),"Salvador")</f>
        <v>Salvador</v>
      </c>
      <c r="D2134" s="3" t="str">
        <f ca="1">IFERROR(__xludf.UNSUPPORTED("""COMPUTED_VALUE"""),"🚢 REGULAR")</f>
        <v>🚢 REGULAR</v>
      </c>
      <c r="E2134" s="3" t="str">
        <f ca="1">IFERROR(__xludf.UNSUPPORTED("""COMPUTED_VALUE"""),"🚛 LIBERADO")</f>
        <v>🚛 LIBERADO</v>
      </c>
      <c r="F2134" s="5">
        <f ca="1">IFERROR(__xludf.UNSUPPORTED("""COMPUTED_VALUE"""),0)</f>
        <v>0</v>
      </c>
      <c r="G2134" s="3" t="str">
        <f ca="1">IFERROR(__xludf.UNSUPPORTED("""COMPUTED_VALUE"""),"Normalidade")</f>
        <v>Normalidade</v>
      </c>
      <c r="H2134" s="4">
        <f ca="1">IFERROR(__xludf.UNSUPPORTED("""COMPUTED_VALUE"""),44927.3406134259)</f>
        <v>44927.340613425898</v>
      </c>
      <c r="I2134" s="3">
        <f ca="1">IFERROR(__xludf.UNSUPPORTED("""COMPUTED_VALUE"""),24)</f>
        <v>24</v>
      </c>
      <c r="J2134" s="4">
        <f ca="1">IFERROR(__xludf.UNSUPPORTED("""COMPUTED_VALUE"""),44928.3406134259)</f>
        <v>44928.340613425898</v>
      </c>
    </row>
    <row r="2135" spans="1:12" ht="12.75">
      <c r="A2135" s="3" t="str">
        <f ca="1">IFERROR(__xludf.UNSUPPORTED("""COMPUTED_VALUE"""),"1a49ac93")</f>
        <v>1a49ac93</v>
      </c>
      <c r="B2135" s="4">
        <f ca="1">IFERROR(__xludf.UNSUPPORTED("""COMPUTED_VALUE"""),44928.3269560185)</f>
        <v>44928.3269560185</v>
      </c>
      <c r="C2135" s="8" t="str">
        <f ca="1">IFERROR(__xludf.UNSUPPORTED("""COMPUTED_VALUE"""),"Salvador")</f>
        <v>Salvador</v>
      </c>
      <c r="D2135" s="3" t="str">
        <f ca="1">IFERROR(__xludf.UNSUPPORTED("""COMPUTED_VALUE"""),"🚢 REGULAR")</f>
        <v>🚢 REGULAR</v>
      </c>
      <c r="E2135" s="3" t="str">
        <f ca="1">IFERROR(__xludf.UNSUPPORTED("""COMPUTED_VALUE"""),"🚛 LIBERADO")</f>
        <v>🚛 LIBERADO</v>
      </c>
      <c r="F2135" s="5">
        <f ca="1">IFERROR(__xludf.UNSUPPORTED("""COMPUTED_VALUE"""),0)</f>
        <v>0</v>
      </c>
      <c r="G2135" s="3" t="str">
        <f ca="1">IFERROR(__xludf.UNSUPPORTED("""COMPUTED_VALUE"""),"Normalidade")</f>
        <v>Normalidade</v>
      </c>
      <c r="H2135" s="4">
        <f ca="1">IFERROR(__xludf.UNSUPPORTED("""COMPUTED_VALUE"""),44928.3269560185)</f>
        <v>44928.3269560185</v>
      </c>
      <c r="I2135" s="3">
        <f ca="1">IFERROR(__xludf.UNSUPPORTED("""COMPUTED_VALUE"""),24)</f>
        <v>24</v>
      </c>
      <c r="J2135" s="4">
        <f ca="1">IFERROR(__xludf.UNSUPPORTED("""COMPUTED_VALUE"""),44929.3269560185)</f>
        <v>44929.3269560185</v>
      </c>
    </row>
    <row r="2136" spans="1:12" ht="12.75">
      <c r="A2136" s="3" t="str">
        <f ca="1">IFERROR(__xludf.UNSUPPORTED("""COMPUTED_VALUE"""),"21d459da")</f>
        <v>21d459da</v>
      </c>
      <c r="B2136" s="4">
        <f ca="1">IFERROR(__xludf.UNSUPPORTED("""COMPUTED_VALUE"""),44930.4151041666)</f>
        <v>44930.415104166597</v>
      </c>
      <c r="C2136" s="8" t="str">
        <f ca="1">IFERROR(__xludf.UNSUPPORTED("""COMPUTED_VALUE"""),"Salvador")</f>
        <v>Salvador</v>
      </c>
      <c r="D2136" s="3" t="str">
        <f ca="1">IFERROR(__xludf.UNSUPPORTED("""COMPUTED_VALUE"""),"🚢 REGULAR")</f>
        <v>🚢 REGULAR</v>
      </c>
      <c r="E2136" s="3" t="str">
        <f ca="1">IFERROR(__xludf.UNSUPPORTED("""COMPUTED_VALUE"""),"🚛 LIBERADO")</f>
        <v>🚛 LIBERADO</v>
      </c>
      <c r="F2136" s="5">
        <f ca="1">IFERROR(__xludf.UNSUPPORTED("""COMPUTED_VALUE"""),0)</f>
        <v>0</v>
      </c>
      <c r="G2136" s="3" t="str">
        <f ca="1">IFERROR(__xludf.UNSUPPORTED("""COMPUTED_VALUE"""),"Normalidade")</f>
        <v>Normalidade</v>
      </c>
      <c r="H2136" s="4">
        <f ca="1">IFERROR(__xludf.UNSUPPORTED("""COMPUTED_VALUE"""),44930.4151041666)</f>
        <v>44930.415104166597</v>
      </c>
      <c r="I2136" s="3">
        <f ca="1">IFERROR(__xludf.UNSUPPORTED("""COMPUTED_VALUE"""),24)</f>
        <v>24</v>
      </c>
      <c r="J2136" s="4">
        <f ca="1">IFERROR(__xludf.UNSUPPORTED("""COMPUTED_VALUE"""),44931.4151041666)</f>
        <v>44931.415104166597</v>
      </c>
    </row>
    <row r="2137" spans="1:12" ht="12.75">
      <c r="A2137" s="3" t="str">
        <f ca="1">IFERROR(__xludf.UNSUPPORTED("""COMPUTED_VALUE"""),"266552d5")</f>
        <v>266552d5</v>
      </c>
      <c r="B2137" s="4">
        <f ca="1">IFERROR(__xludf.UNSUPPORTED("""COMPUTED_VALUE"""),44932.6772106481)</f>
        <v>44932.6772106481</v>
      </c>
      <c r="C2137" s="8" t="str">
        <f ca="1">IFERROR(__xludf.UNSUPPORTED("""COMPUTED_VALUE"""),"Salvador")</f>
        <v>Salvador</v>
      </c>
      <c r="D2137" s="3" t="str">
        <f ca="1">IFERROR(__xludf.UNSUPPORTED("""COMPUTED_VALUE"""),"🚢 REGULAR")</f>
        <v>🚢 REGULAR</v>
      </c>
      <c r="E2137" s="3" t="str">
        <f ca="1">IFERROR(__xludf.UNSUPPORTED("""COMPUTED_VALUE"""),"🚛 LIBERADO")</f>
        <v>🚛 LIBERADO</v>
      </c>
      <c r="F2137" s="5">
        <f ca="1">IFERROR(__xludf.UNSUPPORTED("""COMPUTED_VALUE"""),0)</f>
        <v>0</v>
      </c>
      <c r="G2137" s="3" t="str">
        <f ca="1">IFERROR(__xludf.UNSUPPORTED("""COMPUTED_VALUE"""),"Normalidade")</f>
        <v>Normalidade</v>
      </c>
      <c r="H2137" s="4">
        <f ca="1">IFERROR(__xludf.UNSUPPORTED("""COMPUTED_VALUE"""),44932.6772106481)</f>
        <v>44932.6772106481</v>
      </c>
      <c r="I2137" s="3">
        <f ca="1">IFERROR(__xludf.UNSUPPORTED("""COMPUTED_VALUE"""),24)</f>
        <v>24</v>
      </c>
      <c r="J2137" s="4">
        <f ca="1">IFERROR(__xludf.UNSUPPORTED("""COMPUTED_VALUE"""),44933.6772106481)</f>
        <v>44933.6772106481</v>
      </c>
    </row>
    <row r="2138" spans="1:12" ht="12.75">
      <c r="A2138" s="3" t="str">
        <f ca="1">IFERROR(__xludf.UNSUPPORTED("""COMPUTED_VALUE"""),"4a56aa6b")</f>
        <v>4a56aa6b</v>
      </c>
      <c r="B2138" s="4">
        <f ca="1">IFERROR(__xludf.UNSUPPORTED("""COMPUTED_VALUE"""),44933.8476967592)</f>
        <v>44933.8476967592</v>
      </c>
      <c r="C2138" s="7" t="str">
        <f ca="1">IFERROR(__xludf.UNSUPPORTED("""COMPUTED_VALUE"""),"Salvador")</f>
        <v>Salvador</v>
      </c>
      <c r="D2138" s="3" t="str">
        <f ca="1">IFERROR(__xludf.UNSUPPORTED("""COMPUTED_VALUE"""),"🚢 REGULAR")</f>
        <v>🚢 REGULAR</v>
      </c>
      <c r="E2138" s="3" t="str">
        <f ca="1">IFERROR(__xludf.UNSUPPORTED("""COMPUTED_VALUE"""),"🚛 LIBERADO")</f>
        <v>🚛 LIBERADO</v>
      </c>
      <c r="F2138" s="5">
        <f ca="1">IFERROR(__xludf.UNSUPPORTED("""COMPUTED_VALUE"""),0)</f>
        <v>0</v>
      </c>
      <c r="G2138" s="3" t="str">
        <f ca="1">IFERROR(__xludf.UNSUPPORTED("""COMPUTED_VALUE"""),"Normalidade")</f>
        <v>Normalidade</v>
      </c>
      <c r="H2138" s="4">
        <f ca="1">IFERROR(__xludf.UNSUPPORTED("""COMPUTED_VALUE"""),44933.8476967592)</f>
        <v>44933.8476967592</v>
      </c>
      <c r="I2138" s="3">
        <f ca="1">IFERROR(__xludf.UNSUPPORTED("""COMPUTED_VALUE"""),24)</f>
        <v>24</v>
      </c>
      <c r="J2138" s="4">
        <f ca="1">IFERROR(__xludf.UNSUPPORTED("""COMPUTED_VALUE"""),44934.8476967592)</f>
        <v>44934.8476967592</v>
      </c>
      <c r="L2138" s="3" t="str">
        <f ca="1">IFERROR(__xludf.UNSUPPORTED("""COMPUTED_VALUE"""),"Normalidade")</f>
        <v>Normalidade</v>
      </c>
    </row>
    <row r="2139" spans="1:12" ht="12.75">
      <c r="A2139" s="3" t="str">
        <f ca="1">IFERROR(__xludf.UNSUPPORTED("""COMPUTED_VALUE"""),"3b22f826")</f>
        <v>3b22f826</v>
      </c>
      <c r="B2139" s="4">
        <f ca="1">IFERROR(__xludf.UNSUPPORTED("""COMPUTED_VALUE"""),44934.2889814814)</f>
        <v>44934.288981481397</v>
      </c>
      <c r="C2139" s="7" t="str">
        <f ca="1">IFERROR(__xludf.UNSUPPORTED("""COMPUTED_VALUE"""),"Salvador")</f>
        <v>Salvador</v>
      </c>
      <c r="D2139" s="3" t="str">
        <f ca="1">IFERROR(__xludf.UNSUPPORTED("""COMPUTED_VALUE"""),"🚢 REGULAR")</f>
        <v>🚢 REGULAR</v>
      </c>
      <c r="E2139" s="3" t="str">
        <f ca="1">IFERROR(__xludf.UNSUPPORTED("""COMPUTED_VALUE"""),"🚛 LIBERADO")</f>
        <v>🚛 LIBERADO</v>
      </c>
      <c r="F2139" s="5">
        <f ca="1">IFERROR(__xludf.UNSUPPORTED("""COMPUTED_VALUE"""),0)</f>
        <v>0</v>
      </c>
      <c r="G2139" s="3" t="str">
        <f ca="1">IFERROR(__xludf.UNSUPPORTED("""COMPUTED_VALUE"""),"Normalidade")</f>
        <v>Normalidade</v>
      </c>
      <c r="H2139" s="4">
        <f ca="1">IFERROR(__xludf.UNSUPPORTED("""COMPUTED_VALUE"""),44934.2889814814)</f>
        <v>44934.288981481397</v>
      </c>
      <c r="I2139" s="3">
        <f ca="1">IFERROR(__xludf.UNSUPPORTED("""COMPUTED_VALUE"""),24)</f>
        <v>24</v>
      </c>
      <c r="J2139" s="4">
        <f ca="1">IFERROR(__xludf.UNSUPPORTED("""COMPUTED_VALUE"""),44935.2889814814)</f>
        <v>44935.288981481397</v>
      </c>
      <c r="L2139" s="3" t="str">
        <f ca="1">IFERROR(__xludf.UNSUPPORTED("""COMPUTED_VALUE"""),"Normalidade")</f>
        <v>Normalidade</v>
      </c>
    </row>
    <row r="2140" spans="1:12" ht="12.75">
      <c r="A2140" s="3" t="str">
        <f ca="1">IFERROR(__xludf.UNSUPPORTED("""COMPUTED_VALUE"""),"74264da9")</f>
        <v>74264da9</v>
      </c>
      <c r="B2140" s="4">
        <f ca="1">IFERROR(__xludf.UNSUPPORTED("""COMPUTED_VALUE"""),44934.2897916666)</f>
        <v>44934.289791666597</v>
      </c>
      <c r="C2140" s="8" t="str">
        <f ca="1">IFERROR(__xludf.UNSUPPORTED("""COMPUTED_VALUE"""),"Salvador")</f>
        <v>Salvador</v>
      </c>
      <c r="D2140" s="3" t="str">
        <f ca="1">IFERROR(__xludf.UNSUPPORTED("""COMPUTED_VALUE"""),"🚢 REGULAR")</f>
        <v>🚢 REGULAR</v>
      </c>
      <c r="E2140" s="3" t="str">
        <f ca="1">IFERROR(__xludf.UNSUPPORTED("""COMPUTED_VALUE"""),"🚛 LIBERADO")</f>
        <v>🚛 LIBERADO</v>
      </c>
      <c r="F2140" s="5">
        <f ca="1">IFERROR(__xludf.UNSUPPORTED("""COMPUTED_VALUE"""),0)</f>
        <v>0</v>
      </c>
      <c r="G2140" s="3" t="str">
        <f ca="1">IFERROR(__xludf.UNSUPPORTED("""COMPUTED_VALUE"""),"Normalidade")</f>
        <v>Normalidade</v>
      </c>
      <c r="H2140" s="4">
        <f ca="1">IFERROR(__xludf.UNSUPPORTED("""COMPUTED_VALUE"""),44934.2897916666)</f>
        <v>44934.289791666597</v>
      </c>
      <c r="I2140" s="3">
        <f ca="1">IFERROR(__xludf.UNSUPPORTED("""COMPUTED_VALUE"""),24)</f>
        <v>24</v>
      </c>
      <c r="J2140" s="4">
        <f ca="1">IFERROR(__xludf.UNSUPPORTED("""COMPUTED_VALUE"""),44935.2897916666)</f>
        <v>44935.289791666597</v>
      </c>
      <c r="L2140" s="3" t="str">
        <f ca="1">IFERROR(__xludf.UNSUPPORTED("""COMPUTED_VALUE"""),"Normalidade")</f>
        <v>Normalidade</v>
      </c>
    </row>
    <row r="2141" spans="1:12" ht="12.75">
      <c r="A2141" s="3" t="str">
        <f ca="1">IFERROR(__xludf.UNSUPPORTED("""COMPUTED_VALUE"""),"c175c007")</f>
        <v>c175c007</v>
      </c>
      <c r="B2141" s="4">
        <f ca="1">IFERROR(__xludf.UNSUPPORTED("""COMPUTED_VALUE"""),44935.3332523148)</f>
        <v>44935.333252314798</v>
      </c>
      <c r="C2141" s="8" t="str">
        <f ca="1">IFERROR(__xludf.UNSUPPORTED("""COMPUTED_VALUE"""),"Salvador")</f>
        <v>Salvador</v>
      </c>
      <c r="D2141" s="3" t="str">
        <f ca="1">IFERROR(__xludf.UNSUPPORTED("""COMPUTED_VALUE"""),"🚢 REGULAR")</f>
        <v>🚢 REGULAR</v>
      </c>
      <c r="E2141" s="3" t="str">
        <f ca="1">IFERROR(__xludf.UNSUPPORTED("""COMPUTED_VALUE"""),"🚛 LIBERADO")</f>
        <v>🚛 LIBERADO</v>
      </c>
      <c r="F2141" s="5">
        <f ca="1">IFERROR(__xludf.UNSUPPORTED("""COMPUTED_VALUE"""),0)</f>
        <v>0</v>
      </c>
      <c r="G2141" s="3" t="str">
        <f ca="1">IFERROR(__xludf.UNSUPPORTED("""COMPUTED_VALUE"""),"Normalidade")</f>
        <v>Normalidade</v>
      </c>
      <c r="H2141" s="4">
        <f ca="1">IFERROR(__xludf.UNSUPPORTED("""COMPUTED_VALUE"""),44935.3332523148)</f>
        <v>44935.333252314798</v>
      </c>
      <c r="I2141" s="3">
        <f ca="1">IFERROR(__xludf.UNSUPPORTED("""COMPUTED_VALUE"""),24)</f>
        <v>24</v>
      </c>
      <c r="J2141" s="4">
        <f ca="1">IFERROR(__xludf.UNSUPPORTED("""COMPUTED_VALUE"""),44936.3332523148)</f>
        <v>44936.333252314798</v>
      </c>
      <c r="L2141" s="3" t="str">
        <f ca="1">IFERROR(__xludf.UNSUPPORTED("""COMPUTED_VALUE"""),"Normalidade")</f>
        <v>Normalidade</v>
      </c>
    </row>
    <row r="2142" spans="1:12" ht="12.75">
      <c r="A2142" s="3" t="str">
        <f ca="1">IFERROR(__xludf.UNSUPPORTED("""COMPUTED_VALUE"""),"6c66a29a")</f>
        <v>6c66a29a</v>
      </c>
      <c r="B2142" s="4">
        <f ca="1">IFERROR(__xludf.UNSUPPORTED("""COMPUTED_VALUE"""),44937.2091203703)</f>
        <v>44937.209120370302</v>
      </c>
      <c r="C2142" s="8" t="str">
        <f ca="1">IFERROR(__xludf.UNSUPPORTED("""COMPUTED_VALUE"""),"Salvador")</f>
        <v>Salvador</v>
      </c>
      <c r="D2142" s="3" t="str">
        <f ca="1">IFERROR(__xludf.UNSUPPORTED("""COMPUTED_VALUE"""),"🚢 REGULAR")</f>
        <v>🚢 REGULAR</v>
      </c>
      <c r="E2142" s="3" t="str">
        <f ca="1">IFERROR(__xludf.UNSUPPORTED("""COMPUTED_VALUE"""),"🚛 LIBERADO")</f>
        <v>🚛 LIBERADO</v>
      </c>
      <c r="F2142" s="5">
        <f ca="1">IFERROR(__xludf.UNSUPPORTED("""COMPUTED_VALUE"""),0)</f>
        <v>0</v>
      </c>
      <c r="G2142" s="3" t="str">
        <f ca="1">IFERROR(__xludf.UNSUPPORTED("""COMPUTED_VALUE"""),"Normalidade")</f>
        <v>Normalidade</v>
      </c>
      <c r="H2142" s="4">
        <f ca="1">IFERROR(__xludf.UNSUPPORTED("""COMPUTED_VALUE"""),44937.2091203703)</f>
        <v>44937.209120370302</v>
      </c>
      <c r="I2142" s="3">
        <f ca="1">IFERROR(__xludf.UNSUPPORTED("""COMPUTED_VALUE"""),24)</f>
        <v>24</v>
      </c>
      <c r="J2142" s="4">
        <f ca="1">IFERROR(__xludf.UNSUPPORTED("""COMPUTED_VALUE"""),44938.2091203703)</f>
        <v>44938.209120370302</v>
      </c>
      <c r="L2142" s="3" t="str">
        <f ca="1">IFERROR(__xludf.UNSUPPORTED("""COMPUTED_VALUE"""),"Normalidade")</f>
        <v>Normalidade</v>
      </c>
    </row>
    <row r="2143" spans="1:12" ht="12.75">
      <c r="A2143" s="3" t="str">
        <f ca="1">IFERROR(__xludf.UNSUPPORTED("""COMPUTED_VALUE"""),"f449d7ec")</f>
        <v>f449d7ec</v>
      </c>
      <c r="B2143" s="4">
        <f ca="1">IFERROR(__xludf.UNSUPPORTED("""COMPUTED_VALUE"""),44939.8126967592)</f>
        <v>44939.812696759203</v>
      </c>
      <c r="C2143" s="7" t="str">
        <f ca="1">IFERROR(__xludf.UNSUPPORTED("""COMPUTED_VALUE"""),"Salvador")</f>
        <v>Salvador</v>
      </c>
      <c r="D2143" s="3" t="str">
        <f ca="1">IFERROR(__xludf.UNSUPPORTED("""COMPUTED_VALUE"""),"🚢 REGULAR")</f>
        <v>🚢 REGULAR</v>
      </c>
      <c r="E2143" s="3" t="str">
        <f ca="1">IFERROR(__xludf.UNSUPPORTED("""COMPUTED_VALUE"""),"🚛 LIBERADO")</f>
        <v>🚛 LIBERADO</v>
      </c>
      <c r="F2143" s="5">
        <f ca="1">IFERROR(__xludf.UNSUPPORTED("""COMPUTED_VALUE"""),0)</f>
        <v>0</v>
      </c>
      <c r="G2143" s="3" t="str">
        <f ca="1">IFERROR(__xludf.UNSUPPORTED("""COMPUTED_VALUE"""),"Normalidade")</f>
        <v>Normalidade</v>
      </c>
      <c r="H2143" s="4">
        <f ca="1">IFERROR(__xludf.UNSUPPORTED("""COMPUTED_VALUE"""),44939.8126967592)</f>
        <v>44939.812696759203</v>
      </c>
      <c r="I2143" s="3">
        <f ca="1">IFERROR(__xludf.UNSUPPORTED("""COMPUTED_VALUE"""),24)</f>
        <v>24</v>
      </c>
      <c r="J2143" s="4">
        <f ca="1">IFERROR(__xludf.UNSUPPORTED("""COMPUTED_VALUE"""),44940.8126967592)</f>
        <v>44940.812696759203</v>
      </c>
      <c r="L2143" s="3" t="str">
        <f ca="1">IFERROR(__xludf.UNSUPPORTED("""COMPUTED_VALUE"""),"Normalidade")</f>
        <v>Normalidade</v>
      </c>
    </row>
    <row r="2144" spans="1:12" ht="12.75">
      <c r="A2144" s="3" t="str">
        <f ca="1">IFERROR(__xludf.UNSUPPORTED("""COMPUTED_VALUE"""),"f2ebc7e1")</f>
        <v>f2ebc7e1</v>
      </c>
      <c r="B2144" s="4">
        <f ca="1">IFERROR(__xludf.UNSUPPORTED("""COMPUTED_VALUE"""),44940.5996643518)</f>
        <v>44940.599664351801</v>
      </c>
      <c r="C2144" s="7" t="str">
        <f ca="1">IFERROR(__xludf.UNSUPPORTED("""COMPUTED_VALUE"""),"Salvador")</f>
        <v>Salvador</v>
      </c>
      <c r="D2144" s="3" t="str">
        <f ca="1">IFERROR(__xludf.UNSUPPORTED("""COMPUTED_VALUE"""),"🚢 REGULAR")</f>
        <v>🚢 REGULAR</v>
      </c>
      <c r="E2144" s="3" t="str">
        <f ca="1">IFERROR(__xludf.UNSUPPORTED("""COMPUTED_VALUE"""),"🚛 LIBERADO")</f>
        <v>🚛 LIBERADO</v>
      </c>
      <c r="F2144" s="5">
        <f ca="1">IFERROR(__xludf.UNSUPPORTED("""COMPUTED_VALUE"""),0)</f>
        <v>0</v>
      </c>
      <c r="G2144" s="3" t="str">
        <f ca="1">IFERROR(__xludf.UNSUPPORTED("""COMPUTED_VALUE"""),"Normalidade")</f>
        <v>Normalidade</v>
      </c>
      <c r="H2144" s="4">
        <f ca="1">IFERROR(__xludf.UNSUPPORTED("""COMPUTED_VALUE"""),44940.5996643518)</f>
        <v>44940.599664351801</v>
      </c>
      <c r="I2144" s="3">
        <f ca="1">IFERROR(__xludf.UNSUPPORTED("""COMPUTED_VALUE"""),24)</f>
        <v>24</v>
      </c>
      <c r="J2144" s="4">
        <f ca="1">IFERROR(__xludf.UNSUPPORTED("""COMPUTED_VALUE"""),44941.5996643518)</f>
        <v>44941.599664351801</v>
      </c>
      <c r="L2144" s="3" t="str">
        <f ca="1">IFERROR(__xludf.UNSUPPORTED("""COMPUTED_VALUE"""),"Normalidade")</f>
        <v>Normalidade</v>
      </c>
    </row>
    <row r="2145" spans="1:12" ht="12.75">
      <c r="A2145" s="3" t="str">
        <f ca="1">IFERROR(__xludf.UNSUPPORTED("""COMPUTED_VALUE"""),"b6203242")</f>
        <v>b6203242</v>
      </c>
      <c r="B2145" s="4">
        <f ca="1">IFERROR(__xludf.UNSUPPORTED("""COMPUTED_VALUE"""),44941.4148263888)</f>
        <v>44941.414826388798</v>
      </c>
      <c r="C2145" s="7" t="str">
        <f ca="1">IFERROR(__xludf.UNSUPPORTED("""COMPUTED_VALUE"""),"Salvador")</f>
        <v>Salvador</v>
      </c>
      <c r="D2145" s="3" t="str">
        <f ca="1">IFERROR(__xludf.UNSUPPORTED("""COMPUTED_VALUE"""),"🚢 REGULAR")</f>
        <v>🚢 REGULAR</v>
      </c>
      <c r="E2145" s="3" t="str">
        <f ca="1">IFERROR(__xludf.UNSUPPORTED("""COMPUTED_VALUE"""),"🚛 LIBERADO")</f>
        <v>🚛 LIBERADO</v>
      </c>
      <c r="F2145" s="5">
        <f ca="1">IFERROR(__xludf.UNSUPPORTED("""COMPUTED_VALUE"""),0)</f>
        <v>0</v>
      </c>
      <c r="G2145" s="3" t="str">
        <f ca="1">IFERROR(__xludf.UNSUPPORTED("""COMPUTED_VALUE"""),"Normalidade")</f>
        <v>Normalidade</v>
      </c>
      <c r="H2145" s="4">
        <f ca="1">IFERROR(__xludf.UNSUPPORTED("""COMPUTED_VALUE"""),44941.4148263888)</f>
        <v>44941.414826388798</v>
      </c>
      <c r="I2145" s="3">
        <f ca="1">IFERROR(__xludf.UNSUPPORTED("""COMPUTED_VALUE"""),24)</f>
        <v>24</v>
      </c>
      <c r="J2145" s="4">
        <f ca="1">IFERROR(__xludf.UNSUPPORTED("""COMPUTED_VALUE"""),44942.4148263888)</f>
        <v>44942.414826388798</v>
      </c>
      <c r="L2145" s="3" t="str">
        <f ca="1">IFERROR(__xludf.UNSUPPORTED("""COMPUTED_VALUE"""),"Normalidade")</f>
        <v>Normalidade</v>
      </c>
    </row>
    <row r="2146" spans="1:12" ht="12.75">
      <c r="A2146" s="3" t="str">
        <f ca="1">IFERROR(__xludf.UNSUPPORTED("""COMPUTED_VALUE"""),"7b1713f5")</f>
        <v>7b1713f5</v>
      </c>
      <c r="B2146" s="4">
        <f ca="1">IFERROR(__xludf.UNSUPPORTED("""COMPUTED_VALUE"""),44942.3193287037)</f>
        <v>44942.319328703699</v>
      </c>
      <c r="C2146" s="7" t="str">
        <f ca="1">IFERROR(__xludf.UNSUPPORTED("""COMPUTED_VALUE"""),"Salvador")</f>
        <v>Salvador</v>
      </c>
      <c r="D2146" s="3" t="str">
        <f ca="1">IFERROR(__xludf.UNSUPPORTED("""COMPUTED_VALUE"""),"🚢 REGULAR")</f>
        <v>🚢 REGULAR</v>
      </c>
      <c r="E2146" s="3" t="str">
        <f ca="1">IFERROR(__xludf.UNSUPPORTED("""COMPUTED_VALUE"""),"🚛 LIBERADO")</f>
        <v>🚛 LIBERADO</v>
      </c>
      <c r="F2146" s="5">
        <f ca="1">IFERROR(__xludf.UNSUPPORTED("""COMPUTED_VALUE"""),0)</f>
        <v>0</v>
      </c>
      <c r="G2146" s="3" t="str">
        <f ca="1">IFERROR(__xludf.UNSUPPORTED("""COMPUTED_VALUE"""),"Normalidade")</f>
        <v>Normalidade</v>
      </c>
      <c r="H2146" s="4">
        <f ca="1">IFERROR(__xludf.UNSUPPORTED("""COMPUTED_VALUE"""),44942.3193287037)</f>
        <v>44942.319328703699</v>
      </c>
      <c r="I2146" s="3">
        <f ca="1">IFERROR(__xludf.UNSUPPORTED("""COMPUTED_VALUE"""),24)</f>
        <v>24</v>
      </c>
      <c r="J2146" s="4">
        <f ca="1">IFERROR(__xludf.UNSUPPORTED("""COMPUTED_VALUE"""),44943.3193287037)</f>
        <v>44943.319328703699</v>
      </c>
      <c r="L2146" s="3" t="str">
        <f ca="1">IFERROR(__xludf.UNSUPPORTED("""COMPUTED_VALUE"""),"Normalidade")</f>
        <v>Normalidade</v>
      </c>
    </row>
    <row r="2147" spans="1:12" ht="12.75">
      <c r="A2147" s="3" t="str">
        <f ca="1">IFERROR(__xludf.UNSUPPORTED("""COMPUTED_VALUE"""),"fdb18929")</f>
        <v>fdb18929</v>
      </c>
      <c r="B2147" s="4">
        <f ca="1">IFERROR(__xludf.UNSUPPORTED("""COMPUTED_VALUE"""),44943.3717013888)</f>
        <v>44943.371701388802</v>
      </c>
      <c r="C2147" s="8" t="str">
        <f ca="1">IFERROR(__xludf.UNSUPPORTED("""COMPUTED_VALUE"""),"Salvador")</f>
        <v>Salvador</v>
      </c>
      <c r="D2147" s="3" t="str">
        <f ca="1">IFERROR(__xludf.UNSUPPORTED("""COMPUTED_VALUE"""),"🚢 REGULAR")</f>
        <v>🚢 REGULAR</v>
      </c>
      <c r="E2147" s="3" t="str">
        <f ca="1">IFERROR(__xludf.UNSUPPORTED("""COMPUTED_VALUE"""),"🚛 LIBERADO")</f>
        <v>🚛 LIBERADO</v>
      </c>
      <c r="F2147" s="5">
        <f ca="1">IFERROR(__xludf.UNSUPPORTED("""COMPUTED_VALUE"""),0)</f>
        <v>0</v>
      </c>
      <c r="G2147" s="3" t="str">
        <f ca="1">IFERROR(__xludf.UNSUPPORTED("""COMPUTED_VALUE"""),"Normalidade")</f>
        <v>Normalidade</v>
      </c>
      <c r="H2147" s="4">
        <f ca="1">IFERROR(__xludf.UNSUPPORTED("""COMPUTED_VALUE"""),44943.3717013888)</f>
        <v>44943.371701388802</v>
      </c>
      <c r="I2147" s="3">
        <f ca="1">IFERROR(__xludf.UNSUPPORTED("""COMPUTED_VALUE"""),24)</f>
        <v>24</v>
      </c>
      <c r="J2147" s="4">
        <f ca="1">IFERROR(__xludf.UNSUPPORTED("""COMPUTED_VALUE"""),44944.3717013888)</f>
        <v>44944.371701388802</v>
      </c>
      <c r="L2147" s="3" t="str">
        <f ca="1">IFERROR(__xludf.UNSUPPORTED("""COMPUTED_VALUE"""),"Normalidade")</f>
        <v>Normalidade</v>
      </c>
    </row>
    <row r="2148" spans="1:12" ht="12.75">
      <c r="A2148" s="3" t="str">
        <f ca="1">IFERROR(__xludf.UNSUPPORTED("""COMPUTED_VALUE"""),"2792c56f")</f>
        <v>2792c56f</v>
      </c>
      <c r="B2148" s="4">
        <f ca="1">IFERROR(__xludf.UNSUPPORTED("""COMPUTED_VALUE"""),44944.3993287037)</f>
        <v>44944.399328703701</v>
      </c>
      <c r="C2148" s="8" t="str">
        <f ca="1">IFERROR(__xludf.UNSUPPORTED("""COMPUTED_VALUE"""),"Salvador")</f>
        <v>Salvador</v>
      </c>
      <c r="D2148" s="3" t="str">
        <f ca="1">IFERROR(__xludf.UNSUPPORTED("""COMPUTED_VALUE"""),"🚢 REGULAR")</f>
        <v>🚢 REGULAR</v>
      </c>
      <c r="E2148" s="3" t="str">
        <f ca="1">IFERROR(__xludf.UNSUPPORTED("""COMPUTED_VALUE"""),"🚛 LIBERADO")</f>
        <v>🚛 LIBERADO</v>
      </c>
      <c r="F2148" s="5">
        <f ca="1">IFERROR(__xludf.UNSUPPORTED("""COMPUTED_VALUE"""),0)</f>
        <v>0</v>
      </c>
      <c r="G2148" s="3" t="str">
        <f ca="1">IFERROR(__xludf.UNSUPPORTED("""COMPUTED_VALUE"""),"Normalidade")</f>
        <v>Normalidade</v>
      </c>
      <c r="H2148" s="4">
        <f ca="1">IFERROR(__xludf.UNSUPPORTED("""COMPUTED_VALUE"""),44944.3993287037)</f>
        <v>44944.399328703701</v>
      </c>
      <c r="I2148" s="3">
        <f ca="1">IFERROR(__xludf.UNSUPPORTED("""COMPUTED_VALUE"""),24)</f>
        <v>24</v>
      </c>
      <c r="J2148" s="4">
        <f ca="1">IFERROR(__xludf.UNSUPPORTED("""COMPUTED_VALUE"""),44945.3993287037)</f>
        <v>44945.399328703701</v>
      </c>
      <c r="L2148" s="3" t="str">
        <f ca="1">IFERROR(__xludf.UNSUPPORTED("""COMPUTED_VALUE"""),"Normalidade")</f>
        <v>Normalidade</v>
      </c>
    </row>
    <row r="2149" spans="1:12" ht="12.75">
      <c r="A2149" s="3" t="str">
        <f ca="1">IFERROR(__xludf.UNSUPPORTED("""COMPUTED_VALUE"""),"64787b0e")</f>
        <v>64787b0e</v>
      </c>
      <c r="B2149" s="4">
        <f ca="1">IFERROR(__xludf.UNSUPPORTED("""COMPUTED_VALUE"""),44944.4273726851)</f>
        <v>44944.427372685102</v>
      </c>
      <c r="C2149" s="8" t="str">
        <f ca="1">IFERROR(__xludf.UNSUPPORTED("""COMPUTED_VALUE"""),"Salvador")</f>
        <v>Salvador</v>
      </c>
      <c r="D2149" s="3" t="str">
        <f ca="1">IFERROR(__xludf.UNSUPPORTED("""COMPUTED_VALUE"""),"🚢 REGULAR")</f>
        <v>🚢 REGULAR</v>
      </c>
      <c r="E2149" s="3" t="str">
        <f ca="1">IFERROR(__xludf.UNSUPPORTED("""COMPUTED_VALUE"""),"🚛 LIBERADO")</f>
        <v>🚛 LIBERADO</v>
      </c>
      <c r="F2149" s="5">
        <f ca="1">IFERROR(__xludf.UNSUPPORTED("""COMPUTED_VALUE"""),0)</f>
        <v>0</v>
      </c>
      <c r="G2149" s="3" t="str">
        <f ca="1">IFERROR(__xludf.UNSUPPORTED("""COMPUTED_VALUE"""),"Normalidade")</f>
        <v>Normalidade</v>
      </c>
      <c r="H2149" s="4">
        <f ca="1">IFERROR(__xludf.UNSUPPORTED("""COMPUTED_VALUE"""),44944.4273726851)</f>
        <v>44944.427372685102</v>
      </c>
      <c r="I2149" s="3">
        <f ca="1">IFERROR(__xludf.UNSUPPORTED("""COMPUTED_VALUE"""),24)</f>
        <v>24</v>
      </c>
      <c r="J2149" s="4">
        <f ca="1">IFERROR(__xludf.UNSUPPORTED("""COMPUTED_VALUE"""),44945.4273726851)</f>
        <v>44945.427372685102</v>
      </c>
      <c r="L2149" s="3" t="str">
        <f ca="1">IFERROR(__xludf.UNSUPPORTED("""COMPUTED_VALUE"""),"Normalidade")</f>
        <v>Normalidade</v>
      </c>
    </row>
    <row r="2150" spans="1:12" ht="12.75">
      <c r="A2150" s="3" t="str">
        <f ca="1">IFERROR(__xludf.UNSUPPORTED("""COMPUTED_VALUE"""),"a0e73a86")</f>
        <v>a0e73a86</v>
      </c>
      <c r="B2150" s="4">
        <f ca="1">IFERROR(__xludf.UNSUPPORTED("""COMPUTED_VALUE"""),44945.4143518518)</f>
        <v>44945.414351851803</v>
      </c>
      <c r="C2150" s="7" t="str">
        <f ca="1">IFERROR(__xludf.UNSUPPORTED("""COMPUTED_VALUE"""),"Salvador")</f>
        <v>Salvador</v>
      </c>
      <c r="D2150" s="3" t="str">
        <f ca="1">IFERROR(__xludf.UNSUPPORTED("""COMPUTED_VALUE"""),"🚢 REGULAR")</f>
        <v>🚢 REGULAR</v>
      </c>
      <c r="E2150" s="3" t="str">
        <f ca="1">IFERROR(__xludf.UNSUPPORTED("""COMPUTED_VALUE"""),"🚛 LIBERADO")</f>
        <v>🚛 LIBERADO</v>
      </c>
      <c r="F2150" s="5">
        <f ca="1">IFERROR(__xludf.UNSUPPORTED("""COMPUTED_VALUE"""),0)</f>
        <v>0</v>
      </c>
      <c r="G2150" s="3" t="str">
        <f ca="1">IFERROR(__xludf.UNSUPPORTED("""COMPUTED_VALUE"""),"Normalidade")</f>
        <v>Normalidade</v>
      </c>
      <c r="H2150" s="4">
        <f ca="1">IFERROR(__xludf.UNSUPPORTED("""COMPUTED_VALUE"""),44945.4143518518)</f>
        <v>44945.414351851803</v>
      </c>
      <c r="I2150" s="3">
        <f ca="1">IFERROR(__xludf.UNSUPPORTED("""COMPUTED_VALUE"""),24)</f>
        <v>24</v>
      </c>
      <c r="J2150" s="4">
        <f ca="1">IFERROR(__xludf.UNSUPPORTED("""COMPUTED_VALUE"""),44946.4143518518)</f>
        <v>44946.414351851803</v>
      </c>
    </row>
    <row r="2151" spans="1:12" ht="12.75">
      <c r="A2151" s="3" t="str">
        <f ca="1">IFERROR(__xludf.UNSUPPORTED("""COMPUTED_VALUE"""),"d9be0590")</f>
        <v>d9be0590</v>
      </c>
      <c r="B2151" s="4">
        <f ca="1">IFERROR(__xludf.UNSUPPORTED("""COMPUTED_VALUE"""),44946.3093171296)</f>
        <v>44946.309317129599</v>
      </c>
      <c r="C2151" s="7" t="str">
        <f ca="1">IFERROR(__xludf.UNSUPPORTED("""COMPUTED_VALUE"""),"Salvador")</f>
        <v>Salvador</v>
      </c>
      <c r="D2151" s="3" t="str">
        <f ca="1">IFERROR(__xludf.UNSUPPORTED("""COMPUTED_VALUE"""),"🚢 REGULAR")</f>
        <v>🚢 REGULAR</v>
      </c>
      <c r="E2151" s="3" t="str">
        <f ca="1">IFERROR(__xludf.UNSUPPORTED("""COMPUTED_VALUE"""),"🚛 LIBERADO")</f>
        <v>🚛 LIBERADO</v>
      </c>
      <c r="F2151" s="5">
        <f ca="1">IFERROR(__xludf.UNSUPPORTED("""COMPUTED_VALUE"""),0)</f>
        <v>0</v>
      </c>
      <c r="G2151" s="3" t="str">
        <f ca="1">IFERROR(__xludf.UNSUPPORTED("""COMPUTED_VALUE"""),"Normalidade")</f>
        <v>Normalidade</v>
      </c>
      <c r="H2151" s="4">
        <f ca="1">IFERROR(__xludf.UNSUPPORTED("""COMPUTED_VALUE"""),44946.3093171296)</f>
        <v>44946.309317129599</v>
      </c>
      <c r="I2151" s="3">
        <f ca="1">IFERROR(__xludf.UNSUPPORTED("""COMPUTED_VALUE"""),24)</f>
        <v>24</v>
      </c>
      <c r="J2151" s="4">
        <f ca="1">IFERROR(__xludf.UNSUPPORTED("""COMPUTED_VALUE"""),44947.3093171296)</f>
        <v>44947.309317129599</v>
      </c>
      <c r="L2151" s="3" t="str">
        <f ca="1">IFERROR(__xludf.UNSUPPORTED("""COMPUTED_VALUE"""),"Normalidade")</f>
        <v>Normalidade</v>
      </c>
    </row>
    <row r="2152" spans="1:12" ht="12.75">
      <c r="A2152" s="3" t="str">
        <f ca="1">IFERROR(__xludf.UNSUPPORTED("""COMPUTED_VALUE"""),"f83a3405")</f>
        <v>f83a3405</v>
      </c>
      <c r="B2152" s="4">
        <f ca="1">IFERROR(__xludf.UNSUPPORTED("""COMPUTED_VALUE"""),44948.3697569444)</f>
        <v>44948.369756944398</v>
      </c>
      <c r="C2152" s="8" t="str">
        <f ca="1">IFERROR(__xludf.UNSUPPORTED("""COMPUTED_VALUE"""),"Salvador")</f>
        <v>Salvador</v>
      </c>
      <c r="D2152" s="3" t="str">
        <f ca="1">IFERROR(__xludf.UNSUPPORTED("""COMPUTED_VALUE"""),"🚢 REGULAR")</f>
        <v>🚢 REGULAR</v>
      </c>
      <c r="E2152" s="3" t="str">
        <f ca="1">IFERROR(__xludf.UNSUPPORTED("""COMPUTED_VALUE"""),"🚛 LIBERADO")</f>
        <v>🚛 LIBERADO</v>
      </c>
      <c r="F2152" s="5">
        <f ca="1">IFERROR(__xludf.UNSUPPORTED("""COMPUTED_VALUE"""),0)</f>
        <v>0</v>
      </c>
      <c r="G2152" s="3" t="str">
        <f ca="1">IFERROR(__xludf.UNSUPPORTED("""COMPUTED_VALUE"""),"Normalidade")</f>
        <v>Normalidade</v>
      </c>
      <c r="H2152" s="4">
        <f ca="1">IFERROR(__xludf.UNSUPPORTED("""COMPUTED_VALUE"""),44948.3697569444)</f>
        <v>44948.369756944398</v>
      </c>
      <c r="I2152" s="3">
        <f ca="1">IFERROR(__xludf.UNSUPPORTED("""COMPUTED_VALUE"""),24)</f>
        <v>24</v>
      </c>
      <c r="J2152" s="4">
        <f ca="1">IFERROR(__xludf.UNSUPPORTED("""COMPUTED_VALUE"""),44949.3697569444)</f>
        <v>44949.369756944398</v>
      </c>
      <c r="L2152" s="3" t="str">
        <f ca="1">IFERROR(__xludf.UNSUPPORTED("""COMPUTED_VALUE"""),"Normalidade")</f>
        <v>Normalidade</v>
      </c>
    </row>
    <row r="2153" spans="1:12" ht="12.75">
      <c r="A2153" s="3" t="str">
        <f ca="1">IFERROR(__xludf.UNSUPPORTED("""COMPUTED_VALUE"""),"6ee02c70")</f>
        <v>6ee02c70</v>
      </c>
      <c r="B2153" s="4">
        <f ca="1">IFERROR(__xludf.UNSUPPORTED("""COMPUTED_VALUE"""),44950.3920949074)</f>
        <v>44950.392094907402</v>
      </c>
      <c r="C2153" s="7" t="str">
        <f ca="1">IFERROR(__xludf.UNSUPPORTED("""COMPUTED_VALUE"""),"Salvador")</f>
        <v>Salvador</v>
      </c>
      <c r="D2153" s="3" t="str">
        <f ca="1">IFERROR(__xludf.UNSUPPORTED("""COMPUTED_VALUE"""),"🚢 REGULAR")</f>
        <v>🚢 REGULAR</v>
      </c>
      <c r="E2153" s="3" t="str">
        <f ca="1">IFERROR(__xludf.UNSUPPORTED("""COMPUTED_VALUE"""),"🚛 LIBERADO")</f>
        <v>🚛 LIBERADO</v>
      </c>
      <c r="F2153" s="5">
        <f ca="1">IFERROR(__xludf.UNSUPPORTED("""COMPUTED_VALUE"""),0)</f>
        <v>0</v>
      </c>
      <c r="G2153" s="3" t="str">
        <f ca="1">IFERROR(__xludf.UNSUPPORTED("""COMPUTED_VALUE"""),"Normalidade")</f>
        <v>Normalidade</v>
      </c>
      <c r="H2153" s="4">
        <f ca="1">IFERROR(__xludf.UNSUPPORTED("""COMPUTED_VALUE"""),44950.3920949074)</f>
        <v>44950.392094907402</v>
      </c>
      <c r="I2153" s="3">
        <f ca="1">IFERROR(__xludf.UNSUPPORTED("""COMPUTED_VALUE"""),24)</f>
        <v>24</v>
      </c>
      <c r="J2153" s="4">
        <f ca="1">IFERROR(__xludf.UNSUPPORTED("""COMPUTED_VALUE"""),44951.3920949074)</f>
        <v>44951.392094907402</v>
      </c>
      <c r="L2153" s="3" t="str">
        <f ca="1">IFERROR(__xludf.UNSUPPORTED("""COMPUTED_VALUE"""),"Normalidade")</f>
        <v>Normalidade</v>
      </c>
    </row>
    <row r="2154" spans="1:12" ht="12.75">
      <c r="A2154" s="3" t="str">
        <f ca="1">IFERROR(__xludf.UNSUPPORTED("""COMPUTED_VALUE"""),"a555b6d0")</f>
        <v>a555b6d0</v>
      </c>
      <c r="B2154" s="4">
        <f ca="1">IFERROR(__xludf.UNSUPPORTED("""COMPUTED_VALUE"""),44951.3527893518)</f>
        <v>44951.352789351797</v>
      </c>
      <c r="C2154" s="7" t="str">
        <f ca="1">IFERROR(__xludf.UNSUPPORTED("""COMPUTED_VALUE"""),"Salvador")</f>
        <v>Salvador</v>
      </c>
      <c r="D2154" s="3" t="str">
        <f ca="1">IFERROR(__xludf.UNSUPPORTED("""COMPUTED_VALUE"""),"🚢 REGULAR")</f>
        <v>🚢 REGULAR</v>
      </c>
      <c r="E2154" s="3" t="str">
        <f ca="1">IFERROR(__xludf.UNSUPPORTED("""COMPUTED_VALUE"""),"🚛 LIBERADO")</f>
        <v>🚛 LIBERADO</v>
      </c>
      <c r="F2154" s="5">
        <f ca="1">IFERROR(__xludf.UNSUPPORTED("""COMPUTED_VALUE"""),0)</f>
        <v>0</v>
      </c>
      <c r="G2154" s="3" t="str">
        <f ca="1">IFERROR(__xludf.UNSUPPORTED("""COMPUTED_VALUE"""),"Normalidade")</f>
        <v>Normalidade</v>
      </c>
      <c r="H2154" s="4">
        <f ca="1">IFERROR(__xludf.UNSUPPORTED("""COMPUTED_VALUE"""),44951.3527893518)</f>
        <v>44951.352789351797</v>
      </c>
      <c r="I2154" s="3">
        <f ca="1">IFERROR(__xludf.UNSUPPORTED("""COMPUTED_VALUE"""),24)</f>
        <v>24</v>
      </c>
      <c r="J2154" s="4">
        <f ca="1">IFERROR(__xludf.UNSUPPORTED("""COMPUTED_VALUE"""),44952.3527893518)</f>
        <v>44952.352789351797</v>
      </c>
      <c r="L2154" s="3" t="str">
        <f ca="1">IFERROR(__xludf.UNSUPPORTED("""COMPUTED_VALUE"""),"Normalidade")</f>
        <v>Normalidade</v>
      </c>
    </row>
    <row r="2155" spans="1:12" ht="12.75">
      <c r="A2155" s="3" t="str">
        <f ca="1">IFERROR(__xludf.UNSUPPORTED("""COMPUTED_VALUE"""),"7c5bff63")</f>
        <v>7c5bff63</v>
      </c>
      <c r="B2155" s="4">
        <f ca="1">IFERROR(__xludf.UNSUPPORTED("""COMPUTED_VALUE"""),44952.5997222222)</f>
        <v>44952.599722222199</v>
      </c>
      <c r="C2155" s="8" t="str">
        <f ca="1">IFERROR(__xludf.UNSUPPORTED("""COMPUTED_VALUE"""),"Salvador")</f>
        <v>Salvador</v>
      </c>
      <c r="D2155" s="3" t="str">
        <f ca="1">IFERROR(__xludf.UNSUPPORTED("""COMPUTED_VALUE"""),"🚢 REGULAR")</f>
        <v>🚢 REGULAR</v>
      </c>
      <c r="E2155" s="3" t="str">
        <f ca="1">IFERROR(__xludf.UNSUPPORTED("""COMPUTED_VALUE"""),"🚛 LIBERADO")</f>
        <v>🚛 LIBERADO</v>
      </c>
      <c r="F2155" s="5">
        <f ca="1">IFERROR(__xludf.UNSUPPORTED("""COMPUTED_VALUE"""),0)</f>
        <v>0</v>
      </c>
      <c r="G2155" s="3" t="str">
        <f ca="1">IFERROR(__xludf.UNSUPPORTED("""COMPUTED_VALUE"""),"Normalidade")</f>
        <v>Normalidade</v>
      </c>
      <c r="H2155" s="4">
        <f ca="1">IFERROR(__xludf.UNSUPPORTED("""COMPUTED_VALUE"""),44952.5997222222)</f>
        <v>44952.599722222199</v>
      </c>
      <c r="I2155" s="3">
        <f ca="1">IFERROR(__xludf.UNSUPPORTED("""COMPUTED_VALUE"""),24)</f>
        <v>24</v>
      </c>
      <c r="J2155" s="4">
        <f ca="1">IFERROR(__xludf.UNSUPPORTED("""COMPUTED_VALUE"""),44953.5997222222)</f>
        <v>44953.599722222199</v>
      </c>
      <c r="L2155" s="3" t="str">
        <f ca="1">IFERROR(__xludf.UNSUPPORTED("""COMPUTED_VALUE"""),"Normalidade")</f>
        <v>Normalidade</v>
      </c>
    </row>
    <row r="2156" spans="1:12" ht="12.75">
      <c r="A2156" s="3" t="str">
        <f ca="1">IFERROR(__xludf.UNSUPPORTED("""COMPUTED_VALUE"""),"8b2a1b83")</f>
        <v>8b2a1b83</v>
      </c>
      <c r="B2156" s="4">
        <f ca="1">IFERROR(__xludf.UNSUPPORTED("""COMPUTED_VALUE"""),44953.3612962962)</f>
        <v>44953.3612962962</v>
      </c>
      <c r="C2156" s="7" t="str">
        <f ca="1">IFERROR(__xludf.UNSUPPORTED("""COMPUTED_VALUE"""),"Salvador")</f>
        <v>Salvador</v>
      </c>
      <c r="D2156" s="3" t="str">
        <f ca="1">IFERROR(__xludf.UNSUPPORTED("""COMPUTED_VALUE"""),"🚢 REGULAR")</f>
        <v>🚢 REGULAR</v>
      </c>
      <c r="E2156" s="3" t="str">
        <f ca="1">IFERROR(__xludf.UNSUPPORTED("""COMPUTED_VALUE"""),"🚛 LIBERADO")</f>
        <v>🚛 LIBERADO</v>
      </c>
      <c r="F2156" s="5">
        <f ca="1">IFERROR(__xludf.UNSUPPORTED("""COMPUTED_VALUE"""),0)</f>
        <v>0</v>
      </c>
      <c r="G2156" s="3" t="str">
        <f ca="1">IFERROR(__xludf.UNSUPPORTED("""COMPUTED_VALUE"""),"Normalidade")</f>
        <v>Normalidade</v>
      </c>
      <c r="H2156" s="4">
        <f ca="1">IFERROR(__xludf.UNSUPPORTED("""COMPUTED_VALUE"""),44953.3613078703)</f>
        <v>44953.361307870298</v>
      </c>
      <c r="I2156" s="3">
        <f ca="1">IFERROR(__xludf.UNSUPPORTED("""COMPUTED_VALUE"""),24)</f>
        <v>24</v>
      </c>
      <c r="J2156" s="4">
        <f ca="1">IFERROR(__xludf.UNSUPPORTED("""COMPUTED_VALUE"""),44954.3613078703)</f>
        <v>44954.361307870298</v>
      </c>
      <c r="L2156" s="3" t="str">
        <f ca="1">IFERROR(__xludf.UNSUPPORTED("""COMPUTED_VALUE"""),"Normalidade")</f>
        <v>Normalidade</v>
      </c>
    </row>
    <row r="2157" spans="1:12" ht="12.75">
      <c r="A2157" s="3" t="str">
        <f ca="1">IFERROR(__xludf.UNSUPPORTED("""COMPUTED_VALUE"""),"39d9b655")</f>
        <v>39d9b655</v>
      </c>
      <c r="B2157" s="4">
        <f ca="1">IFERROR(__xludf.UNSUPPORTED("""COMPUTED_VALUE"""),44956.3441666666)</f>
        <v>44956.344166666597</v>
      </c>
      <c r="C2157" s="7" t="str">
        <f ca="1">IFERROR(__xludf.UNSUPPORTED("""COMPUTED_VALUE"""),"Salvador")</f>
        <v>Salvador</v>
      </c>
      <c r="D2157" s="3" t="str">
        <f ca="1">IFERROR(__xludf.UNSUPPORTED("""COMPUTED_VALUE"""),"🚢 REGULAR")</f>
        <v>🚢 REGULAR</v>
      </c>
      <c r="E2157" s="3" t="str">
        <f ca="1">IFERROR(__xludf.UNSUPPORTED("""COMPUTED_VALUE"""),"🚛 LIBERADO")</f>
        <v>🚛 LIBERADO</v>
      </c>
      <c r="F2157" s="5">
        <f ca="1">IFERROR(__xludf.UNSUPPORTED("""COMPUTED_VALUE"""),0)</f>
        <v>0</v>
      </c>
      <c r="G2157" s="3" t="str">
        <f ca="1">IFERROR(__xludf.UNSUPPORTED("""COMPUTED_VALUE"""),"Normalidade")</f>
        <v>Normalidade</v>
      </c>
      <c r="H2157" s="4">
        <f ca="1">IFERROR(__xludf.UNSUPPORTED("""COMPUTED_VALUE"""),44956.3441666666)</f>
        <v>44956.344166666597</v>
      </c>
      <c r="I2157" s="3">
        <f ca="1">IFERROR(__xludf.UNSUPPORTED("""COMPUTED_VALUE"""),24)</f>
        <v>24</v>
      </c>
      <c r="J2157" s="4">
        <f ca="1">IFERROR(__xludf.UNSUPPORTED("""COMPUTED_VALUE"""),44957.3441666666)</f>
        <v>44957.344166666597</v>
      </c>
      <c r="L2157" s="3" t="str">
        <f ca="1">IFERROR(__xludf.UNSUPPORTED("""COMPUTED_VALUE"""),"Normalidade")</f>
        <v>Normalidade</v>
      </c>
    </row>
    <row r="2158" spans="1:12" ht="12.75">
      <c r="A2158" s="3" t="str">
        <f ca="1">IFERROR(__xludf.UNSUPPORTED("""COMPUTED_VALUE"""),"5f3b2dfb")</f>
        <v>5f3b2dfb</v>
      </c>
      <c r="B2158" s="4">
        <f ca="1">IFERROR(__xludf.UNSUPPORTED("""COMPUTED_VALUE"""),44957.3794212962)</f>
        <v>44957.379421296202</v>
      </c>
      <c r="C2158" s="7" t="str">
        <f ca="1">IFERROR(__xludf.UNSUPPORTED("""COMPUTED_VALUE"""),"Salvador")</f>
        <v>Salvador</v>
      </c>
      <c r="D2158" s="3" t="str">
        <f ca="1">IFERROR(__xludf.UNSUPPORTED("""COMPUTED_VALUE"""),"🚢 REGULAR")</f>
        <v>🚢 REGULAR</v>
      </c>
      <c r="E2158" s="3" t="str">
        <f ca="1">IFERROR(__xludf.UNSUPPORTED("""COMPUTED_VALUE"""),"🚛 LIBERADO")</f>
        <v>🚛 LIBERADO</v>
      </c>
      <c r="F2158" s="5">
        <f ca="1">IFERROR(__xludf.UNSUPPORTED("""COMPUTED_VALUE"""),0)</f>
        <v>0</v>
      </c>
      <c r="G2158" s="3" t="str">
        <f ca="1">IFERROR(__xludf.UNSUPPORTED("""COMPUTED_VALUE"""),"Normalidade")</f>
        <v>Normalidade</v>
      </c>
      <c r="H2158" s="4">
        <f ca="1">IFERROR(__xludf.UNSUPPORTED("""COMPUTED_VALUE"""),44957.3794212962)</f>
        <v>44957.379421296202</v>
      </c>
      <c r="I2158" s="3">
        <f ca="1">IFERROR(__xludf.UNSUPPORTED("""COMPUTED_VALUE"""),24)</f>
        <v>24</v>
      </c>
      <c r="J2158" s="4">
        <f ca="1">IFERROR(__xludf.UNSUPPORTED("""COMPUTED_VALUE"""),44958.3794212962)</f>
        <v>44958.379421296202</v>
      </c>
      <c r="L2158" s="3" t="str">
        <f ca="1">IFERROR(__xludf.UNSUPPORTED("""COMPUTED_VALUE"""),"Normalidade")</f>
        <v>Normalidade</v>
      </c>
    </row>
    <row r="2159" spans="1:12" ht="12.75">
      <c r="A2159" s="3" t="str">
        <f ca="1">IFERROR(__xludf.UNSUPPORTED("""COMPUTED_VALUE"""),"1e0ac892")</f>
        <v>1e0ac892</v>
      </c>
      <c r="B2159" s="4">
        <f ca="1">IFERROR(__xludf.UNSUPPORTED("""COMPUTED_VALUE"""),44958.29)</f>
        <v>44958.29</v>
      </c>
      <c r="C2159" s="7" t="str">
        <f ca="1">IFERROR(__xludf.UNSUPPORTED("""COMPUTED_VALUE"""),"Salvador")</f>
        <v>Salvador</v>
      </c>
      <c r="D2159" s="3" t="str">
        <f ca="1">IFERROR(__xludf.UNSUPPORTED("""COMPUTED_VALUE"""),"🚢 REGULAR")</f>
        <v>🚢 REGULAR</v>
      </c>
      <c r="E2159" s="3" t="str">
        <f ca="1">IFERROR(__xludf.UNSUPPORTED("""COMPUTED_VALUE"""),"🚛 LIBERADO")</f>
        <v>🚛 LIBERADO</v>
      </c>
      <c r="F2159" s="5">
        <f ca="1">IFERROR(__xludf.UNSUPPORTED("""COMPUTED_VALUE"""),0)</f>
        <v>0</v>
      </c>
      <c r="G2159" s="3" t="str">
        <f ca="1">IFERROR(__xludf.UNSUPPORTED("""COMPUTED_VALUE"""),"Normalidade")</f>
        <v>Normalidade</v>
      </c>
      <c r="H2159" s="4">
        <f ca="1">IFERROR(__xludf.UNSUPPORTED("""COMPUTED_VALUE"""),44958.29)</f>
        <v>44958.29</v>
      </c>
      <c r="I2159" s="3">
        <f ca="1">IFERROR(__xludf.UNSUPPORTED("""COMPUTED_VALUE"""),24)</f>
        <v>24</v>
      </c>
      <c r="J2159" s="4">
        <f ca="1">IFERROR(__xludf.UNSUPPORTED("""COMPUTED_VALUE"""),44959.29)</f>
        <v>44959.29</v>
      </c>
      <c r="L2159" s="3" t="str">
        <f ca="1">IFERROR(__xludf.UNSUPPORTED("""COMPUTED_VALUE"""),"Normalidade")</f>
        <v>Normalidade</v>
      </c>
    </row>
    <row r="2160" spans="1:12" ht="12.75">
      <c r="A2160" s="3" t="str">
        <f ca="1">IFERROR(__xludf.UNSUPPORTED("""COMPUTED_VALUE"""),"f4812126")</f>
        <v>f4812126</v>
      </c>
      <c r="B2160" s="4">
        <f ca="1">IFERROR(__xludf.UNSUPPORTED("""COMPUTED_VALUE"""),44960.4613657407)</f>
        <v>44960.461365740703</v>
      </c>
      <c r="C2160" s="8" t="str">
        <f ca="1">IFERROR(__xludf.UNSUPPORTED("""COMPUTED_VALUE"""),"Salvador")</f>
        <v>Salvador</v>
      </c>
      <c r="D2160" s="3" t="str">
        <f ca="1">IFERROR(__xludf.UNSUPPORTED("""COMPUTED_VALUE"""),"🚢 REGULAR")</f>
        <v>🚢 REGULAR</v>
      </c>
      <c r="E2160" s="3" t="str">
        <f ca="1">IFERROR(__xludf.UNSUPPORTED("""COMPUTED_VALUE"""),"🚛 LIBERADO")</f>
        <v>🚛 LIBERADO</v>
      </c>
      <c r="F2160" s="5">
        <f ca="1">IFERROR(__xludf.UNSUPPORTED("""COMPUTED_VALUE"""),0)</f>
        <v>0</v>
      </c>
      <c r="G2160" s="3" t="str">
        <f ca="1">IFERROR(__xludf.UNSUPPORTED("""COMPUTED_VALUE"""),"Normalidade")</f>
        <v>Normalidade</v>
      </c>
      <c r="H2160" s="4">
        <f ca="1">IFERROR(__xludf.UNSUPPORTED("""COMPUTED_VALUE"""),44960.4613657407)</f>
        <v>44960.461365740703</v>
      </c>
      <c r="I2160" s="3">
        <f ca="1">IFERROR(__xludf.UNSUPPORTED("""COMPUTED_VALUE"""),24)</f>
        <v>24</v>
      </c>
      <c r="J2160" s="4">
        <f ca="1">IFERROR(__xludf.UNSUPPORTED("""COMPUTED_VALUE"""),44961.4613657407)</f>
        <v>44961.461365740703</v>
      </c>
      <c r="L2160" s="3" t="str">
        <f ca="1">IFERROR(__xludf.UNSUPPORTED("""COMPUTED_VALUE"""),"Normalidade")</f>
        <v>Normalidade</v>
      </c>
    </row>
    <row r="2161" spans="1:12" ht="12.75">
      <c r="A2161" s="3" t="str">
        <f ca="1">IFERROR(__xludf.UNSUPPORTED("""COMPUTED_VALUE"""),"1987b645")</f>
        <v>1987b645</v>
      </c>
      <c r="B2161" s="4">
        <f ca="1">IFERROR(__xludf.UNSUPPORTED("""COMPUTED_VALUE"""),44962.4208101851)</f>
        <v>44962.420810185104</v>
      </c>
      <c r="C2161" s="7" t="str">
        <f ca="1">IFERROR(__xludf.UNSUPPORTED("""COMPUTED_VALUE"""),"Salvador")</f>
        <v>Salvador</v>
      </c>
      <c r="D2161" s="3" t="str">
        <f ca="1">IFERROR(__xludf.UNSUPPORTED("""COMPUTED_VALUE"""),"🚢 REGULAR")</f>
        <v>🚢 REGULAR</v>
      </c>
      <c r="E2161" s="3" t="str">
        <f ca="1">IFERROR(__xludf.UNSUPPORTED("""COMPUTED_VALUE"""),"🚛 LIBERADO")</f>
        <v>🚛 LIBERADO</v>
      </c>
      <c r="F2161" s="5">
        <f ca="1">IFERROR(__xludf.UNSUPPORTED("""COMPUTED_VALUE"""),0)</f>
        <v>0</v>
      </c>
      <c r="G2161" s="3" t="str">
        <f ca="1">IFERROR(__xludf.UNSUPPORTED("""COMPUTED_VALUE"""),"Normalidade")</f>
        <v>Normalidade</v>
      </c>
      <c r="H2161" s="4">
        <f ca="1">IFERROR(__xludf.UNSUPPORTED("""COMPUTED_VALUE"""),44962.4208101851)</f>
        <v>44962.420810185104</v>
      </c>
      <c r="I2161" s="3">
        <f ca="1">IFERROR(__xludf.UNSUPPORTED("""COMPUTED_VALUE"""),24)</f>
        <v>24</v>
      </c>
      <c r="J2161" s="4">
        <f ca="1">IFERROR(__xludf.UNSUPPORTED("""COMPUTED_VALUE"""),44963.4208101851)</f>
        <v>44963.420810185104</v>
      </c>
      <c r="L2161" s="3" t="str">
        <f ca="1">IFERROR(__xludf.UNSUPPORTED("""COMPUTED_VALUE"""),"Normalidade")</f>
        <v>Normalidade</v>
      </c>
    </row>
    <row r="2162" spans="1:12" ht="12.75">
      <c r="A2162" s="3" t="str">
        <f ca="1">IFERROR(__xludf.UNSUPPORTED("""COMPUTED_VALUE"""),"5da257ed")</f>
        <v>5da257ed</v>
      </c>
      <c r="B2162" s="4">
        <f ca="1">IFERROR(__xludf.UNSUPPORTED("""COMPUTED_VALUE"""),44963.4960648148)</f>
        <v>44963.496064814797</v>
      </c>
      <c r="C2162" s="8" t="str">
        <f ca="1">IFERROR(__xludf.UNSUPPORTED("""COMPUTED_VALUE"""),"Salvador")</f>
        <v>Salvador</v>
      </c>
      <c r="D2162" s="3" t="str">
        <f ca="1">IFERROR(__xludf.UNSUPPORTED("""COMPUTED_VALUE"""),"🚢 REGULAR")</f>
        <v>🚢 REGULAR</v>
      </c>
      <c r="E2162" s="3" t="str">
        <f ca="1">IFERROR(__xludf.UNSUPPORTED("""COMPUTED_VALUE"""),"🚛 LIBERADO")</f>
        <v>🚛 LIBERADO</v>
      </c>
      <c r="F2162" s="5">
        <f ca="1">IFERROR(__xludf.UNSUPPORTED("""COMPUTED_VALUE"""),0)</f>
        <v>0</v>
      </c>
      <c r="G2162" s="3" t="str">
        <f ca="1">IFERROR(__xludf.UNSUPPORTED("""COMPUTED_VALUE"""),"Normalidade")</f>
        <v>Normalidade</v>
      </c>
      <c r="H2162" s="4">
        <f ca="1">IFERROR(__xludf.UNSUPPORTED("""COMPUTED_VALUE"""),44963.4960648148)</f>
        <v>44963.496064814797</v>
      </c>
      <c r="I2162" s="3">
        <f ca="1">IFERROR(__xludf.UNSUPPORTED("""COMPUTED_VALUE"""),24)</f>
        <v>24</v>
      </c>
      <c r="J2162" s="4">
        <f ca="1">IFERROR(__xludf.UNSUPPORTED("""COMPUTED_VALUE"""),44964.4960648148)</f>
        <v>44964.496064814797</v>
      </c>
      <c r="L2162" s="3" t="str">
        <f ca="1">IFERROR(__xludf.UNSUPPORTED("""COMPUTED_VALUE"""),"Normalidade")</f>
        <v>Normalidade</v>
      </c>
    </row>
    <row r="2163" spans="1:12" ht="12.75">
      <c r="A2163" s="3" t="str">
        <f ca="1">IFERROR(__xludf.UNSUPPORTED("""COMPUTED_VALUE"""),"14f01741")</f>
        <v>14f01741</v>
      </c>
      <c r="B2163" s="4">
        <f ca="1">IFERROR(__xludf.UNSUPPORTED("""COMPUTED_VALUE"""),44964.4449884259)</f>
        <v>44964.444988425901</v>
      </c>
      <c r="C2163" s="8" t="str">
        <f ca="1">IFERROR(__xludf.UNSUPPORTED("""COMPUTED_VALUE"""),"Salvador")</f>
        <v>Salvador</v>
      </c>
      <c r="D2163" s="3" t="str">
        <f ca="1">IFERROR(__xludf.UNSUPPORTED("""COMPUTED_VALUE"""),"🚢 REGULAR")</f>
        <v>🚢 REGULAR</v>
      </c>
      <c r="E2163" s="3" t="str">
        <f ca="1">IFERROR(__xludf.UNSUPPORTED("""COMPUTED_VALUE"""),"🚛 LIBERADO")</f>
        <v>🚛 LIBERADO</v>
      </c>
      <c r="F2163" s="5">
        <f ca="1">IFERROR(__xludf.UNSUPPORTED("""COMPUTED_VALUE"""),0)</f>
        <v>0</v>
      </c>
      <c r="G2163" s="3" t="str">
        <f ca="1">IFERROR(__xludf.UNSUPPORTED("""COMPUTED_VALUE"""),"Normalidade")</f>
        <v>Normalidade</v>
      </c>
      <c r="H2163" s="4">
        <f ca="1">IFERROR(__xludf.UNSUPPORTED("""COMPUTED_VALUE"""),44964.4449884259)</f>
        <v>44964.444988425901</v>
      </c>
      <c r="I2163" s="3">
        <f ca="1">IFERROR(__xludf.UNSUPPORTED("""COMPUTED_VALUE"""),24)</f>
        <v>24</v>
      </c>
      <c r="J2163" s="4">
        <f ca="1">IFERROR(__xludf.UNSUPPORTED("""COMPUTED_VALUE"""),44965.4449884259)</f>
        <v>44965.444988425901</v>
      </c>
      <c r="L2163" s="3" t="str">
        <f ca="1">IFERROR(__xludf.UNSUPPORTED("""COMPUTED_VALUE"""),"Normalidade")</f>
        <v>Normalidade</v>
      </c>
    </row>
    <row r="2164" spans="1:12" ht="12.75">
      <c r="A2164" s="3" t="str">
        <f ca="1">IFERROR(__xludf.UNSUPPORTED("""COMPUTED_VALUE"""),"c471f5c8")</f>
        <v>c471f5c8</v>
      </c>
      <c r="B2164" s="4">
        <f ca="1">IFERROR(__xludf.UNSUPPORTED("""COMPUTED_VALUE"""),44965.5202662037)</f>
        <v>44965.520266203697</v>
      </c>
      <c r="C2164" s="8" t="str">
        <f ca="1">IFERROR(__xludf.UNSUPPORTED("""COMPUTED_VALUE"""),"Salvador")</f>
        <v>Salvador</v>
      </c>
      <c r="D2164" s="3" t="str">
        <f ca="1">IFERROR(__xludf.UNSUPPORTED("""COMPUTED_VALUE"""),"🚢 REGULAR")</f>
        <v>🚢 REGULAR</v>
      </c>
      <c r="E2164" s="3" t="str">
        <f ca="1">IFERROR(__xludf.UNSUPPORTED("""COMPUTED_VALUE"""),"🚛 LIBERADO")</f>
        <v>🚛 LIBERADO</v>
      </c>
      <c r="F2164" s="5">
        <f ca="1">IFERROR(__xludf.UNSUPPORTED("""COMPUTED_VALUE"""),0)</f>
        <v>0</v>
      </c>
      <c r="G2164" s="3" t="str">
        <f ca="1">IFERROR(__xludf.UNSUPPORTED("""COMPUTED_VALUE"""),"Normalidade")</f>
        <v>Normalidade</v>
      </c>
      <c r="H2164" s="4">
        <f ca="1">IFERROR(__xludf.UNSUPPORTED("""COMPUTED_VALUE"""),44965.5202662037)</f>
        <v>44965.520266203697</v>
      </c>
      <c r="I2164" s="3">
        <f ca="1">IFERROR(__xludf.UNSUPPORTED("""COMPUTED_VALUE"""),24)</f>
        <v>24</v>
      </c>
      <c r="J2164" s="4">
        <f ca="1">IFERROR(__xludf.UNSUPPORTED("""COMPUTED_VALUE"""),44966.5202662037)</f>
        <v>44966.520266203697</v>
      </c>
      <c r="L2164" s="3" t="str">
        <f ca="1">IFERROR(__xludf.UNSUPPORTED("""COMPUTED_VALUE"""),"Normalidade")</f>
        <v>Normalidade</v>
      </c>
    </row>
    <row r="2165" spans="1:12" ht="12.75">
      <c r="A2165" s="3" t="str">
        <f ca="1">IFERROR(__xludf.UNSUPPORTED("""COMPUTED_VALUE"""),"180c40d0")</f>
        <v>180c40d0</v>
      </c>
      <c r="B2165" s="4">
        <f ca="1">IFERROR(__xludf.UNSUPPORTED("""COMPUTED_VALUE"""),44967.4034953703)</f>
        <v>44967.403495370301</v>
      </c>
      <c r="C2165" s="8" t="str">
        <f ca="1">IFERROR(__xludf.UNSUPPORTED("""COMPUTED_VALUE"""),"Salvador")</f>
        <v>Salvador</v>
      </c>
      <c r="D2165" s="3" t="str">
        <f ca="1">IFERROR(__xludf.UNSUPPORTED("""COMPUTED_VALUE"""),"🚢 REGULAR")</f>
        <v>🚢 REGULAR</v>
      </c>
      <c r="E2165" s="3" t="str">
        <f ca="1">IFERROR(__xludf.UNSUPPORTED("""COMPUTED_VALUE"""),"🚛 LIBERADO")</f>
        <v>🚛 LIBERADO</v>
      </c>
      <c r="F2165" s="5">
        <f ca="1">IFERROR(__xludf.UNSUPPORTED("""COMPUTED_VALUE"""),0)</f>
        <v>0</v>
      </c>
      <c r="G2165" s="3" t="str">
        <f ca="1">IFERROR(__xludf.UNSUPPORTED("""COMPUTED_VALUE"""),"Normalidade")</f>
        <v>Normalidade</v>
      </c>
      <c r="H2165" s="4">
        <f ca="1">IFERROR(__xludf.UNSUPPORTED("""COMPUTED_VALUE"""),44967.4034953703)</f>
        <v>44967.403495370301</v>
      </c>
      <c r="I2165" s="3">
        <f ca="1">IFERROR(__xludf.UNSUPPORTED("""COMPUTED_VALUE"""),24)</f>
        <v>24</v>
      </c>
      <c r="J2165" s="4">
        <f ca="1">IFERROR(__xludf.UNSUPPORTED("""COMPUTED_VALUE"""),44968.4034953703)</f>
        <v>44968.403495370301</v>
      </c>
      <c r="L2165" s="3" t="str">
        <f ca="1">IFERROR(__xludf.UNSUPPORTED("""COMPUTED_VALUE"""),"Normalidade")</f>
        <v>Normalidade</v>
      </c>
    </row>
    <row r="2166" spans="1:12" ht="12.75">
      <c r="A2166" s="3" t="str">
        <f ca="1">IFERROR(__xludf.UNSUPPORTED("""COMPUTED_VALUE"""),"b442e4c0")</f>
        <v>b442e4c0</v>
      </c>
      <c r="B2166" s="4">
        <f ca="1">IFERROR(__xludf.UNSUPPORTED("""COMPUTED_VALUE"""),44970.3888425926)</f>
        <v>44970.388842592598</v>
      </c>
      <c r="C2166" s="7" t="str">
        <f ca="1">IFERROR(__xludf.UNSUPPORTED("""COMPUTED_VALUE"""),"Salvador")</f>
        <v>Salvador</v>
      </c>
      <c r="D2166" s="3" t="str">
        <f ca="1">IFERROR(__xludf.UNSUPPORTED("""COMPUTED_VALUE"""),"🚢 REGULAR")</f>
        <v>🚢 REGULAR</v>
      </c>
      <c r="E2166" s="3" t="str">
        <f ca="1">IFERROR(__xludf.UNSUPPORTED("""COMPUTED_VALUE"""),"🚛 LIBERADO")</f>
        <v>🚛 LIBERADO</v>
      </c>
      <c r="F2166" s="5">
        <f ca="1">IFERROR(__xludf.UNSUPPORTED("""COMPUTED_VALUE"""),0)</f>
        <v>0</v>
      </c>
      <c r="G2166" s="3" t="str">
        <f ca="1">IFERROR(__xludf.UNSUPPORTED("""COMPUTED_VALUE"""),"Normalidade")</f>
        <v>Normalidade</v>
      </c>
      <c r="H2166" s="4">
        <f ca="1">IFERROR(__xludf.UNSUPPORTED("""COMPUTED_VALUE"""),44970.3888425926)</f>
        <v>44970.388842592598</v>
      </c>
      <c r="I2166" s="3">
        <f ca="1">IFERROR(__xludf.UNSUPPORTED("""COMPUTED_VALUE"""),24)</f>
        <v>24</v>
      </c>
      <c r="J2166" s="4">
        <f ca="1">IFERROR(__xludf.UNSUPPORTED("""COMPUTED_VALUE"""),44971.3888425926)</f>
        <v>44971.388842592598</v>
      </c>
      <c r="L2166" s="3" t="str">
        <f ca="1">IFERROR(__xludf.UNSUPPORTED("""COMPUTED_VALUE"""),"Normalidade")</f>
        <v>Normalidade</v>
      </c>
    </row>
    <row r="2167" spans="1:12" ht="12.75">
      <c r="A2167" s="3" t="str">
        <f ca="1">IFERROR(__xludf.UNSUPPORTED("""COMPUTED_VALUE"""),"835c5415")</f>
        <v>835c5415</v>
      </c>
      <c r="B2167" s="4">
        <f ca="1">IFERROR(__xludf.UNSUPPORTED("""COMPUTED_VALUE"""),44972.4939467592)</f>
        <v>44972.493946759198</v>
      </c>
      <c r="C2167" s="7" t="str">
        <f ca="1">IFERROR(__xludf.UNSUPPORTED("""COMPUTED_VALUE"""),"Salvador")</f>
        <v>Salvador</v>
      </c>
      <c r="D2167" s="3" t="str">
        <f ca="1">IFERROR(__xludf.UNSUPPORTED("""COMPUTED_VALUE"""),"🚢 REGULAR")</f>
        <v>🚢 REGULAR</v>
      </c>
      <c r="E2167" s="3" t="str">
        <f ca="1">IFERROR(__xludf.UNSUPPORTED("""COMPUTED_VALUE"""),"🚛 LIBERADO")</f>
        <v>🚛 LIBERADO</v>
      </c>
      <c r="F2167" s="5">
        <f ca="1">IFERROR(__xludf.UNSUPPORTED("""COMPUTED_VALUE"""),0)</f>
        <v>0</v>
      </c>
      <c r="G2167" s="3" t="str">
        <f ca="1">IFERROR(__xludf.UNSUPPORTED("""COMPUTED_VALUE"""),"Normalidade")</f>
        <v>Normalidade</v>
      </c>
      <c r="H2167" s="4">
        <f ca="1">IFERROR(__xludf.UNSUPPORTED("""COMPUTED_VALUE"""),44972.4939467592)</f>
        <v>44972.493946759198</v>
      </c>
      <c r="I2167" s="3">
        <f ca="1">IFERROR(__xludf.UNSUPPORTED("""COMPUTED_VALUE"""),24)</f>
        <v>24</v>
      </c>
      <c r="J2167" s="4">
        <f ca="1">IFERROR(__xludf.UNSUPPORTED("""COMPUTED_VALUE"""),44973.4939467592)</f>
        <v>44973.493946759198</v>
      </c>
      <c r="L2167" s="3" t="str">
        <f ca="1">IFERROR(__xludf.UNSUPPORTED("""COMPUTED_VALUE"""),"Normalidade")</f>
        <v>Normalidade</v>
      </c>
    </row>
    <row r="2168" spans="1:12" ht="12.75">
      <c r="A2168" s="3" t="str">
        <f ca="1">IFERROR(__xludf.UNSUPPORTED("""COMPUTED_VALUE"""),"440b9d3e")</f>
        <v>440b9d3e</v>
      </c>
      <c r="B2168" s="4">
        <f ca="1">IFERROR(__xludf.UNSUPPORTED("""COMPUTED_VALUE"""),44973.4243634259)</f>
        <v>44973.424363425896</v>
      </c>
      <c r="C2168" s="7" t="str">
        <f ca="1">IFERROR(__xludf.UNSUPPORTED("""COMPUTED_VALUE"""),"Salvador")</f>
        <v>Salvador</v>
      </c>
      <c r="D2168" s="3" t="str">
        <f ca="1">IFERROR(__xludf.UNSUPPORTED("""COMPUTED_VALUE"""),"🚢 REGULAR")</f>
        <v>🚢 REGULAR</v>
      </c>
      <c r="E2168" s="3" t="str">
        <f ca="1">IFERROR(__xludf.UNSUPPORTED("""COMPUTED_VALUE"""),"🚛 LIBERADO")</f>
        <v>🚛 LIBERADO</v>
      </c>
      <c r="F2168" s="5">
        <f ca="1">IFERROR(__xludf.UNSUPPORTED("""COMPUTED_VALUE"""),0)</f>
        <v>0</v>
      </c>
      <c r="G2168" s="3" t="str">
        <f ca="1">IFERROR(__xludf.UNSUPPORTED("""COMPUTED_VALUE"""),"Normalidade")</f>
        <v>Normalidade</v>
      </c>
      <c r="H2168" s="4">
        <f ca="1">IFERROR(__xludf.UNSUPPORTED("""COMPUTED_VALUE"""),44973.4243634259)</f>
        <v>44973.424363425896</v>
      </c>
      <c r="I2168" s="3">
        <f ca="1">IFERROR(__xludf.UNSUPPORTED("""COMPUTED_VALUE"""),24)</f>
        <v>24</v>
      </c>
      <c r="J2168" s="4">
        <f ca="1">IFERROR(__xludf.UNSUPPORTED("""COMPUTED_VALUE"""),44974.4243634259)</f>
        <v>44974.424363425896</v>
      </c>
      <c r="L2168" s="3" t="str">
        <f ca="1">IFERROR(__xludf.UNSUPPORTED("""COMPUTED_VALUE"""),"Normalidade")</f>
        <v>Normalidade</v>
      </c>
    </row>
    <row r="2169" spans="1:12" ht="12.75">
      <c r="A2169" s="3" t="str">
        <f ca="1">IFERROR(__xludf.UNSUPPORTED("""COMPUTED_VALUE"""),"8fc85bee")</f>
        <v>8fc85bee</v>
      </c>
      <c r="B2169" s="4">
        <f ca="1">IFERROR(__xludf.UNSUPPORTED("""COMPUTED_VALUE"""),44977.4303587962)</f>
        <v>44977.430358796199</v>
      </c>
      <c r="C2169" s="8" t="str">
        <f ca="1">IFERROR(__xludf.UNSUPPORTED("""COMPUTED_VALUE"""),"Salvador")</f>
        <v>Salvador</v>
      </c>
      <c r="D2169" s="3" t="str">
        <f ca="1">IFERROR(__xludf.UNSUPPORTED("""COMPUTED_VALUE"""),"🚢 REGULAR")</f>
        <v>🚢 REGULAR</v>
      </c>
      <c r="E2169" s="3" t="str">
        <f ca="1">IFERROR(__xludf.UNSUPPORTED("""COMPUTED_VALUE"""),"🚛 LIBERADO")</f>
        <v>🚛 LIBERADO</v>
      </c>
      <c r="F2169" s="5">
        <f ca="1">IFERROR(__xludf.UNSUPPORTED("""COMPUTED_VALUE"""),0)</f>
        <v>0</v>
      </c>
      <c r="G2169" s="3" t="str">
        <f ca="1">IFERROR(__xludf.UNSUPPORTED("""COMPUTED_VALUE"""),"Normalidade")</f>
        <v>Normalidade</v>
      </c>
      <c r="H2169" s="4">
        <f ca="1">IFERROR(__xludf.UNSUPPORTED("""COMPUTED_VALUE"""),44977.4303587962)</f>
        <v>44977.430358796199</v>
      </c>
      <c r="I2169" s="3">
        <f ca="1">IFERROR(__xludf.UNSUPPORTED("""COMPUTED_VALUE"""),24)</f>
        <v>24</v>
      </c>
      <c r="J2169" s="4">
        <f ca="1">IFERROR(__xludf.UNSUPPORTED("""COMPUTED_VALUE"""),44978.4303587962)</f>
        <v>44978.430358796199</v>
      </c>
      <c r="L2169" s="3" t="str">
        <f ca="1">IFERROR(__xludf.UNSUPPORTED("""COMPUTED_VALUE"""),"Normalidade")</f>
        <v>Normalidade</v>
      </c>
    </row>
    <row r="2170" spans="1:12" ht="12.75">
      <c r="A2170" s="3" t="str">
        <f ca="1">IFERROR(__xludf.UNSUPPORTED("""COMPUTED_VALUE"""),"6586b47f")</f>
        <v>6586b47f</v>
      </c>
      <c r="B2170" s="4">
        <f ca="1">IFERROR(__xludf.UNSUPPORTED("""COMPUTED_VALUE"""),44979.3137847222)</f>
        <v>44979.313784722202</v>
      </c>
      <c r="C2170" s="8" t="str">
        <f ca="1">IFERROR(__xludf.UNSUPPORTED("""COMPUTED_VALUE"""),"Salvador")</f>
        <v>Salvador</v>
      </c>
      <c r="D2170" s="3" t="str">
        <f ca="1">IFERROR(__xludf.UNSUPPORTED("""COMPUTED_VALUE"""),"🚢 REGULAR")</f>
        <v>🚢 REGULAR</v>
      </c>
      <c r="E2170" s="3" t="str">
        <f ca="1">IFERROR(__xludf.UNSUPPORTED("""COMPUTED_VALUE"""),"🚛 LIBERADO")</f>
        <v>🚛 LIBERADO</v>
      </c>
      <c r="F2170" s="5">
        <f ca="1">IFERROR(__xludf.UNSUPPORTED("""COMPUTED_VALUE"""),0)</f>
        <v>0</v>
      </c>
      <c r="G2170" s="3" t="str">
        <f ca="1">IFERROR(__xludf.UNSUPPORTED("""COMPUTED_VALUE"""),"Normalidade")</f>
        <v>Normalidade</v>
      </c>
      <c r="H2170" s="4">
        <f ca="1">IFERROR(__xludf.UNSUPPORTED("""COMPUTED_VALUE"""),44979.3137847222)</f>
        <v>44979.313784722202</v>
      </c>
      <c r="I2170" s="3">
        <f ca="1">IFERROR(__xludf.UNSUPPORTED("""COMPUTED_VALUE"""),24)</f>
        <v>24</v>
      </c>
      <c r="J2170" s="4">
        <f ca="1">IFERROR(__xludf.UNSUPPORTED("""COMPUTED_VALUE"""),44980.3137847222)</f>
        <v>44980.313784722202</v>
      </c>
      <c r="L2170" s="3" t="str">
        <f ca="1">IFERROR(__xludf.UNSUPPORTED("""COMPUTED_VALUE"""),"Normalidade")</f>
        <v>Normalidade</v>
      </c>
    </row>
    <row r="2171" spans="1:12" ht="12.75">
      <c r="A2171" s="3" t="str">
        <f ca="1">IFERROR(__xludf.UNSUPPORTED("""COMPUTED_VALUE"""),"57c338e4")</f>
        <v>57c338e4</v>
      </c>
      <c r="B2171" s="4">
        <f ca="1">IFERROR(__xludf.UNSUPPORTED("""COMPUTED_VALUE"""),44981.3121180555)</f>
        <v>44981.312118055503</v>
      </c>
      <c r="C2171" s="7" t="str">
        <f ca="1">IFERROR(__xludf.UNSUPPORTED("""COMPUTED_VALUE"""),"Salvador")</f>
        <v>Salvador</v>
      </c>
      <c r="D2171" s="3" t="str">
        <f ca="1">IFERROR(__xludf.UNSUPPORTED("""COMPUTED_VALUE"""),"🚢 REGULAR")</f>
        <v>🚢 REGULAR</v>
      </c>
      <c r="E2171" s="3" t="str">
        <f ca="1">IFERROR(__xludf.UNSUPPORTED("""COMPUTED_VALUE"""),"🚛 LIBERADO")</f>
        <v>🚛 LIBERADO</v>
      </c>
      <c r="F2171" s="5">
        <f ca="1">IFERROR(__xludf.UNSUPPORTED("""COMPUTED_VALUE"""),0)</f>
        <v>0</v>
      </c>
      <c r="G2171" s="3" t="str">
        <f ca="1">IFERROR(__xludf.UNSUPPORTED("""COMPUTED_VALUE"""),"Normalidade")</f>
        <v>Normalidade</v>
      </c>
      <c r="H2171" s="4">
        <f ca="1">IFERROR(__xludf.UNSUPPORTED("""COMPUTED_VALUE"""),44981.3121180555)</f>
        <v>44981.312118055503</v>
      </c>
      <c r="I2171" s="3">
        <f ca="1">IFERROR(__xludf.UNSUPPORTED("""COMPUTED_VALUE"""),24)</f>
        <v>24</v>
      </c>
      <c r="J2171" s="4">
        <f ca="1">IFERROR(__xludf.UNSUPPORTED("""COMPUTED_VALUE"""),44982.3121180555)</f>
        <v>44982.312118055503</v>
      </c>
      <c r="L2171" s="3" t="str">
        <f ca="1">IFERROR(__xludf.UNSUPPORTED("""COMPUTED_VALUE"""),"Normalidade")</f>
        <v>Normalidade</v>
      </c>
    </row>
    <row r="2172" spans="1:12" ht="12.75">
      <c r="A2172" s="3" t="str">
        <f ca="1">IFERROR(__xludf.UNSUPPORTED("""COMPUTED_VALUE"""),"0798b292")</f>
        <v>0798b292</v>
      </c>
      <c r="B2172" s="4">
        <f ca="1">IFERROR(__xludf.UNSUPPORTED("""COMPUTED_VALUE"""),44984.4142129629)</f>
        <v>44984.414212962904</v>
      </c>
      <c r="C2172" s="7" t="str">
        <f ca="1">IFERROR(__xludf.UNSUPPORTED("""COMPUTED_VALUE"""),"Salvador")</f>
        <v>Salvador</v>
      </c>
      <c r="D2172" s="3" t="str">
        <f ca="1">IFERROR(__xludf.UNSUPPORTED("""COMPUTED_VALUE"""),"🚢 REGULAR")</f>
        <v>🚢 REGULAR</v>
      </c>
      <c r="E2172" s="3" t="str">
        <f ca="1">IFERROR(__xludf.UNSUPPORTED("""COMPUTED_VALUE"""),"🚛 LIBERADO")</f>
        <v>🚛 LIBERADO</v>
      </c>
      <c r="F2172" s="5">
        <f ca="1">IFERROR(__xludf.UNSUPPORTED("""COMPUTED_VALUE"""),0)</f>
        <v>0</v>
      </c>
      <c r="G2172" s="3" t="str">
        <f ca="1">IFERROR(__xludf.UNSUPPORTED("""COMPUTED_VALUE"""),"Normalidade")</f>
        <v>Normalidade</v>
      </c>
      <c r="H2172" s="4">
        <f ca="1">IFERROR(__xludf.UNSUPPORTED("""COMPUTED_VALUE"""),44984.4142129629)</f>
        <v>44984.414212962904</v>
      </c>
      <c r="I2172" s="3">
        <f ca="1">IFERROR(__xludf.UNSUPPORTED("""COMPUTED_VALUE"""),24)</f>
        <v>24</v>
      </c>
      <c r="J2172" s="4">
        <f ca="1">IFERROR(__xludf.UNSUPPORTED("""COMPUTED_VALUE"""),44985.4142129629)</f>
        <v>44985.414212962904</v>
      </c>
      <c r="L2172" s="3" t="str">
        <f ca="1">IFERROR(__xludf.UNSUPPORTED("""COMPUTED_VALUE"""),"Normalidade")</f>
        <v>Normalidade</v>
      </c>
    </row>
    <row r="2173" spans="1:12" ht="12.75">
      <c r="A2173" s="3" t="str">
        <f ca="1">IFERROR(__xludf.UNSUPPORTED("""COMPUTED_VALUE"""),"77dca889")</f>
        <v>77dca889</v>
      </c>
      <c r="B2173" s="4">
        <f ca="1">IFERROR(__xludf.UNSUPPORTED("""COMPUTED_VALUE"""),44985.3852662037)</f>
        <v>44985.385266203702</v>
      </c>
      <c r="C2173" s="7" t="str">
        <f ca="1">IFERROR(__xludf.UNSUPPORTED("""COMPUTED_VALUE"""),"Salvador")</f>
        <v>Salvador</v>
      </c>
      <c r="D2173" s="3" t="str">
        <f ca="1">IFERROR(__xludf.UNSUPPORTED("""COMPUTED_VALUE"""),"🚢 REGULAR")</f>
        <v>🚢 REGULAR</v>
      </c>
      <c r="E2173" s="3" t="str">
        <f ca="1">IFERROR(__xludf.UNSUPPORTED("""COMPUTED_VALUE"""),"🚛 LIBERADO")</f>
        <v>🚛 LIBERADO</v>
      </c>
      <c r="F2173" s="5">
        <f ca="1">IFERROR(__xludf.UNSUPPORTED("""COMPUTED_VALUE"""),0)</f>
        <v>0</v>
      </c>
      <c r="G2173" s="3" t="str">
        <f ca="1">IFERROR(__xludf.UNSUPPORTED("""COMPUTED_VALUE"""),"Normalidade")</f>
        <v>Normalidade</v>
      </c>
      <c r="H2173" s="4">
        <f ca="1">IFERROR(__xludf.UNSUPPORTED("""COMPUTED_VALUE"""),44985.3852662037)</f>
        <v>44985.385266203702</v>
      </c>
      <c r="I2173" s="3">
        <f ca="1">IFERROR(__xludf.UNSUPPORTED("""COMPUTED_VALUE"""),24)</f>
        <v>24</v>
      </c>
      <c r="J2173" s="4">
        <f ca="1">IFERROR(__xludf.UNSUPPORTED("""COMPUTED_VALUE"""),44986.3852662037)</f>
        <v>44986.385266203702</v>
      </c>
      <c r="L2173" s="3" t="str">
        <f ca="1">IFERROR(__xludf.UNSUPPORTED("""COMPUTED_VALUE"""),"Normalidade")</f>
        <v>Normalidade</v>
      </c>
    </row>
    <row r="2174" spans="1:12" ht="12.75">
      <c r="A2174" s="3" t="str">
        <f ca="1">IFERROR(__xludf.UNSUPPORTED("""COMPUTED_VALUE"""),"f9458f33")</f>
        <v>f9458f33</v>
      </c>
      <c r="B2174" s="4">
        <f ca="1">IFERROR(__xludf.UNSUPPORTED("""COMPUTED_VALUE"""),44988.6129282407)</f>
        <v>44988.612928240698</v>
      </c>
      <c r="C2174" s="7" t="str">
        <f ca="1">IFERROR(__xludf.UNSUPPORTED("""COMPUTED_VALUE"""),"Salvador")</f>
        <v>Salvador</v>
      </c>
      <c r="D2174" s="3" t="str">
        <f ca="1">IFERROR(__xludf.UNSUPPORTED("""COMPUTED_VALUE"""),"🚢 REGULAR")</f>
        <v>🚢 REGULAR</v>
      </c>
      <c r="E2174" s="3" t="str">
        <f ca="1">IFERROR(__xludf.UNSUPPORTED("""COMPUTED_VALUE"""),"🚛 LIBERADO")</f>
        <v>🚛 LIBERADO</v>
      </c>
      <c r="F2174" s="5">
        <f ca="1">IFERROR(__xludf.UNSUPPORTED("""COMPUTED_VALUE"""),0)</f>
        <v>0</v>
      </c>
      <c r="G2174" s="3" t="str">
        <f ca="1">IFERROR(__xludf.UNSUPPORTED("""COMPUTED_VALUE"""),"Normalidade")</f>
        <v>Normalidade</v>
      </c>
      <c r="H2174" s="4">
        <f ca="1">IFERROR(__xludf.UNSUPPORTED("""COMPUTED_VALUE"""),44988.6129282407)</f>
        <v>44988.612928240698</v>
      </c>
      <c r="I2174" s="3">
        <f ca="1">IFERROR(__xludf.UNSUPPORTED("""COMPUTED_VALUE"""),24)</f>
        <v>24</v>
      </c>
      <c r="J2174" s="4">
        <f ca="1">IFERROR(__xludf.UNSUPPORTED("""COMPUTED_VALUE"""),44989.6129282407)</f>
        <v>44989.612928240698</v>
      </c>
      <c r="L2174" s="3" t="str">
        <f ca="1">IFERROR(__xludf.UNSUPPORTED("""COMPUTED_VALUE"""),"Normalidade")</f>
        <v>Normalidade</v>
      </c>
    </row>
    <row r="2175" spans="1:12" ht="12.75">
      <c r="A2175" s="3" t="str">
        <f ca="1">IFERROR(__xludf.UNSUPPORTED("""COMPUTED_VALUE"""),"dba19b95")</f>
        <v>dba19b95</v>
      </c>
      <c r="B2175" s="4">
        <f ca="1">IFERROR(__xludf.UNSUPPORTED("""COMPUTED_VALUE"""),44993.5946527777)</f>
        <v>44993.594652777698</v>
      </c>
      <c r="C2175" s="8" t="str">
        <f ca="1">IFERROR(__xludf.UNSUPPORTED("""COMPUTED_VALUE"""),"Salvador")</f>
        <v>Salvador</v>
      </c>
      <c r="D2175" s="3" t="str">
        <f ca="1">IFERROR(__xludf.UNSUPPORTED("""COMPUTED_VALUE"""),"🚢 REGULAR")</f>
        <v>🚢 REGULAR</v>
      </c>
      <c r="E2175" s="3" t="str">
        <f ca="1">IFERROR(__xludf.UNSUPPORTED("""COMPUTED_VALUE"""),"⚠️ PARCIALMENTE BLOQUEADO")</f>
        <v>⚠️ PARCIALMENTE BLOQUEADO</v>
      </c>
      <c r="F2175" s="5">
        <f ca="1">IFERROR(__xludf.UNSUPPORTED("""COMPUTED_VALUE"""),0.25)</f>
        <v>0.25</v>
      </c>
      <c r="G2175" s="3" t="str">
        <f ca="1">IFERROR(__xludf.UNSUPPORTED("""COMPUTED_VALUE"""),"Conteiner tombou na entrada do túnel de acesso ao pátio de triagem, desvio sendo feito pela Av. Jequitaia é entrada pelo Portão da OGMOSA")</f>
        <v>Conteiner tombou na entrada do túnel de acesso ao pátio de triagem, desvio sendo feito pela Av. Jequitaia é entrada pelo Portão da OGMOSA</v>
      </c>
      <c r="H2175" s="4">
        <f ca="1">IFERROR(__xludf.UNSUPPORTED("""COMPUTED_VALUE"""),44993.2916666666)</f>
        <v>44993.291666666599</v>
      </c>
      <c r="I2175" s="3">
        <f ca="1">IFERROR(__xludf.UNSUPPORTED("""COMPUTED_VALUE"""),10)</f>
        <v>10</v>
      </c>
      <c r="J2175" s="4">
        <f ca="1">IFERROR(__xludf.UNSUPPORTED("""COMPUTED_VALUE"""),44993.7083333333)</f>
        <v>44993.708333333299</v>
      </c>
      <c r="K2175" s="3" t="str">
        <f ca="1">IFERROR(__xludf.UNSUPPORTED("""COMPUTED_VALUE"""),"Guarda Portuária do Porto de Salvador")</f>
        <v>Guarda Portuária do Porto de Salvador</v>
      </c>
      <c r="L2175" s="3" t="str">
        <f ca="1">IFERROR(__xludf.UNSUPPORTED("""COMPUTED_VALUE"""),"Crítico")</f>
        <v>Crítico</v>
      </c>
    </row>
    <row r="2176" spans="1:12" ht="12.75">
      <c r="A2176" s="3" t="str">
        <f ca="1">IFERROR(__xludf.UNSUPPORTED("""COMPUTED_VALUE"""),"44c144a2")</f>
        <v>44c144a2</v>
      </c>
      <c r="B2176" s="4">
        <f ca="1">IFERROR(__xludf.UNSUPPORTED("""COMPUTED_VALUE"""),44993.7493287037)</f>
        <v>44993.7493287037</v>
      </c>
      <c r="C2176" s="7" t="str">
        <f ca="1">IFERROR(__xludf.UNSUPPORTED("""COMPUTED_VALUE"""),"Salvador")</f>
        <v>Salvador</v>
      </c>
      <c r="D2176" s="3" t="str">
        <f ca="1">IFERROR(__xludf.UNSUPPORTED("""COMPUTED_VALUE"""),"🚢 REGULAR")</f>
        <v>🚢 REGULAR</v>
      </c>
      <c r="E2176" s="3" t="str">
        <f ca="1">IFERROR(__xludf.UNSUPPORTED("""COMPUTED_VALUE"""),"🚛 LIBERADO")</f>
        <v>🚛 LIBERADO</v>
      </c>
      <c r="F2176" s="5">
        <f ca="1">IFERROR(__xludf.UNSUPPORTED("""COMPUTED_VALUE"""),0)</f>
        <v>0</v>
      </c>
      <c r="G2176" s="3" t="str">
        <f ca="1">IFERROR(__xludf.UNSUPPORTED("""COMPUTED_VALUE"""),"Normalidade")</f>
        <v>Normalidade</v>
      </c>
      <c r="H2176" s="4">
        <f ca="1">IFERROR(__xludf.UNSUPPORTED("""COMPUTED_VALUE"""),44993.7493287037)</f>
        <v>44993.7493287037</v>
      </c>
      <c r="I2176" s="3">
        <f ca="1">IFERROR(__xludf.UNSUPPORTED("""COMPUTED_VALUE"""),24)</f>
        <v>24</v>
      </c>
      <c r="J2176" s="4">
        <f ca="1">IFERROR(__xludf.UNSUPPORTED("""COMPUTED_VALUE"""),44994.7493287037)</f>
        <v>44994.7493287037</v>
      </c>
      <c r="L2176" s="3" t="str">
        <f ca="1">IFERROR(__xludf.UNSUPPORTED("""COMPUTED_VALUE"""),"Normalidade")</f>
        <v>Normalidade</v>
      </c>
    </row>
    <row r="2177" spans="1:12" ht="12.75">
      <c r="A2177" s="3" t="str">
        <f ca="1">IFERROR(__xludf.UNSUPPORTED("""COMPUTED_VALUE"""),"76b78a38")</f>
        <v>76b78a38</v>
      </c>
      <c r="B2177" s="4">
        <f ca="1">IFERROR(__xludf.UNSUPPORTED("""COMPUTED_VALUE"""),44995.3772569444)</f>
        <v>44995.377256944397</v>
      </c>
      <c r="C2177" s="8" t="str">
        <f ca="1">IFERROR(__xludf.UNSUPPORTED("""COMPUTED_VALUE"""),"Salvador")</f>
        <v>Salvador</v>
      </c>
      <c r="D2177" s="3" t="str">
        <f ca="1">IFERROR(__xludf.UNSUPPORTED("""COMPUTED_VALUE"""),"🚢 REGULAR")</f>
        <v>🚢 REGULAR</v>
      </c>
      <c r="E2177" s="3" t="str">
        <f ca="1">IFERROR(__xludf.UNSUPPORTED("""COMPUTED_VALUE"""),"🚛 LIBERADO")</f>
        <v>🚛 LIBERADO</v>
      </c>
      <c r="F2177" s="5">
        <f ca="1">IFERROR(__xludf.UNSUPPORTED("""COMPUTED_VALUE"""),0)</f>
        <v>0</v>
      </c>
      <c r="G2177" s="3" t="str">
        <f ca="1">IFERROR(__xludf.UNSUPPORTED("""COMPUTED_VALUE"""),"Normalidade")</f>
        <v>Normalidade</v>
      </c>
      <c r="H2177" s="4">
        <f ca="1">IFERROR(__xludf.UNSUPPORTED("""COMPUTED_VALUE"""),44995.3772569444)</f>
        <v>44995.377256944397</v>
      </c>
      <c r="I2177" s="3">
        <f ca="1">IFERROR(__xludf.UNSUPPORTED("""COMPUTED_VALUE"""),24)</f>
        <v>24</v>
      </c>
      <c r="J2177" s="4">
        <f ca="1">IFERROR(__xludf.UNSUPPORTED("""COMPUTED_VALUE"""),44996.3772569444)</f>
        <v>44996.377256944397</v>
      </c>
      <c r="L2177" s="3" t="str">
        <f ca="1">IFERROR(__xludf.UNSUPPORTED("""COMPUTED_VALUE"""),"Normalidade")</f>
        <v>Normalidade</v>
      </c>
    </row>
    <row r="2178" spans="1:12" ht="12.75">
      <c r="A2178" s="3" t="str">
        <f ca="1">IFERROR(__xludf.UNSUPPORTED("""COMPUTED_VALUE"""),"816342f1")</f>
        <v>816342f1</v>
      </c>
      <c r="B2178" s="4">
        <f ca="1">IFERROR(__xludf.UNSUPPORTED("""COMPUTED_VALUE"""),44998.3546412037)</f>
        <v>44998.354641203703</v>
      </c>
      <c r="C2178" s="7" t="str">
        <f ca="1">IFERROR(__xludf.UNSUPPORTED("""COMPUTED_VALUE"""),"Salvador")</f>
        <v>Salvador</v>
      </c>
      <c r="D2178" s="3" t="str">
        <f ca="1">IFERROR(__xludf.UNSUPPORTED("""COMPUTED_VALUE"""),"🚢 REGULAR")</f>
        <v>🚢 REGULAR</v>
      </c>
      <c r="E2178" s="3" t="str">
        <f ca="1">IFERROR(__xludf.UNSUPPORTED("""COMPUTED_VALUE"""),"🚛 LIBERADO")</f>
        <v>🚛 LIBERADO</v>
      </c>
      <c r="F2178" s="5">
        <f ca="1">IFERROR(__xludf.UNSUPPORTED("""COMPUTED_VALUE"""),0)</f>
        <v>0</v>
      </c>
      <c r="G2178" s="3" t="str">
        <f ca="1">IFERROR(__xludf.UNSUPPORTED("""COMPUTED_VALUE"""),"Normalidade")</f>
        <v>Normalidade</v>
      </c>
      <c r="H2178" s="4">
        <f ca="1">IFERROR(__xludf.UNSUPPORTED("""COMPUTED_VALUE"""),44998.3546412037)</f>
        <v>44998.354641203703</v>
      </c>
      <c r="I2178" s="3">
        <f ca="1">IFERROR(__xludf.UNSUPPORTED("""COMPUTED_VALUE"""),24)</f>
        <v>24</v>
      </c>
      <c r="J2178" s="4">
        <f ca="1">IFERROR(__xludf.UNSUPPORTED("""COMPUTED_VALUE"""),44999.3546412037)</f>
        <v>44999.354641203703</v>
      </c>
      <c r="L2178" s="3" t="str">
        <f ca="1">IFERROR(__xludf.UNSUPPORTED("""COMPUTED_VALUE"""),"Normalidade")</f>
        <v>Normalidade</v>
      </c>
    </row>
    <row r="2179" spans="1:12" ht="12.75">
      <c r="A2179" s="3" t="str">
        <f ca="1">IFERROR(__xludf.UNSUPPORTED("""COMPUTED_VALUE"""),"e93dc66f")</f>
        <v>e93dc66f</v>
      </c>
      <c r="B2179" s="4">
        <f ca="1">IFERROR(__xludf.UNSUPPORTED("""COMPUTED_VALUE"""),45000.5082175925)</f>
        <v>45000.508217592498</v>
      </c>
      <c r="C2179" s="8" t="str">
        <f ca="1">IFERROR(__xludf.UNSUPPORTED("""COMPUTED_VALUE"""),"Salvador")</f>
        <v>Salvador</v>
      </c>
      <c r="D2179" s="3" t="str">
        <f ca="1">IFERROR(__xludf.UNSUPPORTED("""COMPUTED_VALUE"""),"🚢 REGULAR")</f>
        <v>🚢 REGULAR</v>
      </c>
      <c r="E2179" s="3" t="str">
        <f ca="1">IFERROR(__xludf.UNSUPPORTED("""COMPUTED_VALUE"""),"🚛 LIBERADO")</f>
        <v>🚛 LIBERADO</v>
      </c>
      <c r="F2179" s="5">
        <f ca="1">IFERROR(__xludf.UNSUPPORTED("""COMPUTED_VALUE"""),0)</f>
        <v>0</v>
      </c>
      <c r="G2179" s="3" t="str">
        <f ca="1">IFERROR(__xludf.UNSUPPORTED("""COMPUTED_VALUE"""),"Normalidade")</f>
        <v>Normalidade</v>
      </c>
      <c r="H2179" s="4">
        <f ca="1">IFERROR(__xludf.UNSUPPORTED("""COMPUTED_VALUE"""),45000.5082175925)</f>
        <v>45000.508217592498</v>
      </c>
      <c r="I2179" s="3">
        <f ca="1">IFERROR(__xludf.UNSUPPORTED("""COMPUTED_VALUE"""),24)</f>
        <v>24</v>
      </c>
      <c r="J2179" s="4">
        <f ca="1">IFERROR(__xludf.UNSUPPORTED("""COMPUTED_VALUE"""),45001.5082175925)</f>
        <v>45001.508217592498</v>
      </c>
      <c r="L2179" s="3" t="str">
        <f ca="1">IFERROR(__xludf.UNSUPPORTED("""COMPUTED_VALUE"""),"Normalidade")</f>
        <v>Normalidade</v>
      </c>
    </row>
    <row r="2180" spans="1:12" ht="12.75">
      <c r="A2180" s="3" t="str">
        <f ca="1">IFERROR(__xludf.UNSUPPORTED("""COMPUTED_VALUE"""),"511139a4")</f>
        <v>511139a4</v>
      </c>
      <c r="B2180" s="4">
        <f ca="1">IFERROR(__xludf.UNSUPPORTED("""COMPUTED_VALUE"""),45006.5180787037)</f>
        <v>45006.518078703702</v>
      </c>
      <c r="C2180" s="8" t="str">
        <f ca="1">IFERROR(__xludf.UNSUPPORTED("""COMPUTED_VALUE"""),"Salvador")</f>
        <v>Salvador</v>
      </c>
      <c r="D2180" s="3" t="str">
        <f ca="1">IFERROR(__xludf.UNSUPPORTED("""COMPUTED_VALUE"""),"🚢 REGULAR")</f>
        <v>🚢 REGULAR</v>
      </c>
      <c r="E2180" s="3" t="str">
        <f ca="1">IFERROR(__xludf.UNSUPPORTED("""COMPUTED_VALUE"""),"🚛 LIBERADO")</f>
        <v>🚛 LIBERADO</v>
      </c>
      <c r="F2180" s="5">
        <f ca="1">IFERROR(__xludf.UNSUPPORTED("""COMPUTED_VALUE"""),0)</f>
        <v>0</v>
      </c>
      <c r="G2180" s="3" t="str">
        <f ca="1">IFERROR(__xludf.UNSUPPORTED("""COMPUTED_VALUE"""),"Normalidade")</f>
        <v>Normalidade</v>
      </c>
      <c r="H2180" s="4">
        <f ca="1">IFERROR(__xludf.UNSUPPORTED("""COMPUTED_VALUE"""),45006.5180787037)</f>
        <v>45006.518078703702</v>
      </c>
      <c r="I2180" s="3">
        <f ca="1">IFERROR(__xludf.UNSUPPORTED("""COMPUTED_VALUE"""),24)</f>
        <v>24</v>
      </c>
      <c r="J2180" s="4">
        <f ca="1">IFERROR(__xludf.UNSUPPORTED("""COMPUTED_VALUE"""),45007.5180787037)</f>
        <v>45007.518078703702</v>
      </c>
      <c r="L2180" s="3" t="str">
        <f ca="1">IFERROR(__xludf.UNSUPPORTED("""COMPUTED_VALUE"""),"Normalidade")</f>
        <v>Normalidade</v>
      </c>
    </row>
    <row r="2181" spans="1:12" ht="12.75">
      <c r="A2181" s="3" t="str">
        <f ca="1">IFERROR(__xludf.UNSUPPORTED("""COMPUTED_VALUE"""),"c4237134")</f>
        <v>c4237134</v>
      </c>
      <c r="B2181" s="4">
        <f ca="1">IFERROR(__xludf.UNSUPPORTED("""COMPUTED_VALUE"""),45008.3682060185)</f>
        <v>45008.368206018502</v>
      </c>
      <c r="C2181" s="8" t="str">
        <f ca="1">IFERROR(__xludf.UNSUPPORTED("""COMPUTED_VALUE"""),"Salvador")</f>
        <v>Salvador</v>
      </c>
      <c r="D2181" s="3" t="str">
        <f ca="1">IFERROR(__xludf.UNSUPPORTED("""COMPUTED_VALUE"""),"🚢 REGULAR")</f>
        <v>🚢 REGULAR</v>
      </c>
      <c r="E2181" s="3" t="str">
        <f ca="1">IFERROR(__xludf.UNSUPPORTED("""COMPUTED_VALUE"""),"🚛 LIBERADO")</f>
        <v>🚛 LIBERADO</v>
      </c>
      <c r="F2181" s="5">
        <f ca="1">IFERROR(__xludf.UNSUPPORTED("""COMPUTED_VALUE"""),0)</f>
        <v>0</v>
      </c>
      <c r="G2181" s="3" t="str">
        <f ca="1">IFERROR(__xludf.UNSUPPORTED("""COMPUTED_VALUE"""),"Normalidade")</f>
        <v>Normalidade</v>
      </c>
      <c r="H2181" s="4">
        <f ca="1">IFERROR(__xludf.UNSUPPORTED("""COMPUTED_VALUE"""),45008.3682060185)</f>
        <v>45008.368206018502</v>
      </c>
      <c r="I2181" s="3">
        <f ca="1">IFERROR(__xludf.UNSUPPORTED("""COMPUTED_VALUE"""),24)</f>
        <v>24</v>
      </c>
      <c r="J2181" s="4">
        <f ca="1">IFERROR(__xludf.UNSUPPORTED("""COMPUTED_VALUE"""),45009.3682060185)</f>
        <v>45009.368206018502</v>
      </c>
      <c r="L2181" s="3" t="str">
        <f ca="1">IFERROR(__xludf.UNSUPPORTED("""COMPUTED_VALUE"""),"Normalidade")</f>
        <v>Normalidade</v>
      </c>
    </row>
    <row r="2182" spans="1:12" ht="12.75">
      <c r="A2182" s="3" t="str">
        <f ca="1">IFERROR(__xludf.UNSUPPORTED("""COMPUTED_VALUE"""),"8e271b0a")</f>
        <v>8e271b0a</v>
      </c>
      <c r="B2182" s="4">
        <f ca="1">IFERROR(__xludf.UNSUPPORTED("""COMPUTED_VALUE"""),45012.3734606481)</f>
        <v>45012.373460648101</v>
      </c>
      <c r="C2182" s="7" t="str">
        <f ca="1">IFERROR(__xludf.UNSUPPORTED("""COMPUTED_VALUE"""),"Salvador")</f>
        <v>Salvador</v>
      </c>
      <c r="D2182" s="3" t="str">
        <f ca="1">IFERROR(__xludf.UNSUPPORTED("""COMPUTED_VALUE"""),"🚢 REGULAR")</f>
        <v>🚢 REGULAR</v>
      </c>
      <c r="E2182" s="3" t="str">
        <f ca="1">IFERROR(__xludf.UNSUPPORTED("""COMPUTED_VALUE"""),"🚛 LIBERADO")</f>
        <v>🚛 LIBERADO</v>
      </c>
      <c r="F2182" s="5">
        <f ca="1">IFERROR(__xludf.UNSUPPORTED("""COMPUTED_VALUE"""),0)</f>
        <v>0</v>
      </c>
      <c r="G2182" s="3" t="str">
        <f ca="1">IFERROR(__xludf.UNSUPPORTED("""COMPUTED_VALUE"""),"Normalidade")</f>
        <v>Normalidade</v>
      </c>
      <c r="H2182" s="4">
        <f ca="1">IFERROR(__xludf.UNSUPPORTED("""COMPUTED_VALUE"""),45012.3734606481)</f>
        <v>45012.373460648101</v>
      </c>
      <c r="I2182" s="3">
        <f ca="1">IFERROR(__xludf.UNSUPPORTED("""COMPUTED_VALUE"""),24)</f>
        <v>24</v>
      </c>
      <c r="J2182" s="4">
        <f ca="1">IFERROR(__xludf.UNSUPPORTED("""COMPUTED_VALUE"""),45013.3734606481)</f>
        <v>45013.373460648101</v>
      </c>
      <c r="L2182" s="3" t="str">
        <f ca="1">IFERROR(__xludf.UNSUPPORTED("""COMPUTED_VALUE"""),"Normalidade")</f>
        <v>Normalidade</v>
      </c>
    </row>
    <row r="2183" spans="1:12" ht="12.75">
      <c r="A2183" s="3" t="str">
        <f ca="1">IFERROR(__xludf.UNSUPPORTED("""COMPUTED_VALUE"""),"963631a5")</f>
        <v>963631a5</v>
      </c>
      <c r="B2183" s="4">
        <f ca="1">IFERROR(__xludf.UNSUPPORTED("""COMPUTED_VALUE"""),45015.6031712963)</f>
        <v>45015.603171296301</v>
      </c>
      <c r="C2183" s="7" t="str">
        <f ca="1">IFERROR(__xludf.UNSUPPORTED("""COMPUTED_VALUE"""),"Salvador")</f>
        <v>Salvador</v>
      </c>
      <c r="D2183" s="3" t="str">
        <f ca="1">IFERROR(__xludf.UNSUPPORTED("""COMPUTED_VALUE"""),"🚢 REGULAR")</f>
        <v>🚢 REGULAR</v>
      </c>
      <c r="E2183" s="3" t="str">
        <f ca="1">IFERROR(__xludf.UNSUPPORTED("""COMPUTED_VALUE"""),"🚛 LIBERADO")</f>
        <v>🚛 LIBERADO</v>
      </c>
      <c r="F2183" s="5">
        <f ca="1">IFERROR(__xludf.UNSUPPORTED("""COMPUTED_VALUE"""),0)</f>
        <v>0</v>
      </c>
      <c r="G2183" s="3" t="str">
        <f ca="1">IFERROR(__xludf.UNSUPPORTED("""COMPUTED_VALUE"""),"Normalidade")</f>
        <v>Normalidade</v>
      </c>
      <c r="H2183" s="4">
        <f ca="1">IFERROR(__xludf.UNSUPPORTED("""COMPUTED_VALUE"""),45015.6031712963)</f>
        <v>45015.603171296301</v>
      </c>
      <c r="I2183" s="3">
        <f ca="1">IFERROR(__xludf.UNSUPPORTED("""COMPUTED_VALUE"""),24)</f>
        <v>24</v>
      </c>
      <c r="J2183" s="4">
        <f ca="1">IFERROR(__xludf.UNSUPPORTED("""COMPUTED_VALUE"""),45016.6031712963)</f>
        <v>45016.603171296301</v>
      </c>
      <c r="L2183" s="3" t="str">
        <f ca="1">IFERROR(__xludf.UNSUPPORTED("""COMPUTED_VALUE"""),"Normalidade")</f>
        <v>Normalidade</v>
      </c>
    </row>
    <row r="2184" spans="1:12" ht="12.75">
      <c r="A2184" s="3" t="str">
        <f ca="1">IFERROR(__xludf.UNSUPPORTED("""COMPUTED_VALUE"""),"b8742433")</f>
        <v>b8742433</v>
      </c>
      <c r="B2184" s="4">
        <f ca="1">IFERROR(__xludf.UNSUPPORTED("""COMPUTED_VALUE"""),45019.4870601851)</f>
        <v>45019.4870601851</v>
      </c>
      <c r="C2184" s="7" t="str">
        <f ca="1">IFERROR(__xludf.UNSUPPORTED("""COMPUTED_VALUE"""),"Salvador")</f>
        <v>Salvador</v>
      </c>
      <c r="D2184" s="3" t="str">
        <f ca="1">IFERROR(__xludf.UNSUPPORTED("""COMPUTED_VALUE"""),"🚢 REGULAR")</f>
        <v>🚢 REGULAR</v>
      </c>
      <c r="E2184" s="3" t="str">
        <f ca="1">IFERROR(__xludf.UNSUPPORTED("""COMPUTED_VALUE"""),"🚛 LIBERADO")</f>
        <v>🚛 LIBERADO</v>
      </c>
      <c r="F2184" s="5">
        <f ca="1">IFERROR(__xludf.UNSUPPORTED("""COMPUTED_VALUE"""),0)</f>
        <v>0</v>
      </c>
      <c r="G2184" s="3" t="str">
        <f ca="1">IFERROR(__xludf.UNSUPPORTED("""COMPUTED_VALUE"""),"Normalidade")</f>
        <v>Normalidade</v>
      </c>
      <c r="H2184" s="4">
        <f ca="1">IFERROR(__xludf.UNSUPPORTED("""COMPUTED_VALUE"""),45019.4870601851)</f>
        <v>45019.4870601851</v>
      </c>
      <c r="I2184" s="3">
        <f ca="1">IFERROR(__xludf.UNSUPPORTED("""COMPUTED_VALUE"""),24)</f>
        <v>24</v>
      </c>
      <c r="J2184" s="4">
        <f ca="1">IFERROR(__xludf.UNSUPPORTED("""COMPUTED_VALUE"""),45020.4870601851)</f>
        <v>45020.4870601851</v>
      </c>
      <c r="L2184" s="3" t="str">
        <f ca="1">IFERROR(__xludf.UNSUPPORTED("""COMPUTED_VALUE"""),"Normalidade")</f>
        <v>Normalidade</v>
      </c>
    </row>
    <row r="2185" spans="1:12" ht="12.75">
      <c r="A2185" s="3" t="str">
        <f ca="1">IFERROR(__xludf.UNSUPPORTED("""COMPUTED_VALUE"""),"c01e6d3b")</f>
        <v>c01e6d3b</v>
      </c>
      <c r="B2185" s="4">
        <f ca="1">IFERROR(__xludf.UNSUPPORTED("""COMPUTED_VALUE"""),45027.5084722222)</f>
        <v>45027.508472222202</v>
      </c>
      <c r="C2185" s="7" t="str">
        <f ca="1">IFERROR(__xludf.UNSUPPORTED("""COMPUTED_VALUE"""),"Salvador")</f>
        <v>Salvador</v>
      </c>
      <c r="D2185" s="3" t="str">
        <f ca="1">IFERROR(__xludf.UNSUPPORTED("""COMPUTED_VALUE"""),"🚢 REGULAR")</f>
        <v>🚢 REGULAR</v>
      </c>
      <c r="E2185" s="3" t="str">
        <f ca="1">IFERROR(__xludf.UNSUPPORTED("""COMPUTED_VALUE"""),"🚛 LIBERADO")</f>
        <v>🚛 LIBERADO</v>
      </c>
      <c r="F2185" s="5">
        <f ca="1">IFERROR(__xludf.UNSUPPORTED("""COMPUTED_VALUE"""),0)</f>
        <v>0</v>
      </c>
      <c r="G2185" s="3" t="str">
        <f ca="1">IFERROR(__xludf.UNSUPPORTED("""COMPUTED_VALUE"""),"Normalidade")</f>
        <v>Normalidade</v>
      </c>
      <c r="H2185" s="4">
        <f ca="1">IFERROR(__xludf.UNSUPPORTED("""COMPUTED_VALUE"""),45027.5084722222)</f>
        <v>45027.508472222202</v>
      </c>
      <c r="I2185" s="3">
        <f ca="1">IFERROR(__xludf.UNSUPPORTED("""COMPUTED_VALUE"""),24)</f>
        <v>24</v>
      </c>
      <c r="J2185" s="4">
        <f ca="1">IFERROR(__xludf.UNSUPPORTED("""COMPUTED_VALUE"""),45028.5084722222)</f>
        <v>45028.508472222202</v>
      </c>
      <c r="L2185" s="3" t="str">
        <f ca="1">IFERROR(__xludf.UNSUPPORTED("""COMPUTED_VALUE"""),"Normalidade")</f>
        <v>Normalidade</v>
      </c>
    </row>
    <row r="2186" spans="1:12" ht="12.75">
      <c r="A2186" s="3" t="str">
        <f ca="1">IFERROR(__xludf.UNSUPPORTED("""COMPUTED_VALUE"""),"cb6dc215")</f>
        <v>cb6dc215</v>
      </c>
      <c r="B2186" s="4">
        <f ca="1">IFERROR(__xludf.UNSUPPORTED("""COMPUTED_VALUE"""),45030.4129976851)</f>
        <v>45030.412997685104</v>
      </c>
      <c r="C2186" s="8" t="str">
        <f ca="1">IFERROR(__xludf.UNSUPPORTED("""COMPUTED_VALUE"""),"Salvador")</f>
        <v>Salvador</v>
      </c>
      <c r="D2186" s="3" t="str">
        <f ca="1">IFERROR(__xludf.UNSUPPORTED("""COMPUTED_VALUE"""),"🚢 REGULAR")</f>
        <v>🚢 REGULAR</v>
      </c>
      <c r="E2186" s="3" t="str">
        <f ca="1">IFERROR(__xludf.UNSUPPORTED("""COMPUTED_VALUE"""),"🚛 LIBERADO")</f>
        <v>🚛 LIBERADO</v>
      </c>
      <c r="F2186" s="5">
        <f ca="1">IFERROR(__xludf.UNSUPPORTED("""COMPUTED_VALUE"""),0)</f>
        <v>0</v>
      </c>
      <c r="G2186" s="3" t="str">
        <f ca="1">IFERROR(__xludf.UNSUPPORTED("""COMPUTED_VALUE"""),"Normalidade")</f>
        <v>Normalidade</v>
      </c>
      <c r="H2186" s="4">
        <f ca="1">IFERROR(__xludf.UNSUPPORTED("""COMPUTED_VALUE"""),45030.4129976851)</f>
        <v>45030.412997685104</v>
      </c>
      <c r="I2186" s="3">
        <f ca="1">IFERROR(__xludf.UNSUPPORTED("""COMPUTED_VALUE"""),24)</f>
        <v>24</v>
      </c>
      <c r="J2186" s="4">
        <f ca="1">IFERROR(__xludf.UNSUPPORTED("""COMPUTED_VALUE"""),45031.4129976851)</f>
        <v>45031.412997685104</v>
      </c>
      <c r="L2186" s="3" t="str">
        <f ca="1">IFERROR(__xludf.UNSUPPORTED("""COMPUTED_VALUE"""),"Normalidade")</f>
        <v>Normalidade</v>
      </c>
    </row>
    <row r="2187" spans="1:12" ht="12.75">
      <c r="A2187" s="3" t="str">
        <f ca="1">IFERROR(__xludf.UNSUPPORTED("""COMPUTED_VALUE"""),"b7deb285")</f>
        <v>b7deb285</v>
      </c>
      <c r="B2187" s="4">
        <f ca="1">IFERROR(__xludf.UNSUPPORTED("""COMPUTED_VALUE"""),45033.3675462963)</f>
        <v>45033.3675462963</v>
      </c>
      <c r="C2187" s="7" t="str">
        <f ca="1">IFERROR(__xludf.UNSUPPORTED("""COMPUTED_VALUE"""),"Salvador")</f>
        <v>Salvador</v>
      </c>
      <c r="D2187" s="3" t="str">
        <f ca="1">IFERROR(__xludf.UNSUPPORTED("""COMPUTED_VALUE"""),"🚢 REGULAR")</f>
        <v>🚢 REGULAR</v>
      </c>
      <c r="E2187" s="3" t="str">
        <f ca="1">IFERROR(__xludf.UNSUPPORTED("""COMPUTED_VALUE"""),"🚛 LIBERADO")</f>
        <v>🚛 LIBERADO</v>
      </c>
      <c r="F2187" s="5">
        <f ca="1">IFERROR(__xludf.UNSUPPORTED("""COMPUTED_VALUE"""),0)</f>
        <v>0</v>
      </c>
      <c r="G2187" s="3" t="str">
        <f ca="1">IFERROR(__xludf.UNSUPPORTED("""COMPUTED_VALUE"""),"Normalidade")</f>
        <v>Normalidade</v>
      </c>
      <c r="H2187" s="4">
        <f ca="1">IFERROR(__xludf.UNSUPPORTED("""COMPUTED_VALUE"""),45033.3675462963)</f>
        <v>45033.3675462963</v>
      </c>
      <c r="I2187" s="3">
        <f ca="1">IFERROR(__xludf.UNSUPPORTED("""COMPUTED_VALUE"""),24)</f>
        <v>24</v>
      </c>
      <c r="J2187" s="4">
        <f ca="1">IFERROR(__xludf.UNSUPPORTED("""COMPUTED_VALUE"""),45034.3675462963)</f>
        <v>45034.3675462963</v>
      </c>
      <c r="L2187" s="3" t="str">
        <f ca="1">IFERROR(__xludf.UNSUPPORTED("""COMPUTED_VALUE"""),"Normalidade")</f>
        <v>Normalidade</v>
      </c>
    </row>
    <row r="2188" spans="1:12" ht="12.75">
      <c r="A2188" s="3" t="str">
        <f ca="1">IFERROR(__xludf.UNSUPPORTED("""COMPUTED_VALUE"""),"63ca1c1f")</f>
        <v>63ca1c1f</v>
      </c>
      <c r="B2188" s="4">
        <f ca="1">IFERROR(__xludf.UNSUPPORTED("""COMPUTED_VALUE"""),45036.4890509259)</f>
        <v>45036.489050925898</v>
      </c>
      <c r="C2188" s="8" t="str">
        <f ca="1">IFERROR(__xludf.UNSUPPORTED("""COMPUTED_VALUE"""),"Salvador")</f>
        <v>Salvador</v>
      </c>
      <c r="D2188" s="3" t="str">
        <f ca="1">IFERROR(__xludf.UNSUPPORTED("""COMPUTED_VALUE"""),"🚢 REGULAR")</f>
        <v>🚢 REGULAR</v>
      </c>
      <c r="E2188" s="3" t="str">
        <f ca="1">IFERROR(__xludf.UNSUPPORTED("""COMPUTED_VALUE"""),"🚛 LIBERADO")</f>
        <v>🚛 LIBERADO</v>
      </c>
      <c r="F2188" s="5">
        <f ca="1">IFERROR(__xludf.UNSUPPORTED("""COMPUTED_VALUE"""),0)</f>
        <v>0</v>
      </c>
      <c r="G2188" s="3" t="str">
        <f ca="1">IFERROR(__xludf.UNSUPPORTED("""COMPUTED_VALUE"""),"Normalidade")</f>
        <v>Normalidade</v>
      </c>
      <c r="H2188" s="4">
        <f ca="1">IFERROR(__xludf.UNSUPPORTED("""COMPUTED_VALUE"""),45036.4890509259)</f>
        <v>45036.489050925898</v>
      </c>
      <c r="I2188" s="3">
        <f ca="1">IFERROR(__xludf.UNSUPPORTED("""COMPUTED_VALUE"""),24)</f>
        <v>24</v>
      </c>
      <c r="J2188" s="4">
        <f ca="1">IFERROR(__xludf.UNSUPPORTED("""COMPUTED_VALUE"""),45037.4890509259)</f>
        <v>45037.489050925898</v>
      </c>
      <c r="L2188" s="3" t="str">
        <f ca="1">IFERROR(__xludf.UNSUPPORTED("""COMPUTED_VALUE"""),"Normalidade")</f>
        <v>Normalidade</v>
      </c>
    </row>
    <row r="2189" spans="1:12" ht="12.75">
      <c r="A2189" s="3" t="str">
        <f ca="1">IFERROR(__xludf.UNSUPPORTED("""COMPUTED_VALUE"""),"67c20d1e")</f>
        <v>67c20d1e</v>
      </c>
      <c r="B2189" s="4">
        <f ca="1">IFERROR(__xludf.UNSUPPORTED("""COMPUTED_VALUE"""),45048.4338888888)</f>
        <v>45048.433888888801</v>
      </c>
      <c r="C2189" s="7" t="str">
        <f ca="1">IFERROR(__xludf.UNSUPPORTED("""COMPUTED_VALUE"""),"Salvador")</f>
        <v>Salvador</v>
      </c>
      <c r="D2189" s="3" t="str">
        <f ca="1">IFERROR(__xludf.UNSUPPORTED("""COMPUTED_VALUE"""),"🚢 REGULAR")</f>
        <v>🚢 REGULAR</v>
      </c>
      <c r="E2189" s="3" t="str">
        <f ca="1">IFERROR(__xludf.UNSUPPORTED("""COMPUTED_VALUE"""),"🚛 LIBERADO")</f>
        <v>🚛 LIBERADO</v>
      </c>
      <c r="F2189" s="5">
        <f ca="1">IFERROR(__xludf.UNSUPPORTED("""COMPUTED_VALUE"""),0)</f>
        <v>0</v>
      </c>
      <c r="G2189" s="3" t="str">
        <f ca="1">IFERROR(__xludf.UNSUPPORTED("""COMPUTED_VALUE"""),"Normalidade")</f>
        <v>Normalidade</v>
      </c>
      <c r="H2189" s="4">
        <f ca="1">IFERROR(__xludf.UNSUPPORTED("""COMPUTED_VALUE"""),45048.4338888888)</f>
        <v>45048.433888888801</v>
      </c>
      <c r="I2189" s="3">
        <f ca="1">IFERROR(__xludf.UNSUPPORTED("""COMPUTED_VALUE"""),24)</f>
        <v>24</v>
      </c>
      <c r="J2189" s="4">
        <f ca="1">IFERROR(__xludf.UNSUPPORTED("""COMPUTED_VALUE"""),45049.4338888888)</f>
        <v>45049.433888888801</v>
      </c>
      <c r="L2189" s="3" t="str">
        <f ca="1">IFERROR(__xludf.UNSUPPORTED("""COMPUTED_VALUE"""),"Normalidade")</f>
        <v>Normalidade</v>
      </c>
    </row>
    <row r="2190" spans="1:12" ht="12.75">
      <c r="A2190" s="3" t="str">
        <f ca="1">IFERROR(__xludf.UNSUPPORTED("""COMPUTED_VALUE"""),"f3fdd6b3")</f>
        <v>f3fdd6b3</v>
      </c>
      <c r="B2190" s="4">
        <f ca="1">IFERROR(__xludf.UNSUPPORTED("""COMPUTED_VALUE"""),45051.3799421295)</f>
        <v>45051.379942129497</v>
      </c>
      <c r="C2190" s="8" t="str">
        <f ca="1">IFERROR(__xludf.UNSUPPORTED("""COMPUTED_VALUE"""),"Salvador")</f>
        <v>Salvador</v>
      </c>
      <c r="D2190" s="3" t="str">
        <f ca="1">IFERROR(__xludf.UNSUPPORTED("""COMPUTED_VALUE"""),"🚢 REGULAR")</f>
        <v>🚢 REGULAR</v>
      </c>
      <c r="E2190" s="3" t="str">
        <f ca="1">IFERROR(__xludf.UNSUPPORTED("""COMPUTED_VALUE"""),"🚛 LIBERADO")</f>
        <v>🚛 LIBERADO</v>
      </c>
      <c r="F2190" s="5">
        <f ca="1">IFERROR(__xludf.UNSUPPORTED("""COMPUTED_VALUE"""),0)</f>
        <v>0</v>
      </c>
      <c r="G2190" s="3" t="str">
        <f ca="1">IFERROR(__xludf.UNSUPPORTED("""COMPUTED_VALUE"""),"Normalidade")</f>
        <v>Normalidade</v>
      </c>
      <c r="H2190" s="4">
        <f ca="1">IFERROR(__xludf.UNSUPPORTED("""COMPUTED_VALUE"""),45051.3799421295)</f>
        <v>45051.379942129497</v>
      </c>
      <c r="I2190" s="3">
        <f ca="1">IFERROR(__xludf.UNSUPPORTED("""COMPUTED_VALUE"""),24)</f>
        <v>24</v>
      </c>
      <c r="J2190" s="4">
        <f ca="1">IFERROR(__xludf.UNSUPPORTED("""COMPUTED_VALUE"""),45052.3799421295)</f>
        <v>45052.379942129497</v>
      </c>
      <c r="L2190" s="3" t="str">
        <f ca="1">IFERROR(__xludf.UNSUPPORTED("""COMPUTED_VALUE"""),"Normalidade")</f>
        <v>Normalidade</v>
      </c>
    </row>
    <row r="2191" spans="1:12" ht="12.75">
      <c r="A2191" s="3" t="str">
        <f ca="1">IFERROR(__xludf.UNSUPPORTED("""COMPUTED_VALUE"""),"add40331")</f>
        <v>add40331</v>
      </c>
      <c r="B2191" s="4">
        <f ca="1">IFERROR(__xludf.UNSUPPORTED("""COMPUTED_VALUE"""),45055.3875810184)</f>
        <v>45055.387581018404</v>
      </c>
      <c r="C2191" s="8" t="str">
        <f ca="1">IFERROR(__xludf.UNSUPPORTED("""COMPUTED_VALUE"""),"Salvador")</f>
        <v>Salvador</v>
      </c>
      <c r="D2191" s="3" t="str">
        <f ca="1">IFERROR(__xludf.UNSUPPORTED("""COMPUTED_VALUE"""),"🚢 REGULAR")</f>
        <v>🚢 REGULAR</v>
      </c>
      <c r="E2191" s="3" t="str">
        <f ca="1">IFERROR(__xludf.UNSUPPORTED("""COMPUTED_VALUE"""),"🚛 LIBERADO")</f>
        <v>🚛 LIBERADO</v>
      </c>
      <c r="F2191" s="5">
        <f ca="1">IFERROR(__xludf.UNSUPPORTED("""COMPUTED_VALUE"""),0)</f>
        <v>0</v>
      </c>
      <c r="G2191" s="3" t="str">
        <f ca="1">IFERROR(__xludf.UNSUPPORTED("""COMPUTED_VALUE"""),"Normalidade")</f>
        <v>Normalidade</v>
      </c>
      <c r="H2191" s="4">
        <f ca="1">IFERROR(__xludf.UNSUPPORTED("""COMPUTED_VALUE"""),45055.3875810184)</f>
        <v>45055.387581018404</v>
      </c>
      <c r="I2191" s="3">
        <f ca="1">IFERROR(__xludf.UNSUPPORTED("""COMPUTED_VALUE"""),24)</f>
        <v>24</v>
      </c>
      <c r="J2191" s="4">
        <f ca="1">IFERROR(__xludf.UNSUPPORTED("""COMPUTED_VALUE"""),45056.3875810184)</f>
        <v>45056.387581018404</v>
      </c>
      <c r="L2191" s="3" t="str">
        <f ca="1">IFERROR(__xludf.UNSUPPORTED("""COMPUTED_VALUE"""),"Normalidade")</f>
        <v>Normalidade</v>
      </c>
    </row>
    <row r="2192" spans="1:12" ht="12.75">
      <c r="A2192" s="3" t="str">
        <f ca="1">IFERROR(__xludf.UNSUPPORTED("""COMPUTED_VALUE"""),"0f6d724e")</f>
        <v>0f6d724e</v>
      </c>
      <c r="B2192" s="4">
        <f ca="1">IFERROR(__xludf.UNSUPPORTED("""COMPUTED_VALUE"""),45061.3768287037)</f>
        <v>45061.376828703702</v>
      </c>
      <c r="C2192" s="8" t="str">
        <f ca="1">IFERROR(__xludf.UNSUPPORTED("""COMPUTED_VALUE"""),"Salvador")</f>
        <v>Salvador</v>
      </c>
      <c r="D2192" s="3" t="str">
        <f ca="1">IFERROR(__xludf.UNSUPPORTED("""COMPUTED_VALUE"""),"🚢 REGULAR")</f>
        <v>🚢 REGULAR</v>
      </c>
      <c r="E2192" s="3" t="str">
        <f ca="1">IFERROR(__xludf.UNSUPPORTED("""COMPUTED_VALUE"""),"🚛 LIBERADO")</f>
        <v>🚛 LIBERADO</v>
      </c>
      <c r="F2192" s="5">
        <f ca="1">IFERROR(__xludf.UNSUPPORTED("""COMPUTED_VALUE"""),0)</f>
        <v>0</v>
      </c>
      <c r="G2192" s="3" t="str">
        <f ca="1">IFERROR(__xludf.UNSUPPORTED("""COMPUTED_VALUE"""),"Normalidade")</f>
        <v>Normalidade</v>
      </c>
      <c r="H2192" s="4">
        <f ca="1">IFERROR(__xludf.UNSUPPORTED("""COMPUTED_VALUE"""),45061.3768287037)</f>
        <v>45061.376828703702</v>
      </c>
      <c r="I2192" s="3">
        <f ca="1">IFERROR(__xludf.UNSUPPORTED("""COMPUTED_VALUE"""),24)</f>
        <v>24</v>
      </c>
      <c r="J2192" s="4">
        <f ca="1">IFERROR(__xludf.UNSUPPORTED("""COMPUTED_VALUE"""),45062.3768287037)</f>
        <v>45062.376828703702</v>
      </c>
      <c r="L2192" s="3" t="str">
        <f ca="1">IFERROR(__xludf.UNSUPPORTED("""COMPUTED_VALUE"""),"Normalidade")</f>
        <v>Normalidade</v>
      </c>
    </row>
    <row r="2193" spans="1:12" ht="12.75">
      <c r="A2193" s="3" t="str">
        <f ca="1">IFERROR(__xludf.UNSUPPORTED("""COMPUTED_VALUE"""),"bf3c67f3")</f>
        <v>bf3c67f3</v>
      </c>
      <c r="B2193" s="4">
        <f ca="1">IFERROR(__xludf.UNSUPPORTED("""COMPUTED_VALUE"""),45064.4969097222)</f>
        <v>45064.496909722198</v>
      </c>
      <c r="C2193" s="8" t="str">
        <f ca="1">IFERROR(__xludf.UNSUPPORTED("""COMPUTED_VALUE"""),"Salvador")</f>
        <v>Salvador</v>
      </c>
      <c r="D2193" s="3" t="str">
        <f ca="1">IFERROR(__xludf.UNSUPPORTED("""COMPUTED_VALUE"""),"🚢 REGULAR")</f>
        <v>🚢 REGULAR</v>
      </c>
      <c r="E2193" s="3" t="str">
        <f ca="1">IFERROR(__xludf.UNSUPPORTED("""COMPUTED_VALUE"""),"🚛 LIBERADO")</f>
        <v>🚛 LIBERADO</v>
      </c>
      <c r="F2193" s="5">
        <f ca="1">IFERROR(__xludf.UNSUPPORTED("""COMPUTED_VALUE"""),0)</f>
        <v>0</v>
      </c>
      <c r="G2193" s="3" t="str">
        <f ca="1">IFERROR(__xludf.UNSUPPORTED("""COMPUTED_VALUE"""),"Normalidade")</f>
        <v>Normalidade</v>
      </c>
      <c r="H2193" s="4">
        <f ca="1">IFERROR(__xludf.UNSUPPORTED("""COMPUTED_VALUE"""),45064.4969097222)</f>
        <v>45064.496909722198</v>
      </c>
      <c r="I2193" s="3">
        <f ca="1">IFERROR(__xludf.UNSUPPORTED("""COMPUTED_VALUE"""),24)</f>
        <v>24</v>
      </c>
      <c r="J2193" s="4">
        <f ca="1">IFERROR(__xludf.UNSUPPORTED("""COMPUTED_VALUE"""),45065.4969097222)</f>
        <v>45065.496909722198</v>
      </c>
      <c r="L2193" s="3" t="str">
        <f ca="1">IFERROR(__xludf.UNSUPPORTED("""COMPUTED_VALUE"""),"Normalidade")</f>
        <v>Normalidade</v>
      </c>
    </row>
    <row r="2194" spans="1:12" ht="12.75">
      <c r="A2194" s="3" t="str">
        <f ca="1">IFERROR(__xludf.UNSUPPORTED("""COMPUTED_VALUE"""),"7306ba19")</f>
        <v>7306ba19</v>
      </c>
      <c r="B2194" s="4">
        <f ca="1">IFERROR(__xludf.UNSUPPORTED("""COMPUTED_VALUE"""),45065.452974537)</f>
        <v>45065.452974537002</v>
      </c>
      <c r="C2194" s="8" t="str">
        <f ca="1">IFERROR(__xludf.UNSUPPORTED("""COMPUTED_VALUE"""),"Salvador")</f>
        <v>Salvador</v>
      </c>
      <c r="D2194" s="3" t="str">
        <f ca="1">IFERROR(__xludf.UNSUPPORTED("""COMPUTED_VALUE"""),"🚢 REGULAR")</f>
        <v>🚢 REGULAR</v>
      </c>
      <c r="E2194" s="3" t="str">
        <f ca="1">IFERROR(__xludf.UNSUPPORTED("""COMPUTED_VALUE"""),"🚛 LIBERADO")</f>
        <v>🚛 LIBERADO</v>
      </c>
      <c r="F2194" s="5">
        <f ca="1">IFERROR(__xludf.UNSUPPORTED("""COMPUTED_VALUE"""),0)</f>
        <v>0</v>
      </c>
      <c r="G2194" s="3" t="str">
        <f ca="1">IFERROR(__xludf.UNSUPPORTED("""COMPUTED_VALUE"""),"Normalidade")</f>
        <v>Normalidade</v>
      </c>
      <c r="H2194" s="4">
        <f ca="1">IFERROR(__xludf.UNSUPPORTED("""COMPUTED_VALUE"""),45065.452974537)</f>
        <v>45065.452974537002</v>
      </c>
      <c r="I2194" s="3">
        <f ca="1">IFERROR(__xludf.UNSUPPORTED("""COMPUTED_VALUE"""),24)</f>
        <v>24</v>
      </c>
      <c r="J2194" s="4">
        <f ca="1">IFERROR(__xludf.UNSUPPORTED("""COMPUTED_VALUE"""),45066.452974537)</f>
        <v>45066.452974537002</v>
      </c>
      <c r="L2194" s="3" t="str">
        <f ca="1">IFERROR(__xludf.UNSUPPORTED("""COMPUTED_VALUE"""),"Normalidade")</f>
        <v>Normalidade</v>
      </c>
    </row>
    <row r="2195" spans="1:12" ht="12.75">
      <c r="A2195" s="3" t="str">
        <f ca="1">IFERROR(__xludf.UNSUPPORTED("""COMPUTED_VALUE"""),"99a1be83")</f>
        <v>99a1be83</v>
      </c>
      <c r="B2195" s="4">
        <f ca="1">IFERROR(__xludf.UNSUPPORTED("""COMPUTED_VALUE"""),45068.4241435185)</f>
        <v>45068.424143518503</v>
      </c>
      <c r="C2195" s="7" t="str">
        <f ca="1">IFERROR(__xludf.UNSUPPORTED("""COMPUTED_VALUE"""),"Salvador")</f>
        <v>Salvador</v>
      </c>
      <c r="D2195" s="3" t="str">
        <f ca="1">IFERROR(__xludf.UNSUPPORTED("""COMPUTED_VALUE"""),"🚢 REGULAR")</f>
        <v>🚢 REGULAR</v>
      </c>
      <c r="E2195" s="3" t="str">
        <f ca="1">IFERROR(__xludf.UNSUPPORTED("""COMPUTED_VALUE"""),"🚛 LIBERADO")</f>
        <v>🚛 LIBERADO</v>
      </c>
      <c r="F2195" s="5">
        <f ca="1">IFERROR(__xludf.UNSUPPORTED("""COMPUTED_VALUE"""),0)</f>
        <v>0</v>
      </c>
      <c r="G2195" s="3" t="str">
        <f ca="1">IFERROR(__xludf.UNSUPPORTED("""COMPUTED_VALUE"""),"Normalidade")</f>
        <v>Normalidade</v>
      </c>
      <c r="H2195" s="4">
        <f ca="1">IFERROR(__xludf.UNSUPPORTED("""COMPUTED_VALUE"""),45068.4241435185)</f>
        <v>45068.424143518503</v>
      </c>
      <c r="I2195" s="3">
        <f ca="1">IFERROR(__xludf.UNSUPPORTED("""COMPUTED_VALUE"""),24)</f>
        <v>24</v>
      </c>
      <c r="J2195" s="4">
        <f ca="1">IFERROR(__xludf.UNSUPPORTED("""COMPUTED_VALUE"""),45069.4241435185)</f>
        <v>45069.424143518503</v>
      </c>
      <c r="L2195" s="3" t="str">
        <f ca="1">IFERROR(__xludf.UNSUPPORTED("""COMPUTED_VALUE"""),"Normalidade")</f>
        <v>Normalidade</v>
      </c>
    </row>
    <row r="2196" spans="1:12" ht="12.75">
      <c r="A2196" s="3" t="str">
        <f ca="1">IFERROR(__xludf.UNSUPPORTED("""COMPUTED_VALUE"""),"f68cbf2c")</f>
        <v>f68cbf2c</v>
      </c>
      <c r="B2196" s="4">
        <f ca="1">IFERROR(__xludf.UNSUPPORTED("""COMPUTED_VALUE"""),45070.558761574)</f>
        <v>45070.558761574001</v>
      </c>
      <c r="C2196" s="8" t="str">
        <f ca="1">IFERROR(__xludf.UNSUPPORTED("""COMPUTED_VALUE"""),"Salvador")</f>
        <v>Salvador</v>
      </c>
      <c r="D2196" s="3" t="str">
        <f ca="1">IFERROR(__xludf.UNSUPPORTED("""COMPUTED_VALUE"""),"🚢 REGULAR")</f>
        <v>🚢 REGULAR</v>
      </c>
      <c r="E2196" s="3" t="str">
        <f ca="1">IFERROR(__xludf.UNSUPPORTED("""COMPUTED_VALUE"""),"🚛 LIBERADO")</f>
        <v>🚛 LIBERADO</v>
      </c>
      <c r="F2196" s="5">
        <f ca="1">IFERROR(__xludf.UNSUPPORTED("""COMPUTED_VALUE"""),0)</f>
        <v>0</v>
      </c>
      <c r="G2196" s="3" t="str">
        <f ca="1">IFERROR(__xludf.UNSUPPORTED("""COMPUTED_VALUE"""),"Normalidade")</f>
        <v>Normalidade</v>
      </c>
      <c r="H2196" s="4">
        <f ca="1">IFERROR(__xludf.UNSUPPORTED("""COMPUTED_VALUE"""),45070.558761574)</f>
        <v>45070.558761574001</v>
      </c>
      <c r="I2196" s="3">
        <f ca="1">IFERROR(__xludf.UNSUPPORTED("""COMPUTED_VALUE"""),24)</f>
        <v>24</v>
      </c>
      <c r="J2196" s="4">
        <f ca="1">IFERROR(__xludf.UNSUPPORTED("""COMPUTED_VALUE"""),45071.558761574)</f>
        <v>45071.558761574001</v>
      </c>
      <c r="L2196" s="3" t="str">
        <f ca="1">IFERROR(__xludf.UNSUPPORTED("""COMPUTED_VALUE"""),"Normalidade")</f>
        <v>Normalidade</v>
      </c>
    </row>
    <row r="2197" spans="1:12" ht="12.75">
      <c r="A2197" s="3" t="str">
        <f ca="1">IFERROR(__xludf.UNSUPPORTED("""COMPUTED_VALUE"""),"43dfebcf")</f>
        <v>43dfebcf</v>
      </c>
      <c r="B2197" s="4">
        <f ca="1">IFERROR(__xludf.UNSUPPORTED("""COMPUTED_VALUE"""),45072.421574074)</f>
        <v>45072.421574073996</v>
      </c>
      <c r="C2197" s="7" t="str">
        <f ca="1">IFERROR(__xludf.UNSUPPORTED("""COMPUTED_VALUE"""),"Salvador")</f>
        <v>Salvador</v>
      </c>
      <c r="D2197" s="3" t="str">
        <f ca="1">IFERROR(__xludf.UNSUPPORTED("""COMPUTED_VALUE"""),"🚢 REGULAR")</f>
        <v>🚢 REGULAR</v>
      </c>
      <c r="E2197" s="3" t="str">
        <f ca="1">IFERROR(__xludf.UNSUPPORTED("""COMPUTED_VALUE"""),"🚛 LIBERADO")</f>
        <v>🚛 LIBERADO</v>
      </c>
      <c r="F2197" s="5">
        <f ca="1">IFERROR(__xludf.UNSUPPORTED("""COMPUTED_VALUE"""),0)</f>
        <v>0</v>
      </c>
      <c r="G2197" s="3" t="str">
        <f ca="1">IFERROR(__xludf.UNSUPPORTED("""COMPUTED_VALUE"""),"Normalidade")</f>
        <v>Normalidade</v>
      </c>
      <c r="H2197" s="4">
        <f ca="1">IFERROR(__xludf.UNSUPPORTED("""COMPUTED_VALUE"""),45072.421574074)</f>
        <v>45072.421574073996</v>
      </c>
      <c r="I2197" s="3">
        <f ca="1">IFERROR(__xludf.UNSUPPORTED("""COMPUTED_VALUE"""),24)</f>
        <v>24</v>
      </c>
      <c r="J2197" s="4">
        <f ca="1">IFERROR(__xludf.UNSUPPORTED("""COMPUTED_VALUE"""),45073.421574074)</f>
        <v>45073.421574073996</v>
      </c>
      <c r="L2197" s="3" t="str">
        <f ca="1">IFERROR(__xludf.UNSUPPORTED("""COMPUTED_VALUE"""),"Normalidade")</f>
        <v>Normalidade</v>
      </c>
    </row>
    <row r="2198" spans="1:12" ht="12.75">
      <c r="A2198" s="3" t="str">
        <f ca="1">IFERROR(__xludf.UNSUPPORTED("""COMPUTED_VALUE"""),"1adf14c3")</f>
        <v>1adf14c3</v>
      </c>
      <c r="B2198" s="4">
        <f ca="1">IFERROR(__xludf.UNSUPPORTED("""COMPUTED_VALUE"""),45083.3467129629)</f>
        <v>45083.346712962899</v>
      </c>
      <c r="C2198" s="8" t="str">
        <f ca="1">IFERROR(__xludf.UNSUPPORTED("""COMPUTED_VALUE"""),"Salvador")</f>
        <v>Salvador</v>
      </c>
      <c r="D2198" s="3" t="str">
        <f ca="1">IFERROR(__xludf.UNSUPPORTED("""COMPUTED_VALUE"""),"🚢 REGULAR")</f>
        <v>🚢 REGULAR</v>
      </c>
      <c r="E2198" s="3" t="str">
        <f ca="1">IFERROR(__xludf.UNSUPPORTED("""COMPUTED_VALUE"""),"🚛 LIBERADO")</f>
        <v>🚛 LIBERADO</v>
      </c>
      <c r="F2198" s="5">
        <f ca="1">IFERROR(__xludf.UNSUPPORTED("""COMPUTED_VALUE"""),0)</f>
        <v>0</v>
      </c>
      <c r="G2198" s="3" t="str">
        <f ca="1">IFERROR(__xludf.UNSUPPORTED("""COMPUTED_VALUE"""),"Normalidade")</f>
        <v>Normalidade</v>
      </c>
      <c r="H2198" s="4">
        <f ca="1">IFERROR(__xludf.UNSUPPORTED("""COMPUTED_VALUE"""),45083.3467129629)</f>
        <v>45083.346712962899</v>
      </c>
      <c r="I2198" s="3">
        <f ca="1">IFERROR(__xludf.UNSUPPORTED("""COMPUTED_VALUE"""),24)</f>
        <v>24</v>
      </c>
      <c r="J2198" s="4">
        <f ca="1">IFERROR(__xludf.UNSUPPORTED("""COMPUTED_VALUE"""),45084.3467129629)</f>
        <v>45084.346712962899</v>
      </c>
      <c r="L2198" s="3" t="str">
        <f ca="1">IFERROR(__xludf.UNSUPPORTED("""COMPUTED_VALUE"""),"Normalidade")</f>
        <v>Normalidade</v>
      </c>
    </row>
    <row r="2199" spans="1:12" ht="12.75">
      <c r="A2199" s="3" t="str">
        <f ca="1">IFERROR(__xludf.UNSUPPORTED("""COMPUTED_VALUE"""),"1150e92b")</f>
        <v>1150e92b</v>
      </c>
      <c r="B2199" s="4">
        <f ca="1">IFERROR(__xludf.UNSUPPORTED("""COMPUTED_VALUE"""),45091.6033217592)</f>
        <v>45091.603321759198</v>
      </c>
      <c r="C2199" s="7" t="str">
        <f ca="1">IFERROR(__xludf.UNSUPPORTED("""COMPUTED_VALUE"""),"Salvador")</f>
        <v>Salvador</v>
      </c>
      <c r="D2199" s="3" t="str">
        <f ca="1">IFERROR(__xludf.UNSUPPORTED("""COMPUTED_VALUE"""),"🚢 REGULAR")</f>
        <v>🚢 REGULAR</v>
      </c>
      <c r="E2199" s="3" t="str">
        <f ca="1">IFERROR(__xludf.UNSUPPORTED("""COMPUTED_VALUE"""),"🚛 LIBERADO")</f>
        <v>🚛 LIBERADO</v>
      </c>
      <c r="F2199" s="5">
        <f ca="1">IFERROR(__xludf.UNSUPPORTED("""COMPUTED_VALUE"""),0)</f>
        <v>0</v>
      </c>
      <c r="G2199" s="3" t="str">
        <f ca="1">IFERROR(__xludf.UNSUPPORTED("""COMPUTED_VALUE"""),"Normalidade")</f>
        <v>Normalidade</v>
      </c>
      <c r="H2199" s="4">
        <f ca="1">IFERROR(__xludf.UNSUPPORTED("""COMPUTED_VALUE"""),45091.6033217592)</f>
        <v>45091.603321759198</v>
      </c>
      <c r="I2199" s="3">
        <f ca="1">IFERROR(__xludf.UNSUPPORTED("""COMPUTED_VALUE"""),24)</f>
        <v>24</v>
      </c>
      <c r="J2199" s="4">
        <f ca="1">IFERROR(__xludf.UNSUPPORTED("""COMPUTED_VALUE"""),45092.6033217592)</f>
        <v>45092.603321759198</v>
      </c>
      <c r="L2199" s="3" t="str">
        <f ca="1">IFERROR(__xludf.UNSUPPORTED("""COMPUTED_VALUE"""),"Normalidade")</f>
        <v>Normalidade</v>
      </c>
    </row>
    <row r="2200" spans="1:12" ht="12.75">
      <c r="A2200" s="3" t="str">
        <f ca="1">IFERROR(__xludf.UNSUPPORTED("""COMPUTED_VALUE"""),"bca773e1")</f>
        <v>bca773e1</v>
      </c>
      <c r="B2200" s="4">
        <f ca="1">IFERROR(__xludf.UNSUPPORTED("""COMPUTED_VALUE"""),45098.4108680555)</f>
        <v>45098.4108680555</v>
      </c>
      <c r="C2200" s="8" t="str">
        <f ca="1">IFERROR(__xludf.UNSUPPORTED("""COMPUTED_VALUE"""),"Salvador")</f>
        <v>Salvador</v>
      </c>
      <c r="D2200" s="3" t="str">
        <f ca="1">IFERROR(__xludf.UNSUPPORTED("""COMPUTED_VALUE"""),"🚢 REGULAR")</f>
        <v>🚢 REGULAR</v>
      </c>
      <c r="E2200" s="3" t="str">
        <f ca="1">IFERROR(__xludf.UNSUPPORTED("""COMPUTED_VALUE"""),"🚛 LIBERADO")</f>
        <v>🚛 LIBERADO</v>
      </c>
      <c r="F2200" s="5">
        <f ca="1">IFERROR(__xludf.UNSUPPORTED("""COMPUTED_VALUE"""),0)</f>
        <v>0</v>
      </c>
      <c r="G2200" s="3" t="str">
        <f ca="1">IFERROR(__xludf.UNSUPPORTED("""COMPUTED_VALUE"""),"Normalidade")</f>
        <v>Normalidade</v>
      </c>
      <c r="H2200" s="4">
        <f ca="1">IFERROR(__xludf.UNSUPPORTED("""COMPUTED_VALUE"""),45098.4108680555)</f>
        <v>45098.4108680555</v>
      </c>
      <c r="I2200" s="3">
        <f ca="1">IFERROR(__xludf.UNSUPPORTED("""COMPUTED_VALUE"""),24)</f>
        <v>24</v>
      </c>
      <c r="J2200" s="4">
        <f ca="1">IFERROR(__xludf.UNSUPPORTED("""COMPUTED_VALUE"""),45099.4108680555)</f>
        <v>45099.4108680555</v>
      </c>
      <c r="L2200" s="3" t="str">
        <f ca="1">IFERROR(__xludf.UNSUPPORTED("""COMPUTED_VALUE"""),"Normalidade")</f>
        <v>Normalidade</v>
      </c>
    </row>
    <row r="2201" spans="1:12" ht="12.75">
      <c r="A2201" s="3" t="str">
        <f ca="1">IFERROR(__xludf.UNSUPPORTED("""COMPUTED_VALUE"""),"0d54b9b6")</f>
        <v>0d54b9b6</v>
      </c>
      <c r="B2201" s="4">
        <f ca="1">IFERROR(__xludf.UNSUPPORTED("""COMPUTED_VALUE"""),45114.3678587962)</f>
        <v>45114.367858796199</v>
      </c>
      <c r="C2201" s="7" t="str">
        <f ca="1">IFERROR(__xludf.UNSUPPORTED("""COMPUTED_VALUE"""),"Salvador")</f>
        <v>Salvador</v>
      </c>
      <c r="D2201" s="3" t="str">
        <f ca="1">IFERROR(__xludf.UNSUPPORTED("""COMPUTED_VALUE"""),"🚢 REGULAR")</f>
        <v>🚢 REGULAR</v>
      </c>
      <c r="E2201" s="3" t="str">
        <f ca="1">IFERROR(__xludf.UNSUPPORTED("""COMPUTED_VALUE"""),"🚛 LIBERADO")</f>
        <v>🚛 LIBERADO</v>
      </c>
      <c r="F2201" s="5">
        <f ca="1">IFERROR(__xludf.UNSUPPORTED("""COMPUTED_VALUE"""),0)</f>
        <v>0</v>
      </c>
      <c r="G2201" s="3" t="str">
        <f ca="1">IFERROR(__xludf.UNSUPPORTED("""COMPUTED_VALUE"""),"Normalidade")</f>
        <v>Normalidade</v>
      </c>
      <c r="H2201" s="4">
        <f ca="1">IFERROR(__xludf.UNSUPPORTED("""COMPUTED_VALUE"""),45114.3678587962)</f>
        <v>45114.367858796199</v>
      </c>
      <c r="I2201" s="3">
        <f ca="1">IFERROR(__xludf.UNSUPPORTED("""COMPUTED_VALUE"""),24)</f>
        <v>24</v>
      </c>
      <c r="J2201" s="4">
        <f ca="1">IFERROR(__xludf.UNSUPPORTED("""COMPUTED_VALUE"""),45115.3678587962)</f>
        <v>45115.367858796199</v>
      </c>
      <c r="L2201" s="3" t="str">
        <f ca="1">IFERROR(__xludf.UNSUPPORTED("""COMPUTED_VALUE"""),"Normalidade")</f>
        <v>Normalidade</v>
      </c>
    </row>
    <row r="2202" spans="1:12" ht="12.75">
      <c r="A2202" s="3" t="str">
        <f ca="1">IFERROR(__xludf.UNSUPPORTED("""COMPUTED_VALUE"""),"46e73c97")</f>
        <v>46e73c97</v>
      </c>
      <c r="B2202" s="4">
        <f ca="1">IFERROR(__xludf.UNSUPPORTED("""COMPUTED_VALUE"""),45117.3766203703)</f>
        <v>45117.376620370298</v>
      </c>
      <c r="C2202" s="7" t="str">
        <f ca="1">IFERROR(__xludf.UNSUPPORTED("""COMPUTED_VALUE"""),"Salvador")</f>
        <v>Salvador</v>
      </c>
      <c r="D2202" s="3" t="str">
        <f ca="1">IFERROR(__xludf.UNSUPPORTED("""COMPUTED_VALUE"""),"🚢 REGULAR")</f>
        <v>🚢 REGULAR</v>
      </c>
      <c r="E2202" s="3" t="str">
        <f ca="1">IFERROR(__xludf.UNSUPPORTED("""COMPUTED_VALUE"""),"🚛 LIBERADO")</f>
        <v>🚛 LIBERADO</v>
      </c>
      <c r="F2202" s="5">
        <f ca="1">IFERROR(__xludf.UNSUPPORTED("""COMPUTED_VALUE"""),0)</f>
        <v>0</v>
      </c>
      <c r="G2202" s="3" t="str">
        <f ca="1">IFERROR(__xludf.UNSUPPORTED("""COMPUTED_VALUE"""),"Normalidade")</f>
        <v>Normalidade</v>
      </c>
      <c r="H2202" s="4">
        <f ca="1">IFERROR(__xludf.UNSUPPORTED("""COMPUTED_VALUE"""),45117.3766203703)</f>
        <v>45117.376620370298</v>
      </c>
      <c r="I2202" s="3">
        <f ca="1">IFERROR(__xludf.UNSUPPORTED("""COMPUTED_VALUE"""),24)</f>
        <v>24</v>
      </c>
      <c r="J2202" s="4">
        <f ca="1">IFERROR(__xludf.UNSUPPORTED("""COMPUTED_VALUE"""),45118.3766203703)</f>
        <v>45118.376620370298</v>
      </c>
      <c r="L2202" s="3" t="str">
        <f ca="1">IFERROR(__xludf.UNSUPPORTED("""COMPUTED_VALUE"""),"Normalidade")</f>
        <v>Normalidade</v>
      </c>
    </row>
    <row r="2203" spans="1:12" ht="12.75">
      <c r="A2203" s="3" t="str">
        <f ca="1">IFERROR(__xludf.UNSUPPORTED("""COMPUTED_VALUE"""),"e46fff9c")</f>
        <v>e46fff9c</v>
      </c>
      <c r="B2203" s="4">
        <f ca="1">IFERROR(__xludf.UNSUPPORTED("""COMPUTED_VALUE"""),45120.8235648148)</f>
        <v>45120.823564814797</v>
      </c>
      <c r="C2203" s="7" t="str">
        <f ca="1">IFERROR(__xludf.UNSUPPORTED("""COMPUTED_VALUE"""),"Salvador")</f>
        <v>Salvador</v>
      </c>
      <c r="D2203" s="3" t="str">
        <f ca="1">IFERROR(__xludf.UNSUPPORTED("""COMPUTED_VALUE"""),"🚢 REGULAR")</f>
        <v>🚢 REGULAR</v>
      </c>
      <c r="E2203" s="3" t="str">
        <f ca="1">IFERROR(__xludf.UNSUPPORTED("""COMPUTED_VALUE"""),"🚛 LIBERADO")</f>
        <v>🚛 LIBERADO</v>
      </c>
      <c r="F2203" s="5">
        <f ca="1">IFERROR(__xludf.UNSUPPORTED("""COMPUTED_VALUE"""),0)</f>
        <v>0</v>
      </c>
      <c r="G2203" s="3" t="str">
        <f ca="1">IFERROR(__xludf.UNSUPPORTED("""COMPUTED_VALUE"""),"Normalidade")</f>
        <v>Normalidade</v>
      </c>
      <c r="H2203" s="4">
        <f ca="1">IFERROR(__xludf.UNSUPPORTED("""COMPUTED_VALUE"""),45120.8235648148)</f>
        <v>45120.823564814797</v>
      </c>
      <c r="I2203" s="3">
        <f ca="1">IFERROR(__xludf.UNSUPPORTED("""COMPUTED_VALUE"""),24)</f>
        <v>24</v>
      </c>
      <c r="J2203" s="4">
        <f ca="1">IFERROR(__xludf.UNSUPPORTED("""COMPUTED_VALUE"""),45121.8235648148)</f>
        <v>45121.823564814797</v>
      </c>
      <c r="L2203" s="3" t="str">
        <f ca="1">IFERROR(__xludf.UNSUPPORTED("""COMPUTED_VALUE"""),"Normalidade")</f>
        <v>Normalidade</v>
      </c>
    </row>
    <row r="2204" spans="1:12" ht="12.75">
      <c r="A2204" s="3" t="str">
        <f ca="1">IFERROR(__xludf.UNSUPPORTED("""COMPUTED_VALUE"""),"7601022d")</f>
        <v>7601022d</v>
      </c>
      <c r="B2204" s="4">
        <f ca="1">IFERROR(__xludf.UNSUPPORTED("""COMPUTED_VALUE"""),45121.3872337962)</f>
        <v>45121.387233796202</v>
      </c>
      <c r="C2204" s="7" t="str">
        <f ca="1">IFERROR(__xludf.UNSUPPORTED("""COMPUTED_VALUE"""),"Salvador")</f>
        <v>Salvador</v>
      </c>
      <c r="D2204" s="3" t="str">
        <f ca="1">IFERROR(__xludf.UNSUPPORTED("""COMPUTED_VALUE"""),"🚢 REGULAR")</f>
        <v>🚢 REGULAR</v>
      </c>
      <c r="E2204" s="3" t="str">
        <f ca="1">IFERROR(__xludf.UNSUPPORTED("""COMPUTED_VALUE"""),"🚛 LIBERADO")</f>
        <v>🚛 LIBERADO</v>
      </c>
      <c r="F2204" s="5">
        <f ca="1">IFERROR(__xludf.UNSUPPORTED("""COMPUTED_VALUE"""),0)</f>
        <v>0</v>
      </c>
      <c r="G2204" s="3" t="str">
        <f ca="1">IFERROR(__xludf.UNSUPPORTED("""COMPUTED_VALUE"""),"Normalidade")</f>
        <v>Normalidade</v>
      </c>
      <c r="H2204" s="4">
        <f ca="1">IFERROR(__xludf.UNSUPPORTED("""COMPUTED_VALUE"""),45121.3872337962)</f>
        <v>45121.387233796202</v>
      </c>
      <c r="I2204" s="3">
        <f ca="1">IFERROR(__xludf.UNSUPPORTED("""COMPUTED_VALUE"""),24)</f>
        <v>24</v>
      </c>
      <c r="J2204" s="4">
        <f ca="1">IFERROR(__xludf.UNSUPPORTED("""COMPUTED_VALUE"""),45122.3872337962)</f>
        <v>45122.387233796202</v>
      </c>
      <c r="L2204" s="3" t="str">
        <f ca="1">IFERROR(__xludf.UNSUPPORTED("""COMPUTED_VALUE"""),"Normalidade")</f>
        <v>Normalidade</v>
      </c>
    </row>
    <row r="2205" spans="1:12" ht="12.75">
      <c r="A2205" s="3" t="str">
        <f ca="1">IFERROR(__xludf.UNSUPPORTED("""COMPUTED_VALUE"""),"fa02ca11")</f>
        <v>fa02ca11</v>
      </c>
      <c r="B2205" s="4">
        <f ca="1">IFERROR(__xludf.UNSUPPORTED("""COMPUTED_VALUE"""),45124.3668055555)</f>
        <v>45124.366805555503</v>
      </c>
      <c r="C2205" s="7" t="str">
        <f ca="1">IFERROR(__xludf.UNSUPPORTED("""COMPUTED_VALUE"""),"Salvador")</f>
        <v>Salvador</v>
      </c>
      <c r="D2205" s="3" t="str">
        <f ca="1">IFERROR(__xludf.UNSUPPORTED("""COMPUTED_VALUE"""),"🚢 REGULAR")</f>
        <v>🚢 REGULAR</v>
      </c>
      <c r="E2205" s="3" t="str">
        <f ca="1">IFERROR(__xludf.UNSUPPORTED("""COMPUTED_VALUE"""),"🚛 LIBERADO")</f>
        <v>🚛 LIBERADO</v>
      </c>
      <c r="F2205" s="5">
        <f ca="1">IFERROR(__xludf.UNSUPPORTED("""COMPUTED_VALUE"""),0)</f>
        <v>0</v>
      </c>
      <c r="G2205" s="3" t="str">
        <f ca="1">IFERROR(__xludf.UNSUPPORTED("""COMPUTED_VALUE"""),"Normalidade")</f>
        <v>Normalidade</v>
      </c>
      <c r="H2205" s="4">
        <f ca="1">IFERROR(__xludf.UNSUPPORTED("""COMPUTED_VALUE"""),45124.3668055555)</f>
        <v>45124.366805555503</v>
      </c>
      <c r="I2205" s="3">
        <f ca="1">IFERROR(__xludf.UNSUPPORTED("""COMPUTED_VALUE"""),24)</f>
        <v>24</v>
      </c>
      <c r="J2205" s="4">
        <f ca="1">IFERROR(__xludf.UNSUPPORTED("""COMPUTED_VALUE"""),45125.3668055555)</f>
        <v>45125.366805555503</v>
      </c>
      <c r="L2205" s="3" t="str">
        <f ca="1">IFERROR(__xludf.UNSUPPORTED("""COMPUTED_VALUE"""),"Normalidade")</f>
        <v>Normalidade</v>
      </c>
    </row>
    <row r="2206" spans="1:12" ht="12.75">
      <c r="A2206" s="3" t="str">
        <f ca="1">IFERROR(__xludf.UNSUPPORTED("""COMPUTED_VALUE"""),"35c93545")</f>
        <v>35c93545</v>
      </c>
      <c r="B2206" s="4">
        <f ca="1">IFERROR(__xludf.UNSUPPORTED("""COMPUTED_VALUE"""),45125.3847916666)</f>
        <v>45125.384791666598</v>
      </c>
      <c r="C2206" s="8" t="str">
        <f ca="1">IFERROR(__xludf.UNSUPPORTED("""COMPUTED_VALUE"""),"Salvador")</f>
        <v>Salvador</v>
      </c>
      <c r="D2206" s="3" t="str">
        <f ca="1">IFERROR(__xludf.UNSUPPORTED("""COMPUTED_VALUE"""),"🚢 REGULAR")</f>
        <v>🚢 REGULAR</v>
      </c>
      <c r="E2206" s="3" t="str">
        <f ca="1">IFERROR(__xludf.UNSUPPORTED("""COMPUTED_VALUE"""),"🚛 LIBERADO")</f>
        <v>🚛 LIBERADO</v>
      </c>
      <c r="F2206" s="5">
        <f ca="1">IFERROR(__xludf.UNSUPPORTED("""COMPUTED_VALUE"""),0)</f>
        <v>0</v>
      </c>
      <c r="G2206" s="3" t="str">
        <f ca="1">IFERROR(__xludf.UNSUPPORTED("""COMPUTED_VALUE"""),"Normalidade")</f>
        <v>Normalidade</v>
      </c>
      <c r="H2206" s="4">
        <f ca="1">IFERROR(__xludf.UNSUPPORTED("""COMPUTED_VALUE"""),45125.3847916666)</f>
        <v>45125.384791666598</v>
      </c>
      <c r="I2206" s="3">
        <f ca="1">IFERROR(__xludf.UNSUPPORTED("""COMPUTED_VALUE"""),24)</f>
        <v>24</v>
      </c>
      <c r="J2206" s="4">
        <f ca="1">IFERROR(__xludf.UNSUPPORTED("""COMPUTED_VALUE"""),45126.3847916666)</f>
        <v>45126.384791666598</v>
      </c>
      <c r="L2206" s="3" t="str">
        <f ca="1">IFERROR(__xludf.UNSUPPORTED("""COMPUTED_VALUE"""),"Normalidade")</f>
        <v>Normalidade</v>
      </c>
    </row>
    <row r="2207" spans="1:12" ht="12.75">
      <c r="A2207" s="3" t="str">
        <f ca="1">IFERROR(__xludf.UNSUPPORTED("""COMPUTED_VALUE"""),"06a79260")</f>
        <v>06a79260</v>
      </c>
      <c r="B2207" s="4">
        <f ca="1">IFERROR(__xludf.UNSUPPORTED("""COMPUTED_VALUE"""),45127.4496180555)</f>
        <v>45127.4496180555</v>
      </c>
      <c r="C2207" s="7" t="str">
        <f ca="1">IFERROR(__xludf.UNSUPPORTED("""COMPUTED_VALUE"""),"Salvador")</f>
        <v>Salvador</v>
      </c>
      <c r="D2207" s="3" t="str">
        <f ca="1">IFERROR(__xludf.UNSUPPORTED("""COMPUTED_VALUE"""),"🚢 REGULAR")</f>
        <v>🚢 REGULAR</v>
      </c>
      <c r="E2207" s="3" t="str">
        <f ca="1">IFERROR(__xludf.UNSUPPORTED("""COMPUTED_VALUE"""),"🚛 LIBERADO")</f>
        <v>🚛 LIBERADO</v>
      </c>
      <c r="F2207" s="5">
        <f ca="1">IFERROR(__xludf.UNSUPPORTED("""COMPUTED_VALUE"""),0)</f>
        <v>0</v>
      </c>
      <c r="G2207" s="3" t="str">
        <f ca="1">IFERROR(__xludf.UNSUPPORTED("""COMPUTED_VALUE"""),"Normalidade")</f>
        <v>Normalidade</v>
      </c>
      <c r="H2207" s="4">
        <f ca="1">IFERROR(__xludf.UNSUPPORTED("""COMPUTED_VALUE"""),45127.4496180555)</f>
        <v>45127.4496180555</v>
      </c>
      <c r="I2207" s="3">
        <f ca="1">IFERROR(__xludf.UNSUPPORTED("""COMPUTED_VALUE"""),24)</f>
        <v>24</v>
      </c>
      <c r="J2207" s="4">
        <f ca="1">IFERROR(__xludf.UNSUPPORTED("""COMPUTED_VALUE"""),45128.4496180555)</f>
        <v>45128.4496180555</v>
      </c>
      <c r="L2207" s="3" t="str">
        <f ca="1">IFERROR(__xludf.UNSUPPORTED("""COMPUTED_VALUE"""),"Normalidade")</f>
        <v>Normalidade</v>
      </c>
    </row>
    <row r="2208" spans="1:12" ht="12.75">
      <c r="A2208" s="3" t="str">
        <f ca="1">IFERROR(__xludf.UNSUPPORTED("""COMPUTED_VALUE"""),"51ba7d92")</f>
        <v>51ba7d92</v>
      </c>
      <c r="B2208" s="4">
        <f ca="1">IFERROR(__xludf.UNSUPPORTED("""COMPUTED_VALUE"""),45128.3842129629)</f>
        <v>45128.384212962897</v>
      </c>
      <c r="C2208" s="7" t="str">
        <f ca="1">IFERROR(__xludf.UNSUPPORTED("""COMPUTED_VALUE"""),"Salvador")</f>
        <v>Salvador</v>
      </c>
      <c r="D2208" s="3" t="str">
        <f ca="1">IFERROR(__xludf.UNSUPPORTED("""COMPUTED_VALUE"""),"🚢 REGULAR")</f>
        <v>🚢 REGULAR</v>
      </c>
      <c r="E2208" s="3" t="str">
        <f ca="1">IFERROR(__xludf.UNSUPPORTED("""COMPUTED_VALUE"""),"🚛 LIBERADO")</f>
        <v>🚛 LIBERADO</v>
      </c>
      <c r="F2208" s="5">
        <f ca="1">IFERROR(__xludf.UNSUPPORTED("""COMPUTED_VALUE"""),0)</f>
        <v>0</v>
      </c>
      <c r="G2208" s="3" t="str">
        <f ca="1">IFERROR(__xludf.UNSUPPORTED("""COMPUTED_VALUE"""),"Normalidade")</f>
        <v>Normalidade</v>
      </c>
      <c r="H2208" s="4">
        <f ca="1">IFERROR(__xludf.UNSUPPORTED("""COMPUTED_VALUE"""),45128.3842129629)</f>
        <v>45128.384212962897</v>
      </c>
      <c r="I2208" s="3">
        <f ca="1">IFERROR(__xludf.UNSUPPORTED("""COMPUTED_VALUE"""),24)</f>
        <v>24</v>
      </c>
      <c r="J2208" s="4">
        <f ca="1">IFERROR(__xludf.UNSUPPORTED("""COMPUTED_VALUE"""),45129.3842129629)</f>
        <v>45129.384212962897</v>
      </c>
      <c r="L2208" s="3" t="str">
        <f ca="1">IFERROR(__xludf.UNSUPPORTED("""COMPUTED_VALUE"""),"Normalidade")</f>
        <v>Normalidade</v>
      </c>
    </row>
    <row r="2209" spans="1:12" ht="12.75">
      <c r="A2209" s="3" t="str">
        <f ca="1">IFERROR(__xludf.UNSUPPORTED("""COMPUTED_VALUE"""),"4f3d54af")</f>
        <v>4f3d54af</v>
      </c>
      <c r="B2209" s="4">
        <f ca="1">IFERROR(__xludf.UNSUPPORTED("""COMPUTED_VALUE"""),45138.3105671296)</f>
        <v>45138.3105671296</v>
      </c>
      <c r="C2209" s="8" t="str">
        <f ca="1">IFERROR(__xludf.UNSUPPORTED("""COMPUTED_VALUE"""),"Salvador")</f>
        <v>Salvador</v>
      </c>
      <c r="D2209" s="3" t="str">
        <f ca="1">IFERROR(__xludf.UNSUPPORTED("""COMPUTED_VALUE"""),"🚢 REGULAR")</f>
        <v>🚢 REGULAR</v>
      </c>
      <c r="E2209" s="3" t="str">
        <f ca="1">IFERROR(__xludf.UNSUPPORTED("""COMPUTED_VALUE"""),"🚛 LIBERADO")</f>
        <v>🚛 LIBERADO</v>
      </c>
      <c r="F2209" s="5">
        <f ca="1">IFERROR(__xludf.UNSUPPORTED("""COMPUTED_VALUE"""),0)</f>
        <v>0</v>
      </c>
      <c r="G2209" s="3" t="str">
        <f ca="1">IFERROR(__xludf.UNSUPPORTED("""COMPUTED_VALUE"""),"Normalidade")</f>
        <v>Normalidade</v>
      </c>
      <c r="H2209" s="4">
        <f ca="1">IFERROR(__xludf.UNSUPPORTED("""COMPUTED_VALUE"""),45138.3105671296)</f>
        <v>45138.3105671296</v>
      </c>
      <c r="I2209" s="3">
        <f ca="1">IFERROR(__xludf.UNSUPPORTED("""COMPUTED_VALUE"""),24)</f>
        <v>24</v>
      </c>
      <c r="J2209" s="4">
        <f ca="1">IFERROR(__xludf.UNSUPPORTED("""COMPUTED_VALUE"""),45139.3105671296)</f>
        <v>45139.3105671296</v>
      </c>
      <c r="L2209" s="3" t="str">
        <f ca="1">IFERROR(__xludf.UNSUPPORTED("""COMPUTED_VALUE"""),"Normalidade")</f>
        <v>Normalidade</v>
      </c>
    </row>
    <row r="2210" spans="1:12" ht="12.75">
      <c r="A2210" s="3" t="str">
        <f ca="1">IFERROR(__xludf.UNSUPPORTED("""COMPUTED_VALUE"""),"f417dad7")</f>
        <v>f417dad7</v>
      </c>
      <c r="B2210" s="4">
        <f ca="1">IFERROR(__xludf.UNSUPPORTED("""COMPUTED_VALUE"""),45139.380636574)</f>
        <v>45139.380636574002</v>
      </c>
      <c r="C2210" s="7" t="str">
        <f ca="1">IFERROR(__xludf.UNSUPPORTED("""COMPUTED_VALUE"""),"Salvador")</f>
        <v>Salvador</v>
      </c>
      <c r="D2210" s="3" t="str">
        <f ca="1">IFERROR(__xludf.UNSUPPORTED("""COMPUTED_VALUE"""),"🚢 REGULAR")</f>
        <v>🚢 REGULAR</v>
      </c>
      <c r="E2210" s="3" t="str">
        <f ca="1">IFERROR(__xludf.UNSUPPORTED("""COMPUTED_VALUE"""),"🚛 LIBERADO")</f>
        <v>🚛 LIBERADO</v>
      </c>
      <c r="F2210" s="5">
        <f ca="1">IFERROR(__xludf.UNSUPPORTED("""COMPUTED_VALUE"""),0)</f>
        <v>0</v>
      </c>
      <c r="G2210" s="3" t="str">
        <f ca="1">IFERROR(__xludf.UNSUPPORTED("""COMPUTED_VALUE"""),"Normalidade")</f>
        <v>Normalidade</v>
      </c>
      <c r="H2210" s="4">
        <f ca="1">IFERROR(__xludf.UNSUPPORTED("""COMPUTED_VALUE"""),45139.380636574)</f>
        <v>45139.380636574002</v>
      </c>
      <c r="I2210" s="3">
        <f ca="1">IFERROR(__xludf.UNSUPPORTED("""COMPUTED_VALUE"""),24)</f>
        <v>24</v>
      </c>
      <c r="J2210" s="4">
        <f ca="1">IFERROR(__xludf.UNSUPPORTED("""COMPUTED_VALUE"""),45140.380636574)</f>
        <v>45140.380636574002</v>
      </c>
      <c r="L2210" s="3" t="str">
        <f ca="1">IFERROR(__xludf.UNSUPPORTED("""COMPUTED_VALUE"""),"Normalidade")</f>
        <v>Normalidade</v>
      </c>
    </row>
    <row r="2211" spans="1:12" ht="12.75">
      <c r="A2211" s="3" t="str">
        <f ca="1">IFERROR(__xludf.UNSUPPORTED("""COMPUTED_VALUE"""),"0e0aca1c")</f>
        <v>0e0aca1c</v>
      </c>
      <c r="B2211" s="4">
        <f ca="1">IFERROR(__xludf.UNSUPPORTED("""COMPUTED_VALUE"""),45141.3800231481)</f>
        <v>45141.3800231481</v>
      </c>
      <c r="C2211" s="8" t="str">
        <f ca="1">IFERROR(__xludf.UNSUPPORTED("""COMPUTED_VALUE"""),"Salvador")</f>
        <v>Salvador</v>
      </c>
      <c r="D2211" s="3" t="str">
        <f ca="1">IFERROR(__xludf.UNSUPPORTED("""COMPUTED_VALUE"""),"🚢 REGULAR")</f>
        <v>🚢 REGULAR</v>
      </c>
      <c r="E2211" s="3" t="str">
        <f ca="1">IFERROR(__xludf.UNSUPPORTED("""COMPUTED_VALUE"""),"🚛 LIBERADO")</f>
        <v>🚛 LIBERADO</v>
      </c>
      <c r="F2211" s="5">
        <f ca="1">IFERROR(__xludf.UNSUPPORTED("""COMPUTED_VALUE"""),0)</f>
        <v>0</v>
      </c>
      <c r="G2211" s="3" t="str">
        <f ca="1">IFERROR(__xludf.UNSUPPORTED("""COMPUTED_VALUE"""),"Normalidade")</f>
        <v>Normalidade</v>
      </c>
      <c r="H2211" s="4">
        <f ca="1">IFERROR(__xludf.UNSUPPORTED("""COMPUTED_VALUE"""),45141.3800231481)</f>
        <v>45141.3800231481</v>
      </c>
      <c r="I2211" s="3">
        <f ca="1">IFERROR(__xludf.UNSUPPORTED("""COMPUTED_VALUE"""),24)</f>
        <v>24</v>
      </c>
      <c r="J2211" s="4">
        <f ca="1">IFERROR(__xludf.UNSUPPORTED("""COMPUTED_VALUE"""),45142.3800231481)</f>
        <v>45142.3800231481</v>
      </c>
      <c r="L2211" s="3" t="str">
        <f ca="1">IFERROR(__xludf.UNSUPPORTED("""COMPUTED_VALUE"""),"Normalidade")</f>
        <v>Normalidade</v>
      </c>
    </row>
    <row r="2212" spans="1:12" ht="12.75">
      <c r="A2212" s="3" t="str">
        <f ca="1">IFERROR(__xludf.UNSUPPORTED("""COMPUTED_VALUE"""),"76f74c5d")</f>
        <v>76f74c5d</v>
      </c>
      <c r="B2212" s="4">
        <f ca="1">IFERROR(__xludf.UNSUPPORTED("""COMPUTED_VALUE"""),45142.4197685185)</f>
        <v>45142.419768518499</v>
      </c>
      <c r="C2212" s="8" t="str">
        <f ca="1">IFERROR(__xludf.UNSUPPORTED("""COMPUTED_VALUE"""),"Salvador")</f>
        <v>Salvador</v>
      </c>
      <c r="D2212" s="3" t="str">
        <f ca="1">IFERROR(__xludf.UNSUPPORTED("""COMPUTED_VALUE"""),"🚢 REGULAR")</f>
        <v>🚢 REGULAR</v>
      </c>
      <c r="E2212" s="3" t="str">
        <f ca="1">IFERROR(__xludf.UNSUPPORTED("""COMPUTED_VALUE"""),"🚛 LIBERADO")</f>
        <v>🚛 LIBERADO</v>
      </c>
      <c r="F2212" s="5">
        <f ca="1">IFERROR(__xludf.UNSUPPORTED("""COMPUTED_VALUE"""),0)</f>
        <v>0</v>
      </c>
      <c r="G2212" s="3" t="str">
        <f ca="1">IFERROR(__xludf.UNSUPPORTED("""COMPUTED_VALUE"""),"Normalidade")</f>
        <v>Normalidade</v>
      </c>
      <c r="H2212" s="4">
        <f ca="1">IFERROR(__xludf.UNSUPPORTED("""COMPUTED_VALUE"""),45142.4197685185)</f>
        <v>45142.419768518499</v>
      </c>
      <c r="I2212" s="3">
        <f ca="1">IFERROR(__xludf.UNSUPPORTED("""COMPUTED_VALUE"""),24)</f>
        <v>24</v>
      </c>
      <c r="J2212" s="4">
        <f ca="1">IFERROR(__xludf.UNSUPPORTED("""COMPUTED_VALUE"""),45143.4197685185)</f>
        <v>45143.419768518499</v>
      </c>
      <c r="L2212" s="3" t="str">
        <f ca="1">IFERROR(__xludf.UNSUPPORTED("""COMPUTED_VALUE"""),"Normalidade")</f>
        <v>Normalidade</v>
      </c>
    </row>
    <row r="2213" spans="1:12" ht="12.75">
      <c r="A2213" s="3" t="str">
        <f ca="1">IFERROR(__xludf.UNSUPPORTED("""COMPUTED_VALUE"""),"ead00dab")</f>
        <v>ead00dab</v>
      </c>
      <c r="B2213" s="4">
        <f ca="1">IFERROR(__xludf.UNSUPPORTED("""COMPUTED_VALUE"""),45145.3362731481)</f>
        <v>45145.336273148103</v>
      </c>
      <c r="C2213" s="7" t="str">
        <f ca="1">IFERROR(__xludf.UNSUPPORTED("""COMPUTED_VALUE"""),"Salvador")</f>
        <v>Salvador</v>
      </c>
      <c r="D2213" s="3" t="str">
        <f ca="1">IFERROR(__xludf.UNSUPPORTED("""COMPUTED_VALUE"""),"🚢 REGULAR")</f>
        <v>🚢 REGULAR</v>
      </c>
      <c r="E2213" s="3" t="str">
        <f ca="1">IFERROR(__xludf.UNSUPPORTED("""COMPUTED_VALUE"""),"🚛 LIBERADO")</f>
        <v>🚛 LIBERADO</v>
      </c>
      <c r="F2213" s="5">
        <f ca="1">IFERROR(__xludf.UNSUPPORTED("""COMPUTED_VALUE"""),0)</f>
        <v>0</v>
      </c>
      <c r="G2213" s="3" t="str">
        <f ca="1">IFERROR(__xludf.UNSUPPORTED("""COMPUTED_VALUE"""),"Normalidade")</f>
        <v>Normalidade</v>
      </c>
      <c r="H2213" s="4">
        <f ca="1">IFERROR(__xludf.UNSUPPORTED("""COMPUTED_VALUE"""),45145.3362731481)</f>
        <v>45145.336273148103</v>
      </c>
      <c r="I2213" s="3">
        <f ca="1">IFERROR(__xludf.UNSUPPORTED("""COMPUTED_VALUE"""),24)</f>
        <v>24</v>
      </c>
      <c r="J2213" s="4">
        <f ca="1">IFERROR(__xludf.UNSUPPORTED("""COMPUTED_VALUE"""),45146.3362731481)</f>
        <v>45146.336273148103</v>
      </c>
      <c r="L2213" s="3" t="str">
        <f ca="1">IFERROR(__xludf.UNSUPPORTED("""COMPUTED_VALUE"""),"Normalidade")</f>
        <v>Normalidade</v>
      </c>
    </row>
    <row r="2214" spans="1:12" ht="12.75">
      <c r="A2214" s="3" t="str">
        <f ca="1">IFERROR(__xludf.UNSUPPORTED("""COMPUTED_VALUE"""),"a84f6593")</f>
        <v>a84f6593</v>
      </c>
      <c r="B2214" s="4">
        <f ca="1">IFERROR(__xludf.UNSUPPORTED("""COMPUTED_VALUE"""),45146.4568055555)</f>
        <v>45146.456805555499</v>
      </c>
      <c r="C2214" s="8" t="str">
        <f ca="1">IFERROR(__xludf.UNSUPPORTED("""COMPUTED_VALUE"""),"Salvador")</f>
        <v>Salvador</v>
      </c>
      <c r="D2214" s="3" t="str">
        <f ca="1">IFERROR(__xludf.UNSUPPORTED("""COMPUTED_VALUE"""),"🚢 REGULAR")</f>
        <v>🚢 REGULAR</v>
      </c>
      <c r="E2214" s="3" t="str">
        <f ca="1">IFERROR(__xludf.UNSUPPORTED("""COMPUTED_VALUE"""),"🚛 LIBERADO")</f>
        <v>🚛 LIBERADO</v>
      </c>
      <c r="F2214" s="5">
        <f ca="1">IFERROR(__xludf.UNSUPPORTED("""COMPUTED_VALUE"""),0)</f>
        <v>0</v>
      </c>
      <c r="G2214" s="3" t="str">
        <f ca="1">IFERROR(__xludf.UNSUPPORTED("""COMPUTED_VALUE"""),"Normalidade")</f>
        <v>Normalidade</v>
      </c>
      <c r="H2214" s="4">
        <f ca="1">IFERROR(__xludf.UNSUPPORTED("""COMPUTED_VALUE"""),45146.4568055555)</f>
        <v>45146.456805555499</v>
      </c>
      <c r="I2214" s="3">
        <f ca="1">IFERROR(__xludf.UNSUPPORTED("""COMPUTED_VALUE"""),24)</f>
        <v>24</v>
      </c>
      <c r="J2214" s="4">
        <f ca="1">IFERROR(__xludf.UNSUPPORTED("""COMPUTED_VALUE"""),45147.4568055555)</f>
        <v>45147.456805555499</v>
      </c>
      <c r="L2214" s="3" t="str">
        <f ca="1">IFERROR(__xludf.UNSUPPORTED("""COMPUTED_VALUE"""),"Normalidade")</f>
        <v>Normalidade</v>
      </c>
    </row>
    <row r="2215" spans="1:12" ht="12.75">
      <c r="A2215" s="3" t="str">
        <f ca="1">IFERROR(__xludf.UNSUPPORTED("""COMPUTED_VALUE"""),"02a418d2")</f>
        <v>02a418d2</v>
      </c>
      <c r="B2215" s="4">
        <f ca="1">IFERROR(__xludf.UNSUPPORTED("""COMPUTED_VALUE"""),45148.4383217592)</f>
        <v>45148.438321759197</v>
      </c>
      <c r="C2215" s="7" t="str">
        <f ca="1">IFERROR(__xludf.UNSUPPORTED("""COMPUTED_VALUE"""),"Salvador")</f>
        <v>Salvador</v>
      </c>
      <c r="D2215" s="3" t="str">
        <f ca="1">IFERROR(__xludf.UNSUPPORTED("""COMPUTED_VALUE"""),"🚢 REGULAR")</f>
        <v>🚢 REGULAR</v>
      </c>
      <c r="E2215" s="3" t="str">
        <f ca="1">IFERROR(__xludf.UNSUPPORTED("""COMPUTED_VALUE"""),"🚛 LIBERADO")</f>
        <v>🚛 LIBERADO</v>
      </c>
      <c r="F2215" s="5">
        <f ca="1">IFERROR(__xludf.UNSUPPORTED("""COMPUTED_VALUE"""),0)</f>
        <v>0</v>
      </c>
      <c r="G2215" s="3" t="str">
        <f ca="1">IFERROR(__xludf.UNSUPPORTED("""COMPUTED_VALUE"""),"Normalidade")</f>
        <v>Normalidade</v>
      </c>
      <c r="H2215" s="4">
        <f ca="1">IFERROR(__xludf.UNSUPPORTED("""COMPUTED_VALUE"""),45148.4383217592)</f>
        <v>45148.438321759197</v>
      </c>
      <c r="I2215" s="3">
        <f ca="1">IFERROR(__xludf.UNSUPPORTED("""COMPUTED_VALUE"""),24)</f>
        <v>24</v>
      </c>
      <c r="J2215" s="4">
        <f ca="1">IFERROR(__xludf.UNSUPPORTED("""COMPUTED_VALUE"""),45149.4383217592)</f>
        <v>45149.438321759197</v>
      </c>
      <c r="L2215" s="3" t="str">
        <f ca="1">IFERROR(__xludf.UNSUPPORTED("""COMPUTED_VALUE"""),"Normalidade")</f>
        <v>Normalidade</v>
      </c>
    </row>
    <row r="2216" spans="1:12" ht="12.75">
      <c r="A2216" s="3" t="str">
        <f ca="1">IFERROR(__xludf.UNSUPPORTED("""COMPUTED_VALUE"""),"ee8e214f")</f>
        <v>ee8e214f</v>
      </c>
      <c r="B2216" s="4">
        <f ca="1">IFERROR(__xludf.UNSUPPORTED("""COMPUTED_VALUE"""),45150.3693055555)</f>
        <v>45150.369305555498</v>
      </c>
      <c r="C2216" s="8" t="str">
        <f ca="1">IFERROR(__xludf.UNSUPPORTED("""COMPUTED_VALUE"""),"Salvador")</f>
        <v>Salvador</v>
      </c>
      <c r="D2216" s="3" t="str">
        <f ca="1">IFERROR(__xludf.UNSUPPORTED("""COMPUTED_VALUE"""),"🚢 REGULAR")</f>
        <v>🚢 REGULAR</v>
      </c>
      <c r="E2216" s="3" t="str">
        <f ca="1">IFERROR(__xludf.UNSUPPORTED("""COMPUTED_VALUE"""),"🚛 LIBERADO")</f>
        <v>🚛 LIBERADO</v>
      </c>
      <c r="F2216" s="5">
        <f ca="1">IFERROR(__xludf.UNSUPPORTED("""COMPUTED_VALUE"""),0)</f>
        <v>0</v>
      </c>
      <c r="G2216" s="3" t="str">
        <f ca="1">IFERROR(__xludf.UNSUPPORTED("""COMPUTED_VALUE"""),"Normalidade")</f>
        <v>Normalidade</v>
      </c>
      <c r="H2216" s="4">
        <f ca="1">IFERROR(__xludf.UNSUPPORTED("""COMPUTED_VALUE"""),45150.3693055555)</f>
        <v>45150.369305555498</v>
      </c>
      <c r="I2216" s="3">
        <f ca="1">IFERROR(__xludf.UNSUPPORTED("""COMPUTED_VALUE"""),24)</f>
        <v>24</v>
      </c>
      <c r="J2216" s="4">
        <f ca="1">IFERROR(__xludf.UNSUPPORTED("""COMPUTED_VALUE"""),45151.3693055555)</f>
        <v>45151.369305555498</v>
      </c>
      <c r="L2216" s="3" t="str">
        <f ca="1">IFERROR(__xludf.UNSUPPORTED("""COMPUTED_VALUE"""),"Normalidade")</f>
        <v>Normalidade</v>
      </c>
    </row>
    <row r="2217" spans="1:12" ht="12.75">
      <c r="A2217" s="3" t="str">
        <f ca="1">IFERROR(__xludf.UNSUPPORTED("""COMPUTED_VALUE"""),"a28bd70e")</f>
        <v>a28bd70e</v>
      </c>
      <c r="B2217" s="4">
        <f ca="1">IFERROR(__xludf.UNSUPPORTED("""COMPUTED_VALUE"""),45152.391724537)</f>
        <v>45152.391724537003</v>
      </c>
      <c r="C2217" s="8" t="str">
        <f ca="1">IFERROR(__xludf.UNSUPPORTED("""COMPUTED_VALUE"""),"Salvador")</f>
        <v>Salvador</v>
      </c>
      <c r="D2217" s="3" t="str">
        <f ca="1">IFERROR(__xludf.UNSUPPORTED("""COMPUTED_VALUE"""),"🚢 REGULAR")</f>
        <v>🚢 REGULAR</v>
      </c>
      <c r="E2217" s="3" t="str">
        <f ca="1">IFERROR(__xludf.UNSUPPORTED("""COMPUTED_VALUE"""),"🚛 LIBERADO")</f>
        <v>🚛 LIBERADO</v>
      </c>
      <c r="F2217" s="5">
        <f ca="1">IFERROR(__xludf.UNSUPPORTED("""COMPUTED_VALUE"""),0)</f>
        <v>0</v>
      </c>
      <c r="G2217" s="3" t="str">
        <f ca="1">IFERROR(__xludf.UNSUPPORTED("""COMPUTED_VALUE"""),"Normalidade")</f>
        <v>Normalidade</v>
      </c>
      <c r="H2217" s="4">
        <f ca="1">IFERROR(__xludf.UNSUPPORTED("""COMPUTED_VALUE"""),45152.391724537)</f>
        <v>45152.391724537003</v>
      </c>
      <c r="I2217" s="3">
        <f ca="1">IFERROR(__xludf.UNSUPPORTED("""COMPUTED_VALUE"""),24)</f>
        <v>24</v>
      </c>
      <c r="J2217" s="4">
        <f ca="1">IFERROR(__xludf.UNSUPPORTED("""COMPUTED_VALUE"""),45153.391724537)</f>
        <v>45153.391724537003</v>
      </c>
      <c r="L2217" s="3" t="str">
        <f ca="1">IFERROR(__xludf.UNSUPPORTED("""COMPUTED_VALUE"""),"Normalidade")</f>
        <v>Normalidade</v>
      </c>
    </row>
    <row r="2218" spans="1:12" ht="12.75">
      <c r="A2218" s="3" t="str">
        <f ca="1">IFERROR(__xludf.UNSUPPORTED("""COMPUTED_VALUE"""),"f2f28d62")</f>
        <v>f2f28d62</v>
      </c>
      <c r="B2218" s="4">
        <f ca="1">IFERROR(__xludf.UNSUPPORTED("""COMPUTED_VALUE"""),45154.4419097222)</f>
        <v>45154.441909722198</v>
      </c>
      <c r="C2218" s="8" t="str">
        <f ca="1">IFERROR(__xludf.UNSUPPORTED("""COMPUTED_VALUE"""),"Salvador")</f>
        <v>Salvador</v>
      </c>
      <c r="D2218" s="3" t="str">
        <f ca="1">IFERROR(__xludf.UNSUPPORTED("""COMPUTED_VALUE"""),"🚢 REGULAR")</f>
        <v>🚢 REGULAR</v>
      </c>
      <c r="E2218" s="3" t="str">
        <f ca="1">IFERROR(__xludf.UNSUPPORTED("""COMPUTED_VALUE"""),"🚛 LIBERADO")</f>
        <v>🚛 LIBERADO</v>
      </c>
      <c r="F2218" s="5">
        <f ca="1">IFERROR(__xludf.UNSUPPORTED("""COMPUTED_VALUE"""),0)</f>
        <v>0</v>
      </c>
      <c r="G2218" s="3" t="str">
        <f ca="1">IFERROR(__xludf.UNSUPPORTED("""COMPUTED_VALUE"""),"Normalidade")</f>
        <v>Normalidade</v>
      </c>
      <c r="H2218" s="4">
        <f ca="1">IFERROR(__xludf.UNSUPPORTED("""COMPUTED_VALUE"""),45154.4419097222)</f>
        <v>45154.441909722198</v>
      </c>
      <c r="I2218" s="3">
        <f ca="1">IFERROR(__xludf.UNSUPPORTED("""COMPUTED_VALUE"""),24)</f>
        <v>24</v>
      </c>
      <c r="J2218" s="4">
        <f ca="1">IFERROR(__xludf.UNSUPPORTED("""COMPUTED_VALUE"""),45155.4419097222)</f>
        <v>45155.441909722198</v>
      </c>
      <c r="L2218" s="3" t="str">
        <f ca="1">IFERROR(__xludf.UNSUPPORTED("""COMPUTED_VALUE"""),"Normalidade")</f>
        <v>Normalidade</v>
      </c>
    </row>
    <row r="2219" spans="1:12" ht="12.75">
      <c r="A2219" s="3" t="str">
        <f ca="1">IFERROR(__xludf.UNSUPPORTED("""COMPUTED_VALUE"""),"5c36cfe2")</f>
        <v>5c36cfe2</v>
      </c>
      <c r="B2219" s="4">
        <f ca="1">IFERROR(__xludf.UNSUPPORTED("""COMPUTED_VALUE"""),45156.5024537037)</f>
        <v>45156.502453703702</v>
      </c>
      <c r="C2219" s="7" t="str">
        <f ca="1">IFERROR(__xludf.UNSUPPORTED("""COMPUTED_VALUE"""),"Salvador")</f>
        <v>Salvador</v>
      </c>
      <c r="D2219" s="3" t="str">
        <f ca="1">IFERROR(__xludf.UNSUPPORTED("""COMPUTED_VALUE"""),"🚢 REGULAR")</f>
        <v>🚢 REGULAR</v>
      </c>
      <c r="E2219" s="3" t="str">
        <f ca="1">IFERROR(__xludf.UNSUPPORTED("""COMPUTED_VALUE"""),"🚛 LIBERADO")</f>
        <v>🚛 LIBERADO</v>
      </c>
      <c r="F2219" s="5">
        <f ca="1">IFERROR(__xludf.UNSUPPORTED("""COMPUTED_VALUE"""),0)</f>
        <v>0</v>
      </c>
      <c r="G2219" s="3" t="str">
        <f ca="1">IFERROR(__xludf.UNSUPPORTED("""COMPUTED_VALUE"""),"Normalidade")</f>
        <v>Normalidade</v>
      </c>
      <c r="H2219" s="4">
        <f ca="1">IFERROR(__xludf.UNSUPPORTED("""COMPUTED_VALUE"""),45156.5024537037)</f>
        <v>45156.502453703702</v>
      </c>
      <c r="I2219" s="3">
        <f ca="1">IFERROR(__xludf.UNSUPPORTED("""COMPUTED_VALUE"""),24)</f>
        <v>24</v>
      </c>
      <c r="J2219" s="4">
        <f ca="1">IFERROR(__xludf.UNSUPPORTED("""COMPUTED_VALUE"""),45157.5024537037)</f>
        <v>45157.502453703702</v>
      </c>
      <c r="L2219" s="3" t="str">
        <f ca="1">IFERROR(__xludf.UNSUPPORTED("""COMPUTED_VALUE"""),"Normalidade")</f>
        <v>Normalidade</v>
      </c>
    </row>
    <row r="2220" spans="1:12" ht="12.75">
      <c r="A2220" s="3" t="str">
        <f ca="1">IFERROR(__xludf.UNSUPPORTED("""COMPUTED_VALUE"""),"47fe62e2")</f>
        <v>47fe62e2</v>
      </c>
      <c r="B2220" s="4">
        <f ca="1">IFERROR(__xludf.UNSUPPORTED("""COMPUTED_VALUE"""),45159.3918518518)</f>
        <v>45159.391851851797</v>
      </c>
      <c r="C2220" s="7" t="str">
        <f ca="1">IFERROR(__xludf.UNSUPPORTED("""COMPUTED_VALUE"""),"Salvador")</f>
        <v>Salvador</v>
      </c>
      <c r="D2220" s="3" t="str">
        <f ca="1">IFERROR(__xludf.UNSUPPORTED("""COMPUTED_VALUE"""),"🚢 REGULAR")</f>
        <v>🚢 REGULAR</v>
      </c>
      <c r="E2220" s="3" t="str">
        <f ca="1">IFERROR(__xludf.UNSUPPORTED("""COMPUTED_VALUE"""),"🚛 LIBERADO")</f>
        <v>🚛 LIBERADO</v>
      </c>
      <c r="F2220" s="5">
        <f ca="1">IFERROR(__xludf.UNSUPPORTED("""COMPUTED_VALUE"""),0)</f>
        <v>0</v>
      </c>
      <c r="G2220" s="3" t="str">
        <f ca="1">IFERROR(__xludf.UNSUPPORTED("""COMPUTED_VALUE"""),"Normalidade")</f>
        <v>Normalidade</v>
      </c>
      <c r="H2220" s="4">
        <f ca="1">IFERROR(__xludf.UNSUPPORTED("""COMPUTED_VALUE"""),45159.3918518518)</f>
        <v>45159.391851851797</v>
      </c>
      <c r="I2220" s="3">
        <f ca="1">IFERROR(__xludf.UNSUPPORTED("""COMPUTED_VALUE"""),24)</f>
        <v>24</v>
      </c>
      <c r="J2220" s="4">
        <f ca="1">IFERROR(__xludf.UNSUPPORTED("""COMPUTED_VALUE"""),45160.3918518518)</f>
        <v>45160.391851851797</v>
      </c>
      <c r="L2220" s="3" t="str">
        <f ca="1">IFERROR(__xludf.UNSUPPORTED("""COMPUTED_VALUE"""),"Normalidade")</f>
        <v>Normalidade</v>
      </c>
    </row>
    <row r="2221" spans="1:12" ht="12.75">
      <c r="A2221" s="3" t="str">
        <f ca="1">IFERROR(__xludf.UNSUPPORTED("""COMPUTED_VALUE"""),"d0fb382f")</f>
        <v>d0fb382f</v>
      </c>
      <c r="B2221" s="4">
        <f ca="1">IFERROR(__xludf.UNSUPPORTED("""COMPUTED_VALUE"""),45161.3292939814)</f>
        <v>45161.329293981398</v>
      </c>
      <c r="C2221" s="7" t="str">
        <f ca="1">IFERROR(__xludf.UNSUPPORTED("""COMPUTED_VALUE"""),"Salvador")</f>
        <v>Salvador</v>
      </c>
      <c r="D2221" s="3" t="str">
        <f ca="1">IFERROR(__xludf.UNSUPPORTED("""COMPUTED_VALUE"""),"🚢 REGULAR")</f>
        <v>🚢 REGULAR</v>
      </c>
      <c r="E2221" s="3" t="str">
        <f ca="1">IFERROR(__xludf.UNSUPPORTED("""COMPUTED_VALUE"""),"🚛 LIBERADO")</f>
        <v>🚛 LIBERADO</v>
      </c>
      <c r="F2221" s="5">
        <f ca="1">IFERROR(__xludf.UNSUPPORTED("""COMPUTED_VALUE"""),0)</f>
        <v>0</v>
      </c>
      <c r="G2221" s="3" t="str">
        <f ca="1">IFERROR(__xludf.UNSUPPORTED("""COMPUTED_VALUE"""),"Normalidade")</f>
        <v>Normalidade</v>
      </c>
      <c r="H2221" s="4">
        <f ca="1">IFERROR(__xludf.UNSUPPORTED("""COMPUTED_VALUE"""),45161.3292939814)</f>
        <v>45161.329293981398</v>
      </c>
      <c r="I2221" s="3">
        <f ca="1">IFERROR(__xludf.UNSUPPORTED("""COMPUTED_VALUE"""),24)</f>
        <v>24</v>
      </c>
      <c r="J2221" s="4">
        <f ca="1">IFERROR(__xludf.UNSUPPORTED("""COMPUTED_VALUE"""),45162.3292939814)</f>
        <v>45162.329293981398</v>
      </c>
      <c r="L2221" s="3" t="str">
        <f ca="1">IFERROR(__xludf.UNSUPPORTED("""COMPUTED_VALUE"""),"Normalidade")</f>
        <v>Normalidade</v>
      </c>
    </row>
    <row r="2222" spans="1:12" ht="12.75">
      <c r="A2222" s="3" t="str">
        <f ca="1">IFERROR(__xludf.UNSUPPORTED("""COMPUTED_VALUE"""),"fb5d2fdb")</f>
        <v>fb5d2fdb</v>
      </c>
      <c r="B2222" s="4">
        <f ca="1">IFERROR(__xludf.UNSUPPORTED("""COMPUTED_VALUE"""),45163.470949074)</f>
        <v>45163.470949073999</v>
      </c>
      <c r="C2222" s="7" t="str">
        <f ca="1">IFERROR(__xludf.UNSUPPORTED("""COMPUTED_VALUE"""),"Salvador")</f>
        <v>Salvador</v>
      </c>
      <c r="D2222" s="3" t="str">
        <f ca="1">IFERROR(__xludf.UNSUPPORTED("""COMPUTED_VALUE"""),"🚢 REGULAR")</f>
        <v>🚢 REGULAR</v>
      </c>
      <c r="E2222" s="3" t="str">
        <f ca="1">IFERROR(__xludf.UNSUPPORTED("""COMPUTED_VALUE"""),"🚛 LIBERADO")</f>
        <v>🚛 LIBERADO</v>
      </c>
      <c r="F2222" s="5">
        <f ca="1">IFERROR(__xludf.UNSUPPORTED("""COMPUTED_VALUE"""),0)</f>
        <v>0</v>
      </c>
      <c r="G2222" s="3" t="str">
        <f ca="1">IFERROR(__xludf.UNSUPPORTED("""COMPUTED_VALUE"""),"Normalidade")</f>
        <v>Normalidade</v>
      </c>
      <c r="H2222" s="4">
        <f ca="1">IFERROR(__xludf.UNSUPPORTED("""COMPUTED_VALUE"""),45163.470949074)</f>
        <v>45163.470949073999</v>
      </c>
      <c r="I2222" s="3">
        <f ca="1">IFERROR(__xludf.UNSUPPORTED("""COMPUTED_VALUE"""),24)</f>
        <v>24</v>
      </c>
      <c r="J2222" s="4">
        <f ca="1">IFERROR(__xludf.UNSUPPORTED("""COMPUTED_VALUE"""),45164.470949074)</f>
        <v>45164.470949073999</v>
      </c>
      <c r="L2222" s="3" t="str">
        <f ca="1">IFERROR(__xludf.UNSUPPORTED("""COMPUTED_VALUE"""),"Normalidade")</f>
        <v>Normalidade</v>
      </c>
    </row>
    <row r="2223" spans="1:12" ht="12.75">
      <c r="A2223" s="3" t="str">
        <f ca="1">IFERROR(__xludf.UNSUPPORTED("""COMPUTED_VALUE"""),"6801aa67")</f>
        <v>6801aa67</v>
      </c>
      <c r="B2223" s="4">
        <f ca="1">IFERROR(__xludf.UNSUPPORTED("""COMPUTED_VALUE"""),45166.392974537)</f>
        <v>45166.392974536997</v>
      </c>
      <c r="C2223" s="8" t="str">
        <f ca="1">IFERROR(__xludf.UNSUPPORTED("""COMPUTED_VALUE"""),"Salvador")</f>
        <v>Salvador</v>
      </c>
      <c r="D2223" s="3" t="str">
        <f ca="1">IFERROR(__xludf.UNSUPPORTED("""COMPUTED_VALUE"""),"🚢 REGULAR")</f>
        <v>🚢 REGULAR</v>
      </c>
      <c r="E2223" s="3" t="str">
        <f ca="1">IFERROR(__xludf.UNSUPPORTED("""COMPUTED_VALUE"""),"🚛 LIBERADO")</f>
        <v>🚛 LIBERADO</v>
      </c>
      <c r="F2223" s="5">
        <f ca="1">IFERROR(__xludf.UNSUPPORTED("""COMPUTED_VALUE"""),0)</f>
        <v>0</v>
      </c>
      <c r="G2223" s="3" t="str">
        <f ca="1">IFERROR(__xludf.UNSUPPORTED("""COMPUTED_VALUE"""),"Normalidade")</f>
        <v>Normalidade</v>
      </c>
      <c r="H2223" s="4">
        <f ca="1">IFERROR(__xludf.UNSUPPORTED("""COMPUTED_VALUE"""),45166.392974537)</f>
        <v>45166.392974536997</v>
      </c>
      <c r="I2223" s="3">
        <f ca="1">IFERROR(__xludf.UNSUPPORTED("""COMPUTED_VALUE"""),24)</f>
        <v>24</v>
      </c>
      <c r="J2223" s="4">
        <f ca="1">IFERROR(__xludf.UNSUPPORTED("""COMPUTED_VALUE"""),45167.392974537)</f>
        <v>45167.392974536997</v>
      </c>
      <c r="L2223" s="3" t="str">
        <f ca="1">IFERROR(__xludf.UNSUPPORTED("""COMPUTED_VALUE"""),"Normalidade")</f>
        <v>Normalidade</v>
      </c>
    </row>
    <row r="2224" spans="1:12" ht="12.75">
      <c r="A2224" s="3" t="str">
        <f ca="1">IFERROR(__xludf.UNSUPPORTED("""COMPUTED_VALUE"""),"34183485")</f>
        <v>34183485</v>
      </c>
      <c r="B2224" s="4">
        <f ca="1">IFERROR(__xludf.UNSUPPORTED("""COMPUTED_VALUE"""),45167.422349537)</f>
        <v>45167.422349537002</v>
      </c>
      <c r="C2224" s="7" t="str">
        <f ca="1">IFERROR(__xludf.UNSUPPORTED("""COMPUTED_VALUE"""),"Salvador")</f>
        <v>Salvador</v>
      </c>
      <c r="D2224" s="3" t="str">
        <f ca="1">IFERROR(__xludf.UNSUPPORTED("""COMPUTED_VALUE"""),"🚢 REGULAR")</f>
        <v>🚢 REGULAR</v>
      </c>
      <c r="E2224" s="3" t="str">
        <f ca="1">IFERROR(__xludf.UNSUPPORTED("""COMPUTED_VALUE"""),"🚛 LIBERADO")</f>
        <v>🚛 LIBERADO</v>
      </c>
      <c r="F2224" s="5">
        <f ca="1">IFERROR(__xludf.UNSUPPORTED("""COMPUTED_VALUE"""),0)</f>
        <v>0</v>
      </c>
      <c r="G2224" s="3" t="str">
        <f ca="1">IFERROR(__xludf.UNSUPPORTED("""COMPUTED_VALUE"""),"Normalidade")</f>
        <v>Normalidade</v>
      </c>
      <c r="H2224" s="4">
        <f ca="1">IFERROR(__xludf.UNSUPPORTED("""COMPUTED_VALUE"""),45167.422349537)</f>
        <v>45167.422349537002</v>
      </c>
      <c r="I2224" s="3">
        <f ca="1">IFERROR(__xludf.UNSUPPORTED("""COMPUTED_VALUE"""),24)</f>
        <v>24</v>
      </c>
      <c r="J2224" s="4">
        <f ca="1">IFERROR(__xludf.UNSUPPORTED("""COMPUTED_VALUE"""),45168.422349537)</f>
        <v>45168.422349537002</v>
      </c>
      <c r="L2224" s="3" t="str">
        <f ca="1">IFERROR(__xludf.UNSUPPORTED("""COMPUTED_VALUE"""),"Normalidade")</f>
        <v>Normalidade</v>
      </c>
    </row>
    <row r="2225" spans="1:12" ht="12.75">
      <c r="A2225" s="3" t="str">
        <f ca="1">IFERROR(__xludf.UNSUPPORTED("""COMPUTED_VALUE"""),"1929b238")</f>
        <v>1929b238</v>
      </c>
      <c r="B2225" s="4">
        <f ca="1">IFERROR(__xludf.UNSUPPORTED("""COMPUTED_VALUE"""),45169.4550694444)</f>
        <v>45169.455069444397</v>
      </c>
      <c r="C2225" s="7" t="str">
        <f ca="1">IFERROR(__xludf.UNSUPPORTED("""COMPUTED_VALUE"""),"Salvador")</f>
        <v>Salvador</v>
      </c>
      <c r="D2225" s="3" t="str">
        <f ca="1">IFERROR(__xludf.UNSUPPORTED("""COMPUTED_VALUE"""),"🚢 REGULAR")</f>
        <v>🚢 REGULAR</v>
      </c>
      <c r="E2225" s="3" t="str">
        <f ca="1">IFERROR(__xludf.UNSUPPORTED("""COMPUTED_VALUE"""),"🚛 LIBERADO")</f>
        <v>🚛 LIBERADO</v>
      </c>
      <c r="F2225" s="5">
        <f ca="1">IFERROR(__xludf.UNSUPPORTED("""COMPUTED_VALUE"""),0)</f>
        <v>0</v>
      </c>
      <c r="G2225" s="3" t="str">
        <f ca="1">IFERROR(__xludf.UNSUPPORTED("""COMPUTED_VALUE"""),"Normalidade")</f>
        <v>Normalidade</v>
      </c>
      <c r="H2225" s="4">
        <f ca="1">IFERROR(__xludf.UNSUPPORTED("""COMPUTED_VALUE"""),45169.4550694444)</f>
        <v>45169.455069444397</v>
      </c>
      <c r="I2225" s="3">
        <f ca="1">IFERROR(__xludf.UNSUPPORTED("""COMPUTED_VALUE"""),24)</f>
        <v>24</v>
      </c>
      <c r="J2225" s="4">
        <f ca="1">IFERROR(__xludf.UNSUPPORTED("""COMPUTED_VALUE"""),45170.4550694444)</f>
        <v>45170.455069444397</v>
      </c>
      <c r="L2225" s="3" t="str">
        <f ca="1">IFERROR(__xludf.UNSUPPORTED("""COMPUTED_VALUE"""),"Normalidade")</f>
        <v>Normalidade</v>
      </c>
    </row>
    <row r="2226" spans="1:12" ht="12.75">
      <c r="A2226" s="3" t="str">
        <f ca="1">IFERROR(__xludf.UNSUPPORTED("""COMPUTED_VALUE"""),"d88dd16c")</f>
        <v>d88dd16c</v>
      </c>
      <c r="B2226" s="4">
        <f ca="1">IFERROR(__xludf.UNSUPPORTED("""COMPUTED_VALUE"""),45174.4032986111)</f>
        <v>45174.403298611098</v>
      </c>
      <c r="C2226" s="8" t="str">
        <f ca="1">IFERROR(__xludf.UNSUPPORTED("""COMPUTED_VALUE"""),"Salvador")</f>
        <v>Salvador</v>
      </c>
      <c r="D2226" s="3" t="str">
        <f ca="1">IFERROR(__xludf.UNSUPPORTED("""COMPUTED_VALUE"""),"🚢 REGULAR")</f>
        <v>🚢 REGULAR</v>
      </c>
      <c r="E2226" s="3" t="str">
        <f ca="1">IFERROR(__xludf.UNSUPPORTED("""COMPUTED_VALUE"""),"🚛 LIBERADO")</f>
        <v>🚛 LIBERADO</v>
      </c>
      <c r="F2226" s="5">
        <f ca="1">IFERROR(__xludf.UNSUPPORTED("""COMPUTED_VALUE"""),0)</f>
        <v>0</v>
      </c>
      <c r="G2226" s="3" t="str">
        <f ca="1">IFERROR(__xludf.UNSUPPORTED("""COMPUTED_VALUE"""),"Normalidade")</f>
        <v>Normalidade</v>
      </c>
      <c r="H2226" s="4">
        <f ca="1">IFERROR(__xludf.UNSUPPORTED("""COMPUTED_VALUE"""),45174.4032986111)</f>
        <v>45174.403298611098</v>
      </c>
      <c r="I2226" s="3">
        <f ca="1">IFERROR(__xludf.UNSUPPORTED("""COMPUTED_VALUE"""),24)</f>
        <v>24</v>
      </c>
      <c r="J2226" s="4">
        <f ca="1">IFERROR(__xludf.UNSUPPORTED("""COMPUTED_VALUE"""),45175.4032986111)</f>
        <v>45175.403298611098</v>
      </c>
      <c r="L2226" s="3" t="str">
        <f ca="1">IFERROR(__xludf.UNSUPPORTED("""COMPUTED_VALUE"""),"Normalidade")</f>
        <v>Normalidade</v>
      </c>
    </row>
    <row r="2227" spans="1:12" ht="12.75">
      <c r="A2227" s="3" t="str">
        <f ca="1">IFERROR(__xludf.UNSUPPORTED("""COMPUTED_VALUE"""),"e5ed36cd")</f>
        <v>e5ed36cd</v>
      </c>
      <c r="B2227" s="4">
        <f ca="1">IFERROR(__xludf.UNSUPPORTED("""COMPUTED_VALUE"""),45177.3864236111)</f>
        <v>45177.386423611097</v>
      </c>
      <c r="C2227" s="8" t="str">
        <f ca="1">IFERROR(__xludf.UNSUPPORTED("""COMPUTED_VALUE"""),"Salvador")</f>
        <v>Salvador</v>
      </c>
      <c r="D2227" s="3" t="str">
        <f ca="1">IFERROR(__xludf.UNSUPPORTED("""COMPUTED_VALUE"""),"🚢 REGULAR")</f>
        <v>🚢 REGULAR</v>
      </c>
      <c r="E2227" s="3" t="str">
        <f ca="1">IFERROR(__xludf.UNSUPPORTED("""COMPUTED_VALUE"""),"🚛 LIBERADO")</f>
        <v>🚛 LIBERADO</v>
      </c>
      <c r="F2227" s="5">
        <f ca="1">IFERROR(__xludf.UNSUPPORTED("""COMPUTED_VALUE"""),0)</f>
        <v>0</v>
      </c>
      <c r="G2227" s="3" t="str">
        <f ca="1">IFERROR(__xludf.UNSUPPORTED("""COMPUTED_VALUE"""),"Normalidade")</f>
        <v>Normalidade</v>
      </c>
      <c r="H2227" s="4">
        <f ca="1">IFERROR(__xludf.UNSUPPORTED("""COMPUTED_VALUE"""),45177.3864236111)</f>
        <v>45177.386423611097</v>
      </c>
      <c r="I2227" s="3">
        <f ca="1">IFERROR(__xludf.UNSUPPORTED("""COMPUTED_VALUE"""),24)</f>
        <v>24</v>
      </c>
      <c r="J2227" s="4">
        <f ca="1">IFERROR(__xludf.UNSUPPORTED("""COMPUTED_VALUE"""),45178.3864236111)</f>
        <v>45178.386423611097</v>
      </c>
      <c r="L2227" s="3" t="str">
        <f ca="1">IFERROR(__xludf.UNSUPPORTED("""COMPUTED_VALUE"""),"Normalidade")</f>
        <v>Normalidade</v>
      </c>
    </row>
    <row r="2228" spans="1:12" ht="12.75">
      <c r="A2228" s="3" t="str">
        <f ca="1">IFERROR(__xludf.UNSUPPORTED("""COMPUTED_VALUE"""),"75f7a809")</f>
        <v>75f7a809</v>
      </c>
      <c r="B2228" s="4">
        <f ca="1">IFERROR(__xludf.UNSUPPORTED("""COMPUTED_VALUE"""),45180.4202199074)</f>
        <v>45180.420219907399</v>
      </c>
      <c r="C2228" s="7" t="str">
        <f ca="1">IFERROR(__xludf.UNSUPPORTED("""COMPUTED_VALUE"""),"Salvador")</f>
        <v>Salvador</v>
      </c>
      <c r="D2228" s="3" t="str">
        <f ca="1">IFERROR(__xludf.UNSUPPORTED("""COMPUTED_VALUE"""),"🚢 REGULAR")</f>
        <v>🚢 REGULAR</v>
      </c>
      <c r="E2228" s="3" t="str">
        <f ca="1">IFERROR(__xludf.UNSUPPORTED("""COMPUTED_VALUE"""),"🚛 LIBERADO")</f>
        <v>🚛 LIBERADO</v>
      </c>
      <c r="F2228" s="5">
        <f ca="1">IFERROR(__xludf.UNSUPPORTED("""COMPUTED_VALUE"""),0)</f>
        <v>0</v>
      </c>
      <c r="G2228" s="3" t="str">
        <f ca="1">IFERROR(__xludf.UNSUPPORTED("""COMPUTED_VALUE"""),"Normalidade")</f>
        <v>Normalidade</v>
      </c>
      <c r="H2228" s="4">
        <f ca="1">IFERROR(__xludf.UNSUPPORTED("""COMPUTED_VALUE"""),45180.4202199074)</f>
        <v>45180.420219907399</v>
      </c>
      <c r="I2228" s="3">
        <f ca="1">IFERROR(__xludf.UNSUPPORTED("""COMPUTED_VALUE"""),24)</f>
        <v>24</v>
      </c>
      <c r="J2228" s="4">
        <f ca="1">IFERROR(__xludf.UNSUPPORTED("""COMPUTED_VALUE"""),45181.4202199074)</f>
        <v>45181.420219907399</v>
      </c>
      <c r="L2228" s="3" t="str">
        <f ca="1">IFERROR(__xludf.UNSUPPORTED("""COMPUTED_VALUE"""),"Normalidade")</f>
        <v>Normalidade</v>
      </c>
    </row>
    <row r="2229" spans="1:12" ht="12.75">
      <c r="A2229" s="3" t="str">
        <f ca="1">IFERROR(__xludf.UNSUPPORTED("""COMPUTED_VALUE"""),"6d259bbb")</f>
        <v>6d259bbb</v>
      </c>
      <c r="B2229" s="4">
        <f ca="1">IFERROR(__xludf.UNSUPPORTED("""COMPUTED_VALUE"""),45184.4257986111)</f>
        <v>45184.425798611097</v>
      </c>
      <c r="C2229" s="8" t="str">
        <f ca="1">IFERROR(__xludf.UNSUPPORTED("""COMPUTED_VALUE"""),"Salvador")</f>
        <v>Salvador</v>
      </c>
      <c r="D2229" s="3" t="str">
        <f ca="1">IFERROR(__xludf.UNSUPPORTED("""COMPUTED_VALUE"""),"🚢 REGULAR")</f>
        <v>🚢 REGULAR</v>
      </c>
      <c r="E2229" s="3" t="str">
        <f ca="1">IFERROR(__xludf.UNSUPPORTED("""COMPUTED_VALUE"""),"🚛 LIBERADO")</f>
        <v>🚛 LIBERADO</v>
      </c>
      <c r="F2229" s="5">
        <f ca="1">IFERROR(__xludf.UNSUPPORTED("""COMPUTED_VALUE"""),0)</f>
        <v>0</v>
      </c>
      <c r="G2229" s="3" t="str">
        <f ca="1">IFERROR(__xludf.UNSUPPORTED("""COMPUTED_VALUE"""),"Normalidade")</f>
        <v>Normalidade</v>
      </c>
      <c r="H2229" s="4">
        <f ca="1">IFERROR(__xludf.UNSUPPORTED("""COMPUTED_VALUE"""),45184.4257986111)</f>
        <v>45184.425798611097</v>
      </c>
      <c r="I2229" s="3">
        <f ca="1">IFERROR(__xludf.UNSUPPORTED("""COMPUTED_VALUE"""),24)</f>
        <v>24</v>
      </c>
      <c r="J2229" s="4">
        <f ca="1">IFERROR(__xludf.UNSUPPORTED("""COMPUTED_VALUE"""),45185.4257986111)</f>
        <v>45185.425798611097</v>
      </c>
      <c r="L2229" s="3" t="str">
        <f ca="1">IFERROR(__xludf.UNSUPPORTED("""COMPUTED_VALUE"""),"Normalidade")</f>
        <v>Normalidade</v>
      </c>
    </row>
    <row r="2230" spans="1:12" ht="12.75">
      <c r="A2230" s="3" t="str">
        <f ca="1">IFERROR(__xludf.UNSUPPORTED("""COMPUTED_VALUE"""),"ff4e1810")</f>
        <v>ff4e1810</v>
      </c>
      <c r="B2230" s="4">
        <f ca="1">IFERROR(__xludf.UNSUPPORTED("""COMPUTED_VALUE"""),45187.3489930555)</f>
        <v>45187.348993055501</v>
      </c>
      <c r="C2230" s="8" t="str">
        <f ca="1">IFERROR(__xludf.UNSUPPORTED("""COMPUTED_VALUE"""),"Salvador")</f>
        <v>Salvador</v>
      </c>
      <c r="D2230" s="3" t="str">
        <f ca="1">IFERROR(__xludf.UNSUPPORTED("""COMPUTED_VALUE"""),"🚢 REGULAR")</f>
        <v>🚢 REGULAR</v>
      </c>
      <c r="E2230" s="3" t="str">
        <f ca="1">IFERROR(__xludf.UNSUPPORTED("""COMPUTED_VALUE"""),"🚛 LIBERADO")</f>
        <v>🚛 LIBERADO</v>
      </c>
      <c r="F2230" s="5">
        <f ca="1">IFERROR(__xludf.UNSUPPORTED("""COMPUTED_VALUE"""),0)</f>
        <v>0</v>
      </c>
      <c r="G2230" s="3" t="str">
        <f ca="1">IFERROR(__xludf.UNSUPPORTED("""COMPUTED_VALUE"""),"Normalidade")</f>
        <v>Normalidade</v>
      </c>
      <c r="H2230" s="4">
        <f ca="1">IFERROR(__xludf.UNSUPPORTED("""COMPUTED_VALUE"""),45187.3489930555)</f>
        <v>45187.348993055501</v>
      </c>
      <c r="I2230" s="3">
        <f ca="1">IFERROR(__xludf.UNSUPPORTED("""COMPUTED_VALUE"""),24)</f>
        <v>24</v>
      </c>
      <c r="J2230" s="4">
        <f ca="1">IFERROR(__xludf.UNSUPPORTED("""COMPUTED_VALUE"""),45188.3489930555)</f>
        <v>45188.348993055501</v>
      </c>
      <c r="L2230" s="3" t="str">
        <f ca="1">IFERROR(__xludf.UNSUPPORTED("""COMPUTED_VALUE"""),"Normalidade")</f>
        <v>Normalidade</v>
      </c>
    </row>
    <row r="2231" spans="1:12" ht="12.75">
      <c r="A2231" s="3" t="str">
        <f ca="1">IFERROR(__xludf.UNSUPPORTED("""COMPUTED_VALUE"""),"2f8070ae")</f>
        <v>2f8070ae</v>
      </c>
      <c r="B2231" s="4">
        <f ca="1">IFERROR(__xludf.UNSUPPORTED("""COMPUTED_VALUE"""),45188.4117013888)</f>
        <v>45188.411701388803</v>
      </c>
      <c r="C2231" s="7" t="str">
        <f ca="1">IFERROR(__xludf.UNSUPPORTED("""COMPUTED_VALUE"""),"Salvador")</f>
        <v>Salvador</v>
      </c>
      <c r="D2231" s="3" t="str">
        <f ca="1">IFERROR(__xludf.UNSUPPORTED("""COMPUTED_VALUE"""),"🚢 REGULAR")</f>
        <v>🚢 REGULAR</v>
      </c>
      <c r="E2231" s="3" t="str">
        <f ca="1">IFERROR(__xludf.UNSUPPORTED("""COMPUTED_VALUE"""),"🚛 LIBERADO")</f>
        <v>🚛 LIBERADO</v>
      </c>
      <c r="F2231" s="5">
        <f ca="1">IFERROR(__xludf.UNSUPPORTED("""COMPUTED_VALUE"""),0)</f>
        <v>0</v>
      </c>
      <c r="G2231" s="3" t="str">
        <f ca="1">IFERROR(__xludf.UNSUPPORTED("""COMPUTED_VALUE"""),"Normalidade")</f>
        <v>Normalidade</v>
      </c>
      <c r="H2231" s="4">
        <f ca="1">IFERROR(__xludf.UNSUPPORTED("""COMPUTED_VALUE"""),45188.4117013888)</f>
        <v>45188.411701388803</v>
      </c>
      <c r="I2231" s="3">
        <f ca="1">IFERROR(__xludf.UNSUPPORTED("""COMPUTED_VALUE"""),24)</f>
        <v>24</v>
      </c>
      <c r="J2231" s="4">
        <f ca="1">IFERROR(__xludf.UNSUPPORTED("""COMPUTED_VALUE"""),45189.4117013888)</f>
        <v>45189.411701388803</v>
      </c>
      <c r="L2231" s="3" t="str">
        <f ca="1">IFERROR(__xludf.UNSUPPORTED("""COMPUTED_VALUE"""),"Normalidade")</f>
        <v>Normalidade</v>
      </c>
    </row>
    <row r="2232" spans="1:12" ht="12.75">
      <c r="A2232" s="3" t="str">
        <f ca="1">IFERROR(__xludf.UNSUPPORTED("""COMPUTED_VALUE"""),"9cbecb90")</f>
        <v>9cbecb90</v>
      </c>
      <c r="B2232" s="4">
        <f ca="1">IFERROR(__xludf.UNSUPPORTED("""COMPUTED_VALUE"""),45190.3536574074)</f>
        <v>45190.353657407402</v>
      </c>
      <c r="C2232" s="7" t="str">
        <f ca="1">IFERROR(__xludf.UNSUPPORTED("""COMPUTED_VALUE"""),"Salvador")</f>
        <v>Salvador</v>
      </c>
      <c r="D2232" s="3" t="str">
        <f ca="1">IFERROR(__xludf.UNSUPPORTED("""COMPUTED_VALUE"""),"🚢 REGULAR")</f>
        <v>🚢 REGULAR</v>
      </c>
      <c r="E2232" s="3" t="str">
        <f ca="1">IFERROR(__xludf.UNSUPPORTED("""COMPUTED_VALUE"""),"🚛 LIBERADO")</f>
        <v>🚛 LIBERADO</v>
      </c>
      <c r="F2232" s="5">
        <f ca="1">IFERROR(__xludf.UNSUPPORTED("""COMPUTED_VALUE"""),0)</f>
        <v>0</v>
      </c>
      <c r="G2232" s="3" t="str">
        <f ca="1">IFERROR(__xludf.UNSUPPORTED("""COMPUTED_VALUE"""),"Normalidade")</f>
        <v>Normalidade</v>
      </c>
      <c r="H2232" s="4">
        <f ca="1">IFERROR(__xludf.UNSUPPORTED("""COMPUTED_VALUE"""),45190.3536574074)</f>
        <v>45190.353657407402</v>
      </c>
      <c r="I2232" s="3">
        <f ca="1">IFERROR(__xludf.UNSUPPORTED("""COMPUTED_VALUE"""),24)</f>
        <v>24</v>
      </c>
      <c r="J2232" s="4">
        <f ca="1">IFERROR(__xludf.UNSUPPORTED("""COMPUTED_VALUE"""),45191.3536574074)</f>
        <v>45191.353657407402</v>
      </c>
      <c r="L2232" s="3" t="str">
        <f ca="1">IFERROR(__xludf.UNSUPPORTED("""COMPUTED_VALUE"""),"Normalidade")</f>
        <v>Normalidade</v>
      </c>
    </row>
    <row r="2233" spans="1:12" ht="12.75">
      <c r="A2233" s="3" t="str">
        <f ca="1">IFERROR(__xludf.UNSUPPORTED("""COMPUTED_VALUE"""),"4414abb0")</f>
        <v>4414abb0</v>
      </c>
      <c r="B2233" s="4">
        <f ca="1">IFERROR(__xludf.UNSUPPORTED("""COMPUTED_VALUE"""),45195.4580787037)</f>
        <v>45195.458078703698</v>
      </c>
      <c r="C2233" s="7" t="str">
        <f ca="1">IFERROR(__xludf.UNSUPPORTED("""COMPUTED_VALUE"""),"Salvador")</f>
        <v>Salvador</v>
      </c>
      <c r="D2233" s="3" t="str">
        <f ca="1">IFERROR(__xludf.UNSUPPORTED("""COMPUTED_VALUE"""),"🚢 REGULAR")</f>
        <v>🚢 REGULAR</v>
      </c>
      <c r="E2233" s="3" t="str">
        <f ca="1">IFERROR(__xludf.UNSUPPORTED("""COMPUTED_VALUE"""),"🚛 LIBERADO")</f>
        <v>🚛 LIBERADO</v>
      </c>
      <c r="F2233" s="5">
        <f ca="1">IFERROR(__xludf.UNSUPPORTED("""COMPUTED_VALUE"""),0)</f>
        <v>0</v>
      </c>
      <c r="G2233" s="3" t="str">
        <f ca="1">IFERROR(__xludf.UNSUPPORTED("""COMPUTED_VALUE"""),"Normalidade")</f>
        <v>Normalidade</v>
      </c>
      <c r="H2233" s="4">
        <f ca="1">IFERROR(__xludf.UNSUPPORTED("""COMPUTED_VALUE"""),45195.4580787037)</f>
        <v>45195.458078703698</v>
      </c>
      <c r="I2233" s="3">
        <f ca="1">IFERROR(__xludf.UNSUPPORTED("""COMPUTED_VALUE"""),24)</f>
        <v>24</v>
      </c>
      <c r="J2233" s="4">
        <f ca="1">IFERROR(__xludf.UNSUPPORTED("""COMPUTED_VALUE"""),45196.4580787037)</f>
        <v>45196.458078703698</v>
      </c>
      <c r="L2233" s="3" t="str">
        <f ca="1">IFERROR(__xludf.UNSUPPORTED("""COMPUTED_VALUE"""),"Normalidade")</f>
        <v>Normalidade</v>
      </c>
    </row>
    <row r="2234" spans="1:12" ht="12.75">
      <c r="A2234" s="3" t="str">
        <f ca="1">IFERROR(__xludf.UNSUPPORTED("""COMPUTED_VALUE"""),"ff8e8f17")</f>
        <v>ff8e8f17</v>
      </c>
      <c r="B2234" s="4">
        <f ca="1">IFERROR(__xludf.UNSUPPORTED("""COMPUTED_VALUE"""),45196.3826157407)</f>
        <v>45196.382615740702</v>
      </c>
      <c r="C2234" s="8" t="str">
        <f ca="1">IFERROR(__xludf.UNSUPPORTED("""COMPUTED_VALUE"""),"Salvador")</f>
        <v>Salvador</v>
      </c>
      <c r="D2234" s="3" t="str">
        <f ca="1">IFERROR(__xludf.UNSUPPORTED("""COMPUTED_VALUE"""),"🚢 REGULAR")</f>
        <v>🚢 REGULAR</v>
      </c>
      <c r="E2234" s="3" t="str">
        <f ca="1">IFERROR(__xludf.UNSUPPORTED("""COMPUTED_VALUE"""),"🚛 LIBERADO")</f>
        <v>🚛 LIBERADO</v>
      </c>
      <c r="F2234" s="5">
        <f ca="1">IFERROR(__xludf.UNSUPPORTED("""COMPUTED_VALUE"""),0)</f>
        <v>0</v>
      </c>
      <c r="G2234" s="3" t="str">
        <f ca="1">IFERROR(__xludf.UNSUPPORTED("""COMPUTED_VALUE"""),"Normalidade")</f>
        <v>Normalidade</v>
      </c>
      <c r="H2234" s="4">
        <f ca="1">IFERROR(__xludf.UNSUPPORTED("""COMPUTED_VALUE"""),45196.3826157407)</f>
        <v>45196.382615740702</v>
      </c>
      <c r="I2234" s="3">
        <f ca="1">IFERROR(__xludf.UNSUPPORTED("""COMPUTED_VALUE"""),24)</f>
        <v>24</v>
      </c>
      <c r="J2234" s="4">
        <f ca="1">IFERROR(__xludf.UNSUPPORTED("""COMPUTED_VALUE"""),45197.3826157407)</f>
        <v>45197.382615740702</v>
      </c>
      <c r="L2234" s="3" t="str">
        <f ca="1">IFERROR(__xludf.UNSUPPORTED("""COMPUTED_VALUE"""),"Normalidade")</f>
        <v>Normalidade</v>
      </c>
    </row>
    <row r="2235" spans="1:12" ht="12.75">
      <c r="A2235" s="3" t="str">
        <f ca="1">IFERROR(__xludf.UNSUPPORTED("""COMPUTED_VALUE"""),"19ea5732")</f>
        <v>19ea5732</v>
      </c>
      <c r="B2235" s="4">
        <f ca="1">IFERROR(__xludf.UNSUPPORTED("""COMPUTED_VALUE"""),45197.4339699074)</f>
        <v>45197.433969907397</v>
      </c>
      <c r="C2235" s="7" t="str">
        <f ca="1">IFERROR(__xludf.UNSUPPORTED("""COMPUTED_VALUE"""),"Salvador")</f>
        <v>Salvador</v>
      </c>
      <c r="D2235" s="3" t="str">
        <f ca="1">IFERROR(__xludf.UNSUPPORTED("""COMPUTED_VALUE"""),"🚢 REGULAR")</f>
        <v>🚢 REGULAR</v>
      </c>
      <c r="E2235" s="3" t="str">
        <f ca="1">IFERROR(__xludf.UNSUPPORTED("""COMPUTED_VALUE"""),"🚛 LIBERADO")</f>
        <v>🚛 LIBERADO</v>
      </c>
      <c r="F2235" s="5">
        <f ca="1">IFERROR(__xludf.UNSUPPORTED("""COMPUTED_VALUE"""),0)</f>
        <v>0</v>
      </c>
      <c r="G2235" s="3" t="str">
        <f ca="1">IFERROR(__xludf.UNSUPPORTED("""COMPUTED_VALUE"""),"Normalidade")</f>
        <v>Normalidade</v>
      </c>
      <c r="H2235" s="4">
        <f ca="1">IFERROR(__xludf.UNSUPPORTED("""COMPUTED_VALUE"""),45197.4339699074)</f>
        <v>45197.433969907397</v>
      </c>
      <c r="I2235" s="3">
        <f ca="1">IFERROR(__xludf.UNSUPPORTED("""COMPUTED_VALUE"""),24)</f>
        <v>24</v>
      </c>
      <c r="J2235" s="4">
        <f ca="1">IFERROR(__xludf.UNSUPPORTED("""COMPUTED_VALUE"""),45198.4339699074)</f>
        <v>45198.433969907397</v>
      </c>
      <c r="L2235" s="3" t="str">
        <f ca="1">IFERROR(__xludf.UNSUPPORTED("""COMPUTED_VALUE"""),"Normalidade")</f>
        <v>Normalidade</v>
      </c>
    </row>
    <row r="2236" spans="1:12" ht="12.75">
      <c r="A2236" s="3" t="str">
        <f ca="1">IFERROR(__xludf.UNSUPPORTED("""COMPUTED_VALUE"""),"e2cf6d52")</f>
        <v>e2cf6d52</v>
      </c>
      <c r="B2236" s="4">
        <f ca="1">IFERROR(__xludf.UNSUPPORTED("""COMPUTED_VALUE"""),45201.4351504629)</f>
        <v>45201.435150462901</v>
      </c>
      <c r="C2236" s="7" t="str">
        <f ca="1">IFERROR(__xludf.UNSUPPORTED("""COMPUTED_VALUE"""),"Salvador")</f>
        <v>Salvador</v>
      </c>
      <c r="D2236" s="3" t="str">
        <f ca="1">IFERROR(__xludf.UNSUPPORTED("""COMPUTED_VALUE"""),"🚢 REGULAR")</f>
        <v>🚢 REGULAR</v>
      </c>
      <c r="E2236" s="3" t="str">
        <f ca="1">IFERROR(__xludf.UNSUPPORTED("""COMPUTED_VALUE"""),"🚛 LIBERADO")</f>
        <v>🚛 LIBERADO</v>
      </c>
      <c r="F2236" s="5">
        <f ca="1">IFERROR(__xludf.UNSUPPORTED("""COMPUTED_VALUE"""),0)</f>
        <v>0</v>
      </c>
      <c r="G2236" s="3" t="str">
        <f ca="1">IFERROR(__xludf.UNSUPPORTED("""COMPUTED_VALUE"""),"Normalidade")</f>
        <v>Normalidade</v>
      </c>
      <c r="H2236" s="4">
        <f ca="1">IFERROR(__xludf.UNSUPPORTED("""COMPUTED_VALUE"""),45201.4351504629)</f>
        <v>45201.435150462901</v>
      </c>
      <c r="I2236" s="3">
        <f ca="1">IFERROR(__xludf.UNSUPPORTED("""COMPUTED_VALUE"""),24)</f>
        <v>24</v>
      </c>
      <c r="J2236" s="4">
        <f ca="1">IFERROR(__xludf.UNSUPPORTED("""COMPUTED_VALUE"""),45202.4351504629)</f>
        <v>45202.435150462901</v>
      </c>
      <c r="L2236" s="3" t="str">
        <f ca="1">IFERROR(__xludf.UNSUPPORTED("""COMPUTED_VALUE"""),"Normalidade")</f>
        <v>Normalidade</v>
      </c>
    </row>
    <row r="2237" spans="1:12" ht="12.75">
      <c r="A2237" s="3" t="str">
        <f ca="1">IFERROR(__xludf.UNSUPPORTED("""COMPUTED_VALUE"""),"4c953408")</f>
        <v>4c953408</v>
      </c>
      <c r="B2237" s="4">
        <f ca="1">IFERROR(__xludf.UNSUPPORTED("""COMPUTED_VALUE"""),45202.3849884259)</f>
        <v>45202.384988425903</v>
      </c>
      <c r="C2237" s="7" t="str">
        <f ca="1">IFERROR(__xludf.UNSUPPORTED("""COMPUTED_VALUE"""),"Salvador")</f>
        <v>Salvador</v>
      </c>
      <c r="D2237" s="3" t="str">
        <f ca="1">IFERROR(__xludf.UNSUPPORTED("""COMPUTED_VALUE"""),"🚢 REGULAR")</f>
        <v>🚢 REGULAR</v>
      </c>
      <c r="E2237" s="3" t="str">
        <f ca="1">IFERROR(__xludf.UNSUPPORTED("""COMPUTED_VALUE"""),"🚛 LIBERADO")</f>
        <v>🚛 LIBERADO</v>
      </c>
      <c r="F2237" s="5">
        <f ca="1">IFERROR(__xludf.UNSUPPORTED("""COMPUTED_VALUE"""),0)</f>
        <v>0</v>
      </c>
      <c r="G2237" s="3" t="str">
        <f ca="1">IFERROR(__xludf.UNSUPPORTED("""COMPUTED_VALUE"""),"Normalidade")</f>
        <v>Normalidade</v>
      </c>
      <c r="H2237" s="4">
        <f ca="1">IFERROR(__xludf.UNSUPPORTED("""COMPUTED_VALUE"""),45202.3849884259)</f>
        <v>45202.384988425903</v>
      </c>
      <c r="I2237" s="3">
        <f ca="1">IFERROR(__xludf.UNSUPPORTED("""COMPUTED_VALUE"""),24)</f>
        <v>24</v>
      </c>
      <c r="J2237" s="4">
        <f ca="1">IFERROR(__xludf.UNSUPPORTED("""COMPUTED_VALUE"""),45203.3849884259)</f>
        <v>45203.384988425903</v>
      </c>
      <c r="L2237" s="3" t="str">
        <f ca="1">IFERROR(__xludf.UNSUPPORTED("""COMPUTED_VALUE"""),"Normalidade")</f>
        <v>Normalidade</v>
      </c>
    </row>
    <row r="2238" spans="1:12" ht="12.75">
      <c r="A2238" s="3" t="str">
        <f ca="1">IFERROR(__xludf.UNSUPPORTED("""COMPUTED_VALUE"""),"b7a75e9c")</f>
        <v>b7a75e9c</v>
      </c>
      <c r="B2238" s="4">
        <f ca="1">IFERROR(__xludf.UNSUPPORTED("""COMPUTED_VALUE"""),45205.5690162037)</f>
        <v>45205.569016203699</v>
      </c>
      <c r="C2238" s="8" t="str">
        <f ca="1">IFERROR(__xludf.UNSUPPORTED("""COMPUTED_VALUE"""),"Salvador")</f>
        <v>Salvador</v>
      </c>
      <c r="D2238" s="3" t="str">
        <f ca="1">IFERROR(__xludf.UNSUPPORTED("""COMPUTED_VALUE"""),"🚢 REGULAR")</f>
        <v>🚢 REGULAR</v>
      </c>
      <c r="E2238" s="3" t="str">
        <f ca="1">IFERROR(__xludf.UNSUPPORTED("""COMPUTED_VALUE"""),"🚛 LIBERADO")</f>
        <v>🚛 LIBERADO</v>
      </c>
      <c r="F2238" s="5">
        <f ca="1">IFERROR(__xludf.UNSUPPORTED("""COMPUTED_VALUE"""),0)</f>
        <v>0</v>
      </c>
      <c r="G2238" s="3" t="str">
        <f ca="1">IFERROR(__xludf.UNSUPPORTED("""COMPUTED_VALUE"""),"Normalidade")</f>
        <v>Normalidade</v>
      </c>
      <c r="H2238" s="4">
        <f ca="1">IFERROR(__xludf.UNSUPPORTED("""COMPUTED_VALUE"""),45205.5690162037)</f>
        <v>45205.569016203699</v>
      </c>
      <c r="I2238" s="3">
        <f ca="1">IFERROR(__xludf.UNSUPPORTED("""COMPUTED_VALUE"""),24)</f>
        <v>24</v>
      </c>
      <c r="J2238" s="4">
        <f ca="1">IFERROR(__xludf.UNSUPPORTED("""COMPUTED_VALUE"""),45206.5690162037)</f>
        <v>45206.569016203699</v>
      </c>
      <c r="L2238" s="3" t="str">
        <f ca="1">IFERROR(__xludf.UNSUPPORTED("""COMPUTED_VALUE"""),"Normalidade")</f>
        <v>Normalidade</v>
      </c>
    </row>
    <row r="2239" spans="1:12" ht="12.75">
      <c r="A2239" s="3" t="str">
        <f ca="1">IFERROR(__xludf.UNSUPPORTED("""COMPUTED_VALUE"""),"ad8d8232")</f>
        <v>ad8d8232</v>
      </c>
      <c r="B2239" s="4">
        <f ca="1">IFERROR(__xludf.UNSUPPORTED("""COMPUTED_VALUE"""),45210.3847222222)</f>
        <v>45210.384722222203</v>
      </c>
      <c r="C2239" s="8" t="str">
        <f ca="1">IFERROR(__xludf.UNSUPPORTED("""COMPUTED_VALUE"""),"Salvador")</f>
        <v>Salvador</v>
      </c>
      <c r="D2239" s="3" t="str">
        <f ca="1">IFERROR(__xludf.UNSUPPORTED("""COMPUTED_VALUE"""),"🚢 REGULAR")</f>
        <v>🚢 REGULAR</v>
      </c>
      <c r="E2239" s="3" t="str">
        <f ca="1">IFERROR(__xludf.UNSUPPORTED("""COMPUTED_VALUE"""),"🚛 LIBERADO")</f>
        <v>🚛 LIBERADO</v>
      </c>
      <c r="F2239" s="5">
        <f ca="1">IFERROR(__xludf.UNSUPPORTED("""COMPUTED_VALUE"""),0)</f>
        <v>0</v>
      </c>
      <c r="G2239" s="3" t="str">
        <f ca="1">IFERROR(__xludf.UNSUPPORTED("""COMPUTED_VALUE"""),"Normalidade")</f>
        <v>Normalidade</v>
      </c>
      <c r="H2239" s="4">
        <f ca="1">IFERROR(__xludf.UNSUPPORTED("""COMPUTED_VALUE"""),45210.3847222222)</f>
        <v>45210.384722222203</v>
      </c>
      <c r="I2239" s="3">
        <f ca="1">IFERROR(__xludf.UNSUPPORTED("""COMPUTED_VALUE"""),24)</f>
        <v>24</v>
      </c>
      <c r="J2239" s="4">
        <f ca="1">IFERROR(__xludf.UNSUPPORTED("""COMPUTED_VALUE"""),45211.3847222222)</f>
        <v>45211.384722222203</v>
      </c>
      <c r="L2239" s="3" t="str">
        <f ca="1">IFERROR(__xludf.UNSUPPORTED("""COMPUTED_VALUE"""),"Normalidade")</f>
        <v>Normalidade</v>
      </c>
    </row>
    <row r="2240" spans="1:12" ht="12.75">
      <c r="A2240" s="3" t="str">
        <f ca="1">IFERROR(__xludf.UNSUPPORTED("""COMPUTED_VALUE"""),"5ee314c0")</f>
        <v>5ee314c0</v>
      </c>
      <c r="B2240" s="4">
        <f ca="1">IFERROR(__xludf.UNSUPPORTED("""COMPUTED_VALUE"""),45212.500787037)</f>
        <v>45212.500787037003</v>
      </c>
      <c r="C2240" s="7" t="str">
        <f ca="1">IFERROR(__xludf.UNSUPPORTED("""COMPUTED_VALUE"""),"Salvador")</f>
        <v>Salvador</v>
      </c>
      <c r="D2240" s="3" t="str">
        <f ca="1">IFERROR(__xludf.UNSUPPORTED("""COMPUTED_VALUE"""),"🚢 REGULAR")</f>
        <v>🚢 REGULAR</v>
      </c>
      <c r="E2240" s="3" t="str">
        <f ca="1">IFERROR(__xludf.UNSUPPORTED("""COMPUTED_VALUE"""),"🚛 LIBERADO")</f>
        <v>🚛 LIBERADO</v>
      </c>
      <c r="F2240" s="5">
        <f ca="1">IFERROR(__xludf.UNSUPPORTED("""COMPUTED_VALUE"""),0)</f>
        <v>0</v>
      </c>
      <c r="G2240" s="3" t="str">
        <f ca="1">IFERROR(__xludf.UNSUPPORTED("""COMPUTED_VALUE"""),"Normalidade")</f>
        <v>Normalidade</v>
      </c>
      <c r="H2240" s="4">
        <f ca="1">IFERROR(__xludf.UNSUPPORTED("""COMPUTED_VALUE"""),45212.500787037)</f>
        <v>45212.500787037003</v>
      </c>
      <c r="I2240" s="3">
        <f ca="1">IFERROR(__xludf.UNSUPPORTED("""COMPUTED_VALUE"""),24)</f>
        <v>24</v>
      </c>
      <c r="J2240" s="4">
        <f ca="1">IFERROR(__xludf.UNSUPPORTED("""COMPUTED_VALUE"""),45213.500787037)</f>
        <v>45213.500787037003</v>
      </c>
      <c r="L2240" s="3" t="str">
        <f ca="1">IFERROR(__xludf.UNSUPPORTED("""COMPUTED_VALUE"""),"Normalidade")</f>
        <v>Normalidade</v>
      </c>
    </row>
    <row r="2241" spans="1:12" ht="12.75">
      <c r="A2241" s="3" t="str">
        <f ca="1">IFERROR(__xludf.UNSUPPORTED("""COMPUTED_VALUE"""),"69763577")</f>
        <v>69763577</v>
      </c>
      <c r="B2241" s="4">
        <f ca="1">IFERROR(__xludf.UNSUPPORTED("""COMPUTED_VALUE"""),45215.4004398148)</f>
        <v>45215.400439814803</v>
      </c>
      <c r="C2241" s="7" t="str">
        <f ca="1">IFERROR(__xludf.UNSUPPORTED("""COMPUTED_VALUE"""),"Salvador")</f>
        <v>Salvador</v>
      </c>
      <c r="D2241" s="3" t="str">
        <f ca="1">IFERROR(__xludf.UNSUPPORTED("""COMPUTED_VALUE"""),"🚢 REGULAR")</f>
        <v>🚢 REGULAR</v>
      </c>
      <c r="E2241" s="3" t="str">
        <f ca="1">IFERROR(__xludf.UNSUPPORTED("""COMPUTED_VALUE"""),"🚛 LIBERADO")</f>
        <v>🚛 LIBERADO</v>
      </c>
      <c r="F2241" s="5">
        <f ca="1">IFERROR(__xludf.UNSUPPORTED("""COMPUTED_VALUE"""),0)</f>
        <v>0</v>
      </c>
      <c r="G2241" s="3" t="str">
        <f ca="1">IFERROR(__xludf.UNSUPPORTED("""COMPUTED_VALUE"""),"Normalidade")</f>
        <v>Normalidade</v>
      </c>
      <c r="H2241" s="4">
        <f ca="1">IFERROR(__xludf.UNSUPPORTED("""COMPUTED_VALUE"""),45215.4004398148)</f>
        <v>45215.400439814803</v>
      </c>
      <c r="I2241" s="3">
        <f ca="1">IFERROR(__xludf.UNSUPPORTED("""COMPUTED_VALUE"""),24)</f>
        <v>24</v>
      </c>
      <c r="J2241" s="4">
        <f ca="1">IFERROR(__xludf.UNSUPPORTED("""COMPUTED_VALUE"""),45216.4004398148)</f>
        <v>45216.400439814803</v>
      </c>
      <c r="L2241" s="3" t="str">
        <f ca="1">IFERROR(__xludf.UNSUPPORTED("""COMPUTED_VALUE"""),"Normalidade")</f>
        <v>Normalidade</v>
      </c>
    </row>
    <row r="2242" spans="1:12" ht="12.75">
      <c r="A2242" s="3" t="str">
        <f ca="1">IFERROR(__xludf.UNSUPPORTED("""COMPUTED_VALUE"""),"f78bd286")</f>
        <v>f78bd286</v>
      </c>
      <c r="B2242" s="4">
        <f ca="1">IFERROR(__xludf.UNSUPPORTED("""COMPUTED_VALUE"""),45225.3614583333)</f>
        <v>45225.361458333296</v>
      </c>
      <c r="C2242" s="7" t="str">
        <f ca="1">IFERROR(__xludf.UNSUPPORTED("""COMPUTED_VALUE"""),"Salvador")</f>
        <v>Salvador</v>
      </c>
      <c r="D2242" s="3" t="str">
        <f ca="1">IFERROR(__xludf.UNSUPPORTED("""COMPUTED_VALUE"""),"🚢 REGULAR")</f>
        <v>🚢 REGULAR</v>
      </c>
      <c r="E2242" s="3" t="str">
        <f ca="1">IFERROR(__xludf.UNSUPPORTED("""COMPUTED_VALUE"""),"🚛 LIBERADO")</f>
        <v>🚛 LIBERADO</v>
      </c>
      <c r="F2242" s="5">
        <f ca="1">IFERROR(__xludf.UNSUPPORTED("""COMPUTED_VALUE"""),0)</f>
        <v>0</v>
      </c>
      <c r="G2242" s="3" t="str">
        <f ca="1">IFERROR(__xludf.UNSUPPORTED("""COMPUTED_VALUE"""),"Normalidade")</f>
        <v>Normalidade</v>
      </c>
      <c r="H2242" s="4">
        <f ca="1">IFERROR(__xludf.UNSUPPORTED("""COMPUTED_VALUE"""),45225.3614583333)</f>
        <v>45225.361458333296</v>
      </c>
      <c r="I2242" s="3">
        <f ca="1">IFERROR(__xludf.UNSUPPORTED("""COMPUTED_VALUE"""),24)</f>
        <v>24</v>
      </c>
      <c r="J2242" s="4">
        <f ca="1">IFERROR(__xludf.UNSUPPORTED("""COMPUTED_VALUE"""),45226.3614583333)</f>
        <v>45226.361458333296</v>
      </c>
      <c r="L2242" s="3" t="str">
        <f ca="1">IFERROR(__xludf.UNSUPPORTED("""COMPUTED_VALUE"""),"Normalidade")</f>
        <v>Normalidade</v>
      </c>
    </row>
    <row r="2243" spans="1:12" ht="12.75">
      <c r="A2243" s="3" t="str">
        <f ca="1">IFERROR(__xludf.UNSUPPORTED("""COMPUTED_VALUE"""),"4ae3a870")</f>
        <v>4ae3a870</v>
      </c>
      <c r="B2243" s="4">
        <f ca="1">IFERROR(__xludf.UNSUPPORTED("""COMPUTED_VALUE"""),45231.4990162037)</f>
        <v>45231.499016203699</v>
      </c>
      <c r="C2243" s="7" t="str">
        <f ca="1">IFERROR(__xludf.UNSUPPORTED("""COMPUTED_VALUE"""),"Salvador")</f>
        <v>Salvador</v>
      </c>
      <c r="D2243" s="3" t="str">
        <f ca="1">IFERROR(__xludf.UNSUPPORTED("""COMPUTED_VALUE"""),"🚢 REGULAR")</f>
        <v>🚢 REGULAR</v>
      </c>
      <c r="E2243" s="3" t="str">
        <f ca="1">IFERROR(__xludf.UNSUPPORTED("""COMPUTED_VALUE"""),"🚛 LIBERADO")</f>
        <v>🚛 LIBERADO</v>
      </c>
      <c r="F2243" s="5">
        <f ca="1">IFERROR(__xludf.UNSUPPORTED("""COMPUTED_VALUE"""),0)</f>
        <v>0</v>
      </c>
      <c r="G2243" s="3" t="str">
        <f ca="1">IFERROR(__xludf.UNSUPPORTED("""COMPUTED_VALUE"""),"Normalidade")</f>
        <v>Normalidade</v>
      </c>
      <c r="H2243" s="4">
        <f ca="1">IFERROR(__xludf.UNSUPPORTED("""COMPUTED_VALUE"""),45231.4990162037)</f>
        <v>45231.499016203699</v>
      </c>
      <c r="I2243" s="3">
        <f ca="1">IFERROR(__xludf.UNSUPPORTED("""COMPUTED_VALUE"""),24)</f>
        <v>24</v>
      </c>
      <c r="J2243" s="4">
        <f ca="1">IFERROR(__xludf.UNSUPPORTED("""COMPUTED_VALUE"""),45232.4990162037)</f>
        <v>45232.499016203699</v>
      </c>
      <c r="L2243" s="3" t="str">
        <f ca="1">IFERROR(__xludf.UNSUPPORTED("""COMPUTED_VALUE"""),"Normalidade")</f>
        <v>Normalidade</v>
      </c>
    </row>
    <row r="2244" spans="1:12" ht="12.75">
      <c r="A2244" s="3" t="str">
        <f ca="1">IFERROR(__xludf.UNSUPPORTED("""COMPUTED_VALUE"""),"49bf98ae")</f>
        <v>49bf98ae</v>
      </c>
      <c r="B2244" s="4">
        <f ca="1">IFERROR(__xludf.UNSUPPORTED("""COMPUTED_VALUE"""),45240.5433217592)</f>
        <v>45240.5433217592</v>
      </c>
      <c r="C2244" s="8" t="str">
        <f ca="1">IFERROR(__xludf.UNSUPPORTED("""COMPUTED_VALUE"""),"Salvador")</f>
        <v>Salvador</v>
      </c>
      <c r="D2244" s="3" t="str">
        <f ca="1">IFERROR(__xludf.UNSUPPORTED("""COMPUTED_VALUE"""),"🚢 REGULAR")</f>
        <v>🚢 REGULAR</v>
      </c>
      <c r="E2244" s="3" t="str">
        <f ca="1">IFERROR(__xludf.UNSUPPORTED("""COMPUTED_VALUE"""),"🚛 LIBERADO")</f>
        <v>🚛 LIBERADO</v>
      </c>
      <c r="F2244" s="5">
        <f ca="1">IFERROR(__xludf.UNSUPPORTED("""COMPUTED_VALUE"""),0)</f>
        <v>0</v>
      </c>
      <c r="G2244" s="3" t="str">
        <f ca="1">IFERROR(__xludf.UNSUPPORTED("""COMPUTED_VALUE"""),"Normalidade")</f>
        <v>Normalidade</v>
      </c>
      <c r="H2244" s="4">
        <f ca="1">IFERROR(__xludf.UNSUPPORTED("""COMPUTED_VALUE"""),45240.5433217592)</f>
        <v>45240.5433217592</v>
      </c>
      <c r="I2244" s="3">
        <f ca="1">IFERROR(__xludf.UNSUPPORTED("""COMPUTED_VALUE"""),24)</f>
        <v>24</v>
      </c>
      <c r="J2244" s="4">
        <f ca="1">IFERROR(__xludf.UNSUPPORTED("""COMPUTED_VALUE"""),45241.5433217592)</f>
        <v>45241.5433217592</v>
      </c>
      <c r="L2244" s="3" t="str">
        <f ca="1">IFERROR(__xludf.UNSUPPORTED("""COMPUTED_VALUE"""),"Normalidade")</f>
        <v>Normalidade</v>
      </c>
    </row>
    <row r="2245" spans="1:12" ht="12.75">
      <c r="A2245" s="3" t="str">
        <f ca="1">IFERROR(__xludf.UNSUPPORTED("""COMPUTED_VALUE"""),"2756190d")</f>
        <v>2756190d</v>
      </c>
      <c r="B2245" s="4">
        <f ca="1">IFERROR(__xludf.UNSUPPORTED("""COMPUTED_VALUE"""),45250.3902662037)</f>
        <v>45250.3902662037</v>
      </c>
      <c r="C2245" s="8" t="str">
        <f ca="1">IFERROR(__xludf.UNSUPPORTED("""COMPUTED_VALUE"""),"Salvador")</f>
        <v>Salvador</v>
      </c>
      <c r="D2245" s="3" t="str">
        <f ca="1">IFERROR(__xludf.UNSUPPORTED("""COMPUTED_VALUE"""),"🚢 REGULAR")</f>
        <v>🚢 REGULAR</v>
      </c>
      <c r="E2245" s="3" t="str">
        <f ca="1">IFERROR(__xludf.UNSUPPORTED("""COMPUTED_VALUE"""),"🚛 LIBERADO")</f>
        <v>🚛 LIBERADO</v>
      </c>
      <c r="F2245" s="5">
        <f ca="1">IFERROR(__xludf.UNSUPPORTED("""COMPUTED_VALUE"""),0)</f>
        <v>0</v>
      </c>
      <c r="G2245" s="3" t="str">
        <f ca="1">IFERROR(__xludf.UNSUPPORTED("""COMPUTED_VALUE"""),"Normalidade")</f>
        <v>Normalidade</v>
      </c>
      <c r="H2245" s="4">
        <f ca="1">IFERROR(__xludf.UNSUPPORTED("""COMPUTED_VALUE"""),45250.3902662037)</f>
        <v>45250.3902662037</v>
      </c>
      <c r="I2245" s="3">
        <f ca="1">IFERROR(__xludf.UNSUPPORTED("""COMPUTED_VALUE"""),24)</f>
        <v>24</v>
      </c>
      <c r="J2245" s="4">
        <f ca="1">IFERROR(__xludf.UNSUPPORTED("""COMPUTED_VALUE"""),45251.3902662037)</f>
        <v>45251.3902662037</v>
      </c>
      <c r="L2245" s="3" t="str">
        <f ca="1">IFERROR(__xludf.UNSUPPORTED("""COMPUTED_VALUE"""),"Normalidade")</f>
        <v>Normalidade</v>
      </c>
    </row>
    <row r="2246" spans="1:12" ht="12.75">
      <c r="A2246" s="3" t="str">
        <f ca="1">IFERROR(__xludf.UNSUPPORTED("""COMPUTED_VALUE"""),"64fc9f9d")</f>
        <v>64fc9f9d</v>
      </c>
      <c r="B2246" s="4">
        <f ca="1">IFERROR(__xludf.UNSUPPORTED("""COMPUTED_VALUE"""),45257.3786111111)</f>
        <v>45257.378611111097</v>
      </c>
      <c r="C2246" s="8" t="str">
        <f ca="1">IFERROR(__xludf.UNSUPPORTED("""COMPUTED_VALUE"""),"Salvador")</f>
        <v>Salvador</v>
      </c>
      <c r="D2246" s="3" t="str">
        <f ca="1">IFERROR(__xludf.UNSUPPORTED("""COMPUTED_VALUE"""),"🚢 REGULAR")</f>
        <v>🚢 REGULAR</v>
      </c>
      <c r="E2246" s="3" t="str">
        <f ca="1">IFERROR(__xludf.UNSUPPORTED("""COMPUTED_VALUE"""),"🚛 LIBERADO")</f>
        <v>🚛 LIBERADO</v>
      </c>
      <c r="F2246" s="5">
        <f ca="1">IFERROR(__xludf.UNSUPPORTED("""COMPUTED_VALUE"""),0)</f>
        <v>0</v>
      </c>
      <c r="G2246" s="3" t="str">
        <f ca="1">IFERROR(__xludf.UNSUPPORTED("""COMPUTED_VALUE"""),"Normalidade")</f>
        <v>Normalidade</v>
      </c>
      <c r="H2246" s="4">
        <f ca="1">IFERROR(__xludf.UNSUPPORTED("""COMPUTED_VALUE"""),45257.3786111111)</f>
        <v>45257.378611111097</v>
      </c>
      <c r="I2246" s="3">
        <f ca="1">IFERROR(__xludf.UNSUPPORTED("""COMPUTED_VALUE"""),24)</f>
        <v>24</v>
      </c>
      <c r="J2246" s="4">
        <f ca="1">IFERROR(__xludf.UNSUPPORTED("""COMPUTED_VALUE"""),45258.3786111111)</f>
        <v>45258.378611111097</v>
      </c>
      <c r="L2246" s="3" t="str">
        <f ca="1">IFERROR(__xludf.UNSUPPORTED("""COMPUTED_VALUE"""),"Normalidade")</f>
        <v>Normalidade</v>
      </c>
    </row>
    <row r="2247" spans="1:12" ht="12.75">
      <c r="A2247" s="3" t="str">
        <f ca="1">IFERROR(__xludf.UNSUPPORTED("""COMPUTED_VALUE"""),"59b0505d")</f>
        <v>59b0505d</v>
      </c>
      <c r="B2247" s="4">
        <f ca="1">IFERROR(__xludf.UNSUPPORTED("""COMPUTED_VALUE"""),45278.4048842592)</f>
        <v>45278.404884259202</v>
      </c>
      <c r="C2247" s="7" t="str">
        <f ca="1">IFERROR(__xludf.UNSUPPORTED("""COMPUTED_VALUE"""),"Salvador")</f>
        <v>Salvador</v>
      </c>
      <c r="D2247" s="3" t="str">
        <f ca="1">IFERROR(__xludf.UNSUPPORTED("""COMPUTED_VALUE"""),"🚢 REGULAR")</f>
        <v>🚢 REGULAR</v>
      </c>
      <c r="E2247" s="3" t="str">
        <f ca="1">IFERROR(__xludf.UNSUPPORTED("""COMPUTED_VALUE"""),"🚛 LIBERADO")</f>
        <v>🚛 LIBERADO</v>
      </c>
      <c r="F2247" s="5">
        <f ca="1">IFERROR(__xludf.UNSUPPORTED("""COMPUTED_VALUE"""),0)</f>
        <v>0</v>
      </c>
      <c r="G2247" s="3" t="str">
        <f ca="1">IFERROR(__xludf.UNSUPPORTED("""COMPUTED_VALUE"""),"Normalidade")</f>
        <v>Normalidade</v>
      </c>
      <c r="H2247" s="4">
        <f ca="1">IFERROR(__xludf.UNSUPPORTED("""COMPUTED_VALUE"""),45278.4048842592)</f>
        <v>45278.404884259202</v>
      </c>
      <c r="I2247" s="3">
        <f ca="1">IFERROR(__xludf.UNSUPPORTED("""COMPUTED_VALUE"""),24)</f>
        <v>24</v>
      </c>
      <c r="J2247" s="4">
        <f ca="1">IFERROR(__xludf.UNSUPPORTED("""COMPUTED_VALUE"""),45279.4048842592)</f>
        <v>45279.404884259202</v>
      </c>
      <c r="L2247" s="3" t="str">
        <f ca="1">IFERROR(__xludf.UNSUPPORTED("""COMPUTED_VALUE"""),"Normalidade")</f>
        <v>Normalidade</v>
      </c>
    </row>
    <row r="2248" spans="1:12" ht="12.75">
      <c r="A2248" s="3" t="str">
        <f ca="1">IFERROR(__xludf.UNSUPPORTED("""COMPUTED_VALUE"""),"924e8cdc")</f>
        <v>924e8cdc</v>
      </c>
      <c r="B2248" s="4">
        <f ca="1">IFERROR(__xludf.UNSUPPORTED("""COMPUTED_VALUE"""),45302.5363541666)</f>
        <v>45302.536354166601</v>
      </c>
      <c r="C2248" s="8" t="str">
        <f ca="1">IFERROR(__xludf.UNSUPPORTED("""COMPUTED_VALUE"""),"Salvador")</f>
        <v>Salvador</v>
      </c>
      <c r="D2248" s="3" t="str">
        <f ca="1">IFERROR(__xludf.UNSUPPORTED("""COMPUTED_VALUE"""),"🚢 REGULAR")</f>
        <v>🚢 REGULAR</v>
      </c>
      <c r="E2248" s="3" t="str">
        <f ca="1">IFERROR(__xludf.UNSUPPORTED("""COMPUTED_VALUE"""),"🚛 LIBERADO")</f>
        <v>🚛 LIBERADO</v>
      </c>
      <c r="F2248" s="5">
        <f ca="1">IFERROR(__xludf.UNSUPPORTED("""COMPUTED_VALUE"""),0)</f>
        <v>0</v>
      </c>
      <c r="G2248" s="3" t="str">
        <f ca="1">IFERROR(__xludf.UNSUPPORTED("""COMPUTED_VALUE"""),"Normalidade")</f>
        <v>Normalidade</v>
      </c>
      <c r="H2248" s="4">
        <f ca="1">IFERROR(__xludf.UNSUPPORTED("""COMPUTED_VALUE"""),45302.5363541666)</f>
        <v>45302.536354166601</v>
      </c>
      <c r="I2248" s="3">
        <f ca="1">IFERROR(__xludf.UNSUPPORTED("""COMPUTED_VALUE"""),24)</f>
        <v>24</v>
      </c>
      <c r="J2248" s="4">
        <f ca="1">IFERROR(__xludf.UNSUPPORTED("""COMPUTED_VALUE"""),45303.5363541666)</f>
        <v>45303.536354166601</v>
      </c>
      <c r="L2248" s="3" t="str">
        <f ca="1">IFERROR(__xludf.UNSUPPORTED("""COMPUTED_VALUE"""),"Normalidade")</f>
        <v>Normalidade</v>
      </c>
    </row>
    <row r="2249" spans="1:12" ht="12.75">
      <c r="A2249" s="3" t="str">
        <f ca="1">IFERROR(__xludf.UNSUPPORTED("""COMPUTED_VALUE"""),"e7f970b3")</f>
        <v>e7f970b3</v>
      </c>
      <c r="B2249" s="4">
        <f ca="1">IFERROR(__xludf.UNSUPPORTED("""COMPUTED_VALUE"""),45307.2737962963)</f>
        <v>45307.2737962963</v>
      </c>
      <c r="C2249" s="8" t="str">
        <f ca="1">IFERROR(__xludf.UNSUPPORTED("""COMPUTED_VALUE"""),"Salvador")</f>
        <v>Salvador</v>
      </c>
      <c r="D2249" s="3" t="str">
        <f ca="1">IFERROR(__xludf.UNSUPPORTED("""COMPUTED_VALUE"""),"🚢 REGULAR")</f>
        <v>🚢 REGULAR</v>
      </c>
      <c r="E2249" s="3" t="str">
        <f ca="1">IFERROR(__xludf.UNSUPPORTED("""COMPUTED_VALUE"""),"🚛 LIBERADO")</f>
        <v>🚛 LIBERADO</v>
      </c>
      <c r="F2249" s="5">
        <f ca="1">IFERROR(__xludf.UNSUPPORTED("""COMPUTED_VALUE"""),0)</f>
        <v>0</v>
      </c>
      <c r="G2249" s="3" t="str">
        <f ca="1">IFERROR(__xludf.UNSUPPORTED("""COMPUTED_VALUE"""),"Normalidade")</f>
        <v>Normalidade</v>
      </c>
      <c r="H2249" s="4">
        <f ca="1">IFERROR(__xludf.UNSUPPORTED("""COMPUTED_VALUE"""),45307.2737962963)</f>
        <v>45307.2737962963</v>
      </c>
      <c r="I2249" s="3">
        <f ca="1">IFERROR(__xludf.UNSUPPORTED("""COMPUTED_VALUE"""),24)</f>
        <v>24</v>
      </c>
      <c r="J2249" s="4">
        <f ca="1">IFERROR(__xludf.UNSUPPORTED("""COMPUTED_VALUE"""),45308.2737962963)</f>
        <v>45308.2737962963</v>
      </c>
      <c r="L2249" s="3" t="str">
        <f ca="1">IFERROR(__xludf.UNSUPPORTED("""COMPUTED_VALUE"""),"Normalidade")</f>
        <v>Normalidade</v>
      </c>
    </row>
    <row r="2250" spans="1:12" ht="12.75">
      <c r="A2250" s="3" t="str">
        <f ca="1">IFERROR(__xludf.UNSUPPORTED("""COMPUTED_VALUE"""),"8cf538dc")</f>
        <v>8cf538dc</v>
      </c>
      <c r="B2250" s="4">
        <f ca="1">IFERROR(__xludf.UNSUPPORTED("""COMPUTED_VALUE"""),45338.4193287037)</f>
        <v>45338.419328703698</v>
      </c>
      <c r="C2250" s="7" t="str">
        <f ca="1">IFERROR(__xludf.UNSUPPORTED("""COMPUTED_VALUE"""),"Salvador")</f>
        <v>Salvador</v>
      </c>
      <c r="D2250" s="3" t="str">
        <f ca="1">IFERROR(__xludf.UNSUPPORTED("""COMPUTED_VALUE"""),"🚢 REGULAR")</f>
        <v>🚢 REGULAR</v>
      </c>
      <c r="E2250" s="3" t="str">
        <f ca="1">IFERROR(__xludf.UNSUPPORTED("""COMPUTED_VALUE"""),"🚛 LIBERADO")</f>
        <v>🚛 LIBERADO</v>
      </c>
      <c r="F2250" s="5">
        <f ca="1">IFERROR(__xludf.UNSUPPORTED("""COMPUTED_VALUE"""),0)</f>
        <v>0</v>
      </c>
      <c r="G2250" s="3" t="str">
        <f ca="1">IFERROR(__xludf.UNSUPPORTED("""COMPUTED_VALUE"""),"Normalidade")</f>
        <v>Normalidade</v>
      </c>
      <c r="H2250" s="4">
        <f ca="1">IFERROR(__xludf.UNSUPPORTED("""COMPUTED_VALUE"""),45338.4193287037)</f>
        <v>45338.419328703698</v>
      </c>
      <c r="I2250" s="3">
        <f ca="1">IFERROR(__xludf.UNSUPPORTED("""COMPUTED_VALUE"""),24)</f>
        <v>24</v>
      </c>
      <c r="J2250" s="4">
        <f ca="1">IFERROR(__xludf.UNSUPPORTED("""COMPUTED_VALUE"""),45339.4193287037)</f>
        <v>45339.419328703698</v>
      </c>
      <c r="L2250" s="3" t="str">
        <f ca="1">IFERROR(__xludf.UNSUPPORTED("""COMPUTED_VALUE"""),"Normalidade")</f>
        <v>Normalidade</v>
      </c>
    </row>
    <row r="2251" spans="1:12" ht="12.75">
      <c r="A2251" s="3" t="str">
        <f ca="1">IFERROR(__xludf.UNSUPPORTED("""COMPUTED_VALUE"""),"e9ffe7e1")</f>
        <v>e9ffe7e1</v>
      </c>
      <c r="B2251" s="4">
        <f ca="1">IFERROR(__xludf.UNSUPPORTED("""COMPUTED_VALUE"""),45341.3148263888)</f>
        <v>45341.3148263888</v>
      </c>
      <c r="C2251" s="8" t="str">
        <f ca="1">IFERROR(__xludf.UNSUPPORTED("""COMPUTED_VALUE"""),"Salvador")</f>
        <v>Salvador</v>
      </c>
      <c r="D2251" s="3" t="str">
        <f ca="1">IFERROR(__xludf.UNSUPPORTED("""COMPUTED_VALUE"""),"🚢 REGULAR")</f>
        <v>🚢 REGULAR</v>
      </c>
      <c r="E2251" s="3" t="str">
        <f ca="1">IFERROR(__xludf.UNSUPPORTED("""COMPUTED_VALUE"""),"🚛 LIBERADO")</f>
        <v>🚛 LIBERADO</v>
      </c>
      <c r="F2251" s="5">
        <f ca="1">IFERROR(__xludf.UNSUPPORTED("""COMPUTED_VALUE"""),0)</f>
        <v>0</v>
      </c>
      <c r="G2251" s="3" t="str">
        <f ca="1">IFERROR(__xludf.UNSUPPORTED("""COMPUTED_VALUE"""),"Normalidade")</f>
        <v>Normalidade</v>
      </c>
      <c r="H2251" s="4">
        <f ca="1">IFERROR(__xludf.UNSUPPORTED("""COMPUTED_VALUE"""),45341.3148263888)</f>
        <v>45341.3148263888</v>
      </c>
      <c r="I2251" s="3">
        <f ca="1">IFERROR(__xludf.UNSUPPORTED("""COMPUTED_VALUE"""),24)</f>
        <v>24</v>
      </c>
      <c r="J2251" s="4">
        <f ca="1">IFERROR(__xludf.UNSUPPORTED("""COMPUTED_VALUE"""),45342.3148263888)</f>
        <v>45342.3148263888</v>
      </c>
      <c r="L2251" s="3" t="str">
        <f ca="1">IFERROR(__xludf.UNSUPPORTED("""COMPUTED_VALUE"""),"Normalidade")</f>
        <v>Normalidade</v>
      </c>
    </row>
    <row r="2252" spans="1:12" ht="12.75">
      <c r="A2252" s="3" t="str">
        <f ca="1">IFERROR(__xludf.UNSUPPORTED("""COMPUTED_VALUE"""),"65c96b7e")</f>
        <v>65c96b7e</v>
      </c>
      <c r="B2252" s="4">
        <f ca="1">IFERROR(__xludf.UNSUPPORTED("""COMPUTED_VALUE"""),45356.3639699073)</f>
        <v>45356.363969907303</v>
      </c>
      <c r="C2252" s="7" t="str">
        <f ca="1">IFERROR(__xludf.UNSUPPORTED("""COMPUTED_VALUE"""),"Salvador")</f>
        <v>Salvador</v>
      </c>
      <c r="D2252" s="3" t="str">
        <f ca="1">IFERROR(__xludf.UNSUPPORTED("""COMPUTED_VALUE"""),"🚢 REGULAR")</f>
        <v>🚢 REGULAR</v>
      </c>
      <c r="E2252" s="3" t="str">
        <f ca="1">IFERROR(__xludf.UNSUPPORTED("""COMPUTED_VALUE"""),"🚛 LIBERADO")</f>
        <v>🚛 LIBERADO</v>
      </c>
      <c r="F2252" s="5">
        <f ca="1">IFERROR(__xludf.UNSUPPORTED("""COMPUTED_VALUE"""),0)</f>
        <v>0</v>
      </c>
      <c r="G2252" s="3" t="str">
        <f ca="1">IFERROR(__xludf.UNSUPPORTED("""COMPUTED_VALUE"""),"Normalidade")</f>
        <v>Normalidade</v>
      </c>
      <c r="H2252" s="4">
        <f ca="1">IFERROR(__xludf.UNSUPPORTED("""COMPUTED_VALUE"""),45356.3639699073)</f>
        <v>45356.363969907303</v>
      </c>
      <c r="I2252" s="3">
        <f ca="1">IFERROR(__xludf.UNSUPPORTED("""COMPUTED_VALUE"""),24)</f>
        <v>24</v>
      </c>
      <c r="J2252" s="4">
        <f ca="1">IFERROR(__xludf.UNSUPPORTED("""COMPUTED_VALUE"""),45357.3639699073)</f>
        <v>45357.363969907303</v>
      </c>
      <c r="L2252" s="3" t="str">
        <f ca="1">IFERROR(__xludf.UNSUPPORTED("""COMPUTED_VALUE"""),"Normalidade")</f>
        <v>Normalidade</v>
      </c>
    </row>
    <row r="2253" spans="1:12" ht="12.75">
      <c r="A2253" s="3" t="str">
        <f ca="1">IFERROR(__xludf.UNSUPPORTED("""COMPUTED_VALUE"""),"0f998023")</f>
        <v>0f998023</v>
      </c>
      <c r="B2253" s="4">
        <f ca="1">IFERROR(__xludf.UNSUPPORTED("""COMPUTED_VALUE"""),45365.4427546296)</f>
        <v>45365.442754629599</v>
      </c>
      <c r="C2253" s="7" t="str">
        <f ca="1">IFERROR(__xludf.UNSUPPORTED("""COMPUTED_VALUE"""),"Salvador")</f>
        <v>Salvador</v>
      </c>
      <c r="D2253" s="3" t="str">
        <f ca="1">IFERROR(__xludf.UNSUPPORTED("""COMPUTED_VALUE"""),"🚢 REGULAR")</f>
        <v>🚢 REGULAR</v>
      </c>
      <c r="E2253" s="3" t="str">
        <f ca="1">IFERROR(__xludf.UNSUPPORTED("""COMPUTED_VALUE"""),"🚛 LIBERADO")</f>
        <v>🚛 LIBERADO</v>
      </c>
      <c r="F2253" s="5">
        <f ca="1">IFERROR(__xludf.UNSUPPORTED("""COMPUTED_VALUE"""),0)</f>
        <v>0</v>
      </c>
      <c r="G2253" s="3" t="str">
        <f ca="1">IFERROR(__xludf.UNSUPPORTED("""COMPUTED_VALUE"""),"Normalidade")</f>
        <v>Normalidade</v>
      </c>
      <c r="H2253" s="4">
        <f ca="1">IFERROR(__xludf.UNSUPPORTED("""COMPUTED_VALUE"""),45365.4427546296)</f>
        <v>45365.442754629599</v>
      </c>
      <c r="I2253" s="3">
        <f ca="1">IFERROR(__xludf.UNSUPPORTED("""COMPUTED_VALUE"""),24)</f>
        <v>24</v>
      </c>
      <c r="J2253" s="4">
        <f ca="1">IFERROR(__xludf.UNSUPPORTED("""COMPUTED_VALUE"""),45366.4427546296)</f>
        <v>45366.442754629599</v>
      </c>
      <c r="L2253" s="3" t="str">
        <f ca="1">IFERROR(__xludf.UNSUPPORTED("""COMPUTED_VALUE"""),"Normalidade")</f>
        <v>Normalidade</v>
      </c>
    </row>
    <row r="2254" spans="1:12" ht="12.75">
      <c r="A2254" s="3" t="str">
        <f ca="1">IFERROR(__xludf.UNSUPPORTED("""COMPUTED_VALUE"""),"908e2a73")</f>
        <v>908e2a73</v>
      </c>
      <c r="B2254" s="4">
        <f ca="1">IFERROR(__xludf.UNSUPPORTED("""COMPUTED_VALUE"""),45384.5518981481)</f>
        <v>45384.5518981481</v>
      </c>
      <c r="C2254" s="8" t="str">
        <f ca="1">IFERROR(__xludf.UNSUPPORTED("""COMPUTED_VALUE"""),"Salvador")</f>
        <v>Salvador</v>
      </c>
      <c r="D2254" s="3" t="str">
        <f ca="1">IFERROR(__xludf.UNSUPPORTED("""COMPUTED_VALUE"""),"🚢 REGULAR")</f>
        <v>🚢 REGULAR</v>
      </c>
      <c r="E2254" s="3" t="str">
        <f ca="1">IFERROR(__xludf.UNSUPPORTED("""COMPUTED_VALUE"""),"🚛 LIBERADO")</f>
        <v>🚛 LIBERADO</v>
      </c>
      <c r="F2254" s="5">
        <f ca="1">IFERROR(__xludf.UNSUPPORTED("""COMPUTED_VALUE"""),0)</f>
        <v>0</v>
      </c>
      <c r="G2254" s="3" t="str">
        <f ca="1">IFERROR(__xludf.UNSUPPORTED("""COMPUTED_VALUE"""),"Normalidade")</f>
        <v>Normalidade</v>
      </c>
      <c r="H2254" s="4">
        <f ca="1">IFERROR(__xludf.UNSUPPORTED("""COMPUTED_VALUE"""),45384.5518981481)</f>
        <v>45384.5518981481</v>
      </c>
      <c r="I2254" s="3">
        <f ca="1">IFERROR(__xludf.UNSUPPORTED("""COMPUTED_VALUE"""),24)</f>
        <v>24</v>
      </c>
      <c r="J2254" s="4">
        <f ca="1">IFERROR(__xludf.UNSUPPORTED("""COMPUTED_VALUE"""),45385.5518981481)</f>
        <v>45385.5518981481</v>
      </c>
      <c r="L2254" s="3" t="str">
        <f ca="1">IFERROR(__xludf.UNSUPPORTED("""COMPUTED_VALUE"""),"Normalidade")</f>
        <v>Normalidade</v>
      </c>
    </row>
    <row r="2255" spans="1:12" ht="12.75">
      <c r="A2255" s="3" t="str">
        <f ca="1">IFERROR(__xludf.UNSUPPORTED("""COMPUTED_VALUE"""),"1447f715")</f>
        <v>1447f715</v>
      </c>
      <c r="B2255" s="4">
        <f ca="1">IFERROR(__xludf.UNSUPPORTED("""COMPUTED_VALUE"""),45400.4953356481)</f>
        <v>45400.495335648098</v>
      </c>
      <c r="C2255" s="7" t="str">
        <f ca="1">IFERROR(__xludf.UNSUPPORTED("""COMPUTED_VALUE"""),"Salvador")</f>
        <v>Salvador</v>
      </c>
      <c r="D2255" s="3" t="str">
        <f ca="1">IFERROR(__xludf.UNSUPPORTED("""COMPUTED_VALUE"""),"❗️ PARALISADA")</f>
        <v>❗️ PARALISADA</v>
      </c>
      <c r="E2255" s="3" t="str">
        <f ca="1">IFERROR(__xludf.UNSUPPORTED("""COMPUTED_VALUE"""),"⛔️ BLOQUEADO")</f>
        <v>⛔️ BLOQUEADO</v>
      </c>
      <c r="F2255" s="5">
        <f ca="1">IFERROR(__xludf.UNSUPPORTED("""COMPUTED_VALUE"""),0.25)</f>
        <v>0.25</v>
      </c>
      <c r="G2255" s="3" t="str">
        <f ca="1">IFERROR(__xludf.UNSUPPORTED("""COMPUTED_VALUE"""),"Paralisação de caminhoneiros e trabalhadores portuário avulso. Acesso terrestre e operação de TPA paralisadas. Operação de navio de passageiros sem interrupção.")</f>
        <v>Paralisação de caminhoneiros e trabalhadores portuário avulso. Acesso terrestre e operação de TPA paralisadas. Operação de navio de passageiros sem interrupção.</v>
      </c>
      <c r="H2255" s="4">
        <f ca="1">IFERROR(__xludf.UNSUPPORTED("""COMPUTED_VALUE"""),45400.2916666666)</f>
        <v>45400.291666666599</v>
      </c>
      <c r="I2255" s="3">
        <f ca="1">IFERROR(__xludf.UNSUPPORTED("""COMPUTED_VALUE"""),6)</f>
        <v>6</v>
      </c>
      <c r="J2255" s="4">
        <f ca="1">IFERROR(__xludf.UNSUPPORTED("""COMPUTED_VALUE"""),45400.5416666666)</f>
        <v>45400.541666666599</v>
      </c>
      <c r="K2255" s="3" t="str">
        <f ca="1">IFERROR(__xludf.UNSUPPORTED("""COMPUTED_VALUE"""),"PA-SSA")</f>
        <v>PA-SSA</v>
      </c>
      <c r="L2255" s="3" t="str">
        <f ca="1">IFERROR(__xludf.UNSUPPORTED("""COMPUTED_VALUE"""),"Crítico")</f>
        <v>Crítico</v>
      </c>
    </row>
    <row r="2256" spans="1:12" ht="12.75">
      <c r="A2256" s="3" t="str">
        <f ca="1">IFERROR(__xludf.UNSUPPORTED("""COMPUTED_VALUE"""),"5537412e")</f>
        <v>5537412e</v>
      </c>
      <c r="B2256" s="4">
        <f ca="1">IFERROR(__xludf.UNSUPPORTED("""COMPUTED_VALUE"""),45432.4022916666)</f>
        <v>45432.4022916666</v>
      </c>
      <c r="C2256" s="8" t="str">
        <f ca="1">IFERROR(__xludf.UNSUPPORTED("""COMPUTED_VALUE"""),"Salvador")</f>
        <v>Salvador</v>
      </c>
      <c r="D2256" s="3" t="str">
        <f ca="1">IFERROR(__xludf.UNSUPPORTED("""COMPUTED_VALUE"""),"🚢 REGULAR")</f>
        <v>🚢 REGULAR</v>
      </c>
      <c r="E2256" s="3" t="str">
        <f ca="1">IFERROR(__xludf.UNSUPPORTED("""COMPUTED_VALUE"""),"🚛 LIBERADO")</f>
        <v>🚛 LIBERADO</v>
      </c>
      <c r="F2256" s="5">
        <f ca="1">IFERROR(__xludf.UNSUPPORTED("""COMPUTED_VALUE"""),0)</f>
        <v>0</v>
      </c>
      <c r="G2256" s="3" t="str">
        <f ca="1">IFERROR(__xludf.UNSUPPORTED("""COMPUTED_VALUE"""),"Normalidade")</f>
        <v>Normalidade</v>
      </c>
      <c r="H2256" s="4">
        <f ca="1">IFERROR(__xludf.UNSUPPORTED("""COMPUTED_VALUE"""),45432.4022916666)</f>
        <v>45432.4022916666</v>
      </c>
      <c r="I2256" s="3">
        <f ca="1">IFERROR(__xludf.UNSUPPORTED("""COMPUTED_VALUE"""),24)</f>
        <v>24</v>
      </c>
      <c r="J2256" s="4">
        <f ca="1">IFERROR(__xludf.UNSUPPORTED("""COMPUTED_VALUE"""),45433.4022916666)</f>
        <v>45433.4022916666</v>
      </c>
      <c r="L2256" s="3" t="str">
        <f ca="1">IFERROR(__xludf.UNSUPPORTED("""COMPUTED_VALUE"""),"Normalidade")</f>
        <v>Normalidade</v>
      </c>
    </row>
    <row r="2257" spans="1:12" ht="12.75">
      <c r="A2257" s="3" t="str">
        <f ca="1">IFERROR(__xludf.UNSUPPORTED("""COMPUTED_VALUE"""),"f4b6d87f")</f>
        <v>f4b6d87f</v>
      </c>
      <c r="B2257" s="4">
        <f ca="1">IFERROR(__xludf.UNSUPPORTED("""COMPUTED_VALUE"""),45446.3904398148)</f>
        <v>45446.390439814801</v>
      </c>
      <c r="C2257" s="8" t="str">
        <f ca="1">IFERROR(__xludf.UNSUPPORTED("""COMPUTED_VALUE"""),"Salvador")</f>
        <v>Salvador</v>
      </c>
      <c r="D2257" s="3" t="str">
        <f ca="1">IFERROR(__xludf.UNSUPPORTED("""COMPUTED_VALUE"""),"🚢 REGULAR")</f>
        <v>🚢 REGULAR</v>
      </c>
      <c r="E2257" s="3" t="str">
        <f ca="1">IFERROR(__xludf.UNSUPPORTED("""COMPUTED_VALUE"""),"🚛 LIBERADO")</f>
        <v>🚛 LIBERADO</v>
      </c>
      <c r="F2257" s="5">
        <f ca="1">IFERROR(__xludf.UNSUPPORTED("""COMPUTED_VALUE"""),0)</f>
        <v>0</v>
      </c>
      <c r="G2257" s="3" t="str">
        <f ca="1">IFERROR(__xludf.UNSUPPORTED("""COMPUTED_VALUE"""),"Normalidade")</f>
        <v>Normalidade</v>
      </c>
      <c r="H2257" s="4">
        <f ca="1">IFERROR(__xludf.UNSUPPORTED("""COMPUTED_VALUE"""),45446.3904398148)</f>
        <v>45446.390439814801</v>
      </c>
      <c r="I2257" s="3">
        <f ca="1">IFERROR(__xludf.UNSUPPORTED("""COMPUTED_VALUE"""),24)</f>
        <v>24</v>
      </c>
      <c r="J2257" s="4">
        <f ca="1">IFERROR(__xludf.UNSUPPORTED("""COMPUTED_VALUE"""),45447.3904398148)</f>
        <v>45447.390439814801</v>
      </c>
      <c r="L2257" s="3" t="str">
        <f ca="1">IFERROR(__xludf.UNSUPPORTED("""COMPUTED_VALUE"""),"Normalidade")</f>
        <v>Normalidade</v>
      </c>
    </row>
    <row r="2258" spans="1:12" ht="12.75">
      <c r="A2258" s="3" t="str">
        <f ca="1">IFERROR(__xludf.UNSUPPORTED("""COMPUTED_VALUE"""),"75f18fad")</f>
        <v>75f18fad</v>
      </c>
      <c r="B2258" s="4">
        <f ca="1">IFERROR(__xludf.UNSUPPORTED("""COMPUTED_VALUE"""),45454.6377777777)</f>
        <v>45454.637777777702</v>
      </c>
      <c r="C2258" s="8" t="str">
        <f ca="1">IFERROR(__xludf.UNSUPPORTED("""COMPUTED_VALUE"""),"Salvador")</f>
        <v>Salvador</v>
      </c>
      <c r="D2258" s="3" t="str">
        <f ca="1">IFERROR(__xludf.UNSUPPORTED("""COMPUTED_VALUE"""),"🚢 REGULAR")</f>
        <v>🚢 REGULAR</v>
      </c>
      <c r="E2258" s="3" t="str">
        <f ca="1">IFERROR(__xludf.UNSUPPORTED("""COMPUTED_VALUE"""),"🚛 LIBERADO")</f>
        <v>🚛 LIBERADO</v>
      </c>
      <c r="F2258" s="5">
        <f ca="1">IFERROR(__xludf.UNSUPPORTED("""COMPUTED_VALUE"""),0)</f>
        <v>0</v>
      </c>
      <c r="G2258" s="3" t="str">
        <f ca="1">IFERROR(__xludf.UNSUPPORTED("""COMPUTED_VALUE"""),"Normalidade")</f>
        <v>Normalidade</v>
      </c>
      <c r="H2258" s="4">
        <f ca="1">IFERROR(__xludf.UNSUPPORTED("""COMPUTED_VALUE"""),45454.6377777777)</f>
        <v>45454.637777777702</v>
      </c>
      <c r="I2258" s="3">
        <f ca="1">IFERROR(__xludf.UNSUPPORTED("""COMPUTED_VALUE"""),24)</f>
        <v>24</v>
      </c>
      <c r="J2258" s="4">
        <f ca="1">IFERROR(__xludf.UNSUPPORTED("""COMPUTED_VALUE"""),45455.6377777777)</f>
        <v>45455.637777777702</v>
      </c>
      <c r="L2258" s="3" t="str">
        <f ca="1">IFERROR(__xludf.UNSUPPORTED("""COMPUTED_VALUE"""),"Normalidade")</f>
        <v>Normalidade</v>
      </c>
    </row>
    <row r="2259" spans="1:12" ht="12.75">
      <c r="A2259" s="3" t="str">
        <f ca="1">IFERROR(__xludf.UNSUPPORTED("""COMPUTED_VALUE"""),"fa039943")</f>
        <v>fa039943</v>
      </c>
      <c r="B2259" s="4">
        <f ca="1">IFERROR(__xludf.UNSUPPORTED("""COMPUTED_VALUE"""),45477.5830555555)</f>
        <v>45477.5830555555</v>
      </c>
      <c r="C2259" s="7" t="str">
        <f ca="1">IFERROR(__xludf.UNSUPPORTED("""COMPUTED_VALUE"""),"Salvador")</f>
        <v>Salvador</v>
      </c>
      <c r="D2259" s="3" t="str">
        <f ca="1">IFERROR(__xludf.UNSUPPORTED("""COMPUTED_VALUE"""),"🚢 REGULAR")</f>
        <v>🚢 REGULAR</v>
      </c>
      <c r="E2259" s="3" t="str">
        <f ca="1">IFERROR(__xludf.UNSUPPORTED("""COMPUTED_VALUE"""),"🚛 LIBERADO")</f>
        <v>🚛 LIBERADO</v>
      </c>
      <c r="F2259" s="5">
        <f ca="1">IFERROR(__xludf.UNSUPPORTED("""COMPUTED_VALUE"""),0)</f>
        <v>0</v>
      </c>
      <c r="G2259" s="3" t="str">
        <f ca="1">IFERROR(__xludf.UNSUPPORTED("""COMPUTED_VALUE"""),"Normalidade")</f>
        <v>Normalidade</v>
      </c>
      <c r="H2259" s="4">
        <f ca="1">IFERROR(__xludf.UNSUPPORTED("""COMPUTED_VALUE"""),45477.5830555555)</f>
        <v>45477.5830555555</v>
      </c>
      <c r="I2259" s="3">
        <f ca="1">IFERROR(__xludf.UNSUPPORTED("""COMPUTED_VALUE"""),24)</f>
        <v>24</v>
      </c>
      <c r="J2259" s="4">
        <f ca="1">IFERROR(__xludf.UNSUPPORTED("""COMPUTED_VALUE"""),45478.5830555555)</f>
        <v>45478.5830555555</v>
      </c>
      <c r="L2259" s="3" t="str">
        <f ca="1">IFERROR(__xludf.UNSUPPORTED("""COMPUTED_VALUE"""),"Normalidade")</f>
        <v>Normalidade</v>
      </c>
    </row>
    <row r="2260" spans="1:12" ht="12.75">
      <c r="A2260" s="3" t="str">
        <f ca="1">IFERROR(__xludf.UNSUPPORTED("""COMPUTED_VALUE"""),"56947129")</f>
        <v>56947129</v>
      </c>
      <c r="B2260" s="4">
        <f ca="1">IFERROR(__xludf.UNSUPPORTED("""COMPUTED_VALUE"""),45481.4257638888)</f>
        <v>45481.425763888801</v>
      </c>
      <c r="C2260" s="7" t="str">
        <f ca="1">IFERROR(__xludf.UNSUPPORTED("""COMPUTED_VALUE"""),"Salvador")</f>
        <v>Salvador</v>
      </c>
      <c r="D2260" s="3" t="str">
        <f ca="1">IFERROR(__xludf.UNSUPPORTED("""COMPUTED_VALUE"""),"🚢 REGULAR")</f>
        <v>🚢 REGULAR</v>
      </c>
      <c r="E2260" s="3" t="str">
        <f ca="1">IFERROR(__xludf.UNSUPPORTED("""COMPUTED_VALUE"""),"🚛 LIBERADO")</f>
        <v>🚛 LIBERADO</v>
      </c>
      <c r="F2260" s="5">
        <f ca="1">IFERROR(__xludf.UNSUPPORTED("""COMPUTED_VALUE"""),0)</f>
        <v>0</v>
      </c>
      <c r="G2260" s="3" t="str">
        <f ca="1">IFERROR(__xludf.UNSUPPORTED("""COMPUTED_VALUE"""),"Normalidade")</f>
        <v>Normalidade</v>
      </c>
      <c r="H2260" s="4">
        <f ca="1">IFERROR(__xludf.UNSUPPORTED("""COMPUTED_VALUE"""),45481.4257638888)</f>
        <v>45481.425763888801</v>
      </c>
      <c r="I2260" s="3">
        <f ca="1">IFERROR(__xludf.UNSUPPORTED("""COMPUTED_VALUE"""),24)</f>
        <v>24</v>
      </c>
      <c r="J2260" s="4">
        <f ca="1">IFERROR(__xludf.UNSUPPORTED("""COMPUTED_VALUE"""),45482.4257638888)</f>
        <v>45482.425763888801</v>
      </c>
      <c r="L2260" s="3" t="str">
        <f ca="1">IFERROR(__xludf.UNSUPPORTED("""COMPUTED_VALUE"""),"Normalidade")</f>
        <v>Normalidade</v>
      </c>
    </row>
    <row r="2261" spans="1:12" ht="12.75">
      <c r="A2261" s="3" t="str">
        <f ca="1">IFERROR(__xludf.UNSUPPORTED("""COMPUTED_VALUE"""),"ba5463cd")</f>
        <v>ba5463cd</v>
      </c>
      <c r="B2261" s="4">
        <f ca="1">IFERROR(__xludf.UNSUPPORTED("""COMPUTED_VALUE"""),45485.4062962962)</f>
        <v>45485.406296296198</v>
      </c>
      <c r="C2261" s="8" t="str">
        <f ca="1">IFERROR(__xludf.UNSUPPORTED("""COMPUTED_VALUE"""),"Salvador")</f>
        <v>Salvador</v>
      </c>
      <c r="D2261" s="3" t="str">
        <f ca="1">IFERROR(__xludf.UNSUPPORTED("""COMPUTED_VALUE"""),"🚢 REGULAR")</f>
        <v>🚢 REGULAR</v>
      </c>
      <c r="E2261" s="3" t="str">
        <f ca="1">IFERROR(__xludf.UNSUPPORTED("""COMPUTED_VALUE"""),"🚛 LIBERADO")</f>
        <v>🚛 LIBERADO</v>
      </c>
      <c r="F2261" s="5">
        <f ca="1">IFERROR(__xludf.UNSUPPORTED("""COMPUTED_VALUE"""),0)</f>
        <v>0</v>
      </c>
      <c r="G2261" s="3" t="str">
        <f ca="1">IFERROR(__xludf.UNSUPPORTED("""COMPUTED_VALUE"""),"Normalidade")</f>
        <v>Normalidade</v>
      </c>
      <c r="H2261" s="4">
        <f ca="1">IFERROR(__xludf.UNSUPPORTED("""COMPUTED_VALUE"""),45485.4062962962)</f>
        <v>45485.406296296198</v>
      </c>
      <c r="I2261" s="3">
        <f ca="1">IFERROR(__xludf.UNSUPPORTED("""COMPUTED_VALUE"""),24)</f>
        <v>24</v>
      </c>
      <c r="J2261" s="4">
        <f ca="1">IFERROR(__xludf.UNSUPPORTED("""COMPUTED_VALUE"""),45486.4062962962)</f>
        <v>45486.406296296198</v>
      </c>
      <c r="L2261" s="3" t="str">
        <f ca="1">IFERROR(__xludf.UNSUPPORTED("""COMPUTED_VALUE"""),"Normalidade")</f>
        <v>Normalidade</v>
      </c>
    </row>
    <row r="2262" spans="1:12" ht="12.75">
      <c r="A2262" s="3" t="str">
        <f ca="1">IFERROR(__xludf.UNSUPPORTED("""COMPUTED_VALUE"""),"cbab9aff")</f>
        <v>cbab9aff</v>
      </c>
      <c r="B2262" s="4">
        <f ca="1">IFERROR(__xludf.UNSUPPORTED("""COMPUTED_VALUE"""),45499.3694212962)</f>
        <v>45499.3694212962</v>
      </c>
      <c r="C2262" s="7" t="str">
        <f ca="1">IFERROR(__xludf.UNSUPPORTED("""COMPUTED_VALUE"""),"Salvador")</f>
        <v>Salvador</v>
      </c>
      <c r="D2262" s="3" t="str">
        <f ca="1">IFERROR(__xludf.UNSUPPORTED("""COMPUTED_VALUE"""),"🚢 REGULAR")</f>
        <v>🚢 REGULAR</v>
      </c>
      <c r="E2262" s="3" t="str">
        <f ca="1">IFERROR(__xludf.UNSUPPORTED("""COMPUTED_VALUE"""),"🚛 LIBERADO")</f>
        <v>🚛 LIBERADO</v>
      </c>
      <c r="F2262" s="5">
        <f ca="1">IFERROR(__xludf.UNSUPPORTED("""COMPUTED_VALUE"""),0)</f>
        <v>0</v>
      </c>
      <c r="G2262" s="3" t="str">
        <f ca="1">IFERROR(__xludf.UNSUPPORTED("""COMPUTED_VALUE"""),"Normalidade")</f>
        <v>Normalidade</v>
      </c>
      <c r="H2262" s="4">
        <f ca="1">IFERROR(__xludf.UNSUPPORTED("""COMPUTED_VALUE"""),45499.3694212962)</f>
        <v>45499.3694212962</v>
      </c>
      <c r="I2262" s="3">
        <f ca="1">IFERROR(__xludf.UNSUPPORTED("""COMPUTED_VALUE"""),24)</f>
        <v>24</v>
      </c>
      <c r="J2262" s="4">
        <f ca="1">IFERROR(__xludf.UNSUPPORTED("""COMPUTED_VALUE"""),45500.3694212962)</f>
        <v>45500.3694212962</v>
      </c>
      <c r="L2262" s="3" t="str">
        <f ca="1">IFERROR(__xludf.UNSUPPORTED("""COMPUTED_VALUE"""),"Normalidade")</f>
        <v>Normalidade</v>
      </c>
    </row>
    <row r="2263" spans="1:12" ht="12.75">
      <c r="A2263" s="3" t="str">
        <f ca="1">IFERROR(__xludf.UNSUPPORTED("""COMPUTED_VALUE"""),"4f3b0a87")</f>
        <v>4f3b0a87</v>
      </c>
      <c r="B2263" s="4">
        <f ca="1">IFERROR(__xludf.UNSUPPORTED("""COMPUTED_VALUE"""),45517.6252546296)</f>
        <v>45517.625254629602</v>
      </c>
      <c r="C2263" s="8" t="str">
        <f ca="1">IFERROR(__xludf.UNSUPPORTED("""COMPUTED_VALUE"""),"Salvador")</f>
        <v>Salvador</v>
      </c>
      <c r="D2263" s="3" t="str">
        <f ca="1">IFERROR(__xludf.UNSUPPORTED("""COMPUTED_VALUE"""),"🚢 REGULAR")</f>
        <v>🚢 REGULAR</v>
      </c>
      <c r="E2263" s="3" t="str">
        <f ca="1">IFERROR(__xludf.UNSUPPORTED("""COMPUTED_VALUE"""),"🚛 LIBERADO")</f>
        <v>🚛 LIBERADO</v>
      </c>
      <c r="F2263" s="5">
        <f ca="1">IFERROR(__xludf.UNSUPPORTED("""COMPUTED_VALUE"""),0)</f>
        <v>0</v>
      </c>
      <c r="G2263" s="3" t="str">
        <f ca="1">IFERROR(__xludf.UNSUPPORTED("""COMPUTED_VALUE"""),"Normalidade")</f>
        <v>Normalidade</v>
      </c>
      <c r="H2263" s="4">
        <f ca="1">IFERROR(__xludf.UNSUPPORTED("""COMPUTED_VALUE"""),45517.6252546296)</f>
        <v>45517.625254629602</v>
      </c>
      <c r="I2263" s="3">
        <f ca="1">IFERROR(__xludf.UNSUPPORTED("""COMPUTED_VALUE"""),24)</f>
        <v>24</v>
      </c>
      <c r="J2263" s="4">
        <f ca="1">IFERROR(__xludf.UNSUPPORTED("""COMPUTED_VALUE"""),45518.6252546296)</f>
        <v>45518.625254629602</v>
      </c>
      <c r="L2263" s="3" t="str">
        <f ca="1">IFERROR(__xludf.UNSUPPORTED("""COMPUTED_VALUE"""),"Normalidade")</f>
        <v>Normalidade</v>
      </c>
    </row>
    <row r="2264" spans="1:12" ht="12.75">
      <c r="A2264" s="3" t="str">
        <f ca="1">IFERROR(__xludf.UNSUPPORTED("""COMPUTED_VALUE"""),"4ce6e26d")</f>
        <v>4ce6e26d</v>
      </c>
      <c r="B2264" s="4">
        <f ca="1">IFERROR(__xludf.UNSUPPORTED("""COMPUTED_VALUE"""),45520.3867013888)</f>
        <v>45520.386701388801</v>
      </c>
      <c r="C2264" s="8" t="str">
        <f ca="1">IFERROR(__xludf.UNSUPPORTED("""COMPUTED_VALUE"""),"Salvador")</f>
        <v>Salvador</v>
      </c>
      <c r="D2264" s="3" t="str">
        <f ca="1">IFERROR(__xludf.UNSUPPORTED("""COMPUTED_VALUE"""),"🚢 REGULAR")</f>
        <v>🚢 REGULAR</v>
      </c>
      <c r="E2264" s="3" t="str">
        <f ca="1">IFERROR(__xludf.UNSUPPORTED("""COMPUTED_VALUE"""),"🚛 LIBERADO")</f>
        <v>🚛 LIBERADO</v>
      </c>
      <c r="F2264" s="5">
        <f ca="1">IFERROR(__xludf.UNSUPPORTED("""COMPUTED_VALUE"""),0)</f>
        <v>0</v>
      </c>
      <c r="G2264" s="3" t="str">
        <f ca="1">IFERROR(__xludf.UNSUPPORTED("""COMPUTED_VALUE"""),"Normalidade")</f>
        <v>Normalidade</v>
      </c>
      <c r="H2264" s="4">
        <f ca="1">IFERROR(__xludf.UNSUPPORTED("""COMPUTED_VALUE"""),45520.3867013888)</f>
        <v>45520.386701388801</v>
      </c>
      <c r="I2264" s="3">
        <f ca="1">IFERROR(__xludf.UNSUPPORTED("""COMPUTED_VALUE"""),24)</f>
        <v>24</v>
      </c>
      <c r="J2264" s="4">
        <f ca="1">IFERROR(__xludf.UNSUPPORTED("""COMPUTED_VALUE"""),45521.3867013888)</f>
        <v>45521.386701388801</v>
      </c>
      <c r="L2264" s="3" t="str">
        <f ca="1">IFERROR(__xludf.UNSUPPORTED("""COMPUTED_VALUE"""),"Normalidade")</f>
        <v>Normalidade</v>
      </c>
    </row>
    <row r="2265" spans="1:12" ht="12.75">
      <c r="A2265" s="3" t="str">
        <f ca="1">IFERROR(__xludf.UNSUPPORTED("""COMPUTED_VALUE"""),"e3037abd")</f>
        <v>e3037abd</v>
      </c>
      <c r="B2265" s="4">
        <f ca="1">IFERROR(__xludf.UNSUPPORTED("""COMPUTED_VALUE"""),45540.3594675925)</f>
        <v>45540.359467592498</v>
      </c>
      <c r="C2265" s="7" t="str">
        <f ca="1">IFERROR(__xludf.UNSUPPORTED("""COMPUTED_VALUE"""),"Salvador")</f>
        <v>Salvador</v>
      </c>
      <c r="D2265" s="3" t="str">
        <f ca="1">IFERROR(__xludf.UNSUPPORTED("""COMPUTED_VALUE"""),"🚢 REGULAR")</f>
        <v>🚢 REGULAR</v>
      </c>
      <c r="E2265" s="3" t="str">
        <f ca="1">IFERROR(__xludf.UNSUPPORTED("""COMPUTED_VALUE"""),"🚛 LIBERADO")</f>
        <v>🚛 LIBERADO</v>
      </c>
      <c r="F2265" s="5">
        <f ca="1">IFERROR(__xludf.UNSUPPORTED("""COMPUTED_VALUE"""),0)</f>
        <v>0</v>
      </c>
      <c r="G2265" s="3" t="str">
        <f ca="1">IFERROR(__xludf.UNSUPPORTED("""COMPUTED_VALUE"""),"Normalidade")</f>
        <v>Normalidade</v>
      </c>
      <c r="H2265" s="4">
        <f ca="1">IFERROR(__xludf.UNSUPPORTED("""COMPUTED_VALUE"""),45540.3594675925)</f>
        <v>45540.359467592498</v>
      </c>
      <c r="I2265" s="3">
        <f ca="1">IFERROR(__xludf.UNSUPPORTED("""COMPUTED_VALUE"""),24)</f>
        <v>24</v>
      </c>
      <c r="J2265" s="4">
        <f ca="1">IFERROR(__xludf.UNSUPPORTED("""COMPUTED_VALUE"""),45541.3594675925)</f>
        <v>45541.359467592498</v>
      </c>
      <c r="L2265" s="3" t="str">
        <f ca="1">IFERROR(__xludf.UNSUPPORTED("""COMPUTED_VALUE"""),"Normalidade")</f>
        <v>Normalidade</v>
      </c>
    </row>
    <row r="2266" spans="1:12" ht="12.75">
      <c r="A2266" s="3" t="str">
        <f ca="1">IFERROR(__xludf.UNSUPPORTED("""COMPUTED_VALUE"""),"3ba16a31")</f>
        <v>3ba16a31</v>
      </c>
      <c r="B2266" s="4">
        <f ca="1">IFERROR(__xludf.UNSUPPORTED("""COMPUTED_VALUE"""),45554.5475)</f>
        <v>45554.547500000001</v>
      </c>
      <c r="C2266" s="8" t="str">
        <f ca="1">IFERROR(__xludf.UNSUPPORTED("""COMPUTED_VALUE"""),"Salvador")</f>
        <v>Salvador</v>
      </c>
      <c r="D2266" s="3" t="str">
        <f ca="1">IFERROR(__xludf.UNSUPPORTED("""COMPUTED_VALUE"""),"🚢 REGULAR")</f>
        <v>🚢 REGULAR</v>
      </c>
      <c r="E2266" s="3" t="str">
        <f ca="1">IFERROR(__xludf.UNSUPPORTED("""COMPUTED_VALUE"""),"🚛 LIBERADO")</f>
        <v>🚛 LIBERADO</v>
      </c>
      <c r="F2266" s="5">
        <f ca="1">IFERROR(__xludf.UNSUPPORTED("""COMPUTED_VALUE"""),0)</f>
        <v>0</v>
      </c>
      <c r="G2266" s="3" t="str">
        <f ca="1">IFERROR(__xludf.UNSUPPORTED("""COMPUTED_VALUE"""),"Normalidade")</f>
        <v>Normalidade</v>
      </c>
      <c r="H2266" s="4">
        <f ca="1">IFERROR(__xludf.UNSUPPORTED("""COMPUTED_VALUE"""),45554.5475)</f>
        <v>45554.547500000001</v>
      </c>
      <c r="I2266" s="3">
        <f ca="1">IFERROR(__xludf.UNSUPPORTED("""COMPUTED_VALUE"""),24)</f>
        <v>24</v>
      </c>
      <c r="J2266" s="4">
        <f ca="1">IFERROR(__xludf.UNSUPPORTED("""COMPUTED_VALUE"""),45555.5475)</f>
        <v>45555.547500000001</v>
      </c>
      <c r="L2266" s="3" t="str">
        <f ca="1">IFERROR(__xludf.UNSUPPORTED("""COMPUTED_VALUE"""),"Normalidade")</f>
        <v>Normalidade</v>
      </c>
    </row>
    <row r="2267" spans="1:12" ht="12.75">
      <c r="A2267" s="3" t="str">
        <f ca="1">IFERROR(__xludf.UNSUPPORTED("""COMPUTED_VALUE"""),"e72e9e9f")</f>
        <v>e72e9e9f</v>
      </c>
      <c r="B2267" s="4">
        <f ca="1">IFERROR(__xludf.UNSUPPORTED("""COMPUTED_VALUE"""),45573.4906828703)</f>
        <v>45573.490682870302</v>
      </c>
      <c r="C2267" s="7" t="str">
        <f ca="1">IFERROR(__xludf.UNSUPPORTED("""COMPUTED_VALUE"""),"Salvador")</f>
        <v>Salvador</v>
      </c>
      <c r="D2267" s="3" t="str">
        <f ca="1">IFERROR(__xludf.UNSUPPORTED("""COMPUTED_VALUE"""),"🚢 REGULAR")</f>
        <v>🚢 REGULAR</v>
      </c>
      <c r="E2267" s="3" t="str">
        <f ca="1">IFERROR(__xludf.UNSUPPORTED("""COMPUTED_VALUE"""),"🚛 LIBERADO")</f>
        <v>🚛 LIBERADO</v>
      </c>
      <c r="F2267" s="5">
        <f ca="1">IFERROR(__xludf.UNSUPPORTED("""COMPUTED_VALUE"""),0)</f>
        <v>0</v>
      </c>
      <c r="G2267" s="3" t="str">
        <f ca="1">IFERROR(__xludf.UNSUPPORTED("""COMPUTED_VALUE"""),"Normalidade")</f>
        <v>Normalidade</v>
      </c>
      <c r="H2267" s="4">
        <f ca="1">IFERROR(__xludf.UNSUPPORTED("""COMPUTED_VALUE"""),45573.4906828703)</f>
        <v>45573.490682870302</v>
      </c>
      <c r="I2267" s="3">
        <f ca="1">IFERROR(__xludf.UNSUPPORTED("""COMPUTED_VALUE"""),24)</f>
        <v>24</v>
      </c>
      <c r="J2267" s="4">
        <f ca="1">IFERROR(__xludf.UNSUPPORTED("""COMPUTED_VALUE"""),45574.4906828703)</f>
        <v>45574.490682870302</v>
      </c>
      <c r="L2267" s="3" t="str">
        <f ca="1">IFERROR(__xludf.UNSUPPORTED("""COMPUTED_VALUE"""),"Normalidade")</f>
        <v>Normalidade</v>
      </c>
    </row>
    <row r="2268" spans="1:12" ht="12.75">
      <c r="A2268" s="3" t="str">
        <f ca="1">IFERROR(__xludf.UNSUPPORTED("""COMPUTED_VALUE"""),"b902ec6f")</f>
        <v>b902ec6f</v>
      </c>
      <c r="B2268" s="4">
        <f ca="1">IFERROR(__xludf.UNSUPPORTED("""COMPUTED_VALUE"""),45587.4963773148)</f>
        <v>45587.496377314797</v>
      </c>
      <c r="C2268" s="8" t="str">
        <f ca="1">IFERROR(__xludf.UNSUPPORTED("""COMPUTED_VALUE"""),"Salvador")</f>
        <v>Salvador</v>
      </c>
      <c r="D2268" s="3" t="str">
        <f ca="1">IFERROR(__xludf.UNSUPPORTED("""COMPUTED_VALUE"""),"❗️ PARALISADA")</f>
        <v>❗️ PARALISADA</v>
      </c>
      <c r="E2268" s="3" t="str">
        <f ca="1">IFERROR(__xludf.UNSUPPORTED("""COMPUTED_VALUE"""),"⛔️ BLOQUEADO")</f>
        <v>⛔️ BLOQUEADO</v>
      </c>
      <c r="F2268" s="5">
        <f ca="1">IFERROR(__xludf.UNSUPPORTED("""COMPUTED_VALUE"""),0.5)</f>
        <v>0.5</v>
      </c>
      <c r="G2268" s="3" t="str">
        <f ca="1">IFERROR(__xludf.UNSUPPORTED("""COMPUTED_VALUE"""),"Paralisação de 12 horas dos Trabalhadores Portuário")</f>
        <v>Paralisação de 12 horas dos Trabalhadores Portuário</v>
      </c>
      <c r="H2268" s="4">
        <f ca="1">IFERROR(__xludf.UNSUPPORTED("""COMPUTED_VALUE"""),45587.4963773148)</f>
        <v>45587.496377314797</v>
      </c>
      <c r="I2268" s="3">
        <f ca="1">IFERROR(__xludf.UNSUPPORTED("""COMPUTED_VALUE"""),6)</f>
        <v>6</v>
      </c>
      <c r="J2268" s="4">
        <f ca="1">IFERROR(__xludf.UNSUPPORTED("""COMPUTED_VALUE"""),45587.7463773148)</f>
        <v>45587.746377314797</v>
      </c>
      <c r="K2268" s="3" t="str">
        <f ca="1">IFERROR(__xludf.UNSUPPORTED("""COMPUTED_VALUE"""),"Codeba")</f>
        <v>Codeba</v>
      </c>
      <c r="L2268" s="3" t="str">
        <f ca="1">IFERROR(__xludf.UNSUPPORTED("""COMPUTED_VALUE"""),"Crítico")</f>
        <v>Crítico</v>
      </c>
    </row>
    <row r="2269" spans="1:12" ht="12.75">
      <c r="A2269" s="3" t="str">
        <f ca="1">IFERROR(__xludf.UNSUPPORTED("""COMPUTED_VALUE"""),"b9695832")</f>
        <v>b9695832</v>
      </c>
      <c r="B2269" s="4">
        <f ca="1">IFERROR(__xludf.UNSUPPORTED("""COMPUTED_VALUE"""),45625.5341435185)</f>
        <v>45625.534143518496</v>
      </c>
      <c r="C2269" s="8" t="str">
        <f ca="1">IFERROR(__xludf.UNSUPPORTED("""COMPUTED_VALUE"""),"Salvador")</f>
        <v>Salvador</v>
      </c>
      <c r="D2269" s="3" t="str">
        <f ca="1">IFERROR(__xludf.UNSUPPORTED("""COMPUTED_VALUE"""),"🚢 REGULAR")</f>
        <v>🚢 REGULAR</v>
      </c>
      <c r="E2269" s="3" t="str">
        <f ca="1">IFERROR(__xludf.UNSUPPORTED("""COMPUTED_VALUE"""),"🚛 LIBERADO")</f>
        <v>🚛 LIBERADO</v>
      </c>
      <c r="F2269" s="5">
        <f ca="1">IFERROR(__xludf.UNSUPPORTED("""COMPUTED_VALUE"""),0)</f>
        <v>0</v>
      </c>
      <c r="G2269" s="3" t="str">
        <f ca="1">IFERROR(__xludf.UNSUPPORTED("""COMPUTED_VALUE"""),"Normalidade")</f>
        <v>Normalidade</v>
      </c>
      <c r="H2269" s="4">
        <f ca="1">IFERROR(__xludf.UNSUPPORTED("""COMPUTED_VALUE"""),45625.5341435185)</f>
        <v>45625.534143518496</v>
      </c>
      <c r="I2269" s="3">
        <f ca="1">IFERROR(__xludf.UNSUPPORTED("""COMPUTED_VALUE"""),24)</f>
        <v>24</v>
      </c>
      <c r="J2269" s="4">
        <f ca="1">IFERROR(__xludf.UNSUPPORTED("""COMPUTED_VALUE"""),45626.5341435185)</f>
        <v>45626.534143518496</v>
      </c>
      <c r="L2269" s="3" t="str">
        <f ca="1">IFERROR(__xludf.UNSUPPORTED("""COMPUTED_VALUE"""),"Normalidade")</f>
        <v>Normalidade</v>
      </c>
    </row>
    <row r="2270" spans="1:12" ht="12.75">
      <c r="A2270" s="3" t="str">
        <f ca="1">IFERROR(__xludf.UNSUPPORTED("""COMPUTED_VALUE"""),"a9565e2f")</f>
        <v>a9565e2f</v>
      </c>
      <c r="B2270" s="4">
        <f ca="1">IFERROR(__xludf.UNSUPPORTED("""COMPUTED_VALUE"""),45684.5795023148)</f>
        <v>45684.579502314802</v>
      </c>
      <c r="C2270" s="8" t="str">
        <f ca="1">IFERROR(__xludf.UNSUPPORTED("""COMPUTED_VALUE"""),"Salvador")</f>
        <v>Salvador</v>
      </c>
      <c r="D2270" s="3" t="str">
        <f ca="1">IFERROR(__xludf.UNSUPPORTED("""COMPUTED_VALUE"""),"🚢 REGULAR")</f>
        <v>🚢 REGULAR</v>
      </c>
      <c r="E2270" s="3" t="str">
        <f ca="1">IFERROR(__xludf.UNSUPPORTED("""COMPUTED_VALUE"""),"🚛 LIBERADO")</f>
        <v>🚛 LIBERADO</v>
      </c>
      <c r="F2270" s="5">
        <f ca="1">IFERROR(__xludf.UNSUPPORTED("""COMPUTED_VALUE"""),0)</f>
        <v>0</v>
      </c>
      <c r="G2270" s="3" t="str">
        <f ca="1">IFERROR(__xludf.UNSUPPORTED("""COMPUTED_VALUE"""),"Normalidade")</f>
        <v>Normalidade</v>
      </c>
      <c r="H2270" s="4">
        <f ca="1">IFERROR(__xludf.UNSUPPORTED("""COMPUTED_VALUE"""),45684.5795023148)</f>
        <v>45684.579502314802</v>
      </c>
      <c r="I2270" s="3">
        <f ca="1">IFERROR(__xludf.UNSUPPORTED("""COMPUTED_VALUE"""),24)</f>
        <v>24</v>
      </c>
      <c r="J2270" s="4">
        <f ca="1">IFERROR(__xludf.UNSUPPORTED("""COMPUTED_VALUE"""),45685.5795023148)</f>
        <v>45685.579502314802</v>
      </c>
      <c r="L2270" s="3" t="str">
        <f ca="1">IFERROR(__xludf.UNSUPPORTED("""COMPUTED_VALUE"""),"Normalidade")</f>
        <v>Normalidade</v>
      </c>
    </row>
    <row r="2271" spans="1:12" ht="12.75">
      <c r="A2271" s="3" t="str">
        <f ca="1">IFERROR(__xludf.UNSUPPORTED("""COMPUTED_VALUE"""),"c9b82f96")</f>
        <v>c9b82f96</v>
      </c>
      <c r="B2271" s="4">
        <f ca="1">IFERROR(__xludf.UNSUPPORTED("""COMPUTED_VALUE"""),44867.5208564814)</f>
        <v>44867.520856481402</v>
      </c>
      <c r="C2271" s="8" t="str">
        <f ca="1">IFERROR(__xludf.UNSUPPORTED("""COMPUTED_VALUE"""),"Santana")</f>
        <v>Santana</v>
      </c>
      <c r="D2271" s="3" t="str">
        <f ca="1">IFERROR(__xludf.UNSUPPORTED("""COMPUTED_VALUE"""),"🚢 REGULAR")</f>
        <v>🚢 REGULAR</v>
      </c>
      <c r="E2271" s="3" t="str">
        <f ca="1">IFERROR(__xludf.UNSUPPORTED("""COMPUTED_VALUE"""),"🚛 LIBERADO")</f>
        <v>🚛 LIBERADO</v>
      </c>
      <c r="F2271" s="5">
        <f ca="1">IFERROR(__xludf.UNSUPPORTED("""COMPUTED_VALUE"""),0)</f>
        <v>0</v>
      </c>
      <c r="G2271" s="3" t="str">
        <f ca="1">IFERROR(__xludf.UNSUPPORTED("""COMPUTED_VALUE"""),"Sem ocorrências.")</f>
        <v>Sem ocorrências.</v>
      </c>
      <c r="H2271" s="4">
        <f ca="1">IFERROR(__xludf.UNSUPPORTED("""COMPUTED_VALUE"""),44872.425)</f>
        <v>44872.425000000003</v>
      </c>
      <c r="I2271" s="3">
        <f ca="1">IFERROR(__xludf.UNSUPPORTED("""COMPUTED_VALUE"""),1)</f>
        <v>1</v>
      </c>
      <c r="J2271" s="4">
        <f ca="1">IFERROR(__xludf.UNSUPPORTED("""COMPUTED_VALUE"""),44872.4666666666)</f>
        <v>44872.466666666602</v>
      </c>
    </row>
    <row r="2272" spans="1:12" ht="12.75">
      <c r="A2272" s="3" t="str">
        <f ca="1">IFERROR(__xludf.UNSUPPORTED("""COMPUTED_VALUE"""),"0fb6b2b2")</f>
        <v>0fb6b2b2</v>
      </c>
      <c r="B2272" s="4">
        <f ca="1">IFERROR(__xludf.UNSUPPORTED("""COMPUTED_VALUE"""),44873.4457407407)</f>
        <v>44873.445740740703</v>
      </c>
      <c r="C2272" s="8" t="str">
        <f ca="1">IFERROR(__xludf.UNSUPPORTED("""COMPUTED_VALUE"""),"Santana")</f>
        <v>Santana</v>
      </c>
      <c r="D2272" s="3" t="str">
        <f ca="1">IFERROR(__xludf.UNSUPPORTED("""COMPUTED_VALUE"""),"🚢 REGULAR")</f>
        <v>🚢 REGULAR</v>
      </c>
      <c r="E2272" s="3" t="str">
        <f ca="1">IFERROR(__xludf.UNSUPPORTED("""COMPUTED_VALUE"""),"🚛 LIBERADO")</f>
        <v>🚛 LIBERADO</v>
      </c>
      <c r="F2272" s="5">
        <f ca="1">IFERROR(__xludf.UNSUPPORTED("""COMPUTED_VALUE"""),0)</f>
        <v>0</v>
      </c>
      <c r="G2272" s="3" t="str">
        <f ca="1">IFERROR(__xludf.UNSUPPORTED("""COMPUTED_VALUE"""),"Sem ocorrências")</f>
        <v>Sem ocorrências</v>
      </c>
      <c r="H2272" s="4">
        <f ca="1">IFERROR(__xludf.UNSUPPORTED("""COMPUTED_VALUE"""),44873.3618055555)</f>
        <v>44873.361805555498</v>
      </c>
      <c r="I2272" s="3">
        <f ca="1">IFERROR(__xludf.UNSUPPORTED("""COMPUTED_VALUE"""),1)</f>
        <v>1</v>
      </c>
      <c r="J2272" s="4">
        <f ca="1">IFERROR(__xludf.UNSUPPORTED("""COMPUTED_VALUE"""),44873.4034722222)</f>
        <v>44873.403472222199</v>
      </c>
    </row>
    <row r="2273" spans="1:10" ht="12.75">
      <c r="A2273" s="3" t="str">
        <f ca="1">IFERROR(__xludf.UNSUPPORTED("""COMPUTED_VALUE"""),"353db41c")</f>
        <v>353db41c</v>
      </c>
      <c r="B2273" s="4">
        <f ca="1">IFERROR(__xludf.UNSUPPORTED("""COMPUTED_VALUE"""),44874.4385532407)</f>
        <v>44874.438553240703</v>
      </c>
      <c r="C2273" s="8" t="str">
        <f ca="1">IFERROR(__xludf.UNSUPPORTED("""COMPUTED_VALUE"""),"Santana")</f>
        <v>Santana</v>
      </c>
      <c r="D2273" s="3" t="str">
        <f ca="1">IFERROR(__xludf.UNSUPPORTED("""COMPUTED_VALUE"""),"🚢 REGULAR")</f>
        <v>🚢 REGULAR</v>
      </c>
      <c r="E2273" s="3" t="str">
        <f ca="1">IFERROR(__xludf.UNSUPPORTED("""COMPUTED_VALUE"""),"🚛 LIBERADO")</f>
        <v>🚛 LIBERADO</v>
      </c>
      <c r="F2273" s="5">
        <f ca="1">IFERROR(__xludf.UNSUPPORTED("""COMPUTED_VALUE"""),0)</f>
        <v>0</v>
      </c>
      <c r="G2273" s="3" t="str">
        <f ca="1">IFERROR(__xludf.UNSUPPORTED("""COMPUTED_VALUE"""),"Sem ocorrência")</f>
        <v>Sem ocorrência</v>
      </c>
      <c r="H2273" s="4">
        <f ca="1">IFERROR(__xludf.UNSUPPORTED("""COMPUTED_VALUE"""),44874.3958333333)</f>
        <v>44874.395833333299</v>
      </c>
      <c r="I2273" s="3">
        <f ca="1">IFERROR(__xludf.UNSUPPORTED("""COMPUTED_VALUE"""),1)</f>
        <v>1</v>
      </c>
      <c r="J2273" s="4">
        <f ca="1">IFERROR(__xludf.UNSUPPORTED("""COMPUTED_VALUE"""),44874.4375)</f>
        <v>44874.4375</v>
      </c>
    </row>
    <row r="2274" spans="1:10" ht="12.75">
      <c r="A2274" s="3" t="str">
        <f ca="1">IFERROR(__xludf.UNSUPPORTED("""COMPUTED_VALUE"""),"666d8948")</f>
        <v>666d8948</v>
      </c>
      <c r="B2274" s="4">
        <f ca="1">IFERROR(__xludf.UNSUPPORTED("""COMPUTED_VALUE"""),44881.4319444444)</f>
        <v>44881.431944444397</v>
      </c>
      <c r="C2274" s="7" t="str">
        <f ca="1">IFERROR(__xludf.UNSUPPORTED("""COMPUTED_VALUE"""),"Santana")</f>
        <v>Santana</v>
      </c>
      <c r="D2274" s="3" t="str">
        <f ca="1">IFERROR(__xludf.UNSUPPORTED("""COMPUTED_VALUE"""),"🚢 REGULAR")</f>
        <v>🚢 REGULAR</v>
      </c>
      <c r="E2274" s="3" t="str">
        <f ca="1">IFERROR(__xludf.UNSUPPORTED("""COMPUTED_VALUE"""),"🚛 LIBERADO")</f>
        <v>🚛 LIBERADO</v>
      </c>
      <c r="F2274" s="5">
        <f ca="1">IFERROR(__xludf.UNSUPPORTED("""COMPUTED_VALUE"""),0)</f>
        <v>0</v>
      </c>
      <c r="G2274" s="3" t="str">
        <f ca="1">IFERROR(__xludf.UNSUPPORTED("""COMPUTED_VALUE"""),"Sem intercorrências provocadas por paralisação nas estradas")</f>
        <v>Sem intercorrências provocadas por paralisação nas estradas</v>
      </c>
      <c r="H2274" s="4">
        <f ca="1">IFERROR(__xludf.UNSUPPORTED("""COMPUTED_VALUE"""),44881.4319444444)</f>
        <v>44881.431944444397</v>
      </c>
      <c r="I2274" s="3">
        <f ca="1">IFERROR(__xludf.UNSUPPORTED("""COMPUTED_VALUE"""),1)</f>
        <v>1</v>
      </c>
      <c r="J2274" s="4">
        <f ca="1">IFERROR(__xludf.UNSUPPORTED("""COMPUTED_VALUE"""),44881.4736111111)</f>
        <v>44881.473611111098</v>
      </c>
    </row>
    <row r="2275" spans="1:10" ht="12.75">
      <c r="A2275" s="3" t="str">
        <f ca="1">IFERROR(__xludf.UNSUPPORTED("""COMPUTED_VALUE"""),"bd8336a7")</f>
        <v>bd8336a7</v>
      </c>
      <c r="B2275" s="4">
        <f ca="1">IFERROR(__xludf.UNSUPPORTED("""COMPUTED_VALUE"""),44883.5041203703)</f>
        <v>44883.5041203703</v>
      </c>
      <c r="C2275" s="8" t="str">
        <f ca="1">IFERROR(__xludf.UNSUPPORTED("""COMPUTED_VALUE"""),"Santana")</f>
        <v>Santana</v>
      </c>
      <c r="D2275" s="3" t="str">
        <f ca="1">IFERROR(__xludf.UNSUPPORTED("""COMPUTED_VALUE"""),"🚢 REGULAR")</f>
        <v>🚢 REGULAR</v>
      </c>
      <c r="E2275" s="3" t="str">
        <f ca="1">IFERROR(__xludf.UNSUPPORTED("""COMPUTED_VALUE"""),"🚛 LIBERADO")</f>
        <v>🚛 LIBERADO</v>
      </c>
      <c r="F2275" s="5">
        <f ca="1">IFERROR(__xludf.UNSUPPORTED("""COMPUTED_VALUE"""),0)</f>
        <v>0</v>
      </c>
      <c r="G2275" s="3" t="str">
        <f ca="1">IFERROR(__xludf.UNSUPPORTED("""COMPUTED_VALUE"""),"Sem ocorrência")</f>
        <v>Sem ocorrência</v>
      </c>
      <c r="H2275" s="4">
        <f ca="1">IFERROR(__xludf.UNSUPPORTED("""COMPUTED_VALUE"""),44883.4618055555)</f>
        <v>44883.461805555497</v>
      </c>
      <c r="I2275" s="3">
        <f ca="1">IFERROR(__xludf.UNSUPPORTED("""COMPUTED_VALUE"""),1)</f>
        <v>1</v>
      </c>
      <c r="J2275" s="4">
        <f ca="1">IFERROR(__xludf.UNSUPPORTED("""COMPUTED_VALUE"""),44883.5034722222)</f>
        <v>44883.503472222197</v>
      </c>
    </row>
    <row r="2276" spans="1:10" ht="12.75">
      <c r="A2276" s="3" t="str">
        <f ca="1">IFERROR(__xludf.UNSUPPORTED("""COMPUTED_VALUE"""),"1f775187")</f>
        <v>1f775187</v>
      </c>
      <c r="B2276" s="4">
        <f ca="1">IFERROR(__xludf.UNSUPPORTED("""COMPUTED_VALUE"""),44885.4554861111)</f>
        <v>44885.455486111103</v>
      </c>
      <c r="C2276" s="8" t="str">
        <f ca="1">IFERROR(__xludf.UNSUPPORTED("""COMPUTED_VALUE"""),"Santana")</f>
        <v>Santana</v>
      </c>
      <c r="D2276" s="3" t="str">
        <f ca="1">IFERROR(__xludf.UNSUPPORTED("""COMPUTED_VALUE"""),"🚢 REGULAR")</f>
        <v>🚢 REGULAR</v>
      </c>
      <c r="E2276" s="3" t="str">
        <f ca="1">IFERROR(__xludf.UNSUPPORTED("""COMPUTED_VALUE"""),"🚛 LIBERADO")</f>
        <v>🚛 LIBERADO</v>
      </c>
      <c r="F2276" s="5">
        <f ca="1">IFERROR(__xludf.UNSUPPORTED("""COMPUTED_VALUE"""),0)</f>
        <v>0</v>
      </c>
      <c r="G2276" s="3" t="str">
        <f ca="1">IFERROR(__xludf.UNSUPPORTED("""COMPUTED_VALUE"""),"Operação normal")</f>
        <v>Operação normal</v>
      </c>
      <c r="H2276" s="4">
        <f ca="1">IFERROR(__xludf.UNSUPPORTED("""COMPUTED_VALUE"""),44885.4131944444)</f>
        <v>44885.413194444402</v>
      </c>
      <c r="I2276" s="3">
        <f ca="1">IFERROR(__xludf.UNSUPPORTED("""COMPUTED_VALUE"""),1)</f>
        <v>1</v>
      </c>
      <c r="J2276" s="4">
        <f ca="1">IFERROR(__xludf.UNSUPPORTED("""COMPUTED_VALUE"""),44885.4548611111)</f>
        <v>44885.454861111102</v>
      </c>
    </row>
    <row r="2277" spans="1:10" ht="12.75">
      <c r="A2277" s="3" t="str">
        <f ca="1">IFERROR(__xludf.UNSUPPORTED("""COMPUTED_VALUE"""),"e081ef8e")</f>
        <v>e081ef8e</v>
      </c>
      <c r="B2277" s="4">
        <f ca="1">IFERROR(__xludf.UNSUPPORTED("""COMPUTED_VALUE"""),44886.4444444444)</f>
        <v>44886.444444444402</v>
      </c>
      <c r="C2277" s="7" t="str">
        <f ca="1">IFERROR(__xludf.UNSUPPORTED("""COMPUTED_VALUE"""),"Santana")</f>
        <v>Santana</v>
      </c>
      <c r="D2277" s="3" t="str">
        <f ca="1">IFERROR(__xludf.UNSUPPORTED("""COMPUTED_VALUE"""),"🚢 REGULAR")</f>
        <v>🚢 REGULAR</v>
      </c>
      <c r="E2277" s="3" t="str">
        <f ca="1">IFERROR(__xludf.UNSUPPORTED("""COMPUTED_VALUE"""),"🚛 LIBERADO")</f>
        <v>🚛 LIBERADO</v>
      </c>
      <c r="F2277" s="5">
        <f ca="1">IFERROR(__xludf.UNSUPPORTED("""COMPUTED_VALUE"""),0)</f>
        <v>0</v>
      </c>
      <c r="G2277" s="3" t="str">
        <f ca="1">IFERROR(__xludf.UNSUPPORTED("""COMPUTED_VALUE"""),"sem ocorrências")</f>
        <v>sem ocorrências</v>
      </c>
      <c r="H2277" s="4">
        <f ca="1">IFERROR(__xludf.UNSUPPORTED("""COMPUTED_VALUE"""),44886.4027777777)</f>
        <v>44886.402777777701</v>
      </c>
      <c r="I2277" s="3">
        <f ca="1">IFERROR(__xludf.UNSUPPORTED("""COMPUTED_VALUE"""),1)</f>
        <v>1</v>
      </c>
      <c r="J2277" s="4">
        <f ca="1">IFERROR(__xludf.UNSUPPORTED("""COMPUTED_VALUE"""),44886.4444444444)</f>
        <v>44886.444444444402</v>
      </c>
    </row>
    <row r="2278" spans="1:10" ht="12.75">
      <c r="A2278" s="3" t="str">
        <f ca="1">IFERROR(__xludf.UNSUPPORTED("""COMPUTED_VALUE"""),"52f6ddfd")</f>
        <v>52f6ddfd</v>
      </c>
      <c r="B2278" s="4">
        <f ca="1">IFERROR(__xludf.UNSUPPORTED("""COMPUTED_VALUE"""),44887.4308680555)</f>
        <v>44887.430868055497</v>
      </c>
      <c r="C2278" s="8" t="str">
        <f ca="1">IFERROR(__xludf.UNSUPPORTED("""COMPUTED_VALUE"""),"Santana")</f>
        <v>Santana</v>
      </c>
      <c r="D2278" s="3" t="str">
        <f ca="1">IFERROR(__xludf.UNSUPPORTED("""COMPUTED_VALUE"""),"🚢 REGULAR")</f>
        <v>🚢 REGULAR</v>
      </c>
      <c r="E2278" s="3" t="str">
        <f ca="1">IFERROR(__xludf.UNSUPPORTED("""COMPUTED_VALUE"""),"🚛 LIBERADO")</f>
        <v>🚛 LIBERADO</v>
      </c>
      <c r="F2278" s="5">
        <f ca="1">IFERROR(__xludf.UNSUPPORTED("""COMPUTED_VALUE"""),0)</f>
        <v>0</v>
      </c>
      <c r="G2278" s="3" t="str">
        <f ca="1">IFERROR(__xludf.UNSUPPORTED("""COMPUTED_VALUE"""),"sem ocorrência registrada pela autoridade portuária")</f>
        <v>sem ocorrência registrada pela autoridade portuária</v>
      </c>
      <c r="H2278" s="4">
        <f ca="1">IFERROR(__xludf.UNSUPPORTED("""COMPUTED_VALUE"""),44887.375)</f>
        <v>44887.375</v>
      </c>
      <c r="I2278" s="3">
        <f ca="1">IFERROR(__xludf.UNSUPPORTED("""COMPUTED_VALUE"""),1)</f>
        <v>1</v>
      </c>
      <c r="J2278" s="4">
        <f ca="1">IFERROR(__xludf.UNSUPPORTED("""COMPUTED_VALUE"""),44887.4166666666)</f>
        <v>44887.416666666599</v>
      </c>
    </row>
    <row r="2279" spans="1:10" ht="12.75">
      <c r="A2279" s="3" t="str">
        <f ca="1">IFERROR(__xludf.UNSUPPORTED("""COMPUTED_VALUE"""),"ba63f26b")</f>
        <v>ba63f26b</v>
      </c>
      <c r="B2279" s="4">
        <f ca="1">IFERROR(__xludf.UNSUPPORTED("""COMPUTED_VALUE"""),44888.3890046296)</f>
        <v>44888.3890046296</v>
      </c>
      <c r="C2279" s="8" t="str">
        <f ca="1">IFERROR(__xludf.UNSUPPORTED("""COMPUTED_VALUE"""),"Santana")</f>
        <v>Santana</v>
      </c>
      <c r="D2279" s="3" t="str">
        <f ca="1">IFERROR(__xludf.UNSUPPORTED("""COMPUTED_VALUE"""),"🚢 REGULAR")</f>
        <v>🚢 REGULAR</v>
      </c>
      <c r="E2279" s="3" t="str">
        <f ca="1">IFERROR(__xludf.UNSUPPORTED("""COMPUTED_VALUE"""),"🚛 LIBERADO")</f>
        <v>🚛 LIBERADO</v>
      </c>
      <c r="F2279" s="5">
        <f ca="1">IFERROR(__xludf.UNSUPPORTED("""COMPUTED_VALUE"""),0)</f>
        <v>0</v>
      </c>
      <c r="G2279" s="3" t="str">
        <f ca="1">IFERROR(__xludf.UNSUPPORTED("""COMPUTED_VALUE"""),"Operação em normalidade")</f>
        <v>Operação em normalidade</v>
      </c>
      <c r="H2279" s="4">
        <f ca="1">IFERROR(__xludf.UNSUPPORTED("""COMPUTED_VALUE"""),44888.3465277777)</f>
        <v>44888.3465277777</v>
      </c>
      <c r="I2279" s="3">
        <f ca="1">IFERROR(__xludf.UNSUPPORTED("""COMPUTED_VALUE"""),1)</f>
        <v>1</v>
      </c>
      <c r="J2279" s="4">
        <f ca="1">IFERROR(__xludf.UNSUPPORTED("""COMPUTED_VALUE"""),44888.3881944444)</f>
        <v>44888.3881944444</v>
      </c>
    </row>
    <row r="2280" spans="1:10" ht="12.75">
      <c r="A2280" s="3" t="str">
        <f ca="1">IFERROR(__xludf.UNSUPPORTED("""COMPUTED_VALUE"""),"fa8e695d")</f>
        <v>fa8e695d</v>
      </c>
      <c r="B2280" s="4">
        <f ca="1">IFERROR(__xludf.UNSUPPORTED("""COMPUTED_VALUE"""),44889.3761342592)</f>
        <v>44889.376134259197</v>
      </c>
      <c r="C2280" s="8" t="str">
        <f ca="1">IFERROR(__xludf.UNSUPPORTED("""COMPUTED_VALUE"""),"Santana")</f>
        <v>Santana</v>
      </c>
      <c r="D2280" s="3" t="str">
        <f ca="1">IFERROR(__xludf.UNSUPPORTED("""COMPUTED_VALUE"""),"🚢 REGULAR")</f>
        <v>🚢 REGULAR</v>
      </c>
      <c r="E2280" s="3" t="str">
        <f ca="1">IFERROR(__xludf.UNSUPPORTED("""COMPUTED_VALUE"""),"🚛 LIBERADO")</f>
        <v>🚛 LIBERADO</v>
      </c>
      <c r="F2280" s="5">
        <f ca="1">IFERROR(__xludf.UNSUPPORTED("""COMPUTED_VALUE"""),0)</f>
        <v>0</v>
      </c>
      <c r="G2280" s="3" t="str">
        <f ca="1">IFERROR(__xludf.UNSUPPORTED("""COMPUTED_VALUE"""),"Operação em normalidade")</f>
        <v>Operação em normalidade</v>
      </c>
      <c r="H2280" s="4">
        <f ca="1">IFERROR(__xludf.UNSUPPORTED("""COMPUTED_VALUE"""),44889.3340277777)</f>
        <v>44889.334027777702</v>
      </c>
      <c r="I2280" s="3">
        <f ca="1">IFERROR(__xludf.UNSUPPORTED("""COMPUTED_VALUE"""),1)</f>
        <v>1</v>
      </c>
      <c r="J2280" s="4">
        <f ca="1">IFERROR(__xludf.UNSUPPORTED("""COMPUTED_VALUE"""),44889.3756944444)</f>
        <v>44889.375694444403</v>
      </c>
    </row>
    <row r="2281" spans="1:10" ht="12.75">
      <c r="A2281" s="3" t="str">
        <f ca="1">IFERROR(__xludf.UNSUPPORTED("""COMPUTED_VALUE"""),"25c2b8ab")</f>
        <v>25c2b8ab</v>
      </c>
      <c r="B2281" s="4">
        <f ca="1">IFERROR(__xludf.UNSUPPORTED("""COMPUTED_VALUE"""),44890.5631134259)</f>
        <v>44890.563113425902</v>
      </c>
      <c r="C2281" s="7" t="str">
        <f ca="1">IFERROR(__xludf.UNSUPPORTED("""COMPUTED_VALUE"""),"Santana")</f>
        <v>Santana</v>
      </c>
      <c r="D2281" s="3" t="str">
        <f ca="1">IFERROR(__xludf.UNSUPPORTED("""COMPUTED_VALUE"""),"🚢 REGULAR")</f>
        <v>🚢 REGULAR</v>
      </c>
      <c r="E2281" s="3" t="str">
        <f ca="1">IFERROR(__xludf.UNSUPPORTED("""COMPUTED_VALUE"""),"🚛 LIBERADO")</f>
        <v>🚛 LIBERADO</v>
      </c>
      <c r="F2281" s="5">
        <f ca="1">IFERROR(__xludf.UNSUPPORTED("""COMPUTED_VALUE"""),0)</f>
        <v>0</v>
      </c>
      <c r="G2281" s="3" t="str">
        <f ca="1">IFERROR(__xludf.UNSUPPORTED("""COMPUTED_VALUE"""),"Normal")</f>
        <v>Normal</v>
      </c>
      <c r="H2281" s="4">
        <f ca="1">IFERROR(__xludf.UNSUPPORTED("""COMPUTED_VALUE"""),44890.5201388888)</f>
        <v>44890.520138888802</v>
      </c>
      <c r="I2281" s="3">
        <f ca="1">IFERROR(__xludf.UNSUPPORTED("""COMPUTED_VALUE"""),1)</f>
        <v>1</v>
      </c>
      <c r="J2281" s="4">
        <f ca="1">IFERROR(__xludf.UNSUPPORTED("""COMPUTED_VALUE"""),44890.5618055555)</f>
        <v>44890.561805555502</v>
      </c>
    </row>
    <row r="2282" spans="1:10" ht="12.75">
      <c r="A2282" s="3" t="str">
        <f ca="1">IFERROR(__xludf.UNSUPPORTED("""COMPUTED_VALUE"""),"6c8fe7f1")</f>
        <v>6c8fe7f1</v>
      </c>
      <c r="B2282" s="4">
        <f ca="1">IFERROR(__xludf.UNSUPPORTED("""COMPUTED_VALUE"""),44892.2579050925)</f>
        <v>44892.257905092498</v>
      </c>
      <c r="C2282" s="8" t="str">
        <f ca="1">IFERROR(__xludf.UNSUPPORTED("""COMPUTED_VALUE"""),"Santana")</f>
        <v>Santana</v>
      </c>
      <c r="D2282" s="3" t="str">
        <f ca="1">IFERROR(__xludf.UNSUPPORTED("""COMPUTED_VALUE"""),"🚢 REGULAR")</f>
        <v>🚢 REGULAR</v>
      </c>
      <c r="E2282" s="3" t="str">
        <f ca="1">IFERROR(__xludf.UNSUPPORTED("""COMPUTED_VALUE"""),"🚛 LIBERADO")</f>
        <v>🚛 LIBERADO</v>
      </c>
      <c r="F2282" s="5">
        <f ca="1">IFERROR(__xludf.UNSUPPORTED("""COMPUTED_VALUE"""),0)</f>
        <v>0</v>
      </c>
      <c r="G2282" s="3" t="str">
        <f ca="1">IFERROR(__xludf.UNSUPPORTED("""COMPUTED_VALUE"""),"Normalidade")</f>
        <v>Normalidade</v>
      </c>
      <c r="H2282" s="4">
        <f ca="1">IFERROR(__xludf.UNSUPPORTED("""COMPUTED_VALUE"""),44892.2152777777)</f>
        <v>44892.215277777701</v>
      </c>
      <c r="I2282" s="3">
        <f ca="1">IFERROR(__xludf.UNSUPPORTED("""COMPUTED_VALUE"""),1)</f>
        <v>1</v>
      </c>
      <c r="J2282" s="4">
        <f ca="1">IFERROR(__xludf.UNSUPPORTED("""COMPUTED_VALUE"""),44892.2569444444)</f>
        <v>44892.256944444402</v>
      </c>
    </row>
    <row r="2283" spans="1:10" ht="12.75">
      <c r="A2283" s="3" t="str">
        <f ca="1">IFERROR(__xludf.UNSUPPORTED("""COMPUTED_VALUE"""),"9c883bb2")</f>
        <v>9c883bb2</v>
      </c>
      <c r="B2283" s="4">
        <f ca="1">IFERROR(__xludf.UNSUPPORTED("""COMPUTED_VALUE"""),44893.501412037)</f>
        <v>44893.501412037003</v>
      </c>
      <c r="C2283" s="8" t="str">
        <f ca="1">IFERROR(__xludf.UNSUPPORTED("""COMPUTED_VALUE"""),"Santana")</f>
        <v>Santana</v>
      </c>
      <c r="D2283" s="3" t="str">
        <f ca="1">IFERROR(__xludf.UNSUPPORTED("""COMPUTED_VALUE"""),"🚢 REGULAR")</f>
        <v>🚢 REGULAR</v>
      </c>
      <c r="E2283" s="3" t="str">
        <f ca="1">IFERROR(__xludf.UNSUPPORTED("""COMPUTED_VALUE"""),"🚛 LIBERADO")</f>
        <v>🚛 LIBERADO</v>
      </c>
      <c r="F2283" s="5">
        <f ca="1">IFERROR(__xludf.UNSUPPORTED("""COMPUTED_VALUE"""),0)</f>
        <v>0</v>
      </c>
      <c r="G2283" s="3" t="str">
        <f ca="1">IFERROR(__xludf.UNSUPPORTED("""COMPUTED_VALUE"""),"Normalidade")</f>
        <v>Normalidade</v>
      </c>
      <c r="H2283" s="4">
        <f ca="1">IFERROR(__xludf.UNSUPPORTED("""COMPUTED_VALUE"""),44893.4590277777)</f>
        <v>44893.459027777702</v>
      </c>
      <c r="I2283" s="3">
        <f ca="1">IFERROR(__xludf.UNSUPPORTED("""COMPUTED_VALUE"""),1)</f>
        <v>1</v>
      </c>
      <c r="J2283" s="4">
        <f ca="1">IFERROR(__xludf.UNSUPPORTED("""COMPUTED_VALUE"""),44893.5006944444)</f>
        <v>44893.500694444403</v>
      </c>
    </row>
    <row r="2284" spans="1:10" ht="12.75">
      <c r="A2284" s="3" t="str">
        <f ca="1">IFERROR(__xludf.UNSUPPORTED("""COMPUTED_VALUE"""),"8336c5d3")</f>
        <v>8336c5d3</v>
      </c>
      <c r="B2284" s="4">
        <f ca="1">IFERROR(__xludf.UNSUPPORTED("""COMPUTED_VALUE"""),44894.4260300925)</f>
        <v>44894.426030092502</v>
      </c>
      <c r="C2284" s="7" t="str">
        <f ca="1">IFERROR(__xludf.UNSUPPORTED("""COMPUTED_VALUE"""),"Santana")</f>
        <v>Santana</v>
      </c>
      <c r="D2284" s="3" t="str">
        <f ca="1">IFERROR(__xludf.UNSUPPORTED("""COMPUTED_VALUE"""),"🚢 REGULAR")</f>
        <v>🚢 REGULAR</v>
      </c>
      <c r="E2284" s="3" t="str">
        <f ca="1">IFERROR(__xludf.UNSUPPORTED("""COMPUTED_VALUE"""),"🚛 LIBERADO")</f>
        <v>🚛 LIBERADO</v>
      </c>
      <c r="F2284" s="5">
        <f ca="1">IFERROR(__xludf.UNSUPPORTED("""COMPUTED_VALUE"""),0)</f>
        <v>0</v>
      </c>
      <c r="G2284" s="3" t="str">
        <f ca="1">IFERROR(__xludf.UNSUPPORTED("""COMPUTED_VALUE"""),"Normalidade")</f>
        <v>Normalidade</v>
      </c>
      <c r="H2284" s="4">
        <f ca="1">IFERROR(__xludf.UNSUPPORTED("""COMPUTED_VALUE"""),44894.3840277777)</f>
        <v>44894.384027777698</v>
      </c>
      <c r="I2284" s="3">
        <f ca="1">IFERROR(__xludf.UNSUPPORTED("""COMPUTED_VALUE"""),1)</f>
        <v>1</v>
      </c>
      <c r="J2284" s="4">
        <f ca="1">IFERROR(__xludf.UNSUPPORTED("""COMPUTED_VALUE"""),44894.4256944444)</f>
        <v>44894.425694444399</v>
      </c>
    </row>
    <row r="2285" spans="1:10" ht="12.75">
      <c r="A2285" s="3" t="str">
        <f ca="1">IFERROR(__xludf.UNSUPPORTED("""COMPUTED_VALUE"""),"83abf12d")</f>
        <v>83abf12d</v>
      </c>
      <c r="B2285" s="4">
        <f ca="1">IFERROR(__xludf.UNSUPPORTED("""COMPUTED_VALUE"""),44894.4278472222)</f>
        <v>44894.427847222199</v>
      </c>
      <c r="C2285" s="8" t="str">
        <f ca="1">IFERROR(__xludf.UNSUPPORTED("""COMPUTED_VALUE"""),"Santana")</f>
        <v>Santana</v>
      </c>
      <c r="D2285" s="3" t="str">
        <f ca="1">IFERROR(__xludf.UNSUPPORTED("""COMPUTED_VALUE"""),"🚢 REGULAR")</f>
        <v>🚢 REGULAR</v>
      </c>
      <c r="E2285" s="3" t="str">
        <f ca="1">IFERROR(__xludf.UNSUPPORTED("""COMPUTED_VALUE"""),"🚛 LIBERADO")</f>
        <v>🚛 LIBERADO</v>
      </c>
      <c r="F2285" s="5">
        <f ca="1">IFERROR(__xludf.UNSUPPORTED("""COMPUTED_VALUE"""),0)</f>
        <v>0</v>
      </c>
      <c r="G2285" s="3" t="str">
        <f ca="1">IFERROR(__xludf.UNSUPPORTED("""COMPUTED_VALUE"""),"Normalidade")</f>
        <v>Normalidade</v>
      </c>
      <c r="H2285" s="4">
        <f ca="1">IFERROR(__xludf.UNSUPPORTED("""COMPUTED_VALUE"""),44894.3854166666)</f>
        <v>44894.385416666599</v>
      </c>
      <c r="I2285" s="3">
        <f ca="1">IFERROR(__xludf.UNSUPPORTED("""COMPUTED_VALUE"""),1)</f>
        <v>1</v>
      </c>
      <c r="J2285" s="4">
        <f ca="1">IFERROR(__xludf.UNSUPPORTED("""COMPUTED_VALUE"""),44894.4270833333)</f>
        <v>44894.427083333299</v>
      </c>
    </row>
    <row r="2286" spans="1:10" ht="12.75">
      <c r="A2286" s="3" t="str">
        <f ca="1">IFERROR(__xludf.UNSUPPORTED("""COMPUTED_VALUE"""),"27d10b7a")</f>
        <v>27d10b7a</v>
      </c>
      <c r="B2286" s="4">
        <f ca="1">IFERROR(__xludf.UNSUPPORTED("""COMPUTED_VALUE"""),44895.3831018518)</f>
        <v>44895.383101851803</v>
      </c>
      <c r="C2286" s="8" t="str">
        <f ca="1">IFERROR(__xludf.UNSUPPORTED("""COMPUTED_VALUE"""),"Santana")</f>
        <v>Santana</v>
      </c>
      <c r="D2286" s="3" t="str">
        <f ca="1">IFERROR(__xludf.UNSUPPORTED("""COMPUTED_VALUE"""),"🚢 REGULAR")</f>
        <v>🚢 REGULAR</v>
      </c>
      <c r="E2286" s="3" t="str">
        <f ca="1">IFERROR(__xludf.UNSUPPORTED("""COMPUTED_VALUE"""),"🚛 LIBERADO")</f>
        <v>🚛 LIBERADO</v>
      </c>
      <c r="F2286" s="5">
        <f ca="1">IFERROR(__xludf.UNSUPPORTED("""COMPUTED_VALUE"""),0)</f>
        <v>0</v>
      </c>
      <c r="G2286" s="3" t="str">
        <f ca="1">IFERROR(__xludf.UNSUPPORTED("""COMPUTED_VALUE"""),"Normal")</f>
        <v>Normal</v>
      </c>
      <c r="H2286" s="4">
        <f ca="1">IFERROR(__xludf.UNSUPPORTED("""COMPUTED_VALUE"""),44895.3402777777)</f>
        <v>44895.340277777701</v>
      </c>
      <c r="I2286" s="3">
        <f ca="1">IFERROR(__xludf.UNSUPPORTED("""COMPUTED_VALUE"""),1)</f>
        <v>1</v>
      </c>
      <c r="J2286" s="4">
        <f ca="1">IFERROR(__xludf.UNSUPPORTED("""COMPUTED_VALUE"""),44895.3819444444)</f>
        <v>44895.381944444402</v>
      </c>
    </row>
    <row r="2287" spans="1:10" ht="12.75">
      <c r="A2287" s="3" t="str">
        <f ca="1">IFERROR(__xludf.UNSUPPORTED("""COMPUTED_VALUE"""),"a3e5138a")</f>
        <v>a3e5138a</v>
      </c>
      <c r="B2287" s="4">
        <f ca="1">IFERROR(__xludf.UNSUPPORTED("""COMPUTED_VALUE"""),44896.4104861111)</f>
        <v>44896.410486111097</v>
      </c>
      <c r="C2287" s="7" t="str">
        <f ca="1">IFERROR(__xludf.UNSUPPORTED("""COMPUTED_VALUE"""),"Santana")</f>
        <v>Santana</v>
      </c>
      <c r="D2287" s="3" t="str">
        <f ca="1">IFERROR(__xludf.UNSUPPORTED("""COMPUTED_VALUE"""),"🚢 REGULAR")</f>
        <v>🚢 REGULAR</v>
      </c>
      <c r="E2287" s="3" t="str">
        <f ca="1">IFERROR(__xludf.UNSUPPORTED("""COMPUTED_VALUE"""),"🚛 LIBERADO")</f>
        <v>🚛 LIBERADO</v>
      </c>
      <c r="F2287" s="5">
        <f ca="1">IFERROR(__xludf.UNSUPPORTED("""COMPUTED_VALUE"""),0)</f>
        <v>0</v>
      </c>
      <c r="G2287" s="3" t="str">
        <f ca="1">IFERROR(__xludf.UNSUPPORTED("""COMPUTED_VALUE"""),"Normalidade")</f>
        <v>Normalidade</v>
      </c>
      <c r="H2287" s="4">
        <f ca="1">IFERROR(__xludf.UNSUPPORTED("""COMPUTED_VALUE"""),44896.3673611111)</f>
        <v>44896.367361111101</v>
      </c>
      <c r="I2287" s="3">
        <f ca="1">IFERROR(__xludf.UNSUPPORTED("""COMPUTED_VALUE"""),1)</f>
        <v>1</v>
      </c>
      <c r="J2287" s="4">
        <f ca="1">IFERROR(__xludf.UNSUPPORTED("""COMPUTED_VALUE"""),44896.4090277777)</f>
        <v>44896.4090277777</v>
      </c>
    </row>
    <row r="2288" spans="1:10" ht="12.75">
      <c r="A2288" s="3" t="str">
        <f ca="1">IFERROR(__xludf.UNSUPPORTED("""COMPUTED_VALUE"""),"c925427c")</f>
        <v>c925427c</v>
      </c>
      <c r="B2288" s="4">
        <f ca="1">IFERROR(__xludf.UNSUPPORTED("""COMPUTED_VALUE"""),44896.4254861111)</f>
        <v>44896.425486111097</v>
      </c>
      <c r="C2288" s="7" t="str">
        <f ca="1">IFERROR(__xludf.UNSUPPORTED("""COMPUTED_VALUE"""),"Santana")</f>
        <v>Santana</v>
      </c>
      <c r="D2288" s="3" t="str">
        <f ca="1">IFERROR(__xludf.UNSUPPORTED("""COMPUTED_VALUE"""),"🚢 REGULAR")</f>
        <v>🚢 REGULAR</v>
      </c>
      <c r="E2288" s="3" t="str">
        <f ca="1">IFERROR(__xludf.UNSUPPORTED("""COMPUTED_VALUE"""),"🚛 LIBERADO")</f>
        <v>🚛 LIBERADO</v>
      </c>
      <c r="F2288" s="5">
        <f ca="1">IFERROR(__xludf.UNSUPPORTED("""COMPUTED_VALUE"""),0)</f>
        <v>0</v>
      </c>
      <c r="G2288" s="3" t="str">
        <f ca="1">IFERROR(__xludf.UNSUPPORTED("""COMPUTED_VALUE"""),"Normalidade")</f>
        <v>Normalidade</v>
      </c>
      <c r="H2288" s="4">
        <f ca="1">IFERROR(__xludf.UNSUPPORTED("""COMPUTED_VALUE"""),44896.3826388888)</f>
        <v>44896.382638888797</v>
      </c>
      <c r="I2288" s="3">
        <f ca="1">IFERROR(__xludf.UNSUPPORTED("""COMPUTED_VALUE"""),1)</f>
        <v>1</v>
      </c>
      <c r="J2288" s="4">
        <f ca="1">IFERROR(__xludf.UNSUPPORTED("""COMPUTED_VALUE"""),44896.4243055555)</f>
        <v>44896.424305555498</v>
      </c>
    </row>
    <row r="2289" spans="1:12" ht="12.75">
      <c r="A2289" s="3" t="str">
        <f ca="1">IFERROR(__xludf.UNSUPPORTED("""COMPUTED_VALUE"""),"b83304c5")</f>
        <v>b83304c5</v>
      </c>
      <c r="B2289" s="4">
        <f ca="1">IFERROR(__xludf.UNSUPPORTED("""COMPUTED_VALUE"""),44896.4263194444)</f>
        <v>44896.426319444399</v>
      </c>
      <c r="C2289" s="7" t="str">
        <f ca="1">IFERROR(__xludf.UNSUPPORTED("""COMPUTED_VALUE"""),"Santana")</f>
        <v>Santana</v>
      </c>
      <c r="D2289" s="3" t="str">
        <f ca="1">IFERROR(__xludf.UNSUPPORTED("""COMPUTED_VALUE"""),"🚢 REGULAR")</f>
        <v>🚢 REGULAR</v>
      </c>
      <c r="E2289" s="3" t="str">
        <f ca="1">IFERROR(__xludf.UNSUPPORTED("""COMPUTED_VALUE"""),"🚛 LIBERADO")</f>
        <v>🚛 LIBERADO</v>
      </c>
      <c r="F2289" s="5">
        <f ca="1">IFERROR(__xludf.UNSUPPORTED("""COMPUTED_VALUE"""),0)</f>
        <v>0</v>
      </c>
      <c r="G2289" s="3" t="str">
        <f ca="1">IFERROR(__xludf.UNSUPPORTED("""COMPUTED_VALUE"""),"Normalidade")</f>
        <v>Normalidade</v>
      </c>
      <c r="H2289" s="4">
        <f ca="1">IFERROR(__xludf.UNSUPPORTED("""COMPUTED_VALUE"""),44896.3833333333)</f>
        <v>44896.383333333302</v>
      </c>
      <c r="I2289" s="3">
        <f ca="1">IFERROR(__xludf.UNSUPPORTED("""COMPUTED_VALUE"""),1)</f>
        <v>1</v>
      </c>
      <c r="J2289" s="4">
        <f ca="1">IFERROR(__xludf.UNSUPPORTED("""COMPUTED_VALUE"""),44896.425)</f>
        <v>44896.425000000003</v>
      </c>
    </row>
    <row r="2290" spans="1:12" ht="12.75">
      <c r="A2290" s="3" t="str">
        <f ca="1">IFERROR(__xludf.UNSUPPORTED("""COMPUTED_VALUE"""),"f11535d0")</f>
        <v>f11535d0</v>
      </c>
      <c r="B2290" s="4">
        <f ca="1">IFERROR(__xludf.UNSUPPORTED("""COMPUTED_VALUE"""),44897.3934143518)</f>
        <v>44897.393414351798</v>
      </c>
      <c r="C2290" s="8" t="str">
        <f ca="1">IFERROR(__xludf.UNSUPPORTED("""COMPUTED_VALUE"""),"Santana")</f>
        <v>Santana</v>
      </c>
      <c r="D2290" s="3" t="str">
        <f ca="1">IFERROR(__xludf.UNSUPPORTED("""COMPUTED_VALUE"""),"🚢 REGULAR")</f>
        <v>🚢 REGULAR</v>
      </c>
      <c r="E2290" s="3" t="str">
        <f ca="1">IFERROR(__xludf.UNSUPPORTED("""COMPUTED_VALUE"""),"🚛 LIBERADO")</f>
        <v>🚛 LIBERADO</v>
      </c>
      <c r="F2290" s="5">
        <f ca="1">IFERROR(__xludf.UNSUPPORTED("""COMPUTED_VALUE"""),0)</f>
        <v>0</v>
      </c>
      <c r="G2290" s="3" t="str">
        <f ca="1">IFERROR(__xludf.UNSUPPORTED("""COMPUTED_VALUE"""),"Normalidade")</f>
        <v>Normalidade</v>
      </c>
      <c r="H2290" s="4">
        <f ca="1">IFERROR(__xludf.UNSUPPORTED("""COMPUTED_VALUE"""),44897.3506944444)</f>
        <v>44897.350694444402</v>
      </c>
      <c r="I2290" s="3">
        <f ca="1">IFERROR(__xludf.UNSUPPORTED("""COMPUTED_VALUE"""),1)</f>
        <v>1</v>
      </c>
      <c r="J2290" s="4">
        <f ca="1">IFERROR(__xludf.UNSUPPORTED("""COMPUTED_VALUE"""),44897.3923611111)</f>
        <v>44897.392361111102</v>
      </c>
    </row>
    <row r="2291" spans="1:12" ht="12.75">
      <c r="A2291" s="3" t="str">
        <f ca="1">IFERROR(__xludf.UNSUPPORTED("""COMPUTED_VALUE"""),"94ada9d1")</f>
        <v>94ada9d1</v>
      </c>
      <c r="B2291" s="4">
        <f ca="1">IFERROR(__xludf.UNSUPPORTED("""COMPUTED_VALUE"""),44899.3296643518)</f>
        <v>44899.329664351797</v>
      </c>
      <c r="C2291" s="8" t="str">
        <f ca="1">IFERROR(__xludf.UNSUPPORTED("""COMPUTED_VALUE"""),"Santana")</f>
        <v>Santana</v>
      </c>
      <c r="D2291" s="3" t="str">
        <f ca="1">IFERROR(__xludf.UNSUPPORTED("""COMPUTED_VALUE"""),"🚢 REGULAR")</f>
        <v>🚢 REGULAR</v>
      </c>
      <c r="E2291" s="3" t="str">
        <f ca="1">IFERROR(__xludf.UNSUPPORTED("""COMPUTED_VALUE"""),"🚛 LIBERADO")</f>
        <v>🚛 LIBERADO</v>
      </c>
      <c r="F2291" s="5">
        <f ca="1">IFERROR(__xludf.UNSUPPORTED("""COMPUTED_VALUE"""),0)</f>
        <v>0</v>
      </c>
      <c r="G2291" s="3" t="str">
        <f ca="1">IFERROR(__xludf.UNSUPPORTED("""COMPUTED_VALUE"""),"Normalidade")</f>
        <v>Normalidade</v>
      </c>
      <c r="H2291" s="4">
        <f ca="1">IFERROR(__xludf.UNSUPPORTED("""COMPUTED_VALUE"""),44899.2868055555)</f>
        <v>44899.286805555501</v>
      </c>
      <c r="I2291" s="3">
        <f ca="1">IFERROR(__xludf.UNSUPPORTED("""COMPUTED_VALUE"""),1)</f>
        <v>1</v>
      </c>
      <c r="J2291" s="4">
        <f ca="1">IFERROR(__xludf.UNSUPPORTED("""COMPUTED_VALUE"""),44899.3284722222)</f>
        <v>44899.328472222202</v>
      </c>
    </row>
    <row r="2292" spans="1:12" ht="12.75">
      <c r="A2292" s="3" t="str">
        <f ca="1">IFERROR(__xludf.UNSUPPORTED("""COMPUTED_VALUE"""),"53128fe8")</f>
        <v>53128fe8</v>
      </c>
      <c r="B2292" s="4">
        <f ca="1">IFERROR(__xludf.UNSUPPORTED("""COMPUTED_VALUE"""),44900.3290393518)</f>
        <v>44900.329039351796</v>
      </c>
      <c r="C2292" s="8" t="str">
        <f ca="1">IFERROR(__xludf.UNSUPPORTED("""COMPUTED_VALUE"""),"Santana")</f>
        <v>Santana</v>
      </c>
      <c r="D2292" s="3" t="str">
        <f ca="1">IFERROR(__xludf.UNSUPPORTED("""COMPUTED_VALUE"""),"🚢 REGULAR")</f>
        <v>🚢 REGULAR</v>
      </c>
      <c r="E2292" s="3" t="str">
        <f ca="1">IFERROR(__xludf.UNSUPPORTED("""COMPUTED_VALUE"""),"🚛 LIBERADO")</f>
        <v>🚛 LIBERADO</v>
      </c>
      <c r="F2292" s="5">
        <f ca="1">IFERROR(__xludf.UNSUPPORTED("""COMPUTED_VALUE"""),0)</f>
        <v>0</v>
      </c>
      <c r="G2292" s="3" t="str">
        <f ca="1">IFERROR(__xludf.UNSUPPORTED("""COMPUTED_VALUE"""),"Sem ocorrências")</f>
        <v>Sem ocorrências</v>
      </c>
      <c r="H2292" s="4">
        <f ca="1">IFERROR(__xludf.UNSUPPORTED("""COMPUTED_VALUE"""),44900.3290393518)</f>
        <v>44900.329039351796</v>
      </c>
      <c r="I2292" s="3">
        <f ca="1">IFERROR(__xludf.UNSUPPORTED("""COMPUTED_VALUE"""),1)</f>
        <v>1</v>
      </c>
      <c r="J2292" s="4">
        <f ca="1">IFERROR(__xludf.UNSUPPORTED("""COMPUTED_VALUE"""),44900.3707060185)</f>
        <v>44900.370706018497</v>
      </c>
    </row>
    <row r="2293" spans="1:12" ht="12.75">
      <c r="A2293" s="3" t="str">
        <f ca="1">IFERROR(__xludf.UNSUPPORTED("""COMPUTED_VALUE"""),"d0baaa43")</f>
        <v>d0baaa43</v>
      </c>
      <c r="B2293" s="4">
        <f ca="1">IFERROR(__xludf.UNSUPPORTED("""COMPUTED_VALUE"""),44900.3560069444)</f>
        <v>44900.356006944399</v>
      </c>
      <c r="C2293" s="7" t="str">
        <f ca="1">IFERROR(__xludf.UNSUPPORTED("""COMPUTED_VALUE"""),"Santana")</f>
        <v>Santana</v>
      </c>
      <c r="D2293" s="3" t="str">
        <f ca="1">IFERROR(__xludf.UNSUPPORTED("""COMPUTED_VALUE"""),"🚢 REGULAR")</f>
        <v>🚢 REGULAR</v>
      </c>
      <c r="E2293" s="3" t="str">
        <f ca="1">IFERROR(__xludf.UNSUPPORTED("""COMPUTED_VALUE"""),"🚛 LIBERADO")</f>
        <v>🚛 LIBERADO</v>
      </c>
      <c r="F2293" s="5">
        <f ca="1">IFERROR(__xludf.UNSUPPORTED("""COMPUTED_VALUE"""),0.25)</f>
        <v>0.25</v>
      </c>
      <c r="G2293" s="3" t="str">
        <f ca="1">IFERROR(__xludf.UNSUPPORTED("""COMPUTED_VALUE"""),"Porto sem registro de atraso, até o momento dem vias de acesso bloqueada.")</f>
        <v>Porto sem registro de atraso, até o momento dem vias de acesso bloqueada.</v>
      </c>
      <c r="H2293" s="4">
        <f ca="1">IFERROR(__xludf.UNSUPPORTED("""COMPUTED_VALUE"""),44900.3560069444)</f>
        <v>44900.356006944399</v>
      </c>
      <c r="I2293" s="3">
        <f ca="1">IFERROR(__xludf.UNSUPPORTED("""COMPUTED_VALUE"""),1)</f>
        <v>1</v>
      </c>
      <c r="J2293" s="4">
        <f ca="1">IFERROR(__xludf.UNSUPPORTED("""COMPUTED_VALUE"""),44900.3976736111)</f>
        <v>44900.3976736111</v>
      </c>
    </row>
    <row r="2294" spans="1:12" ht="12.75">
      <c r="A2294" s="3" t="str">
        <f ca="1">IFERROR(__xludf.UNSUPPORTED("""COMPUTED_VALUE"""),"5f1f31e9")</f>
        <v>5f1f31e9</v>
      </c>
      <c r="B2294" s="4">
        <f ca="1">IFERROR(__xludf.UNSUPPORTED("""COMPUTED_VALUE"""),44901.4450462963)</f>
        <v>44901.4450462963</v>
      </c>
      <c r="C2294" s="7" t="str">
        <f ca="1">IFERROR(__xludf.UNSUPPORTED("""COMPUTED_VALUE"""),"Santana")</f>
        <v>Santana</v>
      </c>
      <c r="D2294" s="3" t="str">
        <f ca="1">IFERROR(__xludf.UNSUPPORTED("""COMPUTED_VALUE"""),"🚢 REGULAR")</f>
        <v>🚢 REGULAR</v>
      </c>
      <c r="E2294" s="3" t="str">
        <f ca="1">IFERROR(__xludf.UNSUPPORTED("""COMPUTED_VALUE"""),"🚛 LIBERADO")</f>
        <v>🚛 LIBERADO</v>
      </c>
      <c r="F2294" s="5">
        <f ca="1">IFERROR(__xludf.UNSUPPORTED("""COMPUTED_VALUE"""),0.25)</f>
        <v>0.25</v>
      </c>
      <c r="G2294" s="3" t="str">
        <f ca="1">IFERROR(__xludf.UNSUPPORTED("""COMPUTED_VALUE"""),"Sem intercorrências.")</f>
        <v>Sem intercorrências.</v>
      </c>
      <c r="H2294" s="4">
        <f ca="1">IFERROR(__xludf.UNSUPPORTED("""COMPUTED_VALUE"""),44901.4450462963)</f>
        <v>44901.4450462963</v>
      </c>
      <c r="I2294" s="3">
        <f ca="1">IFERROR(__xludf.UNSUPPORTED("""COMPUTED_VALUE"""),1)</f>
        <v>1</v>
      </c>
      <c r="J2294" s="4">
        <f ca="1">IFERROR(__xludf.UNSUPPORTED("""COMPUTED_VALUE"""),44901.4867129629)</f>
        <v>44901.486712962898</v>
      </c>
    </row>
    <row r="2295" spans="1:12" ht="12.75">
      <c r="A2295" s="3" t="str">
        <f ca="1">IFERROR(__xludf.UNSUPPORTED("""COMPUTED_VALUE"""),"bb404e2b")</f>
        <v>bb404e2b</v>
      </c>
      <c r="B2295" s="4">
        <f ca="1">IFERROR(__xludf.UNSUPPORTED("""COMPUTED_VALUE"""),44901.5650925925)</f>
        <v>44901.5650925925</v>
      </c>
      <c r="C2295" s="8" t="str">
        <f ca="1">IFERROR(__xludf.UNSUPPORTED("""COMPUTED_VALUE"""),"Santana")</f>
        <v>Santana</v>
      </c>
      <c r="D2295" s="3" t="str">
        <f ca="1">IFERROR(__xludf.UNSUPPORTED("""COMPUTED_VALUE"""),"🚢 REGULAR")</f>
        <v>🚢 REGULAR</v>
      </c>
      <c r="E2295" s="3" t="str">
        <f ca="1">IFERROR(__xludf.UNSUPPORTED("""COMPUTED_VALUE"""),"🚛 LIBERADO")</f>
        <v>🚛 LIBERADO</v>
      </c>
      <c r="F2295" s="5">
        <f ca="1">IFERROR(__xludf.UNSUPPORTED("""COMPUTED_VALUE"""),0)</f>
        <v>0</v>
      </c>
      <c r="G2295" s="3" t="str">
        <f ca="1">IFERROR(__xludf.UNSUPPORTED("""COMPUTED_VALUE"""),"Sem ocorrências")</f>
        <v>Sem ocorrências</v>
      </c>
      <c r="H2295" s="4">
        <f ca="1">IFERROR(__xludf.UNSUPPORTED("""COMPUTED_VALUE"""),44901.5650925925)</f>
        <v>44901.5650925925</v>
      </c>
      <c r="I2295" s="3">
        <f ca="1">IFERROR(__xludf.UNSUPPORTED("""COMPUTED_VALUE"""),1)</f>
        <v>1</v>
      </c>
      <c r="J2295" s="4">
        <f ca="1">IFERROR(__xludf.UNSUPPORTED("""COMPUTED_VALUE"""),44901.6067592592)</f>
        <v>44901.606759259201</v>
      </c>
    </row>
    <row r="2296" spans="1:12" ht="12.75">
      <c r="A2296" s="3" t="str">
        <f ca="1">IFERROR(__xludf.UNSUPPORTED("""COMPUTED_VALUE"""),"65b3f461")</f>
        <v>65b3f461</v>
      </c>
      <c r="B2296" s="4">
        <f ca="1">IFERROR(__xludf.UNSUPPORTED("""COMPUTED_VALUE"""),44902.4365393518)</f>
        <v>44902.436539351802</v>
      </c>
      <c r="C2296" s="8" t="str">
        <f ca="1">IFERROR(__xludf.UNSUPPORTED("""COMPUTED_VALUE"""),"Santana")</f>
        <v>Santana</v>
      </c>
      <c r="D2296" s="3" t="str">
        <f ca="1">IFERROR(__xludf.UNSUPPORTED("""COMPUTED_VALUE"""),"🚢 REGULAR")</f>
        <v>🚢 REGULAR</v>
      </c>
      <c r="E2296" s="3" t="str">
        <f ca="1">IFERROR(__xludf.UNSUPPORTED("""COMPUTED_VALUE"""),"🚛 LIBERADO")</f>
        <v>🚛 LIBERADO</v>
      </c>
      <c r="F2296" s="5">
        <f ca="1">IFERROR(__xludf.UNSUPPORTED("""COMPUTED_VALUE"""),0)</f>
        <v>0</v>
      </c>
      <c r="G2296" s="3" t="str">
        <f ca="1">IFERROR(__xludf.UNSUPPORTED("""COMPUTED_VALUE"""),"Sem ocorrências")</f>
        <v>Sem ocorrências</v>
      </c>
      <c r="H2296" s="4">
        <f ca="1">IFERROR(__xludf.UNSUPPORTED("""COMPUTED_VALUE"""),44902.4365393518)</f>
        <v>44902.436539351802</v>
      </c>
      <c r="I2296" s="3">
        <f ca="1">IFERROR(__xludf.UNSUPPORTED("""COMPUTED_VALUE"""),1)</f>
        <v>1</v>
      </c>
      <c r="J2296" s="4">
        <f ca="1">IFERROR(__xludf.UNSUPPORTED("""COMPUTED_VALUE"""),44902.4782060185)</f>
        <v>44902.478206018503</v>
      </c>
    </row>
    <row r="2297" spans="1:12" ht="12.75">
      <c r="A2297" s="3" t="str">
        <f ca="1">IFERROR(__xludf.UNSUPPORTED("""COMPUTED_VALUE"""),"f0a9e38c")</f>
        <v>f0a9e38c</v>
      </c>
      <c r="B2297" s="4">
        <f ca="1">IFERROR(__xludf.UNSUPPORTED("""COMPUTED_VALUE"""),44903.356724537)</f>
        <v>44903.356724537</v>
      </c>
      <c r="C2297" s="8" t="str">
        <f ca="1">IFERROR(__xludf.UNSUPPORTED("""COMPUTED_VALUE"""),"Santana")</f>
        <v>Santana</v>
      </c>
      <c r="D2297" s="3" t="str">
        <f ca="1">IFERROR(__xludf.UNSUPPORTED("""COMPUTED_VALUE"""),"🚢 REGULAR")</f>
        <v>🚢 REGULAR</v>
      </c>
      <c r="E2297" s="3" t="str">
        <f ca="1">IFERROR(__xludf.UNSUPPORTED("""COMPUTED_VALUE"""),"🚛 LIBERADO")</f>
        <v>🚛 LIBERADO</v>
      </c>
      <c r="F2297" s="5">
        <f ca="1">IFERROR(__xludf.UNSUPPORTED("""COMPUTED_VALUE"""),0)</f>
        <v>0</v>
      </c>
      <c r="G2297" s="3" t="str">
        <f ca="1">IFERROR(__xludf.UNSUPPORTED("""COMPUTED_VALUE"""),"Sem ocorrências provocadas por paralisações nas rodovias de acesso")</f>
        <v>Sem ocorrências provocadas por paralisações nas rodovias de acesso</v>
      </c>
      <c r="H2297" s="4">
        <f ca="1">IFERROR(__xludf.UNSUPPORTED("""COMPUTED_VALUE"""),44903.356724537)</f>
        <v>44903.356724537</v>
      </c>
      <c r="I2297" s="3">
        <f ca="1">IFERROR(__xludf.UNSUPPORTED("""COMPUTED_VALUE"""),1)</f>
        <v>1</v>
      </c>
      <c r="J2297" s="4">
        <f ca="1">IFERROR(__xludf.UNSUPPORTED("""COMPUTED_VALUE"""),44903.3983912037)</f>
        <v>44903.3983912037</v>
      </c>
    </row>
    <row r="2298" spans="1:12" ht="12.75">
      <c r="A2298" s="3" t="str">
        <f ca="1">IFERROR(__xludf.UNSUPPORTED("""COMPUTED_VALUE"""),"18661011")</f>
        <v>18661011</v>
      </c>
      <c r="B2298" s="4">
        <f ca="1">IFERROR(__xludf.UNSUPPORTED("""COMPUTED_VALUE"""),44905.4540509259)</f>
        <v>44905.454050925902</v>
      </c>
      <c r="C2298" s="8" t="str">
        <f ca="1">IFERROR(__xludf.UNSUPPORTED("""COMPUTED_VALUE"""),"Santana")</f>
        <v>Santana</v>
      </c>
      <c r="D2298" s="3" t="str">
        <f ca="1">IFERROR(__xludf.UNSUPPORTED("""COMPUTED_VALUE"""),"🚢 REGULAR")</f>
        <v>🚢 REGULAR</v>
      </c>
      <c r="E2298" s="3" t="str">
        <f ca="1">IFERROR(__xludf.UNSUPPORTED("""COMPUTED_VALUE"""),"🚛 LIBERADO")</f>
        <v>🚛 LIBERADO</v>
      </c>
      <c r="F2298" s="5">
        <f ca="1">IFERROR(__xludf.UNSUPPORTED("""COMPUTED_VALUE"""),0)</f>
        <v>0</v>
      </c>
      <c r="G2298" s="3" t="str">
        <f ca="1">IFERROR(__xludf.UNSUPPORTED("""COMPUTED_VALUE"""),"Sem ocorrências em face de suposta paralisações rodoviárias")</f>
        <v>Sem ocorrências em face de suposta paralisações rodoviárias</v>
      </c>
      <c r="H2298" s="4">
        <f ca="1">IFERROR(__xludf.UNSUPPORTED("""COMPUTED_VALUE"""),44905.4540509259)</f>
        <v>44905.454050925902</v>
      </c>
      <c r="I2298" s="3">
        <f ca="1">IFERROR(__xludf.UNSUPPORTED("""COMPUTED_VALUE"""),2)</f>
        <v>2</v>
      </c>
      <c r="J2298" s="4">
        <f ca="1">IFERROR(__xludf.UNSUPPORTED("""COMPUTED_VALUE"""),44905.5373842592)</f>
        <v>44905.537384259202</v>
      </c>
    </row>
    <row r="2299" spans="1:12" ht="12.75">
      <c r="A2299" s="3" t="str">
        <f ca="1">IFERROR(__xludf.UNSUPPORTED("""COMPUTED_VALUE"""),"5bfc8d35")</f>
        <v>5bfc8d35</v>
      </c>
      <c r="B2299" s="4">
        <f ca="1">IFERROR(__xludf.UNSUPPORTED("""COMPUTED_VALUE"""),44907.3263310185)</f>
        <v>44907.326331018499</v>
      </c>
      <c r="C2299" s="8" t="str">
        <f ca="1">IFERROR(__xludf.UNSUPPORTED("""COMPUTED_VALUE"""),"Santana")</f>
        <v>Santana</v>
      </c>
      <c r="D2299" s="3" t="str">
        <f ca="1">IFERROR(__xludf.UNSUPPORTED("""COMPUTED_VALUE"""),"🚢 REGULAR")</f>
        <v>🚢 REGULAR</v>
      </c>
      <c r="E2299" s="3" t="str">
        <f ca="1">IFERROR(__xludf.UNSUPPORTED("""COMPUTED_VALUE"""),"🚛 LIBERADO")</f>
        <v>🚛 LIBERADO</v>
      </c>
      <c r="F2299" s="5">
        <f ca="1">IFERROR(__xludf.UNSUPPORTED("""COMPUTED_VALUE"""),0)</f>
        <v>0</v>
      </c>
      <c r="G2299" s="3" t="str">
        <f ca="1">IFERROR(__xludf.UNSUPPORTED("""COMPUTED_VALUE"""),"Sem ocorrências em face de suposta paralisações rodoviárias")</f>
        <v>Sem ocorrências em face de suposta paralisações rodoviárias</v>
      </c>
      <c r="H2299" s="4">
        <f ca="1">IFERROR(__xludf.UNSUPPORTED("""COMPUTED_VALUE"""),44907.3263310185)</f>
        <v>44907.326331018499</v>
      </c>
      <c r="I2299" s="3">
        <f ca="1">IFERROR(__xludf.UNSUPPORTED("""COMPUTED_VALUE"""),1)</f>
        <v>1</v>
      </c>
      <c r="J2299" s="4">
        <f ca="1">IFERROR(__xludf.UNSUPPORTED("""COMPUTED_VALUE"""),44907.3679976851)</f>
        <v>44907.367997685098</v>
      </c>
    </row>
    <row r="2300" spans="1:12" ht="12.75">
      <c r="A2300" s="3" t="str">
        <f ca="1">IFERROR(__xludf.UNSUPPORTED("""COMPUTED_VALUE"""),"7d938b8f")</f>
        <v>7d938b8f</v>
      </c>
      <c r="B2300" s="4">
        <f ca="1">IFERROR(__xludf.UNSUPPORTED("""COMPUTED_VALUE"""),44909.4008912037)</f>
        <v>44909.400891203702</v>
      </c>
      <c r="C2300" s="7" t="str">
        <f ca="1">IFERROR(__xludf.UNSUPPORTED("""COMPUTED_VALUE"""),"Santana")</f>
        <v>Santana</v>
      </c>
      <c r="D2300" s="3" t="str">
        <f ca="1">IFERROR(__xludf.UNSUPPORTED("""COMPUTED_VALUE"""),"🚢 REGULAR")</f>
        <v>🚢 REGULAR</v>
      </c>
      <c r="E2300" s="3" t="str">
        <f ca="1">IFERROR(__xludf.UNSUPPORTED("""COMPUTED_VALUE"""),"🚛 LIBERADO")</f>
        <v>🚛 LIBERADO</v>
      </c>
      <c r="F2300" s="5">
        <f ca="1">IFERROR(__xludf.UNSUPPORTED("""COMPUTED_VALUE"""),0)</f>
        <v>0</v>
      </c>
      <c r="G2300" s="3" t="str">
        <f ca="1">IFERROR(__xludf.UNSUPPORTED("""COMPUTED_VALUE"""),"Sem intercorrências")</f>
        <v>Sem intercorrências</v>
      </c>
      <c r="H2300" s="4">
        <f ca="1">IFERROR(__xludf.UNSUPPORTED("""COMPUTED_VALUE"""),44909.4008912037)</f>
        <v>44909.400891203702</v>
      </c>
      <c r="I2300" s="3">
        <f ca="1">IFERROR(__xludf.UNSUPPORTED("""COMPUTED_VALUE"""),1)</f>
        <v>1</v>
      </c>
      <c r="J2300" s="4">
        <f ca="1">IFERROR(__xludf.UNSUPPORTED("""COMPUTED_VALUE"""),44909.4425578703)</f>
        <v>44909.442557870301</v>
      </c>
    </row>
    <row r="2301" spans="1:12" ht="12.75">
      <c r="A2301" s="3" t="str">
        <f ca="1">IFERROR(__xludf.UNSUPPORTED("""COMPUTED_VALUE"""),"f83d0107")</f>
        <v>f83d0107</v>
      </c>
      <c r="B2301" s="4">
        <f ca="1">IFERROR(__xludf.UNSUPPORTED("""COMPUTED_VALUE"""),44910.3985416666)</f>
        <v>44910.398541666596</v>
      </c>
      <c r="C2301" s="7" t="str">
        <f ca="1">IFERROR(__xludf.UNSUPPORTED("""COMPUTED_VALUE"""),"Santana")</f>
        <v>Santana</v>
      </c>
      <c r="D2301" s="3" t="str">
        <f ca="1">IFERROR(__xludf.UNSUPPORTED("""COMPUTED_VALUE"""),"🚢 REGULAR")</f>
        <v>🚢 REGULAR</v>
      </c>
      <c r="E2301" s="3" t="str">
        <f ca="1">IFERROR(__xludf.UNSUPPORTED("""COMPUTED_VALUE"""),"🚛 LIBERADO")</f>
        <v>🚛 LIBERADO</v>
      </c>
      <c r="F2301" s="5">
        <f ca="1">IFERROR(__xludf.UNSUPPORTED("""COMPUTED_VALUE"""),0)</f>
        <v>0</v>
      </c>
      <c r="G2301" s="3" t="str">
        <f ca="1">IFERROR(__xludf.UNSUPPORTED("""COMPUTED_VALUE"""),"Sem intercorrências.")</f>
        <v>Sem intercorrências.</v>
      </c>
      <c r="H2301" s="4">
        <f ca="1">IFERROR(__xludf.UNSUPPORTED("""COMPUTED_VALUE"""),44910.3985416666)</f>
        <v>44910.398541666596</v>
      </c>
      <c r="I2301" s="3">
        <f ca="1">IFERROR(__xludf.UNSUPPORTED("""COMPUTED_VALUE"""),1)</f>
        <v>1</v>
      </c>
      <c r="J2301" s="4">
        <f ca="1">IFERROR(__xludf.UNSUPPORTED("""COMPUTED_VALUE"""),44910.4402083333)</f>
        <v>44910.440208333297</v>
      </c>
    </row>
    <row r="2302" spans="1:12" ht="12.75">
      <c r="A2302" s="3" t="str">
        <f ca="1">IFERROR(__xludf.UNSUPPORTED("""COMPUTED_VALUE"""),"3f295ca7")</f>
        <v>3f295ca7</v>
      </c>
      <c r="B2302" s="4">
        <f ca="1">IFERROR(__xludf.UNSUPPORTED("""COMPUTED_VALUE"""),44921.5829050926)</f>
        <v>44921.582905092597</v>
      </c>
      <c r="C2302" s="8" t="str">
        <f ca="1">IFERROR(__xludf.UNSUPPORTED("""COMPUTED_VALUE"""),"Santana")</f>
        <v>Santana</v>
      </c>
      <c r="D2302" s="3" t="str">
        <f ca="1">IFERROR(__xludf.UNSUPPORTED("""COMPUTED_VALUE"""),"🚢 REGULAR")</f>
        <v>🚢 REGULAR</v>
      </c>
      <c r="E2302" s="3" t="str">
        <f ca="1">IFERROR(__xludf.UNSUPPORTED("""COMPUTED_VALUE"""),"🚛 LIBERADO")</f>
        <v>🚛 LIBERADO</v>
      </c>
      <c r="F2302" s="5">
        <f ca="1">IFERROR(__xludf.UNSUPPORTED("""COMPUTED_VALUE"""),0)</f>
        <v>0</v>
      </c>
      <c r="G2302" s="3" t="str">
        <f ca="1">IFERROR(__xludf.UNSUPPORTED("""COMPUTED_VALUE"""),"Sem registros de paralisações")</f>
        <v>Sem registros de paralisações</v>
      </c>
      <c r="H2302" s="4">
        <f ca="1">IFERROR(__xludf.UNSUPPORTED("""COMPUTED_VALUE"""),44921.5829050926)</f>
        <v>44921.582905092597</v>
      </c>
      <c r="I2302" s="3">
        <f ca="1">IFERROR(__xludf.UNSUPPORTED("""COMPUTED_VALUE"""),1)</f>
        <v>1</v>
      </c>
      <c r="J2302" s="4">
        <f ca="1">IFERROR(__xludf.UNSUPPORTED("""COMPUTED_VALUE"""),44921.6245717592)</f>
        <v>44921.624571759203</v>
      </c>
    </row>
    <row r="2303" spans="1:12" ht="12.75">
      <c r="A2303" s="3" t="str">
        <f ca="1">IFERROR(__xludf.UNSUPPORTED("""COMPUTED_VALUE"""),"147bc488")</f>
        <v>147bc488</v>
      </c>
      <c r="B2303" s="4">
        <f ca="1">IFERROR(__xludf.UNSUPPORTED("""COMPUTED_VALUE"""),44923.6123148148)</f>
        <v>44923.612314814804</v>
      </c>
      <c r="C2303" s="7" t="str">
        <f ca="1">IFERROR(__xludf.UNSUPPORTED("""COMPUTED_VALUE"""),"Santana")</f>
        <v>Santana</v>
      </c>
      <c r="D2303" s="3" t="str">
        <f ca="1">IFERROR(__xludf.UNSUPPORTED("""COMPUTED_VALUE"""),"🚢 REGULAR")</f>
        <v>🚢 REGULAR</v>
      </c>
      <c r="E2303" s="3" t="str">
        <f ca="1">IFERROR(__xludf.UNSUPPORTED("""COMPUTED_VALUE"""),"🚛 LIBERADO")</f>
        <v>🚛 LIBERADO</v>
      </c>
      <c r="F2303" s="5">
        <f ca="1">IFERROR(__xludf.UNSUPPORTED("""COMPUTED_VALUE"""),0)</f>
        <v>0</v>
      </c>
      <c r="G2303" s="3" t="str">
        <f ca="1">IFERROR(__xludf.UNSUPPORTED("""COMPUTED_VALUE"""),"Sem ocorrências")</f>
        <v>Sem ocorrências</v>
      </c>
      <c r="H2303" s="4">
        <f ca="1">IFERROR(__xludf.UNSUPPORTED("""COMPUTED_VALUE"""),44923.6123148148)</f>
        <v>44923.612314814804</v>
      </c>
      <c r="I2303" s="3">
        <f ca="1">IFERROR(__xludf.UNSUPPORTED("""COMPUTED_VALUE"""),1)</f>
        <v>1</v>
      </c>
      <c r="J2303" s="4">
        <f ca="1">IFERROR(__xludf.UNSUPPORTED("""COMPUTED_VALUE"""),44923.6539814814)</f>
        <v>44923.653981481402</v>
      </c>
    </row>
    <row r="2304" spans="1:12" ht="12.75">
      <c r="A2304" s="3" t="str">
        <f ca="1">IFERROR(__xludf.UNSUPPORTED("""COMPUTED_VALUE"""),"90830b7e")</f>
        <v>90830b7e</v>
      </c>
      <c r="B2304" s="4">
        <f ca="1">IFERROR(__xludf.UNSUPPORTED("""COMPUTED_VALUE"""),44932.5413657407)</f>
        <v>44932.541365740697</v>
      </c>
      <c r="C2304" s="7" t="str">
        <f ca="1">IFERROR(__xludf.UNSUPPORTED("""COMPUTED_VALUE"""),"Santana")</f>
        <v>Santana</v>
      </c>
      <c r="D2304" s="3" t="str">
        <f ca="1">IFERROR(__xludf.UNSUPPORTED("""COMPUTED_VALUE"""),"🚢 REGULAR")</f>
        <v>🚢 REGULAR</v>
      </c>
      <c r="E2304" s="3" t="str">
        <f ca="1">IFERROR(__xludf.UNSUPPORTED("""COMPUTED_VALUE"""),"🚛 LIBERADO")</f>
        <v>🚛 LIBERADO</v>
      </c>
      <c r="F2304" s="5">
        <f ca="1">IFERROR(__xludf.UNSUPPORTED("""COMPUTED_VALUE"""),0)</f>
        <v>0</v>
      </c>
      <c r="G2304" s="3" t="str">
        <f ca="1">IFERROR(__xludf.UNSUPPORTED("""COMPUTED_VALUE"""),"Normalidade")</f>
        <v>Normalidade</v>
      </c>
      <c r="H2304" s="4">
        <f ca="1">IFERROR(__xludf.UNSUPPORTED("""COMPUTED_VALUE"""),44932.5413657407)</f>
        <v>44932.541365740697</v>
      </c>
      <c r="I2304" s="3">
        <f ca="1">IFERROR(__xludf.UNSUPPORTED("""COMPUTED_VALUE"""),24)</f>
        <v>24</v>
      </c>
      <c r="J2304" s="4">
        <f ca="1">IFERROR(__xludf.UNSUPPORTED("""COMPUTED_VALUE"""),44933.5413657407)</f>
        <v>44933.541365740697</v>
      </c>
      <c r="L2304" s="3" t="str">
        <f ca="1">IFERROR(__xludf.UNSUPPORTED("""COMPUTED_VALUE"""),"Normalidade")</f>
        <v>Normalidade</v>
      </c>
    </row>
    <row r="2305" spans="1:12" ht="12.75">
      <c r="A2305" s="3" t="str">
        <f ca="1">IFERROR(__xludf.UNSUPPORTED("""COMPUTED_VALUE"""),"e8a401b4")</f>
        <v>e8a401b4</v>
      </c>
      <c r="B2305" s="4">
        <f ca="1">IFERROR(__xludf.UNSUPPORTED("""COMPUTED_VALUE"""),44935.3893055555)</f>
        <v>44935.389305555502</v>
      </c>
      <c r="C2305" s="8" t="str">
        <f ca="1">IFERROR(__xludf.UNSUPPORTED("""COMPUTED_VALUE"""),"Santana")</f>
        <v>Santana</v>
      </c>
      <c r="D2305" s="3" t="str">
        <f ca="1">IFERROR(__xludf.UNSUPPORTED("""COMPUTED_VALUE"""),"🚢 REGULAR")</f>
        <v>🚢 REGULAR</v>
      </c>
      <c r="E2305" s="3" t="str">
        <f ca="1">IFERROR(__xludf.UNSUPPORTED("""COMPUTED_VALUE"""),"🚛 LIBERADO")</f>
        <v>🚛 LIBERADO</v>
      </c>
      <c r="F2305" s="5">
        <f ca="1">IFERROR(__xludf.UNSUPPORTED("""COMPUTED_VALUE"""),0)</f>
        <v>0</v>
      </c>
      <c r="G2305" s="3" t="str">
        <f ca="1">IFERROR(__xludf.UNSUPPORTED("""COMPUTED_VALUE"""),"Normalidade")</f>
        <v>Normalidade</v>
      </c>
      <c r="H2305" s="4">
        <f ca="1">IFERROR(__xludf.UNSUPPORTED("""COMPUTED_VALUE"""),44935.3893055555)</f>
        <v>44935.389305555502</v>
      </c>
      <c r="I2305" s="3">
        <f ca="1">IFERROR(__xludf.UNSUPPORTED("""COMPUTED_VALUE"""),24)</f>
        <v>24</v>
      </c>
      <c r="J2305" s="4">
        <f ca="1">IFERROR(__xludf.UNSUPPORTED("""COMPUTED_VALUE"""),44936.3893055555)</f>
        <v>44936.389305555502</v>
      </c>
      <c r="L2305" s="3" t="str">
        <f ca="1">IFERROR(__xludf.UNSUPPORTED("""COMPUTED_VALUE"""),"Normalidade")</f>
        <v>Normalidade</v>
      </c>
    </row>
    <row r="2306" spans="1:12" ht="12.75">
      <c r="A2306" s="3" t="str">
        <f ca="1">IFERROR(__xludf.UNSUPPORTED("""COMPUTED_VALUE"""),"1f9bdca0")</f>
        <v>1f9bdca0</v>
      </c>
      <c r="B2306" s="4">
        <f ca="1">IFERROR(__xludf.UNSUPPORTED("""COMPUTED_VALUE"""),44935.439537037)</f>
        <v>44935.439537036997</v>
      </c>
      <c r="C2306" s="7" t="str">
        <f ca="1">IFERROR(__xludf.UNSUPPORTED("""COMPUTED_VALUE"""),"Santana")</f>
        <v>Santana</v>
      </c>
      <c r="D2306" s="3" t="str">
        <f ca="1">IFERROR(__xludf.UNSUPPORTED("""COMPUTED_VALUE"""),"🚢 REGULAR")</f>
        <v>🚢 REGULAR</v>
      </c>
      <c r="E2306" s="3" t="str">
        <f ca="1">IFERROR(__xludf.UNSUPPORTED("""COMPUTED_VALUE"""),"🚛 LIBERADO")</f>
        <v>🚛 LIBERADO</v>
      </c>
      <c r="F2306" s="5">
        <f ca="1">IFERROR(__xludf.UNSUPPORTED("""COMPUTED_VALUE"""),0)</f>
        <v>0</v>
      </c>
      <c r="G2306" s="3" t="str">
        <f ca="1">IFERROR(__xludf.UNSUPPORTED("""COMPUTED_VALUE"""),"Normalidade")</f>
        <v>Normalidade</v>
      </c>
      <c r="H2306" s="4">
        <f ca="1">IFERROR(__xludf.UNSUPPORTED("""COMPUTED_VALUE"""),44935.3555555555)</f>
        <v>44935.355555555499</v>
      </c>
      <c r="I2306" s="3">
        <f ca="1">IFERROR(__xludf.UNSUPPORTED("""COMPUTED_VALUE"""),1)</f>
        <v>1</v>
      </c>
      <c r="J2306" s="4">
        <f ca="1">IFERROR(__xludf.UNSUPPORTED("""COMPUTED_VALUE"""),44935.3972222222)</f>
        <v>44935.3972222222</v>
      </c>
      <c r="L2306" s="3" t="str">
        <f ca="1">IFERROR(__xludf.UNSUPPORTED("""COMPUTED_VALUE"""),"Crítico")</f>
        <v>Crítico</v>
      </c>
    </row>
    <row r="2307" spans="1:12" ht="12.75">
      <c r="A2307" s="3" t="str">
        <f ca="1">IFERROR(__xludf.UNSUPPORTED("""COMPUTED_VALUE"""),"17f68a16")</f>
        <v>17f68a16</v>
      </c>
      <c r="B2307" s="4">
        <f ca="1">IFERROR(__xludf.UNSUPPORTED("""COMPUTED_VALUE"""),44942.6275347222)</f>
        <v>44942.627534722204</v>
      </c>
      <c r="C2307" s="7" t="str">
        <f ca="1">IFERROR(__xludf.UNSUPPORTED("""COMPUTED_VALUE"""),"Santana")</f>
        <v>Santana</v>
      </c>
      <c r="D2307" s="3" t="str">
        <f ca="1">IFERROR(__xludf.UNSUPPORTED("""COMPUTED_VALUE"""),"🚢 REGULAR")</f>
        <v>🚢 REGULAR</v>
      </c>
      <c r="E2307" s="3" t="str">
        <f ca="1">IFERROR(__xludf.UNSUPPORTED("""COMPUTED_VALUE"""),"🚛 LIBERADO")</f>
        <v>🚛 LIBERADO</v>
      </c>
      <c r="F2307" s="5">
        <f ca="1">IFERROR(__xludf.UNSUPPORTED("""COMPUTED_VALUE"""),0)</f>
        <v>0</v>
      </c>
      <c r="G2307" s="3" t="str">
        <f ca="1">IFERROR(__xludf.UNSUPPORTED("""COMPUTED_VALUE"""),"Normalidade")</f>
        <v>Normalidade</v>
      </c>
      <c r="H2307" s="4">
        <f ca="1">IFERROR(__xludf.UNSUPPORTED("""COMPUTED_VALUE"""),44942.6275347222)</f>
        <v>44942.627534722204</v>
      </c>
      <c r="I2307" s="3">
        <f ca="1">IFERROR(__xludf.UNSUPPORTED("""COMPUTED_VALUE"""),24)</f>
        <v>24</v>
      </c>
      <c r="J2307" s="4">
        <f ca="1">IFERROR(__xludf.UNSUPPORTED("""COMPUTED_VALUE"""),44943.6275347222)</f>
        <v>44943.627534722204</v>
      </c>
    </row>
    <row r="2308" spans="1:12" ht="12.75">
      <c r="A2308" s="3" t="str">
        <f ca="1">IFERROR(__xludf.UNSUPPORTED("""COMPUTED_VALUE"""),"8d4f34ed")</f>
        <v>8d4f34ed</v>
      </c>
      <c r="B2308" s="4">
        <f ca="1">IFERROR(__xludf.UNSUPPORTED("""COMPUTED_VALUE"""),44943.8885416666)</f>
        <v>44943.888541666602</v>
      </c>
      <c r="C2308" s="7" t="str">
        <f ca="1">IFERROR(__xludf.UNSUPPORTED("""COMPUTED_VALUE"""),"Santana")</f>
        <v>Santana</v>
      </c>
      <c r="D2308" s="3" t="str">
        <f ca="1">IFERROR(__xludf.UNSUPPORTED("""COMPUTED_VALUE"""),"🚢 REGULAR")</f>
        <v>🚢 REGULAR</v>
      </c>
      <c r="E2308" s="3" t="str">
        <f ca="1">IFERROR(__xludf.UNSUPPORTED("""COMPUTED_VALUE"""),"🚛 LIBERADO")</f>
        <v>🚛 LIBERADO</v>
      </c>
      <c r="F2308" s="5">
        <f ca="1">IFERROR(__xludf.UNSUPPORTED("""COMPUTED_VALUE"""),0)</f>
        <v>0</v>
      </c>
      <c r="G2308" s="3" t="str">
        <f ca="1">IFERROR(__xludf.UNSUPPORTED("""COMPUTED_VALUE"""),"Normalidade")</f>
        <v>Normalidade</v>
      </c>
      <c r="H2308" s="4">
        <f ca="1">IFERROR(__xludf.UNSUPPORTED("""COMPUTED_VALUE"""),44943.8885416666)</f>
        <v>44943.888541666602</v>
      </c>
      <c r="I2308" s="3">
        <f ca="1">IFERROR(__xludf.UNSUPPORTED("""COMPUTED_VALUE"""),24)</f>
        <v>24</v>
      </c>
      <c r="J2308" s="4">
        <f ca="1">IFERROR(__xludf.UNSUPPORTED("""COMPUTED_VALUE"""),44944.8885416666)</f>
        <v>44944.888541666602</v>
      </c>
    </row>
    <row r="2309" spans="1:12" ht="12.75">
      <c r="A2309" s="3" t="str">
        <f ca="1">IFERROR(__xludf.UNSUPPORTED("""COMPUTED_VALUE"""),"0016a891")</f>
        <v>0016a891</v>
      </c>
      <c r="B2309" s="4">
        <f ca="1">IFERROR(__xludf.UNSUPPORTED("""COMPUTED_VALUE"""),44945.7124537037)</f>
        <v>44945.712453703702</v>
      </c>
      <c r="C2309" s="8" t="str">
        <f ca="1">IFERROR(__xludf.UNSUPPORTED("""COMPUTED_VALUE"""),"Santana")</f>
        <v>Santana</v>
      </c>
      <c r="D2309" s="3" t="str">
        <f ca="1">IFERROR(__xludf.UNSUPPORTED("""COMPUTED_VALUE"""),"🚢 REGULAR")</f>
        <v>🚢 REGULAR</v>
      </c>
      <c r="E2309" s="3" t="str">
        <f ca="1">IFERROR(__xludf.UNSUPPORTED("""COMPUTED_VALUE"""),"🚛 LIBERADO")</f>
        <v>🚛 LIBERADO</v>
      </c>
      <c r="F2309" s="5">
        <f ca="1">IFERROR(__xludf.UNSUPPORTED("""COMPUTED_VALUE"""),0)</f>
        <v>0</v>
      </c>
      <c r="G2309" s="3" t="str">
        <f ca="1">IFERROR(__xludf.UNSUPPORTED("""COMPUTED_VALUE"""),"Normalidade")</f>
        <v>Normalidade</v>
      </c>
      <c r="H2309" s="4">
        <f ca="1">IFERROR(__xludf.UNSUPPORTED("""COMPUTED_VALUE"""),44945.7124537037)</f>
        <v>44945.712453703702</v>
      </c>
      <c r="I2309" s="3">
        <f ca="1">IFERROR(__xludf.UNSUPPORTED("""COMPUTED_VALUE"""),24)</f>
        <v>24</v>
      </c>
      <c r="J2309" s="4">
        <f ca="1">IFERROR(__xludf.UNSUPPORTED("""COMPUTED_VALUE"""),44946.7124537037)</f>
        <v>44946.712453703702</v>
      </c>
    </row>
    <row r="2310" spans="1:12" ht="12.75">
      <c r="A2310" s="3" t="str">
        <f ca="1">IFERROR(__xludf.UNSUPPORTED("""COMPUTED_VALUE"""),"e0e01323")</f>
        <v>e0e01323</v>
      </c>
      <c r="B2310" s="4">
        <f ca="1">IFERROR(__xludf.UNSUPPORTED("""COMPUTED_VALUE"""),44951.7654282407)</f>
        <v>44951.765428240702</v>
      </c>
      <c r="C2310" s="8" t="str">
        <f ca="1">IFERROR(__xludf.UNSUPPORTED("""COMPUTED_VALUE"""),"Santana")</f>
        <v>Santana</v>
      </c>
      <c r="D2310" s="3" t="str">
        <f ca="1">IFERROR(__xludf.UNSUPPORTED("""COMPUTED_VALUE"""),"🚢 REGULAR")</f>
        <v>🚢 REGULAR</v>
      </c>
      <c r="E2310" s="3" t="str">
        <f ca="1">IFERROR(__xludf.UNSUPPORTED("""COMPUTED_VALUE"""),"🚛 LIBERADO")</f>
        <v>🚛 LIBERADO</v>
      </c>
      <c r="F2310" s="5">
        <f ca="1">IFERROR(__xludf.UNSUPPORTED("""COMPUTED_VALUE"""),0)</f>
        <v>0</v>
      </c>
      <c r="G2310" s="3" t="str">
        <f ca="1">IFERROR(__xludf.UNSUPPORTED("""COMPUTED_VALUE"""),"Normalidade")</f>
        <v>Normalidade</v>
      </c>
      <c r="H2310" s="4">
        <f ca="1">IFERROR(__xludf.UNSUPPORTED("""COMPUTED_VALUE"""),44951.7654282407)</f>
        <v>44951.765428240702</v>
      </c>
      <c r="I2310" s="3">
        <f ca="1">IFERROR(__xludf.UNSUPPORTED("""COMPUTED_VALUE"""),24)</f>
        <v>24</v>
      </c>
      <c r="J2310" s="4">
        <f ca="1">IFERROR(__xludf.UNSUPPORTED("""COMPUTED_VALUE"""),44952.7654282407)</f>
        <v>44952.765428240702</v>
      </c>
      <c r="L2310" s="3" t="str">
        <f ca="1">IFERROR(__xludf.UNSUPPORTED("""COMPUTED_VALUE"""),"Normalidade")</f>
        <v>Normalidade</v>
      </c>
    </row>
    <row r="2311" spans="1:12" ht="12.75">
      <c r="A2311" s="3" t="str">
        <f ca="1">IFERROR(__xludf.UNSUPPORTED("""COMPUTED_VALUE"""),"033c898d")</f>
        <v>033c898d</v>
      </c>
      <c r="B2311" s="4">
        <f ca="1">IFERROR(__xludf.UNSUPPORTED("""COMPUTED_VALUE"""),44956.6569791666)</f>
        <v>44956.656979166597</v>
      </c>
      <c r="C2311" s="8" t="str">
        <f ca="1">IFERROR(__xludf.UNSUPPORTED("""COMPUTED_VALUE"""),"Santana")</f>
        <v>Santana</v>
      </c>
      <c r="D2311" s="3" t="str">
        <f ca="1">IFERROR(__xludf.UNSUPPORTED("""COMPUTED_VALUE"""),"🚢 REGULAR")</f>
        <v>🚢 REGULAR</v>
      </c>
      <c r="E2311" s="3" t="str">
        <f ca="1">IFERROR(__xludf.UNSUPPORTED("""COMPUTED_VALUE"""),"🚛 LIBERADO")</f>
        <v>🚛 LIBERADO</v>
      </c>
      <c r="F2311" s="5">
        <f ca="1">IFERROR(__xludf.UNSUPPORTED("""COMPUTED_VALUE"""),0)</f>
        <v>0</v>
      </c>
      <c r="G2311" s="3" t="str">
        <f ca="1">IFERROR(__xludf.UNSUPPORTED("""COMPUTED_VALUE"""),"Normalidade")</f>
        <v>Normalidade</v>
      </c>
      <c r="H2311" s="4">
        <f ca="1">IFERROR(__xludf.UNSUPPORTED("""COMPUTED_VALUE"""),44956.6569791666)</f>
        <v>44956.656979166597</v>
      </c>
      <c r="I2311" s="3">
        <f ca="1">IFERROR(__xludf.UNSUPPORTED("""COMPUTED_VALUE"""),24)</f>
        <v>24</v>
      </c>
      <c r="J2311" s="4">
        <f ca="1">IFERROR(__xludf.UNSUPPORTED("""COMPUTED_VALUE"""),44957.6569791666)</f>
        <v>44957.656979166597</v>
      </c>
    </row>
    <row r="2312" spans="1:12" ht="12.75">
      <c r="A2312" s="3" t="str">
        <f ca="1">IFERROR(__xludf.UNSUPPORTED("""COMPUTED_VALUE"""),"e8ba56da")</f>
        <v>e8ba56da</v>
      </c>
      <c r="B2312" s="4">
        <f ca="1">IFERROR(__xludf.UNSUPPORTED("""COMPUTED_VALUE"""),44866.474537037)</f>
        <v>44866.474537037</v>
      </c>
      <c r="C2312" s="7" t="str">
        <f ca="1">IFERROR(__xludf.UNSUPPORTED("""COMPUTED_VALUE"""),"Santarém")</f>
        <v>Santarém</v>
      </c>
      <c r="D2312" s="3" t="str">
        <f ca="1">IFERROR(__xludf.UNSUPPORTED("""COMPUTED_VALUE"""),"🚢 REGULAR")</f>
        <v>🚢 REGULAR</v>
      </c>
      <c r="E2312" s="3" t="str">
        <f ca="1">IFERROR(__xludf.UNSUPPORTED("""COMPUTED_VALUE"""),"🚛 LIBERADO")</f>
        <v>🚛 LIBERADO</v>
      </c>
      <c r="F2312" s="5">
        <f ca="1">IFERROR(__xludf.UNSUPPORTED("""COMPUTED_VALUE"""),0)</f>
        <v>0</v>
      </c>
      <c r="G2312" s="3" t="str">
        <f ca="1">IFERROR(__xludf.UNSUPPORTED("""COMPUTED_VALUE"""),"Operação portuária sem intercorrências até o momento. Informação passada pelo servidor ALLEF.")</f>
        <v>Operação portuária sem intercorrências até o momento. Informação passada pelo servidor ALLEF.</v>
      </c>
      <c r="H2312" s="4">
        <f ca="1">IFERROR(__xludf.UNSUPPORTED("""COMPUTED_VALUE"""),44866.474537037)</f>
        <v>44866.474537037</v>
      </c>
      <c r="I2312" s="3">
        <f ca="1">IFERROR(__xludf.UNSUPPORTED("""COMPUTED_VALUE"""),8)</f>
        <v>8</v>
      </c>
      <c r="J2312" s="4">
        <f ca="1">IFERROR(__xludf.UNSUPPORTED("""COMPUTED_VALUE"""),44866.8078703703)</f>
        <v>44866.807870370299</v>
      </c>
    </row>
    <row r="2313" spans="1:12" ht="12.75">
      <c r="A2313" s="3" t="str">
        <f ca="1">IFERROR(__xludf.UNSUPPORTED("""COMPUTED_VALUE"""),"f64bc309")</f>
        <v>f64bc309</v>
      </c>
      <c r="B2313" s="4">
        <f ca="1">IFERROR(__xludf.UNSUPPORTED("""COMPUTED_VALUE"""),44867.5201273148)</f>
        <v>44867.520127314798</v>
      </c>
      <c r="C2313" s="7" t="str">
        <f ca="1">IFERROR(__xludf.UNSUPPORTED("""COMPUTED_VALUE"""),"Santarém")</f>
        <v>Santarém</v>
      </c>
      <c r="D2313" s="3" t="str">
        <f ca="1">IFERROR(__xludf.UNSUPPORTED("""COMPUTED_VALUE"""),"🚢 REGULAR")</f>
        <v>🚢 REGULAR</v>
      </c>
      <c r="E2313" s="3" t="str">
        <f ca="1">IFERROR(__xludf.UNSUPPORTED("""COMPUTED_VALUE"""),"🚛 LIBERADO")</f>
        <v>🚛 LIBERADO</v>
      </c>
      <c r="F2313" s="5">
        <f ca="1">IFERROR(__xludf.UNSUPPORTED("""COMPUTED_VALUE"""),0)</f>
        <v>0</v>
      </c>
      <c r="G2313" s="3" t="str">
        <f ca="1">IFERROR(__xludf.UNSUPPORTED("""COMPUTED_VALUE"""),"Regular, Sem ocorrências")</f>
        <v>Regular, Sem ocorrências</v>
      </c>
      <c r="H2313" s="4">
        <f ca="1">IFERROR(__xludf.UNSUPPORTED("""COMPUTED_VALUE"""),44872.4236111111)</f>
        <v>44872.423611111102</v>
      </c>
      <c r="I2313" s="3">
        <f ca="1">IFERROR(__xludf.UNSUPPORTED("""COMPUTED_VALUE"""),1)</f>
        <v>1</v>
      </c>
      <c r="J2313" s="4">
        <f ca="1">IFERROR(__xludf.UNSUPPORTED("""COMPUTED_VALUE"""),44872.4652777777)</f>
        <v>44872.465277777701</v>
      </c>
    </row>
    <row r="2314" spans="1:12" ht="12.75">
      <c r="A2314" s="3" t="str">
        <f ca="1">IFERROR(__xludf.UNSUPPORTED("""COMPUTED_VALUE"""),"43f5ac9f")</f>
        <v>43f5ac9f</v>
      </c>
      <c r="B2314" s="4">
        <f ca="1">IFERROR(__xludf.UNSUPPORTED("""COMPUTED_VALUE"""),44873.4461689814)</f>
        <v>44873.446168981398</v>
      </c>
      <c r="C2314" s="7" t="str">
        <f ca="1">IFERROR(__xludf.UNSUPPORTED("""COMPUTED_VALUE"""),"Santarém")</f>
        <v>Santarém</v>
      </c>
      <c r="D2314" s="3" t="str">
        <f ca="1">IFERROR(__xludf.UNSUPPORTED("""COMPUTED_VALUE"""),"🚢 REGULAR")</f>
        <v>🚢 REGULAR</v>
      </c>
      <c r="E2314" s="3" t="str">
        <f ca="1">IFERROR(__xludf.UNSUPPORTED("""COMPUTED_VALUE"""),"🚛 LIBERADO")</f>
        <v>🚛 LIBERADO</v>
      </c>
      <c r="F2314" s="5">
        <f ca="1">IFERROR(__xludf.UNSUPPORTED("""COMPUTED_VALUE"""),0)</f>
        <v>0</v>
      </c>
      <c r="G2314" s="3" t="str">
        <f ca="1">IFERROR(__xludf.UNSUPPORTED("""COMPUTED_VALUE"""),"Sem ocorrência")</f>
        <v>Sem ocorrência</v>
      </c>
      <c r="H2314" s="4">
        <f ca="1">IFERROR(__xludf.UNSUPPORTED("""COMPUTED_VALUE"""),44873.3625)</f>
        <v>44873.362500000003</v>
      </c>
      <c r="I2314" s="3">
        <f ca="1">IFERROR(__xludf.UNSUPPORTED("""COMPUTED_VALUE"""),1)</f>
        <v>1</v>
      </c>
      <c r="J2314" s="4">
        <f ca="1">IFERROR(__xludf.UNSUPPORTED("""COMPUTED_VALUE"""),44873.4041666666)</f>
        <v>44873.404166666602</v>
      </c>
    </row>
    <row r="2315" spans="1:12" ht="12.75">
      <c r="A2315" s="3" t="str">
        <f ca="1">IFERROR(__xludf.UNSUPPORTED("""COMPUTED_VALUE"""),"c73dff4c")</f>
        <v>c73dff4c</v>
      </c>
      <c r="B2315" s="4">
        <f ca="1">IFERROR(__xludf.UNSUPPORTED("""COMPUTED_VALUE"""),44874.4382523148)</f>
        <v>44874.438252314802</v>
      </c>
      <c r="C2315" s="7" t="str">
        <f ca="1">IFERROR(__xludf.UNSUPPORTED("""COMPUTED_VALUE"""),"Santarém")</f>
        <v>Santarém</v>
      </c>
      <c r="D2315" s="3" t="str">
        <f ca="1">IFERROR(__xludf.UNSUPPORTED("""COMPUTED_VALUE"""),"🚢 REGULAR")</f>
        <v>🚢 REGULAR</v>
      </c>
      <c r="E2315" s="3" t="str">
        <f ca="1">IFERROR(__xludf.UNSUPPORTED("""COMPUTED_VALUE"""),"🚛 LIBERADO")</f>
        <v>🚛 LIBERADO</v>
      </c>
      <c r="F2315" s="5">
        <f ca="1">IFERROR(__xludf.UNSUPPORTED("""COMPUTED_VALUE"""),0)</f>
        <v>0</v>
      </c>
      <c r="G2315" s="3" t="str">
        <f ca="1">IFERROR(__xludf.UNSUPPORTED("""COMPUTED_VALUE"""),"Sem ocorrências")</f>
        <v>Sem ocorrências</v>
      </c>
      <c r="H2315" s="4">
        <f ca="1">IFERROR(__xludf.UNSUPPORTED("""COMPUTED_VALUE"""),44874.3958333333)</f>
        <v>44874.395833333299</v>
      </c>
      <c r="I2315" s="3">
        <f ca="1">IFERROR(__xludf.UNSUPPORTED("""COMPUTED_VALUE"""),1)</f>
        <v>1</v>
      </c>
      <c r="J2315" s="4">
        <f ca="1">IFERROR(__xludf.UNSUPPORTED("""COMPUTED_VALUE"""),44874.4375)</f>
        <v>44874.4375</v>
      </c>
    </row>
    <row r="2316" spans="1:12" ht="12.75">
      <c r="A2316" s="3" t="str">
        <f ca="1">IFERROR(__xludf.UNSUPPORTED("""COMPUTED_VALUE"""),"a466d12a")</f>
        <v>a466d12a</v>
      </c>
      <c r="B2316" s="4">
        <f ca="1">IFERROR(__xludf.UNSUPPORTED("""COMPUTED_VALUE"""),44881.4311574074)</f>
        <v>44881.431157407402</v>
      </c>
      <c r="C2316" s="8" t="str">
        <f ca="1">IFERROR(__xludf.UNSUPPORTED("""COMPUTED_VALUE"""),"Santarém")</f>
        <v>Santarém</v>
      </c>
      <c r="D2316" s="3" t="str">
        <f ca="1">IFERROR(__xludf.UNSUPPORTED("""COMPUTED_VALUE"""),"🚢 REGULAR")</f>
        <v>🚢 REGULAR</v>
      </c>
      <c r="E2316" s="3" t="str">
        <f ca="1">IFERROR(__xludf.UNSUPPORTED("""COMPUTED_VALUE"""),"🚛 LIBERADO")</f>
        <v>🚛 LIBERADO</v>
      </c>
      <c r="F2316" s="5">
        <f ca="1">IFERROR(__xludf.UNSUPPORTED("""COMPUTED_VALUE"""),0)</f>
        <v>0</v>
      </c>
      <c r="G2316" s="3" t="str">
        <f ca="1">IFERROR(__xludf.UNSUPPORTED("""COMPUTED_VALUE"""),"Operando sem ocorrências externas")</f>
        <v>Operando sem ocorrências externas</v>
      </c>
      <c r="H2316" s="4">
        <f ca="1">IFERROR(__xludf.UNSUPPORTED("""COMPUTED_VALUE"""),44881.4311574074)</f>
        <v>44881.431157407402</v>
      </c>
      <c r="I2316" s="3">
        <f ca="1">IFERROR(__xludf.UNSUPPORTED("""COMPUTED_VALUE"""),1)</f>
        <v>1</v>
      </c>
      <c r="J2316" s="4">
        <f ca="1">IFERROR(__xludf.UNSUPPORTED("""COMPUTED_VALUE"""),44881.472824074)</f>
        <v>44881.472824074001</v>
      </c>
    </row>
    <row r="2317" spans="1:12" ht="12.75">
      <c r="A2317" s="3" t="str">
        <f ca="1">IFERROR(__xludf.UNSUPPORTED("""COMPUTED_VALUE"""),"342f1730")</f>
        <v>342f1730</v>
      </c>
      <c r="B2317" s="4">
        <f ca="1">IFERROR(__xludf.UNSUPPORTED("""COMPUTED_VALUE"""),44883.5046296296)</f>
        <v>44883.504629629599</v>
      </c>
      <c r="C2317" s="7" t="str">
        <f ca="1">IFERROR(__xludf.UNSUPPORTED("""COMPUTED_VALUE"""),"Santarém")</f>
        <v>Santarém</v>
      </c>
      <c r="D2317" s="3" t="str">
        <f ca="1">IFERROR(__xludf.UNSUPPORTED("""COMPUTED_VALUE"""),"🚢 REGULAR")</f>
        <v>🚢 REGULAR</v>
      </c>
      <c r="E2317" s="3" t="str">
        <f ca="1">IFERROR(__xludf.UNSUPPORTED("""COMPUTED_VALUE"""),"🚛 LIBERADO")</f>
        <v>🚛 LIBERADO</v>
      </c>
      <c r="F2317" s="5">
        <f ca="1">IFERROR(__xludf.UNSUPPORTED("""COMPUTED_VALUE"""),0.25)</f>
        <v>0.25</v>
      </c>
      <c r="G2317" s="3" t="str">
        <f ca="1">IFERROR(__xludf.UNSUPPORTED("""COMPUTED_VALUE"""),"O porto de Santarém está em alerta, pois há indícios de eventuais bloqueios na BR 163 próximos ao município de Sorriso e Gauratã, dentre outros, o que prejudicará acesso a Miritituba e Santarém de Caminhões carregados,  podendo causar atraso nas operações"&amp;" de Soja/Milho para exportação,  e de fertilizante de importação.")</f>
        <v>O porto de Santarém está em alerta, pois há indícios de eventuais bloqueios na BR 163 próximos ao município de Sorriso e Gauratã, dentre outros, o que prejudicará acesso a Miritituba e Santarém de Caminhões carregados,  podendo causar atraso nas operações de Soja/Milho para exportação,  e de fertilizante de importação.</v>
      </c>
      <c r="H2317" s="4">
        <f ca="1">IFERROR(__xludf.UNSUPPORTED("""COMPUTED_VALUE"""),44883.4208333333)</f>
        <v>44883.420833333301</v>
      </c>
      <c r="I2317" s="3">
        <f ca="1">IFERROR(__xludf.UNSUPPORTED("""COMPUTED_VALUE"""),1)</f>
        <v>1</v>
      </c>
      <c r="J2317" s="4">
        <f ca="1">IFERROR(__xludf.UNSUPPORTED("""COMPUTED_VALUE"""),44883.4625)</f>
        <v>44883.462500000001</v>
      </c>
    </row>
    <row r="2318" spans="1:12" ht="12.75">
      <c r="A2318" s="3" t="str">
        <f ca="1">IFERROR(__xludf.UNSUPPORTED("""COMPUTED_VALUE"""),"9cd596d0")</f>
        <v>9cd596d0</v>
      </c>
      <c r="B2318" s="4">
        <f ca="1">IFERROR(__xludf.UNSUPPORTED("""COMPUTED_VALUE"""),44885.4558796296)</f>
        <v>44885.455879629597</v>
      </c>
      <c r="C2318" s="7" t="str">
        <f ca="1">IFERROR(__xludf.UNSUPPORTED("""COMPUTED_VALUE"""),"Santarém")</f>
        <v>Santarém</v>
      </c>
      <c r="D2318" s="3" t="str">
        <f ca="1">IFERROR(__xludf.UNSUPPORTED("""COMPUTED_VALUE"""),"🚢 REGULAR")</f>
        <v>🚢 REGULAR</v>
      </c>
      <c r="E2318" s="3" t="str">
        <f ca="1">IFERROR(__xludf.UNSUPPORTED("""COMPUTED_VALUE"""),"🚛 LIBERADO")</f>
        <v>🚛 LIBERADO</v>
      </c>
      <c r="F2318" s="5">
        <f ca="1">IFERROR(__xludf.UNSUPPORTED("""COMPUTED_VALUE"""),0)</f>
        <v>0</v>
      </c>
      <c r="G2318" s="3" t="str">
        <f ca="1">IFERROR(__xludf.UNSUPPORTED("""COMPUTED_VALUE"""),"Apesar de eventuais bloqueios,  ainda não houve impactos na operação")</f>
        <v>Apesar de eventuais bloqueios,  ainda não houve impactos na operação</v>
      </c>
      <c r="H2318" s="4">
        <f ca="1">IFERROR(__xludf.UNSUPPORTED("""COMPUTED_VALUE"""),44885.4138888888)</f>
        <v>44885.413888888797</v>
      </c>
      <c r="I2318" s="3">
        <f ca="1">IFERROR(__xludf.UNSUPPORTED("""COMPUTED_VALUE"""),1)</f>
        <v>1</v>
      </c>
      <c r="J2318" s="4">
        <f ca="1">IFERROR(__xludf.UNSUPPORTED("""COMPUTED_VALUE"""),44885.4555555555)</f>
        <v>44885.455555555498</v>
      </c>
    </row>
    <row r="2319" spans="1:12" ht="12.75">
      <c r="A2319" s="3" t="str">
        <f ca="1">IFERROR(__xludf.UNSUPPORTED("""COMPUTED_VALUE"""),"6e2c7f87")</f>
        <v>6e2c7f87</v>
      </c>
      <c r="B2319" s="4">
        <f ca="1">IFERROR(__xludf.UNSUPPORTED("""COMPUTED_VALUE"""),44886.444699074)</f>
        <v>44886.444699074003</v>
      </c>
      <c r="C2319" s="8" t="str">
        <f ca="1">IFERROR(__xludf.UNSUPPORTED("""COMPUTED_VALUE"""),"Santarém")</f>
        <v>Santarém</v>
      </c>
      <c r="D2319" s="3" t="str">
        <f ca="1">IFERROR(__xludf.UNSUPPORTED("""COMPUTED_VALUE"""),"🚢 REGULAR")</f>
        <v>🚢 REGULAR</v>
      </c>
      <c r="E2319" s="3" t="str">
        <f ca="1">IFERROR(__xludf.UNSUPPORTED("""COMPUTED_VALUE"""),"🚛 LIBERADO")</f>
        <v>🚛 LIBERADO</v>
      </c>
      <c r="F2319" s="5">
        <f ca="1">IFERROR(__xludf.UNSUPPORTED("""COMPUTED_VALUE"""),0)</f>
        <v>0</v>
      </c>
      <c r="G2319" s="3" t="str">
        <f ca="1">IFERROR(__xludf.UNSUPPORTED("""COMPUTED_VALUE"""),"sem ocorrências")</f>
        <v>sem ocorrências</v>
      </c>
      <c r="H2319" s="4">
        <f ca="1">IFERROR(__xludf.UNSUPPORTED("""COMPUTED_VALUE"""),44886.4030324073)</f>
        <v>44886.403032407303</v>
      </c>
      <c r="I2319" s="3">
        <f ca="1">IFERROR(__xludf.UNSUPPORTED("""COMPUTED_VALUE"""),1)</f>
        <v>1</v>
      </c>
      <c r="J2319" s="4">
        <f ca="1">IFERROR(__xludf.UNSUPPORTED("""COMPUTED_VALUE"""),44886.444699074)</f>
        <v>44886.444699074003</v>
      </c>
    </row>
    <row r="2320" spans="1:12" ht="12.75">
      <c r="A2320" s="3" t="str">
        <f ca="1">IFERROR(__xludf.UNSUPPORTED("""COMPUTED_VALUE"""),"5d4c4460")</f>
        <v>5d4c4460</v>
      </c>
      <c r="B2320" s="4">
        <f ca="1">IFERROR(__xludf.UNSUPPORTED("""COMPUTED_VALUE"""),44886.4452083333)</f>
        <v>44886.445208333302</v>
      </c>
      <c r="C2320" s="7" t="str">
        <f ca="1">IFERROR(__xludf.UNSUPPORTED("""COMPUTED_VALUE"""),"Santarém")</f>
        <v>Santarém</v>
      </c>
      <c r="D2320" s="3" t="str">
        <f ca="1">IFERROR(__xludf.UNSUPPORTED("""COMPUTED_VALUE"""),"🚢 REGULAR")</f>
        <v>🚢 REGULAR</v>
      </c>
      <c r="E2320" s="3" t="str">
        <f ca="1">IFERROR(__xludf.UNSUPPORTED("""COMPUTED_VALUE"""),"🚛 LIBERADO")</f>
        <v>🚛 LIBERADO</v>
      </c>
      <c r="F2320" s="5">
        <f ca="1">IFERROR(__xludf.UNSUPPORTED("""COMPUTED_VALUE"""),0)</f>
        <v>0</v>
      </c>
      <c r="G2320" s="3" t="str">
        <f ca="1">IFERROR(__xludf.UNSUPPORTED("""COMPUTED_VALUE"""),"sem ocorrências")</f>
        <v>sem ocorrências</v>
      </c>
      <c r="H2320" s="4">
        <f ca="1">IFERROR(__xludf.UNSUPPORTED("""COMPUTED_VALUE"""),44886.4035416666)</f>
        <v>44886.403541666601</v>
      </c>
      <c r="I2320" s="3">
        <f ca="1">IFERROR(__xludf.UNSUPPORTED("""COMPUTED_VALUE"""),1)</f>
        <v>1</v>
      </c>
      <c r="J2320" s="4">
        <f ca="1">IFERROR(__xludf.UNSUPPORTED("""COMPUTED_VALUE"""),44886.4452083333)</f>
        <v>44886.445208333302</v>
      </c>
    </row>
    <row r="2321" spans="1:10" ht="12.75">
      <c r="A2321" s="3" t="str">
        <f ca="1">IFERROR(__xludf.UNSUPPORTED("""COMPUTED_VALUE"""),"a9fb4ea9")</f>
        <v>a9fb4ea9</v>
      </c>
      <c r="B2321" s="4">
        <f ca="1">IFERROR(__xludf.UNSUPPORTED("""COMPUTED_VALUE"""),44887.4610300925)</f>
        <v>44887.461030092498</v>
      </c>
      <c r="C2321" s="7" t="str">
        <f ca="1">IFERROR(__xludf.UNSUPPORTED("""COMPUTED_VALUE"""),"Santarém")</f>
        <v>Santarém</v>
      </c>
      <c r="D2321" s="3" t="str">
        <f ca="1">IFERROR(__xludf.UNSUPPORTED("""COMPUTED_VALUE"""),"🚢 REGULAR")</f>
        <v>🚢 REGULAR</v>
      </c>
      <c r="E2321" s="3" t="str">
        <f ca="1">IFERROR(__xludf.UNSUPPORTED("""COMPUTED_VALUE"""),"🚛 LIBERADO")</f>
        <v>🚛 LIBERADO</v>
      </c>
      <c r="F2321" s="5">
        <f ca="1">IFERROR(__xludf.UNSUPPORTED("""COMPUTED_VALUE"""),0)</f>
        <v>0</v>
      </c>
      <c r="G2321" s="3" t="str">
        <f ca="1">IFERROR(__xludf.UNSUPPORTED("""COMPUTED_VALUE"""),"Existem restrições na BR163 sem prejuízo a atual operação do Porto")</f>
        <v>Existem restrições na BR163 sem prejuízo a atual operação do Porto</v>
      </c>
      <c r="H2321" s="4">
        <f ca="1">IFERROR(__xludf.UNSUPPORTED("""COMPUTED_VALUE"""),44887.4173611111)</f>
        <v>44887.417361111096</v>
      </c>
      <c r="I2321" s="3">
        <f ca="1">IFERROR(__xludf.UNSUPPORTED("""COMPUTED_VALUE"""),1)</f>
        <v>1</v>
      </c>
      <c r="J2321" s="4">
        <f ca="1">IFERROR(__xludf.UNSUPPORTED("""COMPUTED_VALUE"""),44887.4590277777)</f>
        <v>44887.459027777702</v>
      </c>
    </row>
    <row r="2322" spans="1:10" ht="12.75">
      <c r="A2322" s="3" t="str">
        <f ca="1">IFERROR(__xludf.UNSUPPORTED("""COMPUTED_VALUE"""),"83299053")</f>
        <v>83299053</v>
      </c>
      <c r="B2322" s="4">
        <f ca="1">IFERROR(__xludf.UNSUPPORTED("""COMPUTED_VALUE"""),44888.3895254629)</f>
        <v>44888.389525462902</v>
      </c>
      <c r="C2322" s="7" t="str">
        <f ca="1">IFERROR(__xludf.UNSUPPORTED("""COMPUTED_VALUE"""),"Santarém")</f>
        <v>Santarém</v>
      </c>
      <c r="D2322" s="3" t="str">
        <f ca="1">IFERROR(__xludf.UNSUPPORTED("""COMPUTED_VALUE"""),"🚢 REGULAR")</f>
        <v>🚢 REGULAR</v>
      </c>
      <c r="E2322" s="3" t="str">
        <f ca="1">IFERROR(__xludf.UNSUPPORTED("""COMPUTED_VALUE"""),"🚛 LIBERADO")</f>
        <v>🚛 LIBERADO</v>
      </c>
      <c r="F2322" s="5">
        <f ca="1">IFERROR(__xludf.UNSUPPORTED("""COMPUTED_VALUE"""),0)</f>
        <v>0</v>
      </c>
      <c r="G2322" s="3" t="str">
        <f ca="1">IFERROR(__xludf.UNSUPPORTED("""COMPUTED_VALUE"""),"Operação em normalidade")</f>
        <v>Operação em normalidade</v>
      </c>
      <c r="H2322" s="4">
        <f ca="1">IFERROR(__xludf.UNSUPPORTED("""COMPUTED_VALUE"""),44888.3465277777)</f>
        <v>44888.3465277777</v>
      </c>
      <c r="I2322" s="3">
        <f ca="1">IFERROR(__xludf.UNSUPPORTED("""COMPUTED_VALUE"""),1)</f>
        <v>1</v>
      </c>
      <c r="J2322" s="4">
        <f ca="1">IFERROR(__xludf.UNSUPPORTED("""COMPUTED_VALUE"""),44888.3881944444)</f>
        <v>44888.3881944444</v>
      </c>
    </row>
    <row r="2323" spans="1:10" ht="12.75">
      <c r="A2323" s="3" t="str">
        <f ca="1">IFERROR(__xludf.UNSUPPORTED("""COMPUTED_VALUE"""),"7c226c99")</f>
        <v>7c226c99</v>
      </c>
      <c r="B2323" s="4">
        <f ca="1">IFERROR(__xludf.UNSUPPORTED("""COMPUTED_VALUE"""),44889.3786226851)</f>
        <v>44889.378622685101</v>
      </c>
      <c r="C2323" s="7" t="str">
        <f ca="1">IFERROR(__xludf.UNSUPPORTED("""COMPUTED_VALUE"""),"Santarém")</f>
        <v>Santarém</v>
      </c>
      <c r="D2323" s="3" t="str">
        <f ca="1">IFERROR(__xludf.UNSUPPORTED("""COMPUTED_VALUE"""),"🚢 REGULAR")</f>
        <v>🚢 REGULAR</v>
      </c>
      <c r="E2323" s="3" t="str">
        <f ca="1">IFERROR(__xludf.UNSUPPORTED("""COMPUTED_VALUE"""),"🚛 LIBERADO")</f>
        <v>🚛 LIBERADO</v>
      </c>
      <c r="F2323" s="5">
        <f ca="1">IFERROR(__xludf.UNSUPPORTED("""COMPUTED_VALUE"""),0)</f>
        <v>0</v>
      </c>
      <c r="G2323" s="3" t="str">
        <f ca="1">IFERROR(__xludf.UNSUPPORTED("""COMPUTED_VALUE"""),"Operação em normalidade")</f>
        <v>Operação em normalidade</v>
      </c>
      <c r="H2323" s="4">
        <f ca="1">IFERROR(__xludf.UNSUPPORTED("""COMPUTED_VALUE"""),44889.3786226851)</f>
        <v>44889.378622685101</v>
      </c>
      <c r="I2323" s="3">
        <f ca="1">IFERROR(__xludf.UNSUPPORTED("""COMPUTED_VALUE"""),1)</f>
        <v>1</v>
      </c>
      <c r="J2323" s="4">
        <f ca="1">IFERROR(__xludf.UNSUPPORTED("""COMPUTED_VALUE"""),44889.4202893518)</f>
        <v>44889.420289351801</v>
      </c>
    </row>
    <row r="2324" spans="1:10" ht="12.75">
      <c r="A2324" s="3" t="str">
        <f ca="1">IFERROR(__xludf.UNSUPPORTED("""COMPUTED_VALUE"""),"1a2e2cdc")</f>
        <v>1a2e2cdc</v>
      </c>
      <c r="B2324" s="4">
        <f ca="1">IFERROR(__xludf.UNSUPPORTED("""COMPUTED_VALUE"""),44890.5633912037)</f>
        <v>44890.563391203701</v>
      </c>
      <c r="C2324" s="8" t="str">
        <f ca="1">IFERROR(__xludf.UNSUPPORTED("""COMPUTED_VALUE"""),"Santarém")</f>
        <v>Santarém</v>
      </c>
      <c r="D2324" s="3" t="str">
        <f ca="1">IFERROR(__xludf.UNSUPPORTED("""COMPUTED_VALUE"""),"🚢 REGULAR")</f>
        <v>🚢 REGULAR</v>
      </c>
      <c r="E2324" s="3" t="str">
        <f ca="1">IFERROR(__xludf.UNSUPPORTED("""COMPUTED_VALUE"""),"🚛 LIBERADO")</f>
        <v>🚛 LIBERADO</v>
      </c>
      <c r="F2324" s="5">
        <f ca="1">IFERROR(__xludf.UNSUPPORTED("""COMPUTED_VALUE"""),0)</f>
        <v>0</v>
      </c>
      <c r="G2324" s="3" t="str">
        <f ca="1">IFERROR(__xludf.UNSUPPORTED("""COMPUTED_VALUE"""),"Normal")</f>
        <v>Normal</v>
      </c>
      <c r="H2324" s="4">
        <f ca="1">IFERROR(__xludf.UNSUPPORTED("""COMPUTED_VALUE"""),44890.5201388888)</f>
        <v>44890.520138888802</v>
      </c>
      <c r="I2324" s="3">
        <f ca="1">IFERROR(__xludf.UNSUPPORTED("""COMPUTED_VALUE"""),1)</f>
        <v>1</v>
      </c>
      <c r="J2324" s="4">
        <f ca="1">IFERROR(__xludf.UNSUPPORTED("""COMPUTED_VALUE"""),44890.5618055555)</f>
        <v>44890.561805555502</v>
      </c>
    </row>
    <row r="2325" spans="1:10" ht="12.75">
      <c r="A2325" s="3" t="str">
        <f ca="1">IFERROR(__xludf.UNSUPPORTED("""COMPUTED_VALUE"""),"e26610f0")</f>
        <v>e26610f0</v>
      </c>
      <c r="B2325" s="4">
        <f ca="1">IFERROR(__xludf.UNSUPPORTED("""COMPUTED_VALUE"""),44892.2581597222)</f>
        <v>44892.258159722202</v>
      </c>
      <c r="C2325" s="7" t="str">
        <f ca="1">IFERROR(__xludf.UNSUPPORTED("""COMPUTED_VALUE"""),"Santarém")</f>
        <v>Santarém</v>
      </c>
      <c r="D2325" s="3" t="str">
        <f ca="1">IFERROR(__xludf.UNSUPPORTED("""COMPUTED_VALUE"""),"🚢 REGULAR")</f>
        <v>🚢 REGULAR</v>
      </c>
      <c r="E2325" s="3" t="str">
        <f ca="1">IFERROR(__xludf.UNSUPPORTED("""COMPUTED_VALUE"""),"🚛 LIBERADO")</f>
        <v>🚛 LIBERADO</v>
      </c>
      <c r="F2325" s="5">
        <f ca="1">IFERROR(__xludf.UNSUPPORTED("""COMPUTED_VALUE"""),0)</f>
        <v>0</v>
      </c>
      <c r="G2325" s="3" t="str">
        <f ca="1">IFERROR(__xludf.UNSUPPORTED("""COMPUTED_VALUE"""),"Normalidade")</f>
        <v>Normalidade</v>
      </c>
      <c r="H2325" s="4">
        <f ca="1">IFERROR(__xludf.UNSUPPORTED("""COMPUTED_VALUE"""),44892.2152777777)</f>
        <v>44892.215277777701</v>
      </c>
      <c r="I2325" s="3">
        <f ca="1">IFERROR(__xludf.UNSUPPORTED("""COMPUTED_VALUE"""),1)</f>
        <v>1</v>
      </c>
      <c r="J2325" s="4">
        <f ca="1">IFERROR(__xludf.UNSUPPORTED("""COMPUTED_VALUE"""),44892.2569444444)</f>
        <v>44892.256944444402</v>
      </c>
    </row>
    <row r="2326" spans="1:10" ht="12.75">
      <c r="A2326" s="3" t="str">
        <f ca="1">IFERROR(__xludf.UNSUPPORTED("""COMPUTED_VALUE"""),"6abccdea")</f>
        <v>6abccdea</v>
      </c>
      <c r="B2326" s="4">
        <f ca="1">IFERROR(__xludf.UNSUPPORTED("""COMPUTED_VALUE"""),44893.5016435185)</f>
        <v>44893.501643518503</v>
      </c>
      <c r="C2326" s="7" t="str">
        <f ca="1">IFERROR(__xludf.UNSUPPORTED("""COMPUTED_VALUE"""),"Santarém")</f>
        <v>Santarém</v>
      </c>
      <c r="D2326" s="3" t="str">
        <f ca="1">IFERROR(__xludf.UNSUPPORTED("""COMPUTED_VALUE"""),"🚢 REGULAR")</f>
        <v>🚢 REGULAR</v>
      </c>
      <c r="E2326" s="3" t="str">
        <f ca="1">IFERROR(__xludf.UNSUPPORTED("""COMPUTED_VALUE"""),"🚛 LIBERADO")</f>
        <v>🚛 LIBERADO</v>
      </c>
      <c r="F2326" s="5">
        <f ca="1">IFERROR(__xludf.UNSUPPORTED("""COMPUTED_VALUE"""),0)</f>
        <v>0</v>
      </c>
      <c r="G2326" s="3" t="str">
        <f ca="1">IFERROR(__xludf.UNSUPPORTED("""COMPUTED_VALUE"""),"Normalidade")</f>
        <v>Normalidade</v>
      </c>
      <c r="H2326" s="4">
        <f ca="1">IFERROR(__xludf.UNSUPPORTED("""COMPUTED_VALUE"""),44893.4590277777)</f>
        <v>44893.459027777702</v>
      </c>
      <c r="I2326" s="3">
        <f ca="1">IFERROR(__xludf.UNSUPPORTED("""COMPUTED_VALUE"""),1)</f>
        <v>1</v>
      </c>
      <c r="J2326" s="4">
        <f ca="1">IFERROR(__xludf.UNSUPPORTED("""COMPUTED_VALUE"""),44893.5006944444)</f>
        <v>44893.500694444403</v>
      </c>
    </row>
    <row r="2327" spans="1:10" ht="12.75">
      <c r="A2327" s="3" t="str">
        <f ca="1">IFERROR(__xludf.UNSUPPORTED("""COMPUTED_VALUE"""),"9c47e8ae")</f>
        <v>9c47e8ae</v>
      </c>
      <c r="B2327" s="4">
        <f ca="1">IFERROR(__xludf.UNSUPPORTED("""COMPUTED_VALUE"""),44894.428125)</f>
        <v>44894.428124999999</v>
      </c>
      <c r="C2327" s="7" t="str">
        <f ca="1">IFERROR(__xludf.UNSUPPORTED("""COMPUTED_VALUE"""),"Santarém")</f>
        <v>Santarém</v>
      </c>
      <c r="D2327" s="3" t="str">
        <f ca="1">IFERROR(__xludf.UNSUPPORTED("""COMPUTED_VALUE"""),"🚢 REGULAR")</f>
        <v>🚢 REGULAR</v>
      </c>
      <c r="E2327" s="3" t="str">
        <f ca="1">IFERROR(__xludf.UNSUPPORTED("""COMPUTED_VALUE"""),"🚛 LIBERADO")</f>
        <v>🚛 LIBERADO</v>
      </c>
      <c r="F2327" s="5">
        <f ca="1">IFERROR(__xludf.UNSUPPORTED("""COMPUTED_VALUE"""),0)</f>
        <v>0</v>
      </c>
      <c r="G2327" s="3" t="str">
        <f ca="1">IFERROR(__xludf.UNSUPPORTED("""COMPUTED_VALUE"""),"Normalidade")</f>
        <v>Normalidade</v>
      </c>
      <c r="H2327" s="4">
        <f ca="1">IFERROR(__xludf.UNSUPPORTED("""COMPUTED_VALUE"""),44894.3861111111)</f>
        <v>44894.386111111096</v>
      </c>
      <c r="I2327" s="3">
        <f ca="1">IFERROR(__xludf.UNSUPPORTED("""COMPUTED_VALUE"""),1)</f>
        <v>1</v>
      </c>
      <c r="J2327" s="4">
        <f ca="1">IFERROR(__xludf.UNSUPPORTED("""COMPUTED_VALUE"""),44894.4277777777)</f>
        <v>44894.427777777702</v>
      </c>
    </row>
    <row r="2328" spans="1:10" ht="12.75">
      <c r="A2328" s="3" t="str">
        <f ca="1">IFERROR(__xludf.UNSUPPORTED("""COMPUTED_VALUE"""),"27bb17b0")</f>
        <v>27bb17b0</v>
      </c>
      <c r="B2328" s="4">
        <f ca="1">IFERROR(__xludf.UNSUPPORTED("""COMPUTED_VALUE"""),44895.3842361111)</f>
        <v>44895.384236111102</v>
      </c>
      <c r="C2328" s="7" t="str">
        <f ca="1">IFERROR(__xludf.UNSUPPORTED("""COMPUTED_VALUE"""),"Santarém")</f>
        <v>Santarém</v>
      </c>
      <c r="D2328" s="3" t="str">
        <f ca="1">IFERROR(__xludf.UNSUPPORTED("""COMPUTED_VALUE"""),"🚢 REGULAR")</f>
        <v>🚢 REGULAR</v>
      </c>
      <c r="E2328" s="3" t="str">
        <f ca="1">IFERROR(__xludf.UNSUPPORTED("""COMPUTED_VALUE"""),"🚛 LIBERADO")</f>
        <v>🚛 LIBERADO</v>
      </c>
      <c r="F2328" s="5">
        <f ca="1">IFERROR(__xludf.UNSUPPORTED("""COMPUTED_VALUE"""),0)</f>
        <v>0</v>
      </c>
      <c r="G2328" s="3" t="str">
        <f ca="1">IFERROR(__xludf.UNSUPPORTED("""COMPUTED_VALUE"""),"Operação portuária em Santarém  está Normal. Na BR 163, no trecho do Pará,  não foi noticiado bloqueio")</f>
        <v>Operação portuária em Santarém  está Normal. Na BR 163, no trecho do Pará,  não foi noticiado bloqueio</v>
      </c>
      <c r="H2328" s="4">
        <f ca="1">IFERROR(__xludf.UNSUPPORTED("""COMPUTED_VALUE"""),44895.3416666666)</f>
        <v>44895.341666666602</v>
      </c>
      <c r="I2328" s="3">
        <f ca="1">IFERROR(__xludf.UNSUPPORTED("""COMPUTED_VALUE"""),1)</f>
        <v>1</v>
      </c>
      <c r="J2328" s="4">
        <f ca="1">IFERROR(__xludf.UNSUPPORTED("""COMPUTED_VALUE"""),44895.3833333333)</f>
        <v>44895.383333333302</v>
      </c>
    </row>
    <row r="2329" spans="1:10" ht="12.75">
      <c r="A2329" s="3" t="str">
        <f ca="1">IFERROR(__xludf.UNSUPPORTED("""COMPUTED_VALUE"""),"d6cac6d4")</f>
        <v>d6cac6d4</v>
      </c>
      <c r="B2329" s="4">
        <f ca="1">IFERROR(__xludf.UNSUPPORTED("""COMPUTED_VALUE"""),44896.412199074)</f>
        <v>44896.412199074002</v>
      </c>
      <c r="C2329" s="8" t="str">
        <f ca="1">IFERROR(__xludf.UNSUPPORTED("""COMPUTED_VALUE"""),"Santarém")</f>
        <v>Santarém</v>
      </c>
      <c r="D2329" s="3" t="str">
        <f ca="1">IFERROR(__xludf.UNSUPPORTED("""COMPUTED_VALUE"""),"🚢 REGULAR")</f>
        <v>🚢 REGULAR</v>
      </c>
      <c r="E2329" s="3" t="str">
        <f ca="1">IFERROR(__xludf.UNSUPPORTED("""COMPUTED_VALUE"""),"🚛 LIBERADO")</f>
        <v>🚛 LIBERADO</v>
      </c>
      <c r="F2329" s="5">
        <f ca="1">IFERROR(__xludf.UNSUPPORTED("""COMPUTED_VALUE"""),0)</f>
        <v>0</v>
      </c>
      <c r="G2329" s="3" t="str">
        <f ca="1">IFERROR(__xludf.UNSUPPORTED("""COMPUTED_VALUE"""),"Normalidade")</f>
        <v>Normalidade</v>
      </c>
      <c r="H2329" s="4">
        <f ca="1">IFERROR(__xludf.UNSUPPORTED("""COMPUTED_VALUE"""),44896.3694444444)</f>
        <v>44896.369444444397</v>
      </c>
      <c r="I2329" s="3">
        <f ca="1">IFERROR(__xludf.UNSUPPORTED("""COMPUTED_VALUE"""),1)</f>
        <v>1</v>
      </c>
      <c r="J2329" s="4">
        <f ca="1">IFERROR(__xludf.UNSUPPORTED("""COMPUTED_VALUE"""),44896.4111111111)</f>
        <v>44896.411111111098</v>
      </c>
    </row>
    <row r="2330" spans="1:10" ht="12.75">
      <c r="A2330" s="3" t="str">
        <f ca="1">IFERROR(__xludf.UNSUPPORTED("""COMPUTED_VALUE"""),"1db9c425")</f>
        <v>1db9c425</v>
      </c>
      <c r="B2330" s="4">
        <f ca="1">IFERROR(__xludf.UNSUPPORTED("""COMPUTED_VALUE"""),44896.4266898148)</f>
        <v>44896.426689814798</v>
      </c>
      <c r="C2330" s="8" t="str">
        <f ca="1">IFERROR(__xludf.UNSUPPORTED("""COMPUTED_VALUE"""),"Santarém")</f>
        <v>Santarém</v>
      </c>
      <c r="D2330" s="3" t="str">
        <f ca="1">IFERROR(__xludf.UNSUPPORTED("""COMPUTED_VALUE"""),"🚢 REGULAR")</f>
        <v>🚢 REGULAR</v>
      </c>
      <c r="E2330" s="3" t="str">
        <f ca="1">IFERROR(__xludf.UNSUPPORTED("""COMPUTED_VALUE"""),"🚛 LIBERADO")</f>
        <v>🚛 LIBERADO</v>
      </c>
      <c r="F2330" s="5">
        <f ca="1">IFERROR(__xludf.UNSUPPORTED("""COMPUTED_VALUE"""),0)</f>
        <v>0</v>
      </c>
      <c r="G2330" s="3" t="str">
        <f ca="1">IFERROR(__xludf.UNSUPPORTED("""COMPUTED_VALUE"""),"Normalidade")</f>
        <v>Normalidade</v>
      </c>
      <c r="H2330" s="4">
        <f ca="1">IFERROR(__xludf.UNSUPPORTED("""COMPUTED_VALUE"""),44896.3840277777)</f>
        <v>44896.384027777698</v>
      </c>
      <c r="I2330" s="3">
        <f ca="1">IFERROR(__xludf.UNSUPPORTED("""COMPUTED_VALUE"""),1)</f>
        <v>1</v>
      </c>
      <c r="J2330" s="4">
        <f ca="1">IFERROR(__xludf.UNSUPPORTED("""COMPUTED_VALUE"""),44896.4256944444)</f>
        <v>44896.425694444399</v>
      </c>
    </row>
    <row r="2331" spans="1:10" ht="12.75">
      <c r="A2331" s="3" t="str">
        <f ca="1">IFERROR(__xludf.UNSUPPORTED("""COMPUTED_VALUE"""),"0fc7ab0d")</f>
        <v>0fc7ab0d</v>
      </c>
      <c r="B2331" s="4">
        <f ca="1">IFERROR(__xludf.UNSUPPORTED("""COMPUTED_VALUE"""),44897.3937962962)</f>
        <v>44897.393796296201</v>
      </c>
      <c r="C2331" s="7" t="str">
        <f ca="1">IFERROR(__xludf.UNSUPPORTED("""COMPUTED_VALUE"""),"Santarém")</f>
        <v>Santarém</v>
      </c>
      <c r="D2331" s="3" t="str">
        <f ca="1">IFERROR(__xludf.UNSUPPORTED("""COMPUTED_VALUE"""),"🚢 REGULAR")</f>
        <v>🚢 REGULAR</v>
      </c>
      <c r="E2331" s="3" t="str">
        <f ca="1">IFERROR(__xludf.UNSUPPORTED("""COMPUTED_VALUE"""),"🚛 LIBERADO")</f>
        <v>🚛 LIBERADO</v>
      </c>
      <c r="F2331" s="5">
        <f ca="1">IFERROR(__xludf.UNSUPPORTED("""COMPUTED_VALUE"""),0)</f>
        <v>0</v>
      </c>
      <c r="G2331" s="3" t="str">
        <f ca="1">IFERROR(__xludf.UNSUPPORTED("""COMPUTED_VALUE"""),"Normalidade")</f>
        <v>Normalidade</v>
      </c>
      <c r="H2331" s="4">
        <f ca="1">IFERROR(__xludf.UNSUPPORTED("""COMPUTED_VALUE"""),44897.3513888888)</f>
        <v>44897.351388888797</v>
      </c>
      <c r="I2331" s="3">
        <f ca="1">IFERROR(__xludf.UNSUPPORTED("""COMPUTED_VALUE"""),1)</f>
        <v>1</v>
      </c>
      <c r="J2331" s="4">
        <f ca="1">IFERROR(__xludf.UNSUPPORTED("""COMPUTED_VALUE"""),44897.3930555555)</f>
        <v>44897.393055555498</v>
      </c>
    </row>
    <row r="2332" spans="1:10" ht="12.75">
      <c r="A2332" s="3" t="str">
        <f ca="1">IFERROR(__xludf.UNSUPPORTED("""COMPUTED_VALUE"""),"62c26f4a")</f>
        <v>62c26f4a</v>
      </c>
      <c r="B2332" s="4">
        <f ca="1">IFERROR(__xludf.UNSUPPORTED("""COMPUTED_VALUE"""),44899.3298726851)</f>
        <v>44899.329872685099</v>
      </c>
      <c r="C2332" s="7" t="str">
        <f ca="1">IFERROR(__xludf.UNSUPPORTED("""COMPUTED_VALUE"""),"Santarém")</f>
        <v>Santarém</v>
      </c>
      <c r="D2332" s="3" t="str">
        <f ca="1">IFERROR(__xludf.UNSUPPORTED("""COMPUTED_VALUE"""),"🚢 REGULAR")</f>
        <v>🚢 REGULAR</v>
      </c>
      <c r="E2332" s="3" t="str">
        <f ca="1">IFERROR(__xludf.UNSUPPORTED("""COMPUTED_VALUE"""),"🚛 LIBERADO")</f>
        <v>🚛 LIBERADO</v>
      </c>
      <c r="F2332" s="5">
        <f ca="1">IFERROR(__xludf.UNSUPPORTED("""COMPUTED_VALUE"""),0)</f>
        <v>0</v>
      </c>
      <c r="G2332" s="3" t="str">
        <f ca="1">IFERROR(__xludf.UNSUPPORTED("""COMPUTED_VALUE"""),"Normalidade")</f>
        <v>Normalidade</v>
      </c>
      <c r="H2332" s="4">
        <f ca="1">IFERROR(__xludf.UNSUPPORTED("""COMPUTED_VALUE"""),44899.2875)</f>
        <v>44899.287499999999</v>
      </c>
      <c r="I2332" s="3">
        <f ca="1">IFERROR(__xludf.UNSUPPORTED("""COMPUTED_VALUE"""),1)</f>
        <v>1</v>
      </c>
      <c r="J2332" s="4">
        <f ca="1">IFERROR(__xludf.UNSUPPORTED("""COMPUTED_VALUE"""),44899.3291666666)</f>
        <v>44899.329166666597</v>
      </c>
    </row>
    <row r="2333" spans="1:10" ht="12.75">
      <c r="A2333" s="3" t="str">
        <f ca="1">IFERROR(__xludf.UNSUPPORTED("""COMPUTED_VALUE"""),"a778de42")</f>
        <v>a778de42</v>
      </c>
      <c r="B2333" s="4">
        <f ca="1">IFERROR(__xludf.UNSUPPORTED("""COMPUTED_VALUE"""),44900.3284953703)</f>
        <v>44900.328495370297</v>
      </c>
      <c r="C2333" s="7" t="str">
        <f ca="1">IFERROR(__xludf.UNSUPPORTED("""COMPUTED_VALUE"""),"Santarém")</f>
        <v>Santarém</v>
      </c>
      <c r="D2333" s="3" t="str">
        <f ca="1">IFERROR(__xludf.UNSUPPORTED("""COMPUTED_VALUE"""),"🚢 REGULAR")</f>
        <v>🚢 REGULAR</v>
      </c>
      <c r="E2333" s="3" t="str">
        <f ca="1">IFERROR(__xludf.UNSUPPORTED("""COMPUTED_VALUE"""),"🚛 LIBERADO")</f>
        <v>🚛 LIBERADO</v>
      </c>
      <c r="F2333" s="5">
        <f ca="1">IFERROR(__xludf.UNSUPPORTED("""COMPUTED_VALUE"""),0)</f>
        <v>0</v>
      </c>
      <c r="G2333" s="3" t="str">
        <f ca="1">IFERROR(__xludf.UNSUPPORTED("""COMPUTED_VALUE"""),"Sem ocorrências")</f>
        <v>Sem ocorrências</v>
      </c>
      <c r="H2333" s="4">
        <f ca="1">IFERROR(__xludf.UNSUPPORTED("""COMPUTED_VALUE"""),44900.3284953703)</f>
        <v>44900.328495370297</v>
      </c>
      <c r="I2333" s="3">
        <f ca="1">IFERROR(__xludf.UNSUPPORTED("""COMPUTED_VALUE"""),1)</f>
        <v>1</v>
      </c>
      <c r="J2333" s="4">
        <f ca="1">IFERROR(__xludf.UNSUPPORTED("""COMPUTED_VALUE"""),44900.370162037)</f>
        <v>44900.370162036997</v>
      </c>
    </row>
    <row r="2334" spans="1:10" ht="12.75">
      <c r="A2334" s="3" t="str">
        <f ca="1">IFERROR(__xludf.UNSUPPORTED("""COMPUTED_VALUE"""),"0039cea0")</f>
        <v>0039cea0</v>
      </c>
      <c r="B2334" s="4">
        <f ca="1">IFERROR(__xludf.UNSUPPORTED("""COMPUTED_VALUE"""),44901.5648148148)</f>
        <v>44901.564814814803</v>
      </c>
      <c r="C2334" s="7" t="str">
        <f ca="1">IFERROR(__xludf.UNSUPPORTED("""COMPUTED_VALUE"""),"Santarém")</f>
        <v>Santarém</v>
      </c>
      <c r="D2334" s="3" t="str">
        <f ca="1">IFERROR(__xludf.UNSUPPORTED("""COMPUTED_VALUE"""),"🚢 REGULAR")</f>
        <v>🚢 REGULAR</v>
      </c>
      <c r="E2334" s="3" t="str">
        <f ca="1">IFERROR(__xludf.UNSUPPORTED("""COMPUTED_VALUE"""),"🚛 LIBERADO")</f>
        <v>🚛 LIBERADO</v>
      </c>
      <c r="F2334" s="5">
        <f ca="1">IFERROR(__xludf.UNSUPPORTED("""COMPUTED_VALUE"""),0)</f>
        <v>0</v>
      </c>
      <c r="G2334" s="3" t="str">
        <f ca="1">IFERROR(__xludf.UNSUPPORTED("""COMPUTED_VALUE"""),"Sem ocorrências")</f>
        <v>Sem ocorrências</v>
      </c>
      <c r="H2334" s="4">
        <f ca="1">IFERROR(__xludf.UNSUPPORTED("""COMPUTED_VALUE"""),44901.5648148148)</f>
        <v>44901.564814814803</v>
      </c>
      <c r="I2334" s="3">
        <f ca="1">IFERROR(__xludf.UNSUPPORTED("""COMPUTED_VALUE"""),1)</f>
        <v>1</v>
      </c>
      <c r="J2334" s="4">
        <f ca="1">IFERROR(__xludf.UNSUPPORTED("""COMPUTED_VALUE"""),44901.6064814814)</f>
        <v>44901.606481481402</v>
      </c>
    </row>
    <row r="2335" spans="1:10" ht="12.75">
      <c r="A2335" s="3" t="str">
        <f ca="1">IFERROR(__xludf.UNSUPPORTED("""COMPUTED_VALUE"""),"6971e9b3")</f>
        <v>6971e9b3</v>
      </c>
      <c r="B2335" s="4">
        <f ca="1">IFERROR(__xludf.UNSUPPORTED("""COMPUTED_VALUE"""),44902.4369560185)</f>
        <v>44902.4369560185</v>
      </c>
      <c r="C2335" s="7" t="str">
        <f ca="1">IFERROR(__xludf.UNSUPPORTED("""COMPUTED_VALUE"""),"Santarém")</f>
        <v>Santarém</v>
      </c>
      <c r="D2335" s="3" t="str">
        <f ca="1">IFERROR(__xludf.UNSUPPORTED("""COMPUTED_VALUE"""),"🚢 REGULAR")</f>
        <v>🚢 REGULAR</v>
      </c>
      <c r="E2335" s="3" t="str">
        <f ca="1">IFERROR(__xludf.UNSUPPORTED("""COMPUTED_VALUE"""),"🚛 LIBERADO")</f>
        <v>🚛 LIBERADO</v>
      </c>
      <c r="F2335" s="5">
        <f ca="1">IFERROR(__xludf.UNSUPPORTED("""COMPUTED_VALUE"""),0)</f>
        <v>0</v>
      </c>
      <c r="G2335" s="3" t="str">
        <f ca="1">IFERROR(__xludf.UNSUPPORTED("""COMPUTED_VALUE"""),"Sem ocorrências")</f>
        <v>Sem ocorrências</v>
      </c>
      <c r="H2335" s="4">
        <f ca="1">IFERROR(__xludf.UNSUPPORTED("""COMPUTED_VALUE"""),44902.4369560185)</f>
        <v>44902.4369560185</v>
      </c>
      <c r="I2335" s="3">
        <f ca="1">IFERROR(__xludf.UNSUPPORTED("""COMPUTED_VALUE"""),1)</f>
        <v>1</v>
      </c>
      <c r="J2335" s="4">
        <f ca="1">IFERROR(__xludf.UNSUPPORTED("""COMPUTED_VALUE"""),44902.4786226851)</f>
        <v>44902.478622685099</v>
      </c>
    </row>
    <row r="2336" spans="1:10" ht="12.75">
      <c r="A2336" s="3" t="str">
        <f ca="1">IFERROR(__xludf.UNSUPPORTED("""COMPUTED_VALUE"""),"537195fc")</f>
        <v>537195fc</v>
      </c>
      <c r="B2336" s="4">
        <f ca="1">IFERROR(__xludf.UNSUPPORTED("""COMPUTED_VALUE"""),44903.3561921296)</f>
        <v>44903.356192129599</v>
      </c>
      <c r="C2336" s="7" t="str">
        <f ca="1">IFERROR(__xludf.UNSUPPORTED("""COMPUTED_VALUE"""),"Santarém")</f>
        <v>Santarém</v>
      </c>
      <c r="D2336" s="3" t="str">
        <f ca="1">IFERROR(__xludf.UNSUPPORTED("""COMPUTED_VALUE"""),"🚢 REGULAR")</f>
        <v>🚢 REGULAR</v>
      </c>
      <c r="E2336" s="3" t="str">
        <f ca="1">IFERROR(__xludf.UNSUPPORTED("""COMPUTED_VALUE"""),"🚛 LIBERADO")</f>
        <v>🚛 LIBERADO</v>
      </c>
      <c r="F2336" s="5">
        <f ca="1">IFERROR(__xludf.UNSUPPORTED("""COMPUTED_VALUE"""),0)</f>
        <v>0</v>
      </c>
      <c r="G2336" s="3" t="str">
        <f ca="1">IFERROR(__xludf.UNSUPPORTED("""COMPUTED_VALUE"""),"Sem ocorrências provocadas por paralisações nas rodovias de acesso")</f>
        <v>Sem ocorrências provocadas por paralisações nas rodovias de acesso</v>
      </c>
      <c r="H2336" s="4">
        <f ca="1">IFERROR(__xludf.UNSUPPORTED("""COMPUTED_VALUE"""),44903.3561921296)</f>
        <v>44903.356192129599</v>
      </c>
      <c r="I2336" s="3">
        <f ca="1">IFERROR(__xludf.UNSUPPORTED("""COMPUTED_VALUE"""),1)</f>
        <v>1</v>
      </c>
      <c r="J2336" s="4">
        <f ca="1">IFERROR(__xludf.UNSUPPORTED("""COMPUTED_VALUE"""),44903.3978587962)</f>
        <v>44903.397858796197</v>
      </c>
    </row>
    <row r="2337" spans="1:12" ht="12.75">
      <c r="A2337" s="3" t="str">
        <f ca="1">IFERROR(__xludf.UNSUPPORTED("""COMPUTED_VALUE"""),"6aa03ea6")</f>
        <v>6aa03ea6</v>
      </c>
      <c r="B2337" s="4">
        <f ca="1">IFERROR(__xludf.UNSUPPORTED("""COMPUTED_VALUE"""),44905.4535416666)</f>
        <v>44905.453541666597</v>
      </c>
      <c r="C2337" s="7" t="str">
        <f ca="1">IFERROR(__xludf.UNSUPPORTED("""COMPUTED_VALUE"""),"Santarém")</f>
        <v>Santarém</v>
      </c>
      <c r="D2337" s="3" t="str">
        <f ca="1">IFERROR(__xludf.UNSUPPORTED("""COMPUTED_VALUE"""),"🚢 REGULAR")</f>
        <v>🚢 REGULAR</v>
      </c>
      <c r="E2337" s="3" t="str">
        <f ca="1">IFERROR(__xludf.UNSUPPORTED("""COMPUTED_VALUE"""),"🚛 LIBERADO")</f>
        <v>🚛 LIBERADO</v>
      </c>
      <c r="F2337" s="5">
        <f ca="1">IFERROR(__xludf.UNSUPPORTED("""COMPUTED_VALUE"""),0)</f>
        <v>0</v>
      </c>
      <c r="G2337" s="3" t="str">
        <f ca="1">IFERROR(__xludf.UNSUPPORTED("""COMPUTED_VALUE"""),"Sem ocorrências em face de suposta paralisações rodoviárias")</f>
        <v>Sem ocorrências em face de suposta paralisações rodoviárias</v>
      </c>
      <c r="H2337" s="4">
        <f ca="1">IFERROR(__xludf.UNSUPPORTED("""COMPUTED_VALUE"""),44905.4535416666)</f>
        <v>44905.453541666597</v>
      </c>
      <c r="I2337" s="3">
        <f ca="1">IFERROR(__xludf.UNSUPPORTED("""COMPUTED_VALUE"""),1)</f>
        <v>1</v>
      </c>
      <c r="J2337" s="4">
        <f ca="1">IFERROR(__xludf.UNSUPPORTED("""COMPUTED_VALUE"""),44905.4952083333)</f>
        <v>44905.495208333297</v>
      </c>
    </row>
    <row r="2338" spans="1:12" ht="12.75">
      <c r="A2338" s="3" t="str">
        <f ca="1">IFERROR(__xludf.UNSUPPORTED("""COMPUTED_VALUE"""),"62c4ed81")</f>
        <v>62c4ed81</v>
      </c>
      <c r="B2338" s="4">
        <f ca="1">IFERROR(__xludf.UNSUPPORTED("""COMPUTED_VALUE"""),44907.3253703703)</f>
        <v>44907.325370370301</v>
      </c>
      <c r="C2338" s="8" t="str">
        <f ca="1">IFERROR(__xludf.UNSUPPORTED("""COMPUTED_VALUE"""),"Santarém")</f>
        <v>Santarém</v>
      </c>
      <c r="D2338" s="3" t="str">
        <f ca="1">IFERROR(__xludf.UNSUPPORTED("""COMPUTED_VALUE"""),"🚢 REGULAR")</f>
        <v>🚢 REGULAR</v>
      </c>
      <c r="E2338" s="3" t="str">
        <f ca="1">IFERROR(__xludf.UNSUPPORTED("""COMPUTED_VALUE"""),"🚛 LIBERADO")</f>
        <v>🚛 LIBERADO</v>
      </c>
      <c r="F2338" s="5">
        <f ca="1">IFERROR(__xludf.UNSUPPORTED("""COMPUTED_VALUE"""),0)</f>
        <v>0</v>
      </c>
      <c r="G2338" s="3" t="str">
        <f ca="1">IFERROR(__xludf.UNSUPPORTED("""COMPUTED_VALUE"""),"Sem ocorrências em face de suposta paralisações rodoviárias")</f>
        <v>Sem ocorrências em face de suposta paralisações rodoviárias</v>
      </c>
      <c r="H2338" s="4">
        <f ca="1">IFERROR(__xludf.UNSUPPORTED("""COMPUTED_VALUE"""),44907.3253703703)</f>
        <v>44907.325370370301</v>
      </c>
      <c r="I2338" s="3">
        <f ca="1">IFERROR(__xludf.UNSUPPORTED("""COMPUTED_VALUE"""),1)</f>
        <v>1</v>
      </c>
      <c r="J2338" s="4">
        <f ca="1">IFERROR(__xludf.UNSUPPORTED("""COMPUTED_VALUE"""),44907.367037037)</f>
        <v>44907.367037037002</v>
      </c>
    </row>
    <row r="2339" spans="1:12" ht="12.75">
      <c r="A2339" s="3" t="str">
        <f ca="1">IFERROR(__xludf.UNSUPPORTED("""COMPUTED_VALUE"""),"92a63f3a")</f>
        <v>92a63f3a</v>
      </c>
      <c r="B2339" s="4">
        <f ca="1">IFERROR(__xludf.UNSUPPORTED("""COMPUTED_VALUE"""),44921.5825925925)</f>
        <v>44921.582592592502</v>
      </c>
      <c r="C2339" s="7" t="str">
        <f ca="1">IFERROR(__xludf.UNSUPPORTED("""COMPUTED_VALUE"""),"Santarém")</f>
        <v>Santarém</v>
      </c>
      <c r="D2339" s="3" t="str">
        <f ca="1">IFERROR(__xludf.UNSUPPORTED("""COMPUTED_VALUE"""),"🚢 REGULAR")</f>
        <v>🚢 REGULAR</v>
      </c>
      <c r="E2339" s="3" t="str">
        <f ca="1">IFERROR(__xludf.UNSUPPORTED("""COMPUTED_VALUE"""),"🚛 LIBERADO")</f>
        <v>🚛 LIBERADO</v>
      </c>
      <c r="F2339" s="5">
        <f ca="1">IFERROR(__xludf.UNSUPPORTED("""COMPUTED_VALUE"""),0)</f>
        <v>0</v>
      </c>
      <c r="G2339" s="3" t="str">
        <f ca="1">IFERROR(__xludf.UNSUPPORTED("""COMPUTED_VALUE"""),"Sem registros de paralisações")</f>
        <v>Sem registros de paralisações</v>
      </c>
      <c r="H2339" s="4">
        <f ca="1">IFERROR(__xludf.UNSUPPORTED("""COMPUTED_VALUE"""),44921.5825925925)</f>
        <v>44921.582592592502</v>
      </c>
      <c r="I2339" s="3">
        <f ca="1">IFERROR(__xludf.UNSUPPORTED("""COMPUTED_VALUE"""),1)</f>
        <v>1</v>
      </c>
      <c r="J2339" s="4">
        <f ca="1">IFERROR(__xludf.UNSUPPORTED("""COMPUTED_VALUE"""),44921.6242592592)</f>
        <v>44921.624259259203</v>
      </c>
    </row>
    <row r="2340" spans="1:12" ht="12.75">
      <c r="A2340" s="3" t="str">
        <f ca="1">IFERROR(__xludf.UNSUPPORTED("""COMPUTED_VALUE"""),"9b2d76ae")</f>
        <v>9b2d76ae</v>
      </c>
      <c r="B2340" s="4">
        <f ca="1">IFERROR(__xludf.UNSUPPORTED("""COMPUTED_VALUE"""),44923.6120717592)</f>
        <v>44923.612071759198</v>
      </c>
      <c r="C2340" s="8" t="str">
        <f ca="1">IFERROR(__xludf.UNSUPPORTED("""COMPUTED_VALUE"""),"Santarém")</f>
        <v>Santarém</v>
      </c>
      <c r="D2340" s="3" t="str">
        <f ca="1">IFERROR(__xludf.UNSUPPORTED("""COMPUTED_VALUE"""),"🚢 REGULAR")</f>
        <v>🚢 REGULAR</v>
      </c>
      <c r="E2340" s="3" t="str">
        <f ca="1">IFERROR(__xludf.UNSUPPORTED("""COMPUTED_VALUE"""),"🚛 LIBERADO")</f>
        <v>🚛 LIBERADO</v>
      </c>
      <c r="F2340" s="5">
        <f ca="1">IFERROR(__xludf.UNSUPPORTED("""COMPUTED_VALUE"""),0)</f>
        <v>0</v>
      </c>
      <c r="G2340" s="3" t="str">
        <f ca="1">IFERROR(__xludf.UNSUPPORTED("""COMPUTED_VALUE"""),"Sem ocorrências")</f>
        <v>Sem ocorrências</v>
      </c>
      <c r="H2340" s="4">
        <f ca="1">IFERROR(__xludf.UNSUPPORTED("""COMPUTED_VALUE"""),44923.6120717592)</f>
        <v>44923.612071759198</v>
      </c>
      <c r="I2340" s="3">
        <f ca="1">IFERROR(__xludf.UNSUPPORTED("""COMPUTED_VALUE"""),1)</f>
        <v>1</v>
      </c>
      <c r="J2340" s="4">
        <f ca="1">IFERROR(__xludf.UNSUPPORTED("""COMPUTED_VALUE"""),44923.6537384259)</f>
        <v>44923.653738425899</v>
      </c>
    </row>
    <row r="2341" spans="1:12" ht="12.75">
      <c r="A2341" s="3" t="str">
        <f ca="1">IFERROR(__xludf.UNSUPPORTED("""COMPUTED_VALUE"""),"488ce1bb")</f>
        <v>488ce1bb</v>
      </c>
      <c r="B2341" s="4">
        <f ca="1">IFERROR(__xludf.UNSUPPORTED("""COMPUTED_VALUE"""),44932.5386689814)</f>
        <v>44932.538668981397</v>
      </c>
      <c r="C2341" s="7" t="str">
        <f ca="1">IFERROR(__xludf.UNSUPPORTED("""COMPUTED_VALUE"""),"Santarém")</f>
        <v>Santarém</v>
      </c>
      <c r="D2341" s="3" t="str">
        <f ca="1">IFERROR(__xludf.UNSUPPORTED("""COMPUTED_VALUE"""),"🚢 REGULAR")</f>
        <v>🚢 REGULAR</v>
      </c>
      <c r="E2341" s="3" t="str">
        <f ca="1">IFERROR(__xludf.UNSUPPORTED("""COMPUTED_VALUE"""),"🚛 LIBERADO")</f>
        <v>🚛 LIBERADO</v>
      </c>
      <c r="F2341" s="5">
        <f ca="1">IFERROR(__xludf.UNSUPPORTED("""COMPUTED_VALUE"""),0)</f>
        <v>0</v>
      </c>
      <c r="G2341" s="3" t="str">
        <f ca="1">IFERROR(__xludf.UNSUPPORTED("""COMPUTED_VALUE"""),"Normalidade")</f>
        <v>Normalidade</v>
      </c>
      <c r="H2341" s="4">
        <f ca="1">IFERROR(__xludf.UNSUPPORTED("""COMPUTED_VALUE"""),44932.5386689814)</f>
        <v>44932.538668981397</v>
      </c>
      <c r="I2341" s="3">
        <f ca="1">IFERROR(__xludf.UNSUPPORTED("""COMPUTED_VALUE"""),24)</f>
        <v>24</v>
      </c>
      <c r="J2341" s="4">
        <f ca="1">IFERROR(__xludf.UNSUPPORTED("""COMPUTED_VALUE"""),44933.5386689814)</f>
        <v>44933.538668981397</v>
      </c>
      <c r="L2341" s="3" t="str">
        <f ca="1">IFERROR(__xludf.UNSUPPORTED("""COMPUTED_VALUE"""),"Normalidade")</f>
        <v>Normalidade</v>
      </c>
    </row>
    <row r="2342" spans="1:12" ht="12.75">
      <c r="A2342" s="3" t="str">
        <f ca="1">IFERROR(__xludf.UNSUPPORTED("""COMPUTED_VALUE"""),"2b0c95be")</f>
        <v>2b0c95be</v>
      </c>
      <c r="B2342" s="4">
        <f ca="1">IFERROR(__xludf.UNSUPPORTED("""COMPUTED_VALUE"""),44935.3892013888)</f>
        <v>44935.389201388803</v>
      </c>
      <c r="C2342" s="7" t="str">
        <f ca="1">IFERROR(__xludf.UNSUPPORTED("""COMPUTED_VALUE"""),"Santarém")</f>
        <v>Santarém</v>
      </c>
      <c r="D2342" s="3" t="str">
        <f ca="1">IFERROR(__xludf.UNSUPPORTED("""COMPUTED_VALUE"""),"🚢 REGULAR")</f>
        <v>🚢 REGULAR</v>
      </c>
      <c r="E2342" s="3" t="str">
        <f ca="1">IFERROR(__xludf.UNSUPPORTED("""COMPUTED_VALUE"""),"🚛 LIBERADO")</f>
        <v>🚛 LIBERADO</v>
      </c>
      <c r="F2342" s="5">
        <f ca="1">IFERROR(__xludf.UNSUPPORTED("""COMPUTED_VALUE"""),0)</f>
        <v>0</v>
      </c>
      <c r="G2342" s="3" t="str">
        <f ca="1">IFERROR(__xludf.UNSUPPORTED("""COMPUTED_VALUE"""),"Normalidade")</f>
        <v>Normalidade</v>
      </c>
      <c r="H2342" s="4">
        <f ca="1">IFERROR(__xludf.UNSUPPORTED("""COMPUTED_VALUE"""),44935.3892013888)</f>
        <v>44935.389201388803</v>
      </c>
      <c r="I2342" s="3">
        <f ca="1">IFERROR(__xludf.UNSUPPORTED("""COMPUTED_VALUE"""),24)</f>
        <v>24</v>
      </c>
      <c r="J2342" s="4">
        <f ca="1">IFERROR(__xludf.UNSUPPORTED("""COMPUTED_VALUE"""),44936.3892013888)</f>
        <v>44936.389201388803</v>
      </c>
      <c r="L2342" s="3" t="str">
        <f ca="1">IFERROR(__xludf.UNSUPPORTED("""COMPUTED_VALUE"""),"Normalidade")</f>
        <v>Normalidade</v>
      </c>
    </row>
    <row r="2343" spans="1:12" ht="12.75">
      <c r="A2343" s="3" t="str">
        <f ca="1">IFERROR(__xludf.UNSUPPORTED("""COMPUTED_VALUE"""),"f1d0172e")</f>
        <v>f1d0172e</v>
      </c>
      <c r="B2343" s="4">
        <f ca="1">IFERROR(__xludf.UNSUPPORTED("""COMPUTED_VALUE"""),44935.4392129629)</f>
        <v>44935.439212962898</v>
      </c>
      <c r="C2343" s="8" t="str">
        <f ca="1">IFERROR(__xludf.UNSUPPORTED("""COMPUTED_VALUE"""),"Santarém")</f>
        <v>Santarém</v>
      </c>
      <c r="D2343" s="3" t="str">
        <f ca="1">IFERROR(__xludf.UNSUPPORTED("""COMPUTED_VALUE"""),"🚢 REGULAR")</f>
        <v>🚢 REGULAR</v>
      </c>
      <c r="E2343" s="3" t="str">
        <f ca="1">IFERROR(__xludf.UNSUPPORTED("""COMPUTED_VALUE"""),"🚛 LIBERADO")</f>
        <v>🚛 LIBERADO</v>
      </c>
      <c r="F2343" s="5">
        <f ca="1">IFERROR(__xludf.UNSUPPORTED("""COMPUTED_VALUE"""),0)</f>
        <v>0</v>
      </c>
      <c r="G2343" s="3" t="str">
        <f ca="1">IFERROR(__xludf.UNSUPPORTED("""COMPUTED_VALUE"""),"Normalidade")</f>
        <v>Normalidade</v>
      </c>
      <c r="H2343" s="4">
        <f ca="1">IFERROR(__xludf.UNSUPPORTED("""COMPUTED_VALUE"""),44935.3555555555)</f>
        <v>44935.355555555499</v>
      </c>
      <c r="I2343" s="3">
        <f ca="1">IFERROR(__xludf.UNSUPPORTED("""COMPUTED_VALUE"""),1)</f>
        <v>1</v>
      </c>
      <c r="J2343" s="4">
        <f ca="1">IFERROR(__xludf.UNSUPPORTED("""COMPUTED_VALUE"""),44935.3972222222)</f>
        <v>44935.3972222222</v>
      </c>
      <c r="L2343" s="3" t="str">
        <f ca="1">IFERROR(__xludf.UNSUPPORTED("""COMPUTED_VALUE"""),"Crítico")</f>
        <v>Crítico</v>
      </c>
    </row>
    <row r="2344" spans="1:12" ht="12.75">
      <c r="A2344" s="3" t="str">
        <f ca="1">IFERROR(__xludf.UNSUPPORTED("""COMPUTED_VALUE"""),"4338f508")</f>
        <v>4338f508</v>
      </c>
      <c r="B2344" s="4">
        <f ca="1">IFERROR(__xludf.UNSUPPORTED("""COMPUTED_VALUE"""),44942.6273611111)</f>
        <v>44942.627361111103</v>
      </c>
      <c r="C2344" s="8" t="str">
        <f ca="1">IFERROR(__xludf.UNSUPPORTED("""COMPUTED_VALUE"""),"Santarém")</f>
        <v>Santarém</v>
      </c>
      <c r="D2344" s="3" t="str">
        <f ca="1">IFERROR(__xludf.UNSUPPORTED("""COMPUTED_VALUE"""),"🚢 REGULAR")</f>
        <v>🚢 REGULAR</v>
      </c>
      <c r="E2344" s="3" t="str">
        <f ca="1">IFERROR(__xludf.UNSUPPORTED("""COMPUTED_VALUE"""),"🚛 LIBERADO")</f>
        <v>🚛 LIBERADO</v>
      </c>
      <c r="F2344" s="5">
        <f ca="1">IFERROR(__xludf.UNSUPPORTED("""COMPUTED_VALUE"""),0)</f>
        <v>0</v>
      </c>
      <c r="G2344" s="3" t="str">
        <f ca="1">IFERROR(__xludf.UNSUPPORTED("""COMPUTED_VALUE"""),"Normalidade")</f>
        <v>Normalidade</v>
      </c>
      <c r="H2344" s="4">
        <f ca="1">IFERROR(__xludf.UNSUPPORTED("""COMPUTED_VALUE"""),44942.6273611111)</f>
        <v>44942.627361111103</v>
      </c>
      <c r="I2344" s="3">
        <f ca="1">IFERROR(__xludf.UNSUPPORTED("""COMPUTED_VALUE"""),24)</f>
        <v>24</v>
      </c>
      <c r="J2344" s="4">
        <f ca="1">IFERROR(__xludf.UNSUPPORTED("""COMPUTED_VALUE"""),44943.6273611111)</f>
        <v>44943.627361111103</v>
      </c>
    </row>
    <row r="2345" spans="1:12" ht="12.75">
      <c r="A2345" s="3" t="str">
        <f ca="1">IFERROR(__xludf.UNSUPPORTED("""COMPUTED_VALUE"""),"1594124f")</f>
        <v>1594124f</v>
      </c>
      <c r="B2345" s="4">
        <f ca="1">IFERROR(__xludf.UNSUPPORTED("""COMPUTED_VALUE"""),44943.8883564814)</f>
        <v>44943.888356481402</v>
      </c>
      <c r="C2345" s="8" t="str">
        <f ca="1">IFERROR(__xludf.UNSUPPORTED("""COMPUTED_VALUE"""),"Santarém")</f>
        <v>Santarém</v>
      </c>
      <c r="D2345" s="3" t="str">
        <f ca="1">IFERROR(__xludf.UNSUPPORTED("""COMPUTED_VALUE"""),"🚢 REGULAR")</f>
        <v>🚢 REGULAR</v>
      </c>
      <c r="E2345" s="3" t="str">
        <f ca="1">IFERROR(__xludf.UNSUPPORTED("""COMPUTED_VALUE"""),"🚛 LIBERADO")</f>
        <v>🚛 LIBERADO</v>
      </c>
      <c r="F2345" s="5">
        <f ca="1">IFERROR(__xludf.UNSUPPORTED("""COMPUTED_VALUE"""),0)</f>
        <v>0</v>
      </c>
      <c r="G2345" s="3" t="str">
        <f ca="1">IFERROR(__xludf.UNSUPPORTED("""COMPUTED_VALUE"""),"Normalidade")</f>
        <v>Normalidade</v>
      </c>
      <c r="H2345" s="4">
        <f ca="1">IFERROR(__xludf.UNSUPPORTED("""COMPUTED_VALUE"""),44943.8883564814)</f>
        <v>44943.888356481402</v>
      </c>
      <c r="I2345" s="3">
        <f ca="1">IFERROR(__xludf.UNSUPPORTED("""COMPUTED_VALUE"""),24)</f>
        <v>24</v>
      </c>
      <c r="J2345" s="4">
        <f ca="1">IFERROR(__xludf.UNSUPPORTED("""COMPUTED_VALUE"""),44944.8883564814)</f>
        <v>44944.888356481402</v>
      </c>
    </row>
    <row r="2346" spans="1:12" ht="12.75">
      <c r="A2346" s="3" t="str">
        <f ca="1">IFERROR(__xludf.UNSUPPORTED("""COMPUTED_VALUE"""),"457fc000")</f>
        <v>457fc000</v>
      </c>
      <c r="B2346" s="4">
        <f ca="1">IFERROR(__xludf.UNSUPPORTED("""COMPUTED_VALUE"""),44945.7122916666)</f>
        <v>44945.712291666598</v>
      </c>
      <c r="C2346" s="7" t="str">
        <f ca="1">IFERROR(__xludf.UNSUPPORTED("""COMPUTED_VALUE"""),"Santarém")</f>
        <v>Santarém</v>
      </c>
      <c r="D2346" s="3" t="str">
        <f ca="1">IFERROR(__xludf.UNSUPPORTED("""COMPUTED_VALUE"""),"🚢 REGULAR")</f>
        <v>🚢 REGULAR</v>
      </c>
      <c r="E2346" s="3" t="str">
        <f ca="1">IFERROR(__xludf.UNSUPPORTED("""COMPUTED_VALUE"""),"🚛 LIBERADO")</f>
        <v>🚛 LIBERADO</v>
      </c>
      <c r="F2346" s="5">
        <f ca="1">IFERROR(__xludf.UNSUPPORTED("""COMPUTED_VALUE"""),0)</f>
        <v>0</v>
      </c>
      <c r="G2346" s="3" t="str">
        <f ca="1">IFERROR(__xludf.UNSUPPORTED("""COMPUTED_VALUE"""),"Normalidade")</f>
        <v>Normalidade</v>
      </c>
      <c r="H2346" s="4">
        <f ca="1">IFERROR(__xludf.UNSUPPORTED("""COMPUTED_VALUE"""),44945.7122916666)</f>
        <v>44945.712291666598</v>
      </c>
      <c r="I2346" s="3">
        <f ca="1">IFERROR(__xludf.UNSUPPORTED("""COMPUTED_VALUE"""),24)</f>
        <v>24</v>
      </c>
      <c r="J2346" s="4">
        <f ca="1">IFERROR(__xludf.UNSUPPORTED("""COMPUTED_VALUE"""),44946.7122916666)</f>
        <v>44946.712291666598</v>
      </c>
    </row>
    <row r="2347" spans="1:12" ht="12.75">
      <c r="A2347" s="3" t="str">
        <f ca="1">IFERROR(__xludf.UNSUPPORTED("""COMPUTED_VALUE"""),"a69e6541")</f>
        <v>a69e6541</v>
      </c>
      <c r="B2347" s="4">
        <f ca="1">IFERROR(__xludf.UNSUPPORTED("""COMPUTED_VALUE"""),44951.7652662037)</f>
        <v>44951.7652662037</v>
      </c>
      <c r="C2347" s="7" t="str">
        <f ca="1">IFERROR(__xludf.UNSUPPORTED("""COMPUTED_VALUE"""),"Santarém")</f>
        <v>Santarém</v>
      </c>
      <c r="D2347" s="3" t="str">
        <f ca="1">IFERROR(__xludf.UNSUPPORTED("""COMPUTED_VALUE"""),"🚢 REGULAR")</f>
        <v>🚢 REGULAR</v>
      </c>
      <c r="E2347" s="3" t="str">
        <f ca="1">IFERROR(__xludf.UNSUPPORTED("""COMPUTED_VALUE"""),"🚛 LIBERADO")</f>
        <v>🚛 LIBERADO</v>
      </c>
      <c r="F2347" s="5">
        <f ca="1">IFERROR(__xludf.UNSUPPORTED("""COMPUTED_VALUE"""),0)</f>
        <v>0</v>
      </c>
      <c r="G2347" s="3" t="str">
        <f ca="1">IFERROR(__xludf.UNSUPPORTED("""COMPUTED_VALUE"""),"Normalidade")</f>
        <v>Normalidade</v>
      </c>
      <c r="H2347" s="4">
        <f ca="1">IFERROR(__xludf.UNSUPPORTED("""COMPUTED_VALUE"""),44951.7652662037)</f>
        <v>44951.7652662037</v>
      </c>
      <c r="I2347" s="3">
        <f ca="1">IFERROR(__xludf.UNSUPPORTED("""COMPUTED_VALUE"""),24)</f>
        <v>24</v>
      </c>
      <c r="J2347" s="4">
        <f ca="1">IFERROR(__xludf.UNSUPPORTED("""COMPUTED_VALUE"""),44952.7652662037)</f>
        <v>44952.7652662037</v>
      </c>
      <c r="L2347" s="3" t="str">
        <f ca="1">IFERROR(__xludf.UNSUPPORTED("""COMPUTED_VALUE"""),"Normalidade")</f>
        <v>Normalidade</v>
      </c>
    </row>
    <row r="2348" spans="1:12" ht="12.75">
      <c r="A2348" s="3" t="str">
        <f ca="1">IFERROR(__xludf.UNSUPPORTED("""COMPUTED_VALUE"""),"f1d4dc6f")</f>
        <v>f1d4dc6f</v>
      </c>
      <c r="B2348" s="4">
        <f ca="1">IFERROR(__xludf.UNSUPPORTED("""COMPUTED_VALUE"""),44956.6568171296)</f>
        <v>44956.656817129602</v>
      </c>
      <c r="C2348" s="7" t="str">
        <f ca="1">IFERROR(__xludf.UNSUPPORTED("""COMPUTED_VALUE"""),"Santarém")</f>
        <v>Santarém</v>
      </c>
      <c r="D2348" s="3" t="str">
        <f ca="1">IFERROR(__xludf.UNSUPPORTED("""COMPUTED_VALUE"""),"🚢 REGULAR")</f>
        <v>🚢 REGULAR</v>
      </c>
      <c r="E2348" s="3" t="str">
        <f ca="1">IFERROR(__xludf.UNSUPPORTED("""COMPUTED_VALUE"""),"🚛 LIBERADO")</f>
        <v>🚛 LIBERADO</v>
      </c>
      <c r="F2348" s="5">
        <f ca="1">IFERROR(__xludf.UNSUPPORTED("""COMPUTED_VALUE"""),0)</f>
        <v>0</v>
      </c>
      <c r="G2348" s="3" t="str">
        <f ca="1">IFERROR(__xludf.UNSUPPORTED("""COMPUTED_VALUE"""),"Normalidade")</f>
        <v>Normalidade</v>
      </c>
      <c r="H2348" s="4">
        <f ca="1">IFERROR(__xludf.UNSUPPORTED("""COMPUTED_VALUE"""),44956.6568171296)</f>
        <v>44956.656817129602</v>
      </c>
      <c r="I2348" s="3">
        <f ca="1">IFERROR(__xludf.UNSUPPORTED("""COMPUTED_VALUE"""),24)</f>
        <v>24</v>
      </c>
      <c r="J2348" s="4">
        <f ca="1">IFERROR(__xludf.UNSUPPORTED("""COMPUTED_VALUE"""),44957.6568171296)</f>
        <v>44957.656817129602</v>
      </c>
    </row>
    <row r="2349" spans="1:12" ht="12.75">
      <c r="A2349" s="3" t="str">
        <f ca="1">IFERROR(__xludf.UNSUPPORTED("""COMPUTED_VALUE"""),"5afe59d2")</f>
        <v>5afe59d2</v>
      </c>
      <c r="B2349" s="4">
        <f ca="1">IFERROR(__xludf.UNSUPPORTED("""COMPUTED_VALUE"""),45587.3366319444)</f>
        <v>45587.336631944403</v>
      </c>
      <c r="C2349" s="7" t="str">
        <f ca="1">IFERROR(__xludf.UNSUPPORTED("""COMPUTED_VALUE"""),"Santarém")</f>
        <v>Santarém</v>
      </c>
      <c r="D2349" s="3" t="str">
        <f ca="1">IFERROR(__xludf.UNSUPPORTED("""COMPUTED_VALUE"""),"🚢 REGULAR")</f>
        <v>🚢 REGULAR</v>
      </c>
      <c r="E2349" s="3" t="str">
        <f ca="1">IFERROR(__xludf.UNSUPPORTED("""COMPUTED_VALUE"""),"⛔️ BLOQUEADO")</f>
        <v>⛔️ BLOQUEADO</v>
      </c>
      <c r="F2349" s="5">
        <f ca="1">IFERROR(__xludf.UNSUPPORTED("""COMPUTED_VALUE"""),0.25)</f>
        <v>0.25</v>
      </c>
      <c r="G2349" s="3" t="str">
        <f ca="1">IFERROR(__xludf.UNSUPPORTED("""COMPUTED_VALUE"""),"A Avenida Cuiabá, principal via de acesso está bloqueada. No entanto, hoje, não está agendada operação do Porto Público.")</f>
        <v>A Avenida Cuiabá, principal via de acesso está bloqueada. No entanto, hoje, não está agendada operação do Porto Público.</v>
      </c>
      <c r="H2349" s="4">
        <f ca="1">IFERROR(__xludf.UNSUPPORTED("""COMPUTED_VALUE"""),45587.2916666666)</f>
        <v>45587.291666666599</v>
      </c>
      <c r="I2349" s="3">
        <f ca="1">IFERROR(__xludf.UNSUPPORTED("""COMPUTED_VALUE"""),1)</f>
        <v>1</v>
      </c>
      <c r="J2349" s="4">
        <f ca="1">IFERROR(__xludf.UNSUPPORTED("""COMPUTED_VALUE"""),45587.3333333333)</f>
        <v>45587.333333333299</v>
      </c>
      <c r="K2349" s="3" t="str">
        <f ca="1">IFERROR(__xludf.UNSUPPORTED("""COMPUTED_VALUE"""),"Nazaré, Supervisora Portuária do Porto de Santarém")</f>
        <v>Nazaré, Supervisora Portuária do Porto de Santarém</v>
      </c>
      <c r="L2349" s="3" t="str">
        <f ca="1">IFERROR(__xludf.UNSUPPORTED("""COMPUTED_VALUE"""),"Crítico")</f>
        <v>Crítico</v>
      </c>
    </row>
    <row r="2350" spans="1:12" ht="12.75">
      <c r="A2350" s="3" t="str">
        <f ca="1">IFERROR(__xludf.UNSUPPORTED("""COMPUTED_VALUE"""),"01d4e820")</f>
        <v>01d4e820</v>
      </c>
      <c r="B2350" s="4">
        <f ca="1">IFERROR(__xludf.UNSUPPORTED("""COMPUTED_VALUE"""),45587.3397685185)</f>
        <v>45587.339768518497</v>
      </c>
      <c r="C2350" s="8" t="str">
        <f ca="1">IFERROR(__xludf.UNSUPPORTED("""COMPUTED_VALUE"""),"Santarém")</f>
        <v>Santarém</v>
      </c>
      <c r="D2350" s="3" t="str">
        <f ca="1">IFERROR(__xludf.UNSUPPORTED("""COMPUTED_VALUE"""),"🚢 REGULAR")</f>
        <v>🚢 REGULAR</v>
      </c>
      <c r="E2350" s="3" t="str">
        <f ca="1">IFERROR(__xludf.UNSUPPORTED("""COMPUTED_VALUE"""),"⛔️ BLOQUEADO")</f>
        <v>⛔️ BLOQUEADO</v>
      </c>
      <c r="F2350" s="5">
        <f ca="1">IFERROR(__xludf.UNSUPPORTED("""COMPUTED_VALUE"""),0.25)</f>
        <v>0.25</v>
      </c>
      <c r="G2350" s="3" t="str">
        <f ca="1">IFERROR(__xludf.UNSUPPORTED("""COMPUTED_VALUE"""),"Via principal de acesso, avenida Cuiabá,  bloqueada. Não havia previsão de operação no Porto Público")</f>
        <v>Via principal de acesso, avenida Cuiabá,  bloqueada. Não havia previsão de operação no Porto Público</v>
      </c>
      <c r="H2350" s="4">
        <f ca="1">IFERROR(__xludf.UNSUPPORTED("""COMPUTED_VALUE"""),45587.2979166666)</f>
        <v>45587.297916666597</v>
      </c>
      <c r="I2350" s="3">
        <f ca="1">IFERROR(__xludf.UNSUPPORTED("""COMPUTED_VALUE"""),1)</f>
        <v>1</v>
      </c>
      <c r="J2350" s="4">
        <f ca="1">IFERROR(__xludf.UNSUPPORTED("""COMPUTED_VALUE"""),45587.3395833333)</f>
        <v>45587.339583333298</v>
      </c>
      <c r="K2350" s="3" t="str">
        <f ca="1">IFERROR(__xludf.UNSUPPORTED("""COMPUTED_VALUE"""),"Nazaré, Supervisora Portuária do Porto Santarém")</f>
        <v>Nazaré, Supervisora Portuária do Porto Santarém</v>
      </c>
      <c r="L2350" s="3" t="str">
        <f ca="1">IFERROR(__xludf.UNSUPPORTED("""COMPUTED_VALUE"""),"Crítico")</f>
        <v>Crítico</v>
      </c>
    </row>
    <row r="2351" spans="1:12" ht="12.75">
      <c r="A2351" s="3" t="str">
        <f ca="1">IFERROR(__xludf.UNSUPPORTED("""COMPUTED_VALUE"""),"b4f073dd")</f>
        <v>b4f073dd</v>
      </c>
      <c r="B2351" s="4">
        <f ca="1">IFERROR(__xludf.UNSUPPORTED("""COMPUTED_VALUE"""),45587.3434027777)</f>
        <v>45587.343402777697</v>
      </c>
      <c r="C2351" s="7" t="str">
        <f ca="1">IFERROR(__xludf.UNSUPPORTED("""COMPUTED_VALUE"""),"Santarém")</f>
        <v>Santarém</v>
      </c>
      <c r="D2351" s="3" t="str">
        <f ca="1">IFERROR(__xludf.UNSUPPORTED("""COMPUTED_VALUE"""),"🚢 REGULAR")</f>
        <v>🚢 REGULAR</v>
      </c>
      <c r="E2351" s="3" t="str">
        <f ca="1">IFERROR(__xludf.UNSUPPORTED("""COMPUTED_VALUE"""),"⛔️ BLOQUEADO")</f>
        <v>⛔️ BLOQUEADO</v>
      </c>
      <c r="F2351" s="5">
        <f ca="1">IFERROR(__xludf.UNSUPPORTED("""COMPUTED_VALUE"""),0.25)</f>
        <v>0.25</v>
      </c>
      <c r="G2351" s="3" t="str">
        <f ca="1">IFERROR(__xludf.UNSUPPORTED("""COMPUTED_VALUE"""),"BR 163 (via de acesso principal) bloqueada. Não há operação prevista para o porto público")</f>
        <v>BR 163 (via de acesso principal) bloqueada. Não há operação prevista para o porto público</v>
      </c>
      <c r="H2351" s="4">
        <f ca="1">IFERROR(__xludf.UNSUPPORTED("""COMPUTED_VALUE"""),45587.2916666666)</f>
        <v>45587.291666666599</v>
      </c>
      <c r="I2351" s="3">
        <f ca="1">IFERROR(__xludf.UNSUPPORTED("""COMPUTED_VALUE"""),1)</f>
        <v>1</v>
      </c>
      <c r="J2351" s="4">
        <f ca="1">IFERROR(__xludf.UNSUPPORTED("""COMPUTED_VALUE"""),45587.3333333333)</f>
        <v>45587.333333333299</v>
      </c>
      <c r="K2351" s="3" t="str">
        <f ca="1">IFERROR(__xludf.UNSUPPORTED("""COMPUTED_VALUE"""),"Maria de Nazaré,  Supervisora de Fiscalização de Operações de Santarém")</f>
        <v>Maria de Nazaré,  Supervisora de Fiscalização de Operações de Santarém</v>
      </c>
      <c r="L2351" s="3" t="str">
        <f ca="1">IFERROR(__xludf.UNSUPPORTED("""COMPUTED_VALUE"""),"Crítico")</f>
        <v>Crítico</v>
      </c>
    </row>
    <row r="2352" spans="1:12" ht="12.75">
      <c r="A2352" s="3" t="str">
        <f ca="1">IFERROR(__xludf.UNSUPPORTED("""COMPUTED_VALUE"""),"d389a3e9")</f>
        <v>d389a3e9</v>
      </c>
      <c r="B2352" s="4">
        <f ca="1">IFERROR(__xludf.UNSUPPORTED("""COMPUTED_VALUE"""),45587.3804050926)</f>
        <v>45587.380405092597</v>
      </c>
      <c r="C2352" s="7" t="str">
        <f ca="1">IFERROR(__xludf.UNSUPPORTED("""COMPUTED_VALUE"""),"Santarém")</f>
        <v>Santarém</v>
      </c>
      <c r="D2352" s="3" t="str">
        <f ca="1">IFERROR(__xludf.UNSUPPORTED("""COMPUTED_VALUE"""),"🚢 REGULAR")</f>
        <v>🚢 REGULAR</v>
      </c>
      <c r="E2352" s="3" t="str">
        <f ca="1">IFERROR(__xludf.UNSUPPORTED("""COMPUTED_VALUE"""),"⛔️ BLOQUEADO")</f>
        <v>⛔️ BLOQUEADO</v>
      </c>
      <c r="F2352" s="5">
        <f ca="1">IFERROR(__xludf.UNSUPPORTED("""COMPUTED_VALUE"""),0.25)</f>
        <v>0.25</v>
      </c>
      <c r="G2352" s="3" t="str">
        <f ca="1">IFERROR(__xludf.UNSUPPORTED("""COMPUTED_VALUE"""),"Via de acesso bloqueada (BR163). Não havia previsão de operação na presente data, por isso impacto da paralisação está redu")</f>
        <v>Via de acesso bloqueada (BR163). Não havia previsão de operação na presente data, por isso impacto da paralisação está redu</v>
      </c>
      <c r="H2352" s="4">
        <f ca="1">IFERROR(__xludf.UNSUPPORTED("""COMPUTED_VALUE"""),45587.2965277777)</f>
        <v>45587.296527777697</v>
      </c>
      <c r="I2352" s="3">
        <f ca="1">IFERROR(__xludf.UNSUPPORTED("""COMPUTED_VALUE"""),2)</f>
        <v>2</v>
      </c>
      <c r="J2352" s="4">
        <f ca="1">IFERROR(__xludf.UNSUPPORTED("""COMPUTED_VALUE"""),45587.3798611111)</f>
        <v>45587.379861111098</v>
      </c>
      <c r="K2352" s="3" t="str">
        <f ca="1">IFERROR(__xludf.UNSUPPORTED("""COMPUTED_VALUE"""),"Maria de Nazaré, Supervisora do Porto de Santarém")</f>
        <v>Maria de Nazaré, Supervisora do Porto de Santarém</v>
      </c>
      <c r="L2352" s="3" t="str">
        <f ca="1">IFERROR(__xludf.UNSUPPORTED("""COMPUTED_VALUE"""),"Crítico")</f>
        <v>Crítico</v>
      </c>
    </row>
    <row r="2353" spans="1:12" ht="12.75">
      <c r="A2353" s="3" t="str">
        <f ca="1">IFERROR(__xludf.UNSUPPORTED("""COMPUTED_VALUE"""),"0f1215e3")</f>
        <v>0f1215e3</v>
      </c>
      <c r="B2353" s="4">
        <f ca="1">IFERROR(__xludf.UNSUPPORTED("""COMPUTED_VALUE"""),45587.3990625)</f>
        <v>45587.399062500001</v>
      </c>
      <c r="C2353" s="8" t="str">
        <f ca="1">IFERROR(__xludf.UNSUPPORTED("""COMPUTED_VALUE"""),"Santarém")</f>
        <v>Santarém</v>
      </c>
      <c r="D2353" s="3" t="str">
        <f ca="1">IFERROR(__xludf.UNSUPPORTED("""COMPUTED_VALUE"""),"🚢 REGULAR")</f>
        <v>🚢 REGULAR</v>
      </c>
      <c r="E2353" s="3" t="str">
        <f ca="1">IFERROR(__xludf.UNSUPPORTED("""COMPUTED_VALUE"""),"⛔️ BLOQUEADO")</f>
        <v>⛔️ BLOQUEADO</v>
      </c>
      <c r="F2353" s="5">
        <f ca="1">IFERROR(__xludf.UNSUPPORTED("""COMPUTED_VALUE"""),0.25)</f>
        <v>0.25</v>
      </c>
      <c r="G2353" s="3" t="str">
        <f ca="1">IFERROR(__xludf.UNSUPPORTED("""COMPUTED_VALUE"""),"Acesso BR 163 bloqueado. O Porto não tinha operações previstas na presente data, minimizando o impacto")</f>
        <v>Acesso BR 163 bloqueado. O Porto não tinha operações previstas na presente data, minimizando o impacto</v>
      </c>
      <c r="H2353" s="4">
        <f ca="1">IFERROR(__xludf.UNSUPPORTED("""COMPUTED_VALUE"""),45587.2916666666)</f>
        <v>45587.291666666599</v>
      </c>
      <c r="I2353" s="3">
        <f ca="1">IFERROR(__xludf.UNSUPPORTED("""COMPUTED_VALUE"""),3)</f>
        <v>3</v>
      </c>
      <c r="J2353" s="4">
        <f ca="1">IFERROR(__xludf.UNSUPPORTED("""COMPUTED_VALUE"""),45587.4166666666)</f>
        <v>45587.416666666599</v>
      </c>
      <c r="K2353" s="3" t="str">
        <f ca="1">IFERROR(__xludf.UNSUPPORTED("""COMPUTED_VALUE"""),"Maria de Nazaré, Supervisora do Porto de Santarém")</f>
        <v>Maria de Nazaré, Supervisora do Porto de Santarém</v>
      </c>
      <c r="L2353" s="3" t="str">
        <f ca="1">IFERROR(__xludf.UNSUPPORTED("""COMPUTED_VALUE"""),"Crítico")</f>
        <v>Crítico</v>
      </c>
    </row>
    <row r="2354" spans="1:12" ht="12.75">
      <c r="A2354" s="3" t="str">
        <f ca="1">IFERROR(__xludf.UNSUPPORTED("""COMPUTED_VALUE"""),"fFVtvNtu")</f>
        <v>fFVtvNtu</v>
      </c>
      <c r="B2354" s="4">
        <f ca="1">IFERROR(__xludf.UNSUPPORTED("""COMPUTED_VALUE"""),44589.5)</f>
        <v>44589.5</v>
      </c>
      <c r="C2354" s="7" t="str">
        <f ca="1">IFERROR(__xludf.UNSUPPORTED("""COMPUTED_VALUE"""),"Santos")</f>
        <v>Santos</v>
      </c>
      <c r="D2354" s="3" t="str">
        <f ca="1">IFERROR(__xludf.UNSUPPORTED("""COMPUTED_VALUE"""),"🚢 REGULAR")</f>
        <v>🚢 REGULAR</v>
      </c>
      <c r="E2354" s="3" t="str">
        <f ca="1">IFERROR(__xludf.UNSUPPORTED("""COMPUTED_VALUE"""),"🚛 LIBERADO")</f>
        <v>🚛 LIBERADO</v>
      </c>
      <c r="F2354" s="5">
        <f ca="1">IFERROR(__xludf.UNSUPPORTED("""COMPUTED_VALUE"""),0)</f>
        <v>0</v>
      </c>
      <c r="G2354" s="3" t="str">
        <f ca="1">IFERROR(__xludf.UNSUPPORTED("""COMPUTED_VALUE"""),"Dos 43 Navios atracados, 09 Navios sem operação por falta de requisição de mão de obra pelos operadores. Devido à possível greve.
Obs.: cabe ressaltar que devido às condições climáticas e as características da carga, os 09 navios não poderiam operar nesse"&amp;" período.")</f>
        <v>Dos 43 Navios atracados, 09 Navios sem operação por falta de requisição de mão de obra pelos operadores. Devido à possível greve.
Obs.: cabe ressaltar que devido às condições climáticas e as características da carga, os 09 navios não poderiam operar nesse período.</v>
      </c>
      <c r="H2354" s="4">
        <f ca="1">IFERROR(__xludf.UNSUPPORTED("""COMPUTED_VALUE"""),44589.4125)</f>
        <v>44589.412499999999</v>
      </c>
      <c r="I2354" s="3">
        <f ca="1">IFERROR(__xludf.UNSUPPORTED("""COMPUTED_VALUE"""),4)</f>
        <v>4</v>
      </c>
      <c r="J2354" s="4">
        <f ca="1">IFERROR(__xludf.UNSUPPORTED("""COMPUTED_VALUE"""),44589.5791666666)</f>
        <v>44589.579166666597</v>
      </c>
    </row>
    <row r="2355" spans="1:12" ht="12.75">
      <c r="A2355" s="3" t="str">
        <f ca="1">IFERROR(__xludf.UNSUPPORTED("""COMPUTED_VALUE"""),"JwAvUkIW")</f>
        <v>JwAvUkIW</v>
      </c>
      <c r="B2355" s="4">
        <f ca="1">IFERROR(__xludf.UNSUPPORTED("""COMPUTED_VALUE"""),44589.5)</f>
        <v>44589.5</v>
      </c>
      <c r="C2355" s="7" t="str">
        <f ca="1">IFERROR(__xludf.UNSUPPORTED("""COMPUTED_VALUE"""),"Santos")</f>
        <v>Santos</v>
      </c>
      <c r="D2355" s="3" t="str">
        <f ca="1">IFERROR(__xludf.UNSUPPORTED("""COMPUTED_VALUE"""),"🚢 REGULAR")</f>
        <v>🚢 REGULAR</v>
      </c>
      <c r="E2355" s="3" t="str">
        <f ca="1">IFERROR(__xludf.UNSUPPORTED("""COMPUTED_VALUE"""),"🚛 LIBERADO")</f>
        <v>🚛 LIBERADO</v>
      </c>
      <c r="F2355" s="5">
        <f ca="1">IFERROR(__xludf.UNSUPPORTED("""COMPUTED_VALUE"""),0)</f>
        <v>0</v>
      </c>
      <c r="G2355" s="3" t="str">
        <f ca="1">IFERROR(__xludf.UNSUPPORTED("""COMPUTED_VALUE"""),"Operações normalizadas.")</f>
        <v>Operações normalizadas.</v>
      </c>
      <c r="H2355" s="4">
        <f ca="1">IFERROR(__xludf.UNSUPPORTED("""COMPUTED_VALUE"""),44589.5791666666)</f>
        <v>44589.579166666597</v>
      </c>
      <c r="I2355" s="3">
        <f ca="1">IFERROR(__xludf.UNSUPPORTED("""COMPUTED_VALUE"""),3)</f>
        <v>3</v>
      </c>
      <c r="J2355" s="4">
        <f ca="1">IFERROR(__xludf.UNSUPPORTED("""COMPUTED_VALUE"""),44589.7041666666)</f>
        <v>44589.704166666597</v>
      </c>
    </row>
    <row r="2356" spans="1:12" ht="12.75">
      <c r="A2356" s="3" t="str">
        <f ca="1">IFERROR(__xludf.UNSUPPORTED("""COMPUTED_VALUE"""),"6814a9c5")</f>
        <v>6814a9c5</v>
      </c>
      <c r="B2356" s="4">
        <f ca="1">IFERROR(__xludf.UNSUPPORTED("""COMPUTED_VALUE"""),44866.3958449074)</f>
        <v>44866.395844907398</v>
      </c>
      <c r="C2356" s="8" t="str">
        <f ca="1">IFERROR(__xludf.UNSUPPORTED("""COMPUTED_VALUE"""),"Santos")</f>
        <v>Santos</v>
      </c>
      <c r="D2356" s="3" t="str">
        <f ca="1">IFERROR(__xludf.UNSUPPORTED("""COMPUTED_VALUE"""),"🚢 REGULAR")</f>
        <v>🚢 REGULAR</v>
      </c>
      <c r="E2356" s="3" t="str">
        <f ca="1">IFERROR(__xludf.UNSUPPORTED("""COMPUTED_VALUE"""),"🚛 LIBERADO")</f>
        <v>🚛 LIBERADO</v>
      </c>
      <c r="F2356" s="5">
        <f ca="1">IFERROR(__xludf.UNSUPPORTED("""COMPUTED_VALUE"""),0)</f>
        <v>0</v>
      </c>
      <c r="G2356" s="3" t="str">
        <f ca="1">IFERROR(__xludf.UNSUPPORTED("""COMPUTED_VALUE"""),"Porto de Santos com operações internas normais e barra fechada por questões climáticas.")</f>
        <v>Porto de Santos com operações internas normais e barra fechada por questões climáticas.</v>
      </c>
      <c r="H2356" s="4">
        <f ca="1">IFERROR(__xludf.UNSUPPORTED("""COMPUTED_VALUE"""),44866.3958449074)</f>
        <v>44866.395844907398</v>
      </c>
      <c r="I2356" s="3">
        <f ca="1">IFERROR(__xludf.UNSUPPORTED("""COMPUTED_VALUE"""),8)</f>
        <v>8</v>
      </c>
      <c r="J2356" s="4">
        <f ca="1">IFERROR(__xludf.UNSUPPORTED("""COMPUTED_VALUE"""),44866.7291782407)</f>
        <v>44866.729178240697</v>
      </c>
    </row>
    <row r="2357" spans="1:12" ht="12.75">
      <c r="A2357" s="3" t="str">
        <f ca="1">IFERROR(__xludf.UNSUPPORTED("""COMPUTED_VALUE"""),"7e2d633e")</f>
        <v>7e2d633e</v>
      </c>
      <c r="B2357" s="4">
        <f ca="1">IFERROR(__xludf.UNSUPPORTED("""COMPUTED_VALUE"""),44866.7285532407)</f>
        <v>44866.728553240697</v>
      </c>
      <c r="C2357" s="8" t="str">
        <f ca="1">IFERROR(__xludf.UNSUPPORTED("""COMPUTED_VALUE"""),"Santos")</f>
        <v>Santos</v>
      </c>
      <c r="D2357" s="3" t="str">
        <f ca="1">IFERROR(__xludf.UNSUPPORTED("""COMPUTED_VALUE"""),"🚢 REGULAR")</f>
        <v>🚢 REGULAR</v>
      </c>
      <c r="E2357" s="3" t="str">
        <f ca="1">IFERROR(__xludf.UNSUPPORTED("""COMPUTED_VALUE"""),"🚛 LIBERADO")</f>
        <v>🚛 LIBERADO</v>
      </c>
      <c r="F2357" s="5">
        <f ca="1">IFERROR(__xludf.UNSUPPORTED("""COMPUTED_VALUE"""),0)</f>
        <v>0</v>
      </c>
      <c r="G2357" s="3" t="str">
        <f ca="1">IFERROR(__xludf.UNSUPPORTED("""COMPUTED_VALUE"""),"Operando normalmente. Canal de acesso fechado por questões climáticas.")</f>
        <v>Operando normalmente. Canal de acesso fechado por questões climáticas.</v>
      </c>
      <c r="H2357" s="4">
        <f ca="1">IFERROR(__xludf.UNSUPPORTED("""COMPUTED_VALUE"""),44866.7285532407)</f>
        <v>44866.728553240697</v>
      </c>
      <c r="I2357" s="3">
        <f ca="1">IFERROR(__xludf.UNSUPPORTED("""COMPUTED_VALUE"""),6)</f>
        <v>6</v>
      </c>
      <c r="J2357" s="4">
        <f ca="1">IFERROR(__xludf.UNSUPPORTED("""COMPUTED_VALUE"""),44866.9785532407)</f>
        <v>44866.978553240697</v>
      </c>
    </row>
    <row r="2358" spans="1:12" ht="12.75">
      <c r="A2358" s="3" t="str">
        <f ca="1">IFERROR(__xludf.UNSUPPORTED("""COMPUTED_VALUE"""),"a014cb8c")</f>
        <v>a014cb8c</v>
      </c>
      <c r="B2358" s="4">
        <f ca="1">IFERROR(__xludf.UNSUPPORTED("""COMPUTED_VALUE"""),44866.7740856481)</f>
        <v>44866.774085648103</v>
      </c>
      <c r="C2358" s="7" t="str">
        <f ca="1">IFERROR(__xludf.UNSUPPORTED("""COMPUTED_VALUE"""),"Santos")</f>
        <v>Santos</v>
      </c>
      <c r="D2358" s="3" t="str">
        <f ca="1">IFERROR(__xludf.UNSUPPORTED("""COMPUTED_VALUE"""),"🚢 REGULAR")</f>
        <v>🚢 REGULAR</v>
      </c>
      <c r="E2358" s="3" t="str">
        <f ca="1">IFERROR(__xludf.UNSUPPORTED("""COMPUTED_VALUE"""),"⚠️ PARCIALMENTE BLOQUEADO")</f>
        <v>⚠️ PARCIALMENTE BLOQUEADO</v>
      </c>
      <c r="F2358" s="5">
        <f ca="1">IFERROR(__xludf.UNSUPPORTED("""COMPUTED_VALUE"""),0)</f>
        <v>0</v>
      </c>
      <c r="G2358" s="3" t="str">
        <f ca="1">IFERROR(__xludf.UNSUPPORTED("""COMPUTED_VALUE"""),"*MANIFESTAÇÃO EM ANDAMENTO KM 264 LESTE SP-055* via Cônego Domenico Rangoni - Acesso a Margem Esquerda do Porto.")</f>
        <v>*MANIFESTAÇÃO EM ANDAMENTO KM 264 LESTE SP-055* via Cônego Domenico Rangoni - Acesso a Margem Esquerda do Porto.</v>
      </c>
      <c r="H2358" s="4">
        <f ca="1">IFERROR(__xludf.UNSUPPORTED("""COMPUTED_VALUE"""),44866.7740856481)</f>
        <v>44866.774085648103</v>
      </c>
      <c r="I2358" s="3">
        <f ca="1">IFERROR(__xludf.UNSUPPORTED("""COMPUTED_VALUE"""),2)</f>
        <v>2</v>
      </c>
      <c r="J2358" s="4">
        <f ca="1">IFERROR(__xludf.UNSUPPORTED("""COMPUTED_VALUE"""),44866.8574189814)</f>
        <v>44866.857418981403</v>
      </c>
    </row>
    <row r="2359" spans="1:12" ht="12.75">
      <c r="A2359" s="3" t="str">
        <f ca="1">IFERROR(__xludf.UNSUPPORTED("""COMPUTED_VALUE"""),"b62c2c8e")</f>
        <v>b62c2c8e</v>
      </c>
      <c r="B2359" s="4">
        <f ca="1">IFERROR(__xludf.UNSUPPORTED("""COMPUTED_VALUE"""),44866.8282638888)</f>
        <v>44866.828263888798</v>
      </c>
      <c r="C2359" s="8" t="str">
        <f ca="1">IFERROR(__xludf.UNSUPPORTED("""COMPUTED_VALUE"""),"Santos")</f>
        <v>Santos</v>
      </c>
      <c r="D2359" s="3" t="str">
        <f ca="1">IFERROR(__xludf.UNSUPPORTED("""COMPUTED_VALUE"""),"🚢 REGULAR")</f>
        <v>🚢 REGULAR</v>
      </c>
      <c r="E2359" s="3" t="str">
        <f ca="1">IFERROR(__xludf.UNSUPPORTED("""COMPUTED_VALUE"""),"🚛 LIBERADO")</f>
        <v>🚛 LIBERADO</v>
      </c>
      <c r="F2359" s="5">
        <f ca="1">IFERROR(__xludf.UNSUPPORTED("""COMPUTED_VALUE"""),0)</f>
        <v>0</v>
      </c>
      <c r="G2359" s="3" t="str">
        <f ca="1">IFERROR(__xludf.UNSUPPORTED("""COMPUTED_VALUE"""),"Operando normalmente. 
Em função das condições meteorológicas , o Porto continua com o canal de acesso fechado.")</f>
        <v>Operando normalmente. 
Em função das condições meteorológicas , o Porto continua com o canal de acesso fechado.</v>
      </c>
      <c r="H2359" s="4">
        <f ca="1">IFERROR(__xludf.UNSUPPORTED("""COMPUTED_VALUE"""),44866.8282638888)</f>
        <v>44866.828263888798</v>
      </c>
      <c r="I2359" s="3">
        <f ca="1">IFERROR(__xludf.UNSUPPORTED("""COMPUTED_VALUE"""),2)</f>
        <v>2</v>
      </c>
      <c r="J2359" s="4">
        <f ca="1">IFERROR(__xludf.UNSUPPORTED("""COMPUTED_VALUE"""),44866.9115972222)</f>
        <v>44866.911597222199</v>
      </c>
    </row>
    <row r="2360" spans="1:12" ht="12.75">
      <c r="A2360" s="3" t="str">
        <f ca="1">IFERROR(__xludf.UNSUPPORTED("""COMPUTED_VALUE"""),"da03cc38")</f>
        <v>da03cc38</v>
      </c>
      <c r="B2360" s="4">
        <f ca="1">IFERROR(__xludf.UNSUPPORTED("""COMPUTED_VALUE"""),44866.9568402777)</f>
        <v>44866.9568402777</v>
      </c>
      <c r="C2360" s="7" t="str">
        <f ca="1">IFERROR(__xludf.UNSUPPORTED("""COMPUTED_VALUE"""),"Santos")</f>
        <v>Santos</v>
      </c>
      <c r="D2360" s="3" t="str">
        <f ca="1">IFERROR(__xludf.UNSUPPORTED("""COMPUTED_VALUE"""),"🚢 REGULAR")</f>
        <v>🚢 REGULAR</v>
      </c>
      <c r="E2360" s="3" t="str">
        <f ca="1">IFERROR(__xludf.UNSUPPORTED("""COMPUTED_VALUE"""),"🚛 LIBERADO")</f>
        <v>🚛 LIBERADO</v>
      </c>
      <c r="F2360" s="5">
        <f ca="1">IFERROR(__xludf.UNSUPPORTED("""COMPUTED_VALUE"""),0)</f>
        <v>0</v>
      </c>
      <c r="G2360" s="3" t="str">
        <f ca="1">IFERROR(__xludf.UNSUPPORTED("""COMPUTED_VALUE"""),"PORTARIA CESPORTOS-SP Nº 5, DE 1º DE NOVEMBRO DE 2022, *elevando para II o nível de segurança as vias públicas e vias de acesso do Porto de Santos, a partir das 23h59min do dia 1º de novembro de 2022.*")</f>
        <v>PORTARIA CESPORTOS-SP Nº 5, DE 1º DE NOVEMBRO DE 2022, *elevando para II o nível de segurança as vias públicas e vias de acesso do Porto de Santos, a partir das 23h59min do dia 1º de novembro de 2022.*</v>
      </c>
      <c r="H2360" s="4">
        <f ca="1">IFERROR(__xludf.UNSUPPORTED("""COMPUTED_VALUE"""),44866.9568402777)</f>
        <v>44866.9568402777</v>
      </c>
      <c r="I2360" s="3">
        <f ca="1">IFERROR(__xludf.UNSUPPORTED("""COMPUTED_VALUE"""),2)</f>
        <v>2</v>
      </c>
      <c r="J2360" s="4">
        <f ca="1">IFERROR(__xludf.UNSUPPORTED("""COMPUTED_VALUE"""),44867.0401736111)</f>
        <v>44867.040173611102</v>
      </c>
    </row>
    <row r="2361" spans="1:12" ht="12.75">
      <c r="A2361" s="3" t="str">
        <f ca="1">IFERROR(__xludf.UNSUPPORTED("""COMPUTED_VALUE"""),"5da3aff7")</f>
        <v>5da3aff7</v>
      </c>
      <c r="B2361" s="4">
        <f ca="1">IFERROR(__xludf.UNSUPPORTED("""COMPUTED_VALUE"""),44867.3298611111)</f>
        <v>44867.329861111102</v>
      </c>
      <c r="C2361" s="8" t="str">
        <f ca="1">IFERROR(__xludf.UNSUPPORTED("""COMPUTED_VALUE"""),"Santos")</f>
        <v>Santos</v>
      </c>
      <c r="D2361" s="3" t="str">
        <f ca="1">IFERROR(__xludf.UNSUPPORTED("""COMPUTED_VALUE"""),"🚢 REGULAR")</f>
        <v>🚢 REGULAR</v>
      </c>
      <c r="E2361" s="3" t="str">
        <f ca="1">IFERROR(__xludf.UNSUPPORTED("""COMPUTED_VALUE"""),"🚛 LIBERADO")</f>
        <v>🚛 LIBERADO</v>
      </c>
      <c r="F2361" s="5">
        <f ca="1">IFERROR(__xludf.UNSUPPORTED("""COMPUTED_VALUE"""),0)</f>
        <v>0</v>
      </c>
      <c r="G2361" s="3" t="str">
        <f ca="1">IFERROR(__xludf.UNSUPPORTED("""COMPUTED_VALUE"""),"Operando Normalmente.")</f>
        <v>Operando Normalmente.</v>
      </c>
      <c r="H2361" s="4">
        <f ca="1">IFERROR(__xludf.UNSUPPORTED("""COMPUTED_VALUE"""),44867.3298611111)</f>
        <v>44867.329861111102</v>
      </c>
      <c r="I2361" s="3">
        <f ca="1">IFERROR(__xludf.UNSUPPORTED("""COMPUTED_VALUE"""),5)</f>
        <v>5</v>
      </c>
      <c r="J2361" s="4">
        <f ca="1">IFERROR(__xludf.UNSUPPORTED("""COMPUTED_VALUE"""),44867.5381944444)</f>
        <v>44867.538194444402</v>
      </c>
    </row>
    <row r="2362" spans="1:12" ht="12.75">
      <c r="A2362" s="3" t="str">
        <f ca="1">IFERROR(__xludf.UNSUPPORTED("""COMPUTED_VALUE"""),"2b49006a")</f>
        <v>2b49006a</v>
      </c>
      <c r="B2362" s="4">
        <f ca="1">IFERROR(__xludf.UNSUPPORTED("""COMPUTED_VALUE"""),44867.5850462963)</f>
        <v>44867.585046296299</v>
      </c>
      <c r="C2362" s="8" t="str">
        <f ca="1">IFERROR(__xludf.UNSUPPORTED("""COMPUTED_VALUE"""),"Santos")</f>
        <v>Santos</v>
      </c>
      <c r="D2362" s="3" t="str">
        <f ca="1">IFERROR(__xludf.UNSUPPORTED("""COMPUTED_VALUE"""),"🚢 REGULAR")</f>
        <v>🚢 REGULAR</v>
      </c>
      <c r="E2362" s="3" t="str">
        <f ca="1">IFERROR(__xludf.UNSUPPORTED("""COMPUTED_VALUE"""),"🚛 LIBERADO")</f>
        <v>🚛 LIBERADO</v>
      </c>
      <c r="F2362" s="5">
        <f ca="1">IFERROR(__xludf.UNSUPPORTED("""COMPUTED_VALUE"""),0)</f>
        <v>0</v>
      </c>
      <c r="G2362" s="3" t="str">
        <f ca="1">IFERROR(__xludf.UNSUPPORTED("""COMPUTED_VALUE"""),"Operação normais 
Navios atracados: 27 Navios (Porto Organizado) 
Navios operando: 10 Navios em operação. 
Navios operações suspensas por causa das condições meteorológicas: 13 Navios. 
Navios aguardando desatracação: 4 Navios.")</f>
        <v>Operação normais 
Navios atracados: 27 Navios (Porto Organizado) 
Navios operando: 10 Navios em operação. 
Navios operações suspensas por causa das condições meteorológicas: 13 Navios. 
Navios aguardando desatracação: 4 Navios.</v>
      </c>
      <c r="H2362" s="4">
        <f ca="1">IFERROR(__xludf.UNSUPPORTED("""COMPUTED_VALUE"""),44867.5850462963)</f>
        <v>44867.585046296299</v>
      </c>
      <c r="I2362" s="3">
        <f ca="1">IFERROR(__xludf.UNSUPPORTED("""COMPUTED_VALUE"""),6)</f>
        <v>6</v>
      </c>
      <c r="J2362" s="4">
        <f ca="1">IFERROR(__xludf.UNSUPPORTED("""COMPUTED_VALUE"""),44867.8350462963)</f>
        <v>44867.835046296299</v>
      </c>
    </row>
    <row r="2363" spans="1:12" ht="12.75">
      <c r="A2363" s="3" t="str">
        <f ca="1">IFERROR(__xludf.UNSUPPORTED("""COMPUTED_VALUE"""),"ddb887ca")</f>
        <v>ddb887ca</v>
      </c>
      <c r="B2363" s="4">
        <f ca="1">IFERROR(__xludf.UNSUPPORTED("""COMPUTED_VALUE"""),44867.8294675925)</f>
        <v>44867.829467592499</v>
      </c>
      <c r="C2363" s="7" t="str">
        <f ca="1">IFERROR(__xludf.UNSUPPORTED("""COMPUTED_VALUE"""),"Santos")</f>
        <v>Santos</v>
      </c>
      <c r="D2363" s="3" t="str">
        <f ca="1">IFERROR(__xludf.UNSUPPORTED("""COMPUTED_VALUE"""),"🚢 REGULAR")</f>
        <v>🚢 REGULAR</v>
      </c>
      <c r="E2363" s="3" t="str">
        <f ca="1">IFERROR(__xludf.UNSUPPORTED("""COMPUTED_VALUE"""),"🚛 LIBERADO")</f>
        <v>🚛 LIBERADO</v>
      </c>
      <c r="F2363" s="5">
        <f ca="1">IFERROR(__xludf.UNSUPPORTED("""COMPUTED_VALUE"""),0)</f>
        <v>0</v>
      </c>
      <c r="G2363" s="3" t="str">
        <f ca="1">IFERROR(__xludf.UNSUPPORTED("""COMPUTED_VALUE"""),"Operação normal")</f>
        <v>Operação normal</v>
      </c>
      <c r="H2363" s="4">
        <f ca="1">IFERROR(__xludf.UNSUPPORTED("""COMPUTED_VALUE"""),44867.8294675925)</f>
        <v>44867.829467592499</v>
      </c>
      <c r="I2363" s="3">
        <f ca="1">IFERROR(__xludf.UNSUPPORTED("""COMPUTED_VALUE"""),11)</f>
        <v>11</v>
      </c>
      <c r="J2363" s="4">
        <f ca="1">IFERROR(__xludf.UNSUPPORTED("""COMPUTED_VALUE"""),44868.2878009259)</f>
        <v>44868.2878009259</v>
      </c>
    </row>
    <row r="2364" spans="1:12" ht="12.75">
      <c r="A2364" s="3" t="str">
        <f ca="1">IFERROR(__xludf.UNSUPPORTED("""COMPUTED_VALUE"""),"feefbc6c")</f>
        <v>feefbc6c</v>
      </c>
      <c r="B2364" s="4">
        <f ca="1">IFERROR(__xludf.UNSUPPORTED("""COMPUTED_VALUE"""),44868.2628472222)</f>
        <v>44868.262847222199</v>
      </c>
      <c r="C2364" s="8" t="str">
        <f ca="1">IFERROR(__xludf.UNSUPPORTED("""COMPUTED_VALUE"""),"Santos")</f>
        <v>Santos</v>
      </c>
      <c r="D2364" s="3" t="str">
        <f ca="1">IFERROR(__xludf.UNSUPPORTED("""COMPUTED_VALUE"""),"🚢 REGULAR")</f>
        <v>🚢 REGULAR</v>
      </c>
      <c r="E2364" s="3" t="str">
        <f ca="1">IFERROR(__xludf.UNSUPPORTED("""COMPUTED_VALUE"""),"🚛 LIBERADO")</f>
        <v>🚛 LIBERADO</v>
      </c>
      <c r="F2364" s="5">
        <f ca="1">IFERROR(__xludf.UNSUPPORTED("""COMPUTED_VALUE"""),0)</f>
        <v>0</v>
      </c>
      <c r="G2364" s="3" t="str">
        <f ca="1">IFERROR(__xludf.UNSUPPORTED("""COMPUTED_VALUE"""),"Operações Normais")</f>
        <v>Operações Normais</v>
      </c>
      <c r="H2364" s="4">
        <f ca="1">IFERROR(__xludf.UNSUPPORTED("""COMPUTED_VALUE"""),44868.2628472222)</f>
        <v>44868.262847222199</v>
      </c>
      <c r="I2364" s="3">
        <f ca="1">IFERROR(__xludf.UNSUPPORTED("""COMPUTED_VALUE"""),12)</f>
        <v>12</v>
      </c>
      <c r="J2364" s="4">
        <f ca="1">IFERROR(__xludf.UNSUPPORTED("""COMPUTED_VALUE"""),44868.7628472222)</f>
        <v>44868.762847222199</v>
      </c>
    </row>
    <row r="2365" spans="1:12" ht="12.75">
      <c r="A2365" s="3" t="str">
        <f ca="1">IFERROR(__xludf.UNSUPPORTED("""COMPUTED_VALUE"""),"e5dd836e")</f>
        <v>e5dd836e</v>
      </c>
      <c r="B2365" s="4">
        <f ca="1">IFERROR(__xludf.UNSUPPORTED("""COMPUTED_VALUE"""),44868.5406481481)</f>
        <v>44868.540648148097</v>
      </c>
      <c r="C2365" s="7" t="str">
        <f ca="1">IFERROR(__xludf.UNSUPPORTED("""COMPUTED_VALUE"""),"Santos")</f>
        <v>Santos</v>
      </c>
      <c r="D2365" s="3" t="str">
        <f ca="1">IFERROR(__xludf.UNSUPPORTED("""COMPUTED_VALUE"""),"🚢 REGULAR")</f>
        <v>🚢 REGULAR</v>
      </c>
      <c r="E2365" s="3" t="str">
        <f ca="1">IFERROR(__xludf.UNSUPPORTED("""COMPUTED_VALUE"""),"🚛 LIBERADO")</f>
        <v>🚛 LIBERADO</v>
      </c>
      <c r="F2365" s="5">
        <f ca="1">IFERROR(__xludf.UNSUPPORTED("""COMPUTED_VALUE"""),0)</f>
        <v>0</v>
      </c>
      <c r="G2365" s="3" t="str">
        <f ca="1">IFERROR(__xludf.UNSUPPORTED("""COMPUTED_VALUE"""),"Operação normal
Portaria n.06 - Cesportos-SP- Art. 1º Retornar para I o nível de segurança das vias públicas e vias de acesso do Porto de
Santos, a partir das 10 horas, do dia 3 (três) de novembro de 2022.")</f>
        <v>Operação normal
Portaria n.06 - Cesportos-SP- Art. 1º Retornar para I o nível de segurança das vias públicas e vias de acesso do Porto de
Santos, a partir das 10 horas, do dia 3 (três) de novembro de 2022.</v>
      </c>
      <c r="H2365" s="4">
        <f ca="1">IFERROR(__xludf.UNSUPPORTED("""COMPUTED_VALUE"""),44868.5406481481)</f>
        <v>44868.540648148097</v>
      </c>
      <c r="I2365" s="3">
        <f ca="1">IFERROR(__xludf.UNSUPPORTED("""COMPUTED_VALUE"""),2)</f>
        <v>2</v>
      </c>
      <c r="J2365" s="4">
        <f ca="1">IFERROR(__xludf.UNSUPPORTED("""COMPUTED_VALUE"""),44868.6239814814)</f>
        <v>44868.623981481403</v>
      </c>
    </row>
    <row r="2366" spans="1:12" ht="12.75">
      <c r="A2366" s="3" t="str">
        <f ca="1">IFERROR(__xludf.UNSUPPORTED("""COMPUTED_VALUE"""),"73ecc5c3")</f>
        <v>73ecc5c3</v>
      </c>
      <c r="B2366" s="4">
        <f ca="1">IFERROR(__xludf.UNSUPPORTED("""COMPUTED_VALUE"""),44869.2864467592)</f>
        <v>44869.286446759201</v>
      </c>
      <c r="C2366" s="8" t="str">
        <f ca="1">IFERROR(__xludf.UNSUPPORTED("""COMPUTED_VALUE"""),"Santos")</f>
        <v>Santos</v>
      </c>
      <c r="D2366" s="3" t="str">
        <f ca="1">IFERROR(__xludf.UNSUPPORTED("""COMPUTED_VALUE"""),"🚢 REGULAR")</f>
        <v>🚢 REGULAR</v>
      </c>
      <c r="E2366" s="3" t="str">
        <f ca="1">IFERROR(__xludf.UNSUPPORTED("""COMPUTED_VALUE"""),"🚛 LIBERADO")</f>
        <v>🚛 LIBERADO</v>
      </c>
      <c r="F2366" s="5">
        <f ca="1">IFERROR(__xludf.UNSUPPORTED("""COMPUTED_VALUE"""),0)</f>
        <v>0</v>
      </c>
      <c r="G2366" s="3" t="str">
        <f ca="1">IFERROR(__xludf.UNSUPPORTED("""COMPUTED_VALUE"""),"Operação Normal")</f>
        <v>Operação Normal</v>
      </c>
      <c r="H2366" s="4">
        <f ca="1">IFERROR(__xludf.UNSUPPORTED("""COMPUTED_VALUE"""),44869.2864467592)</f>
        <v>44869.286446759201</v>
      </c>
      <c r="I2366" s="3">
        <f ca="1">IFERROR(__xludf.UNSUPPORTED("""COMPUTED_VALUE"""),12)</f>
        <v>12</v>
      </c>
      <c r="J2366" s="4">
        <f ca="1">IFERROR(__xludf.UNSUPPORTED("""COMPUTED_VALUE"""),44869.7864467592)</f>
        <v>44869.786446759201</v>
      </c>
    </row>
    <row r="2367" spans="1:12" ht="12.75">
      <c r="A2367" s="3" t="str">
        <f ca="1">IFERROR(__xludf.UNSUPPORTED("""COMPUTED_VALUE"""),"66493f01")</f>
        <v>66493f01</v>
      </c>
      <c r="B2367" s="4">
        <f ca="1">IFERROR(__xludf.UNSUPPORTED("""COMPUTED_VALUE"""),44870.5148148148)</f>
        <v>44870.5148148148</v>
      </c>
      <c r="C2367" s="7" t="str">
        <f ca="1">IFERROR(__xludf.UNSUPPORTED("""COMPUTED_VALUE"""),"Santos")</f>
        <v>Santos</v>
      </c>
      <c r="D2367" s="3" t="str">
        <f ca="1">IFERROR(__xludf.UNSUPPORTED("""COMPUTED_VALUE"""),"🚢 REGULAR")</f>
        <v>🚢 REGULAR</v>
      </c>
      <c r="E2367" s="3" t="str">
        <f ca="1">IFERROR(__xludf.UNSUPPORTED("""COMPUTED_VALUE"""),"🚛 LIBERADO")</f>
        <v>🚛 LIBERADO</v>
      </c>
      <c r="F2367" s="5">
        <f ca="1">IFERROR(__xludf.UNSUPPORTED("""COMPUTED_VALUE"""),0)</f>
        <v>0</v>
      </c>
      <c r="G2367" s="3" t="str">
        <f ca="1">IFERROR(__xludf.UNSUPPORTED("""COMPUTED_VALUE"""),"Operação Normal")</f>
        <v>Operação Normal</v>
      </c>
      <c r="H2367" s="4">
        <f ca="1">IFERROR(__xludf.UNSUPPORTED("""COMPUTED_VALUE"""),44870.5148148148)</f>
        <v>44870.5148148148</v>
      </c>
      <c r="I2367" s="3">
        <f ca="1">IFERROR(__xludf.UNSUPPORTED("""COMPUTED_VALUE"""),12)</f>
        <v>12</v>
      </c>
      <c r="J2367" s="4">
        <f ca="1">IFERROR(__xludf.UNSUPPORTED("""COMPUTED_VALUE"""),44871.0148148148)</f>
        <v>44871.0148148148</v>
      </c>
    </row>
    <row r="2368" spans="1:12" ht="12.75">
      <c r="A2368" s="3" t="str">
        <f ca="1">IFERROR(__xludf.UNSUPPORTED("""COMPUTED_VALUE"""),"fd915ff9")</f>
        <v>fd915ff9</v>
      </c>
      <c r="B2368" s="4">
        <f ca="1">IFERROR(__xludf.UNSUPPORTED("""COMPUTED_VALUE"""),44871.3973958333)</f>
        <v>44871.397395833301</v>
      </c>
      <c r="C2368" s="8" t="str">
        <f ca="1">IFERROR(__xludf.UNSUPPORTED("""COMPUTED_VALUE"""),"Santos")</f>
        <v>Santos</v>
      </c>
      <c r="D2368" s="3" t="str">
        <f ca="1">IFERROR(__xludf.UNSUPPORTED("""COMPUTED_VALUE"""),"🚢 REGULAR")</f>
        <v>🚢 REGULAR</v>
      </c>
      <c r="E2368" s="3" t="str">
        <f ca="1">IFERROR(__xludf.UNSUPPORTED("""COMPUTED_VALUE"""),"🚛 LIBERADO")</f>
        <v>🚛 LIBERADO</v>
      </c>
      <c r="F2368" s="5">
        <f ca="1">IFERROR(__xludf.UNSUPPORTED("""COMPUTED_VALUE"""),0)</f>
        <v>0</v>
      </c>
      <c r="G2368" s="3" t="str">
        <f ca="1">IFERROR(__xludf.UNSUPPORTED("""COMPUTED_VALUE"""),"Operação normal")</f>
        <v>Operação normal</v>
      </c>
      <c r="H2368" s="4">
        <f ca="1">IFERROR(__xludf.UNSUPPORTED("""COMPUTED_VALUE"""),44871.3973958333)</f>
        <v>44871.397395833301</v>
      </c>
      <c r="I2368" s="3">
        <f ca="1">IFERROR(__xludf.UNSUPPORTED("""COMPUTED_VALUE"""),12)</f>
        <v>12</v>
      </c>
      <c r="J2368" s="4">
        <f ca="1">IFERROR(__xludf.UNSUPPORTED("""COMPUTED_VALUE"""),44871.8973958333)</f>
        <v>44871.897395833301</v>
      </c>
    </row>
    <row r="2369" spans="1:10" ht="12.75">
      <c r="A2369" s="3" t="str">
        <f ca="1">IFERROR(__xludf.UNSUPPORTED("""COMPUTED_VALUE"""),"88ac5040")</f>
        <v>88ac5040</v>
      </c>
      <c r="B2369" s="4">
        <f ca="1">IFERROR(__xludf.UNSUPPORTED("""COMPUTED_VALUE"""),44872.4124305555)</f>
        <v>44872.412430555501</v>
      </c>
      <c r="C2369" s="7" t="str">
        <f ca="1">IFERROR(__xludf.UNSUPPORTED("""COMPUTED_VALUE"""),"Santos")</f>
        <v>Santos</v>
      </c>
      <c r="D2369" s="3" t="str">
        <f ca="1">IFERROR(__xludf.UNSUPPORTED("""COMPUTED_VALUE"""),"🚢 REGULAR")</f>
        <v>🚢 REGULAR</v>
      </c>
      <c r="E2369" s="3" t="str">
        <f ca="1">IFERROR(__xludf.UNSUPPORTED("""COMPUTED_VALUE"""),"🚛 LIBERADO")</f>
        <v>🚛 LIBERADO</v>
      </c>
      <c r="F2369" s="5">
        <f ca="1">IFERROR(__xludf.UNSUPPORTED("""COMPUTED_VALUE"""),0)</f>
        <v>0</v>
      </c>
      <c r="G2369" s="3" t="str">
        <f ca="1">IFERROR(__xludf.UNSUPPORTED("""COMPUTED_VALUE"""),"Operação normal")</f>
        <v>Operação normal</v>
      </c>
      <c r="H2369" s="4">
        <f ca="1">IFERROR(__xludf.UNSUPPORTED("""COMPUTED_VALUE"""),44872.4124305555)</f>
        <v>44872.412430555501</v>
      </c>
      <c r="I2369" s="3">
        <f ca="1">IFERROR(__xludf.UNSUPPORTED("""COMPUTED_VALUE"""),24)</f>
        <v>24</v>
      </c>
      <c r="J2369" s="4">
        <f ca="1">IFERROR(__xludf.UNSUPPORTED("""COMPUTED_VALUE"""),44873.4124305555)</f>
        <v>44873.412430555501</v>
      </c>
    </row>
    <row r="2370" spans="1:10" ht="12.75">
      <c r="A2370" s="3" t="str">
        <f ca="1">IFERROR(__xludf.UNSUPPORTED("""COMPUTED_VALUE"""),"d178cea5")</f>
        <v>d178cea5</v>
      </c>
      <c r="B2370" s="4">
        <f ca="1">IFERROR(__xludf.UNSUPPORTED("""COMPUTED_VALUE"""),44873.3198032407)</f>
        <v>44873.319803240702</v>
      </c>
      <c r="C2370" s="8" t="str">
        <f ca="1">IFERROR(__xludf.UNSUPPORTED("""COMPUTED_VALUE"""),"Santos")</f>
        <v>Santos</v>
      </c>
      <c r="D2370" s="3" t="str">
        <f ca="1">IFERROR(__xludf.UNSUPPORTED("""COMPUTED_VALUE"""),"🚢 REGULAR")</f>
        <v>🚢 REGULAR</v>
      </c>
      <c r="E2370" s="3" t="str">
        <f ca="1">IFERROR(__xludf.UNSUPPORTED("""COMPUTED_VALUE"""),"🚛 LIBERADO")</f>
        <v>🚛 LIBERADO</v>
      </c>
      <c r="F2370" s="5">
        <f ca="1">IFERROR(__xludf.UNSUPPORTED("""COMPUTED_VALUE"""),0)</f>
        <v>0</v>
      </c>
      <c r="G2370" s="3" t="str">
        <f ca="1">IFERROR(__xludf.UNSUPPORTED("""COMPUTED_VALUE"""),"Normal")</f>
        <v>Normal</v>
      </c>
      <c r="H2370" s="4">
        <f ca="1">IFERROR(__xludf.UNSUPPORTED("""COMPUTED_VALUE"""),44873.3198032407)</f>
        <v>44873.319803240702</v>
      </c>
      <c r="I2370" s="3">
        <f ca="1">IFERROR(__xludf.UNSUPPORTED("""COMPUTED_VALUE"""),1)</f>
        <v>1</v>
      </c>
      <c r="J2370" s="4">
        <f ca="1">IFERROR(__xludf.UNSUPPORTED("""COMPUTED_VALUE"""),44873.3614699074)</f>
        <v>44873.361469907402</v>
      </c>
    </row>
    <row r="2371" spans="1:10" ht="12.75">
      <c r="A2371" s="3" t="str">
        <f ca="1">IFERROR(__xludf.UNSUPPORTED("""COMPUTED_VALUE"""),"12a21913")</f>
        <v>12a21913</v>
      </c>
      <c r="B2371" s="4">
        <f ca="1">IFERROR(__xludf.UNSUPPORTED("""COMPUTED_VALUE"""),44874.6335763888)</f>
        <v>44874.633576388798</v>
      </c>
      <c r="C2371" s="7" t="str">
        <f ca="1">IFERROR(__xludf.UNSUPPORTED("""COMPUTED_VALUE"""),"Santos")</f>
        <v>Santos</v>
      </c>
      <c r="D2371" s="3" t="str">
        <f ca="1">IFERROR(__xludf.UNSUPPORTED("""COMPUTED_VALUE"""),"🚢 REGULAR")</f>
        <v>🚢 REGULAR</v>
      </c>
      <c r="E2371" s="3" t="str">
        <f ca="1">IFERROR(__xludf.UNSUPPORTED("""COMPUTED_VALUE"""),"🚛 LIBERADO")</f>
        <v>🚛 LIBERADO</v>
      </c>
      <c r="F2371" s="5">
        <f ca="1">IFERROR(__xludf.UNSUPPORTED("""COMPUTED_VALUE"""),0)</f>
        <v>0</v>
      </c>
      <c r="G2371" s="3" t="str">
        <f ca="1">IFERROR(__xludf.UNSUPPORTED("""COMPUTED_VALUE"""),"Normal")</f>
        <v>Normal</v>
      </c>
      <c r="H2371" s="4">
        <f ca="1">IFERROR(__xludf.UNSUPPORTED("""COMPUTED_VALUE"""),44874.6335763888)</f>
        <v>44874.633576388798</v>
      </c>
      <c r="I2371" s="3">
        <f ca="1">IFERROR(__xludf.UNSUPPORTED("""COMPUTED_VALUE"""),1)</f>
        <v>1</v>
      </c>
      <c r="J2371" s="4">
        <f ca="1">IFERROR(__xludf.UNSUPPORTED("""COMPUTED_VALUE"""),44874.6752430555)</f>
        <v>44874.675243055499</v>
      </c>
    </row>
    <row r="2372" spans="1:10" ht="12.75">
      <c r="A2372" s="3" t="str">
        <f ca="1">IFERROR(__xludf.UNSUPPORTED("""COMPUTED_VALUE"""),"8be5285f")</f>
        <v>8be5285f</v>
      </c>
      <c r="B2372" s="4">
        <f ca="1">IFERROR(__xludf.UNSUPPORTED("""COMPUTED_VALUE"""),44881.3397685185)</f>
        <v>44881.339768518497</v>
      </c>
      <c r="C2372" s="7" t="str">
        <f ca="1">IFERROR(__xludf.UNSUPPORTED("""COMPUTED_VALUE"""),"Santos")</f>
        <v>Santos</v>
      </c>
      <c r="D2372" s="3" t="str">
        <f ca="1">IFERROR(__xludf.UNSUPPORTED("""COMPUTED_VALUE"""),"🚢 REGULAR")</f>
        <v>🚢 REGULAR</v>
      </c>
      <c r="E2372" s="3" t="str">
        <f ca="1">IFERROR(__xludf.UNSUPPORTED("""COMPUTED_VALUE"""),"🚛 LIBERADO")</f>
        <v>🚛 LIBERADO</v>
      </c>
      <c r="F2372" s="5">
        <f ca="1">IFERROR(__xludf.UNSUPPORTED("""COMPUTED_VALUE"""),0)</f>
        <v>0</v>
      </c>
      <c r="G2372" s="3" t="str">
        <f ca="1">IFERROR(__xludf.UNSUPPORTED("""COMPUTED_VALUE"""),"Normal")</f>
        <v>Normal</v>
      </c>
      <c r="H2372" s="4">
        <f ca="1">IFERROR(__xludf.UNSUPPORTED("""COMPUTED_VALUE"""),44881.3397685185)</f>
        <v>44881.339768518497</v>
      </c>
      <c r="I2372" s="3">
        <f ca="1">IFERROR(__xludf.UNSUPPORTED("""COMPUTED_VALUE"""),1)</f>
        <v>1</v>
      </c>
      <c r="J2372" s="4">
        <f ca="1">IFERROR(__xludf.UNSUPPORTED("""COMPUTED_VALUE"""),44881.3814351851)</f>
        <v>44881.381435185103</v>
      </c>
    </row>
    <row r="2373" spans="1:10" ht="12.75">
      <c r="A2373" s="3" t="str">
        <f ca="1">IFERROR(__xludf.UNSUPPORTED("""COMPUTED_VALUE"""),"49f6caff")</f>
        <v>49f6caff</v>
      </c>
      <c r="B2373" s="4">
        <f ca="1">IFERROR(__xludf.UNSUPPORTED("""COMPUTED_VALUE"""),44883.4440277777)</f>
        <v>44883.444027777703</v>
      </c>
      <c r="C2373" s="7" t="str">
        <f ca="1">IFERROR(__xludf.UNSUPPORTED("""COMPUTED_VALUE"""),"Santos")</f>
        <v>Santos</v>
      </c>
      <c r="D2373" s="3" t="str">
        <f ca="1">IFERROR(__xludf.UNSUPPORTED("""COMPUTED_VALUE"""),"🚢 REGULAR")</f>
        <v>🚢 REGULAR</v>
      </c>
      <c r="E2373" s="3" t="str">
        <f ca="1">IFERROR(__xludf.UNSUPPORTED("""COMPUTED_VALUE"""),"🚛 LIBERADO")</f>
        <v>🚛 LIBERADO</v>
      </c>
      <c r="F2373" s="5">
        <f ca="1">IFERROR(__xludf.UNSUPPORTED("""COMPUTED_VALUE"""),0)</f>
        <v>0</v>
      </c>
      <c r="G2373" s="3" t="str">
        <f ca="1">IFERROR(__xludf.UNSUPPORTED("""COMPUTED_VALUE"""),"Normal")</f>
        <v>Normal</v>
      </c>
      <c r="H2373" s="4">
        <f ca="1">IFERROR(__xludf.UNSUPPORTED("""COMPUTED_VALUE"""),44883.4440277777)</f>
        <v>44883.444027777703</v>
      </c>
      <c r="I2373" s="3">
        <f ca="1">IFERROR(__xludf.UNSUPPORTED("""COMPUTED_VALUE"""),1)</f>
        <v>1</v>
      </c>
      <c r="J2373" s="4">
        <f ca="1">IFERROR(__xludf.UNSUPPORTED("""COMPUTED_VALUE"""),44883.4856944444)</f>
        <v>44883.485694444404</v>
      </c>
    </row>
    <row r="2374" spans="1:10" ht="12.75">
      <c r="A2374" s="3" t="str">
        <f ca="1">IFERROR(__xludf.UNSUPPORTED("""COMPUTED_VALUE"""),"8b3eb4cf")</f>
        <v>8b3eb4cf</v>
      </c>
      <c r="B2374" s="4">
        <f ca="1">IFERROR(__xludf.UNSUPPORTED("""COMPUTED_VALUE"""),44886.3673842592)</f>
        <v>44886.367384259203</v>
      </c>
      <c r="C2374" s="7" t="str">
        <f ca="1">IFERROR(__xludf.UNSUPPORTED("""COMPUTED_VALUE"""),"Santos")</f>
        <v>Santos</v>
      </c>
      <c r="D2374" s="3" t="str">
        <f ca="1">IFERROR(__xludf.UNSUPPORTED("""COMPUTED_VALUE"""),"🚢 REGULAR")</f>
        <v>🚢 REGULAR</v>
      </c>
      <c r="E2374" s="3" t="str">
        <f ca="1">IFERROR(__xludf.UNSUPPORTED("""COMPUTED_VALUE"""),"🚛 LIBERADO")</f>
        <v>🚛 LIBERADO</v>
      </c>
      <c r="F2374" s="5">
        <f ca="1">IFERROR(__xludf.UNSUPPORTED("""COMPUTED_VALUE"""),0)</f>
        <v>0</v>
      </c>
      <c r="G2374" s="3" t="str">
        <f ca="1">IFERROR(__xludf.UNSUPPORTED("""COMPUTED_VALUE"""),"Normal")</f>
        <v>Normal</v>
      </c>
      <c r="H2374" s="4">
        <f ca="1">IFERROR(__xludf.UNSUPPORTED("""COMPUTED_VALUE"""),44886.3673842592)</f>
        <v>44886.367384259203</v>
      </c>
      <c r="I2374" s="3">
        <f ca="1">IFERROR(__xludf.UNSUPPORTED("""COMPUTED_VALUE"""),1)</f>
        <v>1</v>
      </c>
      <c r="J2374" s="4">
        <f ca="1">IFERROR(__xludf.UNSUPPORTED("""COMPUTED_VALUE"""),44886.4090509259)</f>
        <v>44886.409050925897</v>
      </c>
    </row>
    <row r="2375" spans="1:10" ht="12.75">
      <c r="A2375" s="3" t="str">
        <f ca="1">IFERROR(__xludf.UNSUPPORTED("""COMPUTED_VALUE"""),"230e1c7d")</f>
        <v>230e1c7d</v>
      </c>
      <c r="B2375" s="4">
        <f ca="1">IFERROR(__xludf.UNSUPPORTED("""COMPUTED_VALUE"""),44887.3935879629)</f>
        <v>44887.393587962899</v>
      </c>
      <c r="C2375" s="8" t="str">
        <f ca="1">IFERROR(__xludf.UNSUPPORTED("""COMPUTED_VALUE"""),"Santos")</f>
        <v>Santos</v>
      </c>
      <c r="D2375" s="3" t="str">
        <f ca="1">IFERROR(__xludf.UNSUPPORTED("""COMPUTED_VALUE"""),"🚢 REGULAR")</f>
        <v>🚢 REGULAR</v>
      </c>
      <c r="E2375" s="3" t="str">
        <f ca="1">IFERROR(__xludf.UNSUPPORTED("""COMPUTED_VALUE"""),"🚛 LIBERADO")</f>
        <v>🚛 LIBERADO</v>
      </c>
      <c r="F2375" s="5">
        <f ca="1">IFERROR(__xludf.UNSUPPORTED("""COMPUTED_VALUE"""),0)</f>
        <v>0</v>
      </c>
      <c r="G2375" s="3" t="str">
        <f ca="1">IFERROR(__xludf.UNSUPPORTED("""COMPUTED_VALUE"""),"Normal")</f>
        <v>Normal</v>
      </c>
      <c r="H2375" s="4">
        <f ca="1">IFERROR(__xludf.UNSUPPORTED("""COMPUTED_VALUE"""),44887.3935879629)</f>
        <v>44887.393587962899</v>
      </c>
      <c r="I2375" s="3">
        <f ca="1">IFERROR(__xludf.UNSUPPORTED("""COMPUTED_VALUE"""),1)</f>
        <v>1</v>
      </c>
      <c r="J2375" s="4">
        <f ca="1">IFERROR(__xludf.UNSUPPORTED("""COMPUTED_VALUE"""),44887.4352546296)</f>
        <v>44887.4352546296</v>
      </c>
    </row>
    <row r="2376" spans="1:10" ht="12.75">
      <c r="A2376" s="3" t="str">
        <f ca="1">IFERROR(__xludf.UNSUPPORTED("""COMPUTED_VALUE"""),"bc398bb3")</f>
        <v>bc398bb3</v>
      </c>
      <c r="B2376" s="4">
        <f ca="1">IFERROR(__xludf.UNSUPPORTED("""COMPUTED_VALUE"""),44888.3996064814)</f>
        <v>44888.399606481398</v>
      </c>
      <c r="C2376" s="8" t="str">
        <f ca="1">IFERROR(__xludf.UNSUPPORTED("""COMPUTED_VALUE"""),"Santos")</f>
        <v>Santos</v>
      </c>
      <c r="D2376" s="3" t="str">
        <f ca="1">IFERROR(__xludf.UNSUPPORTED("""COMPUTED_VALUE"""),"🚢 REGULAR")</f>
        <v>🚢 REGULAR</v>
      </c>
      <c r="E2376" s="3" t="str">
        <f ca="1">IFERROR(__xludf.UNSUPPORTED("""COMPUTED_VALUE"""),"🚛 LIBERADO")</f>
        <v>🚛 LIBERADO</v>
      </c>
      <c r="F2376" s="5">
        <f ca="1">IFERROR(__xludf.UNSUPPORTED("""COMPUTED_VALUE"""),0)</f>
        <v>0</v>
      </c>
      <c r="G2376" s="3" t="str">
        <f ca="1">IFERROR(__xludf.UNSUPPORTED("""COMPUTED_VALUE"""),"Normal")</f>
        <v>Normal</v>
      </c>
      <c r="H2376" s="4">
        <f ca="1">IFERROR(__xludf.UNSUPPORTED("""COMPUTED_VALUE"""),44888.3996064814)</f>
        <v>44888.399606481398</v>
      </c>
      <c r="I2376" s="3">
        <f ca="1">IFERROR(__xludf.UNSUPPORTED("""COMPUTED_VALUE"""),1)</f>
        <v>1</v>
      </c>
      <c r="J2376" s="4">
        <f ca="1">IFERROR(__xludf.UNSUPPORTED("""COMPUTED_VALUE"""),44888.4412731481)</f>
        <v>44888.441273148099</v>
      </c>
    </row>
    <row r="2377" spans="1:10" ht="12.75">
      <c r="A2377" s="3" t="str">
        <f ca="1">IFERROR(__xludf.UNSUPPORTED("""COMPUTED_VALUE"""),"a9d73033")</f>
        <v>a9d73033</v>
      </c>
      <c r="B2377" s="4">
        <f ca="1">IFERROR(__xludf.UNSUPPORTED("""COMPUTED_VALUE"""),44889.3433333333)</f>
        <v>44889.343333333301</v>
      </c>
      <c r="C2377" s="8" t="str">
        <f ca="1">IFERROR(__xludf.UNSUPPORTED("""COMPUTED_VALUE"""),"Santos")</f>
        <v>Santos</v>
      </c>
      <c r="D2377" s="3" t="str">
        <f ca="1">IFERROR(__xludf.UNSUPPORTED("""COMPUTED_VALUE"""),"🚢 REGULAR")</f>
        <v>🚢 REGULAR</v>
      </c>
      <c r="E2377" s="3" t="str">
        <f ca="1">IFERROR(__xludf.UNSUPPORTED("""COMPUTED_VALUE"""),"🚛 LIBERADO")</f>
        <v>🚛 LIBERADO</v>
      </c>
      <c r="F2377" s="5">
        <f ca="1">IFERROR(__xludf.UNSUPPORTED("""COMPUTED_VALUE"""),0.75)</f>
        <v>0.75</v>
      </c>
      <c r="G2377" s="3" t="str">
        <f ca="1">IFERROR(__xludf.UNSUPPORTED("""COMPUTED_VALUE"""),"Normal")</f>
        <v>Normal</v>
      </c>
      <c r="H2377" s="4">
        <f ca="1">IFERROR(__xludf.UNSUPPORTED("""COMPUTED_VALUE"""),44889.3433333333)</f>
        <v>44889.343333333301</v>
      </c>
      <c r="I2377" s="3">
        <f ca="1">IFERROR(__xludf.UNSUPPORTED("""COMPUTED_VALUE"""),1)</f>
        <v>1</v>
      </c>
      <c r="J2377" s="4">
        <f ca="1">IFERROR(__xludf.UNSUPPORTED("""COMPUTED_VALUE"""),44889.3849999999)</f>
        <v>44889.3849999999</v>
      </c>
    </row>
    <row r="2378" spans="1:10" ht="12.75">
      <c r="A2378" s="3" t="str">
        <f ca="1">IFERROR(__xludf.UNSUPPORTED("""COMPUTED_VALUE"""),"c556f3e9")</f>
        <v>c556f3e9</v>
      </c>
      <c r="B2378" s="4">
        <f ca="1">IFERROR(__xludf.UNSUPPORTED("""COMPUTED_VALUE"""),44890.4059953703)</f>
        <v>44890.405995370304</v>
      </c>
      <c r="C2378" s="7" t="str">
        <f ca="1">IFERROR(__xludf.UNSUPPORTED("""COMPUTED_VALUE"""),"Santos")</f>
        <v>Santos</v>
      </c>
      <c r="D2378" s="3" t="str">
        <f ca="1">IFERROR(__xludf.UNSUPPORTED("""COMPUTED_VALUE"""),"🚢 REGULAR")</f>
        <v>🚢 REGULAR</v>
      </c>
      <c r="E2378" s="3" t="str">
        <f ca="1">IFERROR(__xludf.UNSUPPORTED("""COMPUTED_VALUE"""),"🚛 LIBERADO")</f>
        <v>🚛 LIBERADO</v>
      </c>
      <c r="F2378" s="5">
        <f ca="1">IFERROR(__xludf.UNSUPPORTED("""COMPUTED_VALUE"""),0)</f>
        <v>0</v>
      </c>
      <c r="G2378" s="3" t="str">
        <f ca="1">IFERROR(__xludf.UNSUPPORTED("""COMPUTED_VALUE"""),"Normal")</f>
        <v>Normal</v>
      </c>
      <c r="H2378" s="4">
        <f ca="1">IFERROR(__xludf.UNSUPPORTED("""COMPUTED_VALUE"""),44890.4059953703)</f>
        <v>44890.405995370304</v>
      </c>
      <c r="I2378" s="3">
        <f ca="1">IFERROR(__xludf.UNSUPPORTED("""COMPUTED_VALUE"""),1)</f>
        <v>1</v>
      </c>
      <c r="J2378" s="4">
        <f ca="1">IFERROR(__xludf.UNSUPPORTED("""COMPUTED_VALUE"""),44890.447662037)</f>
        <v>44890.447662036997</v>
      </c>
    </row>
    <row r="2379" spans="1:10" ht="12.75">
      <c r="A2379" s="3" t="str">
        <f ca="1">IFERROR(__xludf.UNSUPPORTED("""COMPUTED_VALUE"""),"e3f1c1d0")</f>
        <v>e3f1c1d0</v>
      </c>
      <c r="B2379" s="4">
        <f ca="1">IFERROR(__xludf.UNSUPPORTED("""COMPUTED_VALUE"""),44893.3780208333)</f>
        <v>44893.378020833297</v>
      </c>
      <c r="C2379" s="8" t="str">
        <f ca="1">IFERROR(__xludf.UNSUPPORTED("""COMPUTED_VALUE"""),"Santos")</f>
        <v>Santos</v>
      </c>
      <c r="D2379" s="3" t="str">
        <f ca="1">IFERROR(__xludf.UNSUPPORTED("""COMPUTED_VALUE"""),"🚢 REGULAR")</f>
        <v>🚢 REGULAR</v>
      </c>
      <c r="E2379" s="3" t="str">
        <f ca="1">IFERROR(__xludf.UNSUPPORTED("""COMPUTED_VALUE"""),"🚛 LIBERADO")</f>
        <v>🚛 LIBERADO</v>
      </c>
      <c r="F2379" s="5">
        <f ca="1">IFERROR(__xludf.UNSUPPORTED("""COMPUTED_VALUE"""),0)</f>
        <v>0</v>
      </c>
      <c r="G2379" s="3" t="str">
        <f ca="1">IFERROR(__xludf.UNSUPPORTED("""COMPUTED_VALUE"""),"Normal")</f>
        <v>Normal</v>
      </c>
      <c r="H2379" s="4">
        <f ca="1">IFERROR(__xludf.UNSUPPORTED("""COMPUTED_VALUE"""),44893.3780208333)</f>
        <v>44893.378020833297</v>
      </c>
      <c r="I2379" s="3">
        <f ca="1">IFERROR(__xludf.UNSUPPORTED("""COMPUTED_VALUE"""),1)</f>
        <v>1</v>
      </c>
      <c r="J2379" s="4">
        <f ca="1">IFERROR(__xludf.UNSUPPORTED("""COMPUTED_VALUE"""),44893.4196875)</f>
        <v>44893.419687499998</v>
      </c>
    </row>
    <row r="2380" spans="1:10" ht="12.75">
      <c r="A2380" s="3" t="str">
        <f ca="1">IFERROR(__xludf.UNSUPPORTED("""COMPUTED_VALUE"""),"019ccb6d")</f>
        <v>019ccb6d</v>
      </c>
      <c r="B2380" s="4">
        <f ca="1">IFERROR(__xludf.UNSUPPORTED("""COMPUTED_VALUE"""),44894.3756712962)</f>
        <v>44894.375671296199</v>
      </c>
      <c r="C2380" s="7" t="str">
        <f ca="1">IFERROR(__xludf.UNSUPPORTED("""COMPUTED_VALUE"""),"Santos")</f>
        <v>Santos</v>
      </c>
      <c r="D2380" s="3" t="str">
        <f ca="1">IFERROR(__xludf.UNSUPPORTED("""COMPUTED_VALUE"""),"🚢 REGULAR")</f>
        <v>🚢 REGULAR</v>
      </c>
      <c r="E2380" s="3" t="str">
        <f ca="1">IFERROR(__xludf.UNSUPPORTED("""COMPUTED_VALUE"""),"🚛 LIBERADO")</f>
        <v>🚛 LIBERADO</v>
      </c>
      <c r="F2380" s="5">
        <f ca="1">IFERROR(__xludf.UNSUPPORTED("""COMPUTED_VALUE"""),0)</f>
        <v>0</v>
      </c>
      <c r="G2380" s="3" t="str">
        <f ca="1">IFERROR(__xludf.UNSUPPORTED("""COMPUTED_VALUE"""),"Normal")</f>
        <v>Normal</v>
      </c>
      <c r="H2380" s="4">
        <f ca="1">IFERROR(__xludf.UNSUPPORTED("""COMPUTED_VALUE"""),44894.3756712962)</f>
        <v>44894.375671296199</v>
      </c>
      <c r="I2380" s="3">
        <f ca="1">IFERROR(__xludf.UNSUPPORTED("""COMPUTED_VALUE"""),1)</f>
        <v>1</v>
      </c>
      <c r="J2380" s="4">
        <f ca="1">IFERROR(__xludf.UNSUPPORTED("""COMPUTED_VALUE"""),44894.4173379629)</f>
        <v>44894.417337962899</v>
      </c>
    </row>
    <row r="2381" spans="1:10" ht="12.75">
      <c r="A2381" s="3" t="str">
        <f ca="1">IFERROR(__xludf.UNSUPPORTED("""COMPUTED_VALUE"""),"d502c7cd")</f>
        <v>d502c7cd</v>
      </c>
      <c r="B2381" s="4">
        <f ca="1">IFERROR(__xludf.UNSUPPORTED("""COMPUTED_VALUE"""),44895.4234722222)</f>
        <v>44895.423472222203</v>
      </c>
      <c r="C2381" s="7" t="str">
        <f ca="1">IFERROR(__xludf.UNSUPPORTED("""COMPUTED_VALUE"""),"Santos")</f>
        <v>Santos</v>
      </c>
      <c r="D2381" s="3" t="str">
        <f ca="1">IFERROR(__xludf.UNSUPPORTED("""COMPUTED_VALUE"""),"🚢 REGULAR")</f>
        <v>🚢 REGULAR</v>
      </c>
      <c r="E2381" s="3" t="str">
        <f ca="1">IFERROR(__xludf.UNSUPPORTED("""COMPUTED_VALUE"""),"🚛 LIBERADO")</f>
        <v>🚛 LIBERADO</v>
      </c>
      <c r="F2381" s="5">
        <f ca="1">IFERROR(__xludf.UNSUPPORTED("""COMPUTED_VALUE"""),0)</f>
        <v>0</v>
      </c>
      <c r="G2381" s="3" t="str">
        <f ca="1">IFERROR(__xludf.UNSUPPORTED("""COMPUTED_VALUE"""),"Normal")</f>
        <v>Normal</v>
      </c>
      <c r="H2381" s="4">
        <f ca="1">IFERROR(__xludf.UNSUPPORTED("""COMPUTED_VALUE"""),44895.4234722222)</f>
        <v>44895.423472222203</v>
      </c>
      <c r="I2381" s="3">
        <f ca="1">IFERROR(__xludf.UNSUPPORTED("""COMPUTED_VALUE"""),1)</f>
        <v>1</v>
      </c>
      <c r="J2381" s="4">
        <f ca="1">IFERROR(__xludf.UNSUPPORTED("""COMPUTED_VALUE"""),44895.4651388888)</f>
        <v>44895.465138888801</v>
      </c>
    </row>
    <row r="2382" spans="1:10" ht="12.75">
      <c r="A2382" s="3" t="str">
        <f ca="1">IFERROR(__xludf.UNSUPPORTED("""COMPUTED_VALUE"""),"3fa32275")</f>
        <v>3fa32275</v>
      </c>
      <c r="B2382" s="4">
        <f ca="1">IFERROR(__xludf.UNSUPPORTED("""COMPUTED_VALUE"""),44896.3745138888)</f>
        <v>44896.374513888797</v>
      </c>
      <c r="C2382" s="7" t="str">
        <f ca="1">IFERROR(__xludf.UNSUPPORTED("""COMPUTED_VALUE"""),"Santos")</f>
        <v>Santos</v>
      </c>
      <c r="D2382" s="3" t="str">
        <f ca="1">IFERROR(__xludf.UNSUPPORTED("""COMPUTED_VALUE"""),"🚢 REGULAR")</f>
        <v>🚢 REGULAR</v>
      </c>
      <c r="E2382" s="3" t="str">
        <f ca="1">IFERROR(__xludf.UNSUPPORTED("""COMPUTED_VALUE"""),"🚛 LIBERADO")</f>
        <v>🚛 LIBERADO</v>
      </c>
      <c r="F2382" s="5">
        <f ca="1">IFERROR(__xludf.UNSUPPORTED("""COMPUTED_VALUE"""),0)</f>
        <v>0</v>
      </c>
      <c r="G2382" s="3" t="str">
        <f ca="1">IFERROR(__xludf.UNSUPPORTED("""COMPUTED_VALUE"""),"normal")</f>
        <v>normal</v>
      </c>
      <c r="H2382" s="4">
        <f ca="1">IFERROR(__xludf.UNSUPPORTED("""COMPUTED_VALUE"""),44896.3745138888)</f>
        <v>44896.374513888797</v>
      </c>
      <c r="I2382" s="3">
        <f ca="1">IFERROR(__xludf.UNSUPPORTED("""COMPUTED_VALUE"""),1)</f>
        <v>1</v>
      </c>
      <c r="J2382" s="4">
        <f ca="1">IFERROR(__xludf.UNSUPPORTED("""COMPUTED_VALUE"""),44896.4161805555)</f>
        <v>44896.416180555498</v>
      </c>
    </row>
    <row r="2383" spans="1:10" ht="12.75">
      <c r="A2383" s="3" t="str">
        <f ca="1">IFERROR(__xludf.UNSUPPORTED("""COMPUTED_VALUE"""),"38cea102")</f>
        <v>38cea102</v>
      </c>
      <c r="B2383" s="4">
        <f ca="1">IFERROR(__xludf.UNSUPPORTED("""COMPUTED_VALUE"""),44897.4174999999)</f>
        <v>44897.417499999901</v>
      </c>
      <c r="C2383" s="8" t="str">
        <f ca="1">IFERROR(__xludf.UNSUPPORTED("""COMPUTED_VALUE"""),"Santos")</f>
        <v>Santos</v>
      </c>
      <c r="D2383" s="3" t="str">
        <f ca="1">IFERROR(__xludf.UNSUPPORTED("""COMPUTED_VALUE"""),"🚢 REGULAR")</f>
        <v>🚢 REGULAR</v>
      </c>
      <c r="E2383" s="3" t="str">
        <f ca="1">IFERROR(__xludf.UNSUPPORTED("""COMPUTED_VALUE"""),"🚛 LIBERADO")</f>
        <v>🚛 LIBERADO</v>
      </c>
      <c r="F2383" s="5">
        <f ca="1">IFERROR(__xludf.UNSUPPORTED("""COMPUTED_VALUE"""),0)</f>
        <v>0</v>
      </c>
      <c r="G2383" s="3" t="str">
        <f ca="1">IFERROR(__xludf.UNSUPPORTED("""COMPUTED_VALUE"""),"NORMAL")</f>
        <v>NORMAL</v>
      </c>
      <c r="H2383" s="4">
        <f ca="1">IFERROR(__xludf.UNSUPPORTED("""COMPUTED_VALUE"""),44897.4174999999)</f>
        <v>44897.417499999901</v>
      </c>
      <c r="I2383" s="3">
        <f ca="1">IFERROR(__xludf.UNSUPPORTED("""COMPUTED_VALUE"""),1)</f>
        <v>1</v>
      </c>
      <c r="J2383" s="4">
        <f ca="1">IFERROR(__xludf.UNSUPPORTED("""COMPUTED_VALUE"""),44897.4591666666)</f>
        <v>44897.459166666602</v>
      </c>
    </row>
    <row r="2384" spans="1:10" ht="12.75">
      <c r="A2384" s="3" t="str">
        <f ca="1">IFERROR(__xludf.UNSUPPORTED("""COMPUTED_VALUE"""),"70a64a37")</f>
        <v>70a64a37</v>
      </c>
      <c r="B2384" s="4">
        <f ca="1">IFERROR(__xludf.UNSUPPORTED("""COMPUTED_VALUE"""),44900.3865162037)</f>
        <v>44900.386516203696</v>
      </c>
      <c r="C2384" s="8" t="str">
        <f ca="1">IFERROR(__xludf.UNSUPPORTED("""COMPUTED_VALUE"""),"Santos")</f>
        <v>Santos</v>
      </c>
      <c r="D2384" s="3" t="str">
        <f ca="1">IFERROR(__xludf.UNSUPPORTED("""COMPUTED_VALUE"""),"🚢 REGULAR")</f>
        <v>🚢 REGULAR</v>
      </c>
      <c r="E2384" s="3" t="str">
        <f ca="1">IFERROR(__xludf.UNSUPPORTED("""COMPUTED_VALUE"""),"🚛 LIBERADO")</f>
        <v>🚛 LIBERADO</v>
      </c>
      <c r="F2384" s="5">
        <f ca="1">IFERROR(__xludf.UNSUPPORTED("""COMPUTED_VALUE"""),0)</f>
        <v>0</v>
      </c>
      <c r="G2384" s="3" t="str">
        <f ca="1">IFERROR(__xludf.UNSUPPORTED("""COMPUTED_VALUE"""),"NORMAL")</f>
        <v>NORMAL</v>
      </c>
      <c r="H2384" s="4">
        <f ca="1">IFERROR(__xludf.UNSUPPORTED("""COMPUTED_VALUE"""),44900.3865162037)</f>
        <v>44900.386516203696</v>
      </c>
      <c r="I2384" s="3">
        <f ca="1">IFERROR(__xludf.UNSUPPORTED("""COMPUTED_VALUE"""),1)</f>
        <v>1</v>
      </c>
      <c r="J2384" s="4">
        <f ca="1">IFERROR(__xludf.UNSUPPORTED("""COMPUTED_VALUE"""),44900.4281828703)</f>
        <v>44900.428182870302</v>
      </c>
    </row>
    <row r="2385" spans="1:12" ht="12.75">
      <c r="A2385" s="3" t="str">
        <f ca="1">IFERROR(__xludf.UNSUPPORTED("""COMPUTED_VALUE"""),"84d7c325")</f>
        <v>84d7c325</v>
      </c>
      <c r="B2385" s="4">
        <f ca="1">IFERROR(__xludf.UNSUPPORTED("""COMPUTED_VALUE"""),44901.4205787037)</f>
        <v>44901.420578703699</v>
      </c>
      <c r="C2385" s="8" t="str">
        <f ca="1">IFERROR(__xludf.UNSUPPORTED("""COMPUTED_VALUE"""),"Santos")</f>
        <v>Santos</v>
      </c>
      <c r="D2385" s="3" t="str">
        <f ca="1">IFERROR(__xludf.UNSUPPORTED("""COMPUTED_VALUE"""),"🚢 REGULAR")</f>
        <v>🚢 REGULAR</v>
      </c>
      <c r="E2385" s="3" t="str">
        <f ca="1">IFERROR(__xludf.UNSUPPORTED("""COMPUTED_VALUE"""),"🚛 LIBERADO")</f>
        <v>🚛 LIBERADO</v>
      </c>
      <c r="F2385" s="5">
        <f ca="1">IFERROR(__xludf.UNSUPPORTED("""COMPUTED_VALUE"""),0)</f>
        <v>0</v>
      </c>
      <c r="G2385" s="3" t="str">
        <f ca="1">IFERROR(__xludf.UNSUPPORTED("""COMPUTED_VALUE"""),"Normal")</f>
        <v>Normal</v>
      </c>
      <c r="H2385" s="4">
        <f ca="1">IFERROR(__xludf.UNSUPPORTED("""COMPUTED_VALUE"""),44901.4205787037)</f>
        <v>44901.420578703699</v>
      </c>
      <c r="I2385" s="3">
        <f ca="1">IFERROR(__xludf.UNSUPPORTED("""COMPUTED_VALUE"""),1)</f>
        <v>1</v>
      </c>
      <c r="J2385" s="4">
        <f ca="1">IFERROR(__xludf.UNSUPPORTED("""COMPUTED_VALUE"""),44901.4622453703)</f>
        <v>44901.462245370298</v>
      </c>
    </row>
    <row r="2386" spans="1:12" ht="12.75">
      <c r="A2386" s="3" t="str">
        <f ca="1">IFERROR(__xludf.UNSUPPORTED("""COMPUTED_VALUE"""),"1a1887e9")</f>
        <v>1a1887e9</v>
      </c>
      <c r="B2386" s="4">
        <f ca="1">IFERROR(__xludf.UNSUPPORTED("""COMPUTED_VALUE"""),44902.4302893518)</f>
        <v>44902.430289351803</v>
      </c>
      <c r="C2386" s="8" t="str">
        <f ca="1">IFERROR(__xludf.UNSUPPORTED("""COMPUTED_VALUE"""),"Santos")</f>
        <v>Santos</v>
      </c>
      <c r="D2386" s="3" t="str">
        <f ca="1">IFERROR(__xludf.UNSUPPORTED("""COMPUTED_VALUE"""),"🚢 REGULAR")</f>
        <v>🚢 REGULAR</v>
      </c>
      <c r="E2386" s="3" t="str">
        <f ca="1">IFERROR(__xludf.UNSUPPORTED("""COMPUTED_VALUE"""),"🚛 LIBERADO")</f>
        <v>🚛 LIBERADO</v>
      </c>
      <c r="F2386" s="5">
        <f ca="1">IFERROR(__xludf.UNSUPPORTED("""COMPUTED_VALUE"""),0)</f>
        <v>0</v>
      </c>
      <c r="G2386" s="3" t="str">
        <f ca="1">IFERROR(__xludf.UNSUPPORTED("""COMPUTED_VALUE"""),"normal")</f>
        <v>normal</v>
      </c>
      <c r="H2386" s="4">
        <f ca="1">IFERROR(__xludf.UNSUPPORTED("""COMPUTED_VALUE"""),44902.4302893518)</f>
        <v>44902.430289351803</v>
      </c>
      <c r="I2386" s="3">
        <f ca="1">IFERROR(__xludf.UNSUPPORTED("""COMPUTED_VALUE"""),1)</f>
        <v>1</v>
      </c>
      <c r="J2386" s="4">
        <f ca="1">IFERROR(__xludf.UNSUPPORTED("""COMPUTED_VALUE"""),44902.4719560185)</f>
        <v>44902.471956018497</v>
      </c>
    </row>
    <row r="2387" spans="1:12" ht="12.75">
      <c r="A2387" s="3" t="str">
        <f ca="1">IFERROR(__xludf.UNSUPPORTED("""COMPUTED_VALUE"""),"a5a12830")</f>
        <v>a5a12830</v>
      </c>
      <c r="B2387" s="4">
        <f ca="1">IFERROR(__xludf.UNSUPPORTED("""COMPUTED_VALUE"""),44903.4084143518)</f>
        <v>44903.408414351798</v>
      </c>
      <c r="C2387" s="8" t="str">
        <f ca="1">IFERROR(__xludf.UNSUPPORTED("""COMPUTED_VALUE"""),"Santos")</f>
        <v>Santos</v>
      </c>
      <c r="D2387" s="3" t="str">
        <f ca="1">IFERROR(__xludf.UNSUPPORTED("""COMPUTED_VALUE"""),"🚢 REGULAR")</f>
        <v>🚢 REGULAR</v>
      </c>
      <c r="E2387" s="3" t="str">
        <f ca="1">IFERROR(__xludf.UNSUPPORTED("""COMPUTED_VALUE"""),"🚛 LIBERADO")</f>
        <v>🚛 LIBERADO</v>
      </c>
      <c r="F2387" s="5">
        <f ca="1">IFERROR(__xludf.UNSUPPORTED("""COMPUTED_VALUE"""),0)</f>
        <v>0</v>
      </c>
      <c r="G2387" s="3" t="str">
        <f ca="1">IFERROR(__xludf.UNSUPPORTED("""COMPUTED_VALUE"""),"normal")</f>
        <v>normal</v>
      </c>
      <c r="H2387" s="4">
        <f ca="1">IFERROR(__xludf.UNSUPPORTED("""COMPUTED_VALUE"""),44903.4084143518)</f>
        <v>44903.408414351798</v>
      </c>
      <c r="I2387" s="3">
        <f ca="1">IFERROR(__xludf.UNSUPPORTED("""COMPUTED_VALUE"""),1)</f>
        <v>1</v>
      </c>
      <c r="J2387" s="4">
        <f ca="1">IFERROR(__xludf.UNSUPPORTED("""COMPUTED_VALUE"""),44903.4500810184)</f>
        <v>44903.450081018404</v>
      </c>
    </row>
    <row r="2388" spans="1:12" ht="12.75">
      <c r="A2388" s="3" t="str">
        <f ca="1">IFERROR(__xludf.UNSUPPORTED("""COMPUTED_VALUE"""),"6c92fa56")</f>
        <v>6c92fa56</v>
      </c>
      <c r="B2388" s="4">
        <f ca="1">IFERROR(__xludf.UNSUPPORTED("""COMPUTED_VALUE"""),44907.418599537)</f>
        <v>44907.418599536999</v>
      </c>
      <c r="C2388" s="7" t="str">
        <f ca="1">IFERROR(__xludf.UNSUPPORTED("""COMPUTED_VALUE"""),"Santos")</f>
        <v>Santos</v>
      </c>
      <c r="D2388" s="3" t="str">
        <f ca="1">IFERROR(__xludf.UNSUPPORTED("""COMPUTED_VALUE"""),"🚢 REGULAR")</f>
        <v>🚢 REGULAR</v>
      </c>
      <c r="E2388" s="3" t="str">
        <f ca="1">IFERROR(__xludf.UNSUPPORTED("""COMPUTED_VALUE"""),"🚛 LIBERADO")</f>
        <v>🚛 LIBERADO</v>
      </c>
      <c r="F2388" s="5">
        <f ca="1">IFERROR(__xludf.UNSUPPORTED("""COMPUTED_VALUE"""),0)</f>
        <v>0</v>
      </c>
      <c r="G2388" s="3" t="str">
        <f ca="1">IFERROR(__xludf.UNSUPPORTED("""COMPUTED_VALUE"""),"normal")</f>
        <v>normal</v>
      </c>
      <c r="H2388" s="4">
        <f ca="1">IFERROR(__xludf.UNSUPPORTED("""COMPUTED_VALUE"""),44907.418599537)</f>
        <v>44907.418599536999</v>
      </c>
      <c r="I2388" s="3">
        <f ca="1">IFERROR(__xludf.UNSUPPORTED("""COMPUTED_VALUE"""),1)</f>
        <v>1</v>
      </c>
      <c r="J2388" s="4">
        <f ca="1">IFERROR(__xludf.UNSUPPORTED("""COMPUTED_VALUE"""),44907.4602662037)</f>
        <v>44907.4602662037</v>
      </c>
    </row>
    <row r="2389" spans="1:12" ht="12.75">
      <c r="A2389" s="3" t="str">
        <f ca="1">IFERROR(__xludf.UNSUPPORTED("""COMPUTED_VALUE"""),"0926ae5b")</f>
        <v>0926ae5b</v>
      </c>
      <c r="B2389" s="4">
        <f ca="1">IFERROR(__xludf.UNSUPPORTED("""COMPUTED_VALUE"""),44923.3859027777)</f>
        <v>44923.3859027777</v>
      </c>
      <c r="C2389" s="8" t="str">
        <f ca="1">IFERROR(__xludf.UNSUPPORTED("""COMPUTED_VALUE"""),"Santos")</f>
        <v>Santos</v>
      </c>
      <c r="D2389" s="3" t="str">
        <f ca="1">IFERROR(__xludf.UNSUPPORTED("""COMPUTED_VALUE"""),"🚢 REGULAR")</f>
        <v>🚢 REGULAR</v>
      </c>
      <c r="E2389" s="3" t="str">
        <f ca="1">IFERROR(__xludf.UNSUPPORTED("""COMPUTED_VALUE"""),"🚛 LIBERADO")</f>
        <v>🚛 LIBERADO</v>
      </c>
      <c r="F2389" s="5">
        <f ca="1">IFERROR(__xludf.UNSUPPORTED("""COMPUTED_VALUE"""),0)</f>
        <v>0</v>
      </c>
      <c r="G2389" s="3" t="str">
        <f ca="1">IFERROR(__xludf.UNSUPPORTED("""COMPUTED_VALUE"""),"normal")</f>
        <v>normal</v>
      </c>
      <c r="H2389" s="4">
        <f ca="1">IFERROR(__xludf.UNSUPPORTED("""COMPUTED_VALUE"""),44923.3859027777)</f>
        <v>44923.3859027777</v>
      </c>
      <c r="I2389" s="3">
        <f ca="1">IFERROR(__xludf.UNSUPPORTED("""COMPUTED_VALUE"""),1)</f>
        <v>1</v>
      </c>
      <c r="J2389" s="4">
        <f ca="1">IFERROR(__xludf.UNSUPPORTED("""COMPUTED_VALUE"""),44923.4275694444)</f>
        <v>44923.4275694444</v>
      </c>
    </row>
    <row r="2390" spans="1:12" ht="12.75">
      <c r="A2390" s="3" t="str">
        <f ca="1">IFERROR(__xludf.UNSUPPORTED("""COMPUTED_VALUE"""),"b14890cc")</f>
        <v>b14890cc</v>
      </c>
      <c r="B2390" s="4">
        <f ca="1">IFERROR(__xludf.UNSUPPORTED("""COMPUTED_VALUE"""),44932.501898148)</f>
        <v>44932.501898148003</v>
      </c>
      <c r="C2390" s="8" t="str">
        <f ca="1">IFERROR(__xludf.UNSUPPORTED("""COMPUTED_VALUE"""),"Santos")</f>
        <v>Santos</v>
      </c>
      <c r="D2390" s="3" t="str">
        <f ca="1">IFERROR(__xludf.UNSUPPORTED("""COMPUTED_VALUE"""),"🚢 REGULAR")</f>
        <v>🚢 REGULAR</v>
      </c>
      <c r="E2390" s="3" t="str">
        <f ca="1">IFERROR(__xludf.UNSUPPORTED("""COMPUTED_VALUE"""),"🚛 LIBERADO")</f>
        <v>🚛 LIBERADO</v>
      </c>
      <c r="F2390" s="5">
        <f ca="1">IFERROR(__xludf.UNSUPPORTED("""COMPUTED_VALUE"""),0)</f>
        <v>0</v>
      </c>
      <c r="G2390" s="3" t="str">
        <f ca="1">IFERROR(__xludf.UNSUPPORTED("""COMPUTED_VALUE"""),"Normalidade")</f>
        <v>Normalidade</v>
      </c>
      <c r="H2390" s="4">
        <f ca="1">IFERROR(__xludf.UNSUPPORTED("""COMPUTED_VALUE"""),44932.501898148)</f>
        <v>44932.501898148003</v>
      </c>
      <c r="I2390" s="3">
        <f ca="1">IFERROR(__xludf.UNSUPPORTED("""COMPUTED_VALUE"""),24)</f>
        <v>24</v>
      </c>
      <c r="J2390" s="4">
        <f ca="1">IFERROR(__xludf.UNSUPPORTED("""COMPUTED_VALUE"""),44933.501898148)</f>
        <v>44933.501898148003</v>
      </c>
    </row>
    <row r="2391" spans="1:12" ht="12.75">
      <c r="A2391" s="3" t="str">
        <f ca="1">IFERROR(__xludf.UNSUPPORTED("""COMPUTED_VALUE"""),"5df368e2")</f>
        <v>5df368e2</v>
      </c>
      <c r="B2391" s="4">
        <f ca="1">IFERROR(__xludf.UNSUPPORTED("""COMPUTED_VALUE"""),44935.340636574)</f>
        <v>44935.340636574001</v>
      </c>
      <c r="C2391" s="8" t="str">
        <f ca="1">IFERROR(__xludf.UNSUPPORTED("""COMPUTED_VALUE"""),"Santos")</f>
        <v>Santos</v>
      </c>
      <c r="D2391" s="3" t="str">
        <f ca="1">IFERROR(__xludf.UNSUPPORTED("""COMPUTED_VALUE"""),"🚢 REGULAR")</f>
        <v>🚢 REGULAR</v>
      </c>
      <c r="E2391" s="3" t="str">
        <f ca="1">IFERROR(__xludf.UNSUPPORTED("""COMPUTED_VALUE"""),"🚛 LIBERADO")</f>
        <v>🚛 LIBERADO</v>
      </c>
      <c r="F2391" s="5">
        <f ca="1">IFERROR(__xludf.UNSUPPORTED("""COMPUTED_VALUE"""),0)</f>
        <v>0</v>
      </c>
      <c r="G2391" s="3" t="str">
        <f ca="1">IFERROR(__xludf.UNSUPPORTED("""COMPUTED_VALUE"""),"Normalidade")</f>
        <v>Normalidade</v>
      </c>
      <c r="H2391" s="4">
        <f ca="1">IFERROR(__xludf.UNSUPPORTED("""COMPUTED_VALUE"""),44935.340636574)</f>
        <v>44935.340636574001</v>
      </c>
      <c r="I2391" s="3">
        <f ca="1">IFERROR(__xludf.UNSUPPORTED("""COMPUTED_VALUE"""),24)</f>
        <v>24</v>
      </c>
      <c r="J2391" s="4">
        <f ca="1">IFERROR(__xludf.UNSUPPORTED("""COMPUTED_VALUE"""),44936.340636574)</f>
        <v>44936.340636574001</v>
      </c>
      <c r="L2391" s="3" t="str">
        <f ca="1">IFERROR(__xludf.UNSUPPORTED("""COMPUTED_VALUE"""),"Normalidade")</f>
        <v>Normalidade</v>
      </c>
    </row>
    <row r="2392" spans="1:12" ht="12.75">
      <c r="A2392" s="3" t="str">
        <f ca="1">IFERROR(__xludf.UNSUPPORTED("""COMPUTED_VALUE"""),"9401592c")</f>
        <v>9401592c</v>
      </c>
      <c r="B2392" s="4">
        <f ca="1">IFERROR(__xludf.UNSUPPORTED("""COMPUTED_VALUE"""),44975.9249305555)</f>
        <v>44975.924930555499</v>
      </c>
      <c r="C2392" s="7" t="str">
        <f ca="1">IFERROR(__xludf.UNSUPPORTED("""COMPUTED_VALUE"""),"Santos")</f>
        <v>Santos</v>
      </c>
      <c r="D2392" s="3" t="str">
        <f ca="1">IFERROR(__xludf.UNSUPPORTED("""COMPUTED_VALUE"""),"🚢 REGULAR")</f>
        <v>🚢 REGULAR</v>
      </c>
      <c r="E2392" s="3" t="str">
        <f ca="1">IFERROR(__xludf.UNSUPPORTED("""COMPUTED_VALUE"""),"🚛 LIBERADO")</f>
        <v>🚛 LIBERADO</v>
      </c>
      <c r="F2392" s="5">
        <f ca="1">IFERROR(__xludf.UNSUPPORTED("""COMPUTED_VALUE"""),0.75)</f>
        <v>0.75</v>
      </c>
      <c r="G2392" s="3" t="str">
        <f ca="1">IFERROR(__xludf.UNSUPPORTED("""COMPUTED_VALUE"""),"Porto fechado desde às 15h30, devido as condições meteorológicas.
Não há previsão de abertura.")</f>
        <v>Porto fechado desde às 15h30, devido as condições meteorológicas.
Não há previsão de abertura.</v>
      </c>
      <c r="H2392" s="4">
        <f ca="1">IFERROR(__xludf.UNSUPPORTED("""COMPUTED_VALUE"""),44975.9249305555)</f>
        <v>44975.924930555499</v>
      </c>
      <c r="I2392" s="3">
        <f ca="1">IFERROR(__xludf.UNSUPPORTED("""COMPUTED_VALUE"""),6)</f>
        <v>6</v>
      </c>
      <c r="J2392" s="4">
        <f ca="1">IFERROR(__xludf.UNSUPPORTED("""COMPUTED_VALUE"""),44976.1749305555)</f>
        <v>44976.174930555499</v>
      </c>
      <c r="K2392" s="3" t="str">
        <f ca="1">IFERROR(__xludf.UNSUPPORTED("""COMPUTED_VALUE"""),"CPSP")</f>
        <v>CPSP</v>
      </c>
      <c r="L2392" s="3" t="str">
        <f ca="1">IFERROR(__xludf.UNSUPPORTED("""COMPUTED_VALUE"""),"Crítico")</f>
        <v>Crítico</v>
      </c>
    </row>
    <row r="2393" spans="1:12" ht="12.75">
      <c r="A2393" s="3" t="str">
        <f ca="1">IFERROR(__xludf.UNSUPPORTED("""COMPUTED_VALUE"""),"249a4f77")</f>
        <v>249a4f77</v>
      </c>
      <c r="B2393" s="4">
        <f ca="1">IFERROR(__xludf.UNSUPPORTED("""COMPUTED_VALUE"""),44976.6052546296)</f>
        <v>44976.605254629598</v>
      </c>
      <c r="C2393" s="8" t="str">
        <f ca="1">IFERROR(__xludf.UNSUPPORTED("""COMPUTED_VALUE"""),"Santos")</f>
        <v>Santos</v>
      </c>
      <c r="D2393" s="3" t="str">
        <f ca="1">IFERROR(__xludf.UNSUPPORTED("""COMPUTED_VALUE"""),"🚢 REGULAR")</f>
        <v>🚢 REGULAR</v>
      </c>
      <c r="E2393" s="3" t="str">
        <f ca="1">IFERROR(__xludf.UNSUPPORTED("""COMPUTED_VALUE"""),"🚛 LIBERADO")</f>
        <v>🚛 LIBERADO</v>
      </c>
      <c r="F2393" s="5">
        <f ca="1">IFERROR(__xludf.UNSUPPORTED("""COMPUTED_VALUE"""),0.25)</f>
        <v>0.25</v>
      </c>
      <c r="G2393" s="3" t="str">
        <f ca="1">IFERROR(__xludf.UNSUPPORTED("""COMPUTED_VALUE"""),"Porto reaberto com praticagem indireta às 10:00 h.")</f>
        <v>Porto reaberto com praticagem indireta às 10:00 h.</v>
      </c>
      <c r="H2393" s="4">
        <f ca="1">IFERROR(__xludf.UNSUPPORTED("""COMPUTED_VALUE"""),44976.6052546296)</f>
        <v>44976.605254629598</v>
      </c>
      <c r="I2393" s="3">
        <f ca="1">IFERROR(__xludf.UNSUPPORTED("""COMPUTED_VALUE"""),19)</f>
        <v>19</v>
      </c>
      <c r="J2393" s="4">
        <f ca="1">IFERROR(__xludf.UNSUPPORTED("""COMPUTED_VALUE"""),44977.3969212963)</f>
        <v>44977.396921296298</v>
      </c>
      <c r="K2393" s="3" t="str">
        <f ca="1">IFERROR(__xludf.UNSUPPORTED("""COMPUTED_VALUE"""),"CPSP")</f>
        <v>CPSP</v>
      </c>
      <c r="L2393" s="3" t="str">
        <f ca="1">IFERROR(__xludf.UNSUPPORTED("""COMPUTED_VALUE"""),"Crítico")</f>
        <v>Crítico</v>
      </c>
    </row>
    <row r="2394" spans="1:12" ht="12.75">
      <c r="A2394" s="3" t="str">
        <f ca="1">IFERROR(__xludf.UNSUPPORTED("""COMPUTED_VALUE"""),"0d98c03b")</f>
        <v>0d98c03b</v>
      </c>
      <c r="B2394" s="4">
        <f ca="1">IFERROR(__xludf.UNSUPPORTED("""COMPUTED_VALUE"""),44979.5398842592)</f>
        <v>44979.539884259197</v>
      </c>
      <c r="C2394" s="7" t="str">
        <f ca="1">IFERROR(__xludf.UNSUPPORTED("""COMPUTED_VALUE"""),"Santos")</f>
        <v>Santos</v>
      </c>
      <c r="D2394" s="3" t="str">
        <f ca="1">IFERROR(__xludf.UNSUPPORTED("""COMPUTED_VALUE"""),"🚢 REGULAR")</f>
        <v>🚢 REGULAR</v>
      </c>
      <c r="E2394" s="3" t="str">
        <f ca="1">IFERROR(__xludf.UNSUPPORTED("""COMPUTED_VALUE"""),"🚛 LIBERADO")</f>
        <v>🚛 LIBERADO</v>
      </c>
      <c r="F2394" s="5">
        <f ca="1">IFERROR(__xludf.UNSUPPORTED("""COMPUTED_VALUE"""),0)</f>
        <v>0</v>
      </c>
      <c r="G2394" s="3" t="str">
        <f ca="1">IFERROR(__xludf.UNSUPPORTED("""COMPUTED_VALUE"""),"Normalidade")</f>
        <v>Normalidade</v>
      </c>
      <c r="H2394" s="4">
        <f ca="1">IFERROR(__xludf.UNSUPPORTED("""COMPUTED_VALUE"""),44979.5398842592)</f>
        <v>44979.539884259197</v>
      </c>
      <c r="I2394" s="3">
        <f ca="1">IFERROR(__xludf.UNSUPPORTED("""COMPUTED_VALUE"""),24)</f>
        <v>24</v>
      </c>
      <c r="J2394" s="4">
        <f ca="1">IFERROR(__xludf.UNSUPPORTED("""COMPUTED_VALUE"""),44980.5398842592)</f>
        <v>44980.539884259197</v>
      </c>
    </row>
    <row r="2395" spans="1:12" ht="12.75">
      <c r="A2395" s="3" t="str">
        <f ca="1">IFERROR(__xludf.UNSUPPORTED("""COMPUTED_VALUE"""),"832668b6")</f>
        <v>832668b6</v>
      </c>
      <c r="B2395" s="4">
        <f ca="1">IFERROR(__xludf.UNSUPPORTED("""COMPUTED_VALUE"""),45120.6743055555)</f>
        <v>45120.674305555498</v>
      </c>
      <c r="C2395" s="7" t="str">
        <f ca="1">IFERROR(__xludf.UNSUPPORTED("""COMPUTED_VALUE"""),"Santos")</f>
        <v>Santos</v>
      </c>
      <c r="D2395" s="3" t="str">
        <f ca="1">IFERROR(__xludf.UNSUPPORTED("""COMPUTED_VALUE"""),"🚢 REGULAR")</f>
        <v>🚢 REGULAR</v>
      </c>
      <c r="E2395" s="3" t="str">
        <f ca="1">IFERROR(__xludf.UNSUPPORTED("""COMPUTED_VALUE"""),"🚛 LIBERADO")</f>
        <v>🚛 LIBERADO</v>
      </c>
      <c r="F2395" s="5">
        <f ca="1">IFERROR(__xludf.UNSUPPORTED("""COMPUTED_VALUE"""),0)</f>
        <v>0</v>
      </c>
      <c r="G2395" s="3" t="str">
        <f ca="1">IFERROR(__xludf.UNSUPPORTED("""COMPUTED_VALUE"""),"Normalidade")</f>
        <v>Normalidade</v>
      </c>
      <c r="H2395" s="4">
        <f ca="1">IFERROR(__xludf.UNSUPPORTED("""COMPUTED_VALUE"""),45120.6743055555)</f>
        <v>45120.674305555498</v>
      </c>
      <c r="I2395" s="3">
        <f ca="1">IFERROR(__xludf.UNSUPPORTED("""COMPUTED_VALUE"""),24)</f>
        <v>24</v>
      </c>
      <c r="J2395" s="4">
        <f ca="1">IFERROR(__xludf.UNSUPPORTED("""COMPUTED_VALUE"""),45121.6743055555)</f>
        <v>45121.674305555498</v>
      </c>
      <c r="L2395" s="3" t="str">
        <f ca="1">IFERROR(__xludf.UNSUPPORTED("""COMPUTED_VALUE"""),"Normalidade")</f>
        <v>Normalidade</v>
      </c>
    </row>
    <row r="2396" spans="1:12" ht="12.75">
      <c r="A2396" s="3" t="str">
        <f ca="1">IFERROR(__xludf.UNSUPPORTED("""COMPUTED_VALUE"""),"c3621d05")</f>
        <v>c3621d05</v>
      </c>
      <c r="B2396" s="4">
        <f ca="1">IFERROR(__xludf.UNSUPPORTED("""COMPUTED_VALUE"""),45121.539537037)</f>
        <v>45121.539537037002</v>
      </c>
      <c r="C2396" s="7" t="str">
        <f ca="1">IFERROR(__xludf.UNSUPPORTED("""COMPUTED_VALUE"""),"Santos")</f>
        <v>Santos</v>
      </c>
      <c r="D2396" s="3" t="str">
        <f ca="1">IFERROR(__xludf.UNSUPPORTED("""COMPUTED_VALUE"""),"🚢 REGULAR")</f>
        <v>🚢 REGULAR</v>
      </c>
      <c r="E2396" s="3" t="str">
        <f ca="1">IFERROR(__xludf.UNSUPPORTED("""COMPUTED_VALUE"""),"🚛 LIBERADO")</f>
        <v>🚛 LIBERADO</v>
      </c>
      <c r="F2396" s="5">
        <f ca="1">IFERROR(__xludf.UNSUPPORTED("""COMPUTED_VALUE"""),0.75)</f>
        <v>0.75</v>
      </c>
      <c r="G2396" s="3" t="str">
        <f ca="1">IFERROR(__xludf.UNSUPPORTED("""COMPUTED_VALUE"""),"Incumbiu-me o Sr. Capitão dos Portos de São Paulo de informar que, a partir das 10h10 do presente dia, em virtude  das condições meteorológicas, ondas com altura acima de 2,60m, o Porto de Santos passou a operar na condição de *PRATICAGEM INDIRETA* com re"&amp;"strição ao calado de 12,50 metros no Zero DHN e 13,50 metros com altura de maré &gt;= 1m.")</f>
        <v>Incumbiu-me o Sr. Capitão dos Portos de São Paulo de informar que, a partir das 10h10 do presente dia, em virtude  das condições meteorológicas, ondas com altura acima de 2,60m, o Porto de Santos passou a operar na condição de *PRATICAGEM INDIRETA* com restrição ao calado de 12,50 metros no Zero DHN e 13,50 metros com altura de maré &gt;= 1m.</v>
      </c>
      <c r="H2396" s="4">
        <f ca="1">IFERROR(__xludf.UNSUPPORTED("""COMPUTED_VALUE"""),45121.539537037)</f>
        <v>45121.539537037002</v>
      </c>
      <c r="I2396" s="3">
        <f ca="1">IFERROR(__xludf.UNSUPPORTED("""COMPUTED_VALUE"""),24)</f>
        <v>24</v>
      </c>
      <c r="J2396" s="4">
        <f ca="1">IFERROR(__xludf.UNSUPPORTED("""COMPUTED_VALUE"""),45122.539537037)</f>
        <v>45122.539537037002</v>
      </c>
      <c r="K2396" s="3" t="str">
        <f ca="1">IFERROR(__xludf.UNSUPPORTED("""COMPUTED_VALUE"""),"CPSP")</f>
        <v>CPSP</v>
      </c>
      <c r="L2396" s="3" t="str">
        <f ca="1">IFERROR(__xludf.UNSUPPORTED("""COMPUTED_VALUE"""),"Crítico")</f>
        <v>Crítico</v>
      </c>
    </row>
    <row r="2397" spans="1:12" ht="12.75">
      <c r="A2397" s="3" t="str">
        <f ca="1">IFERROR(__xludf.UNSUPPORTED("""COMPUTED_VALUE"""),"210abec6")</f>
        <v>210abec6</v>
      </c>
      <c r="B2397" s="4">
        <f ca="1">IFERROR(__xludf.UNSUPPORTED("""COMPUTED_VALUE"""),45121.6156828703)</f>
        <v>45121.615682870302</v>
      </c>
      <c r="C2397" s="7" t="str">
        <f ca="1">IFERROR(__xludf.UNSUPPORTED("""COMPUTED_VALUE"""),"Santos")</f>
        <v>Santos</v>
      </c>
      <c r="D2397" s="3" t="str">
        <f ca="1">IFERROR(__xludf.UNSUPPORTED("""COMPUTED_VALUE"""),"❗️ PARALISADA")</f>
        <v>❗️ PARALISADA</v>
      </c>
      <c r="E2397" s="3" t="str">
        <f ca="1">IFERROR(__xludf.UNSUPPORTED("""COMPUTED_VALUE"""),"🚛 LIBERADO")</f>
        <v>🚛 LIBERADO</v>
      </c>
      <c r="F2397" s="5">
        <f ca="1">IFERROR(__xludf.UNSUPPORTED("""COMPUTED_VALUE"""),0.75)</f>
        <v>0.75</v>
      </c>
      <c r="G2397" s="3" t="str">
        <f ca="1">IFERROR(__xludf.UNSUPPORTED("""COMPUTED_VALUE"""),"Incumbiu-me o Sr. Capitão dos Portos de São Paulo de informar que, a partir das 13h30min do presente dia, em virtude da piora das condições meteorológicas, com ondas acima de 3,20m, o Porto de Santos passou a operar na condição de  IMPRATICABILIDADE.")</f>
        <v>Incumbiu-me o Sr. Capitão dos Portos de São Paulo de informar que, a partir das 13h30min do presente dia, em virtude da piora das condições meteorológicas, com ondas acima de 3,20m, o Porto de Santos passou a operar na condição de  IMPRATICABILIDADE.</v>
      </c>
      <c r="H2397" s="4">
        <f ca="1">IFERROR(__xludf.UNSUPPORTED("""COMPUTED_VALUE"""),45121.6156828703)</f>
        <v>45121.615682870302</v>
      </c>
      <c r="I2397" s="3">
        <f ca="1">IFERROR(__xludf.UNSUPPORTED("""COMPUTED_VALUE"""),6)</f>
        <v>6</v>
      </c>
      <c r="J2397" s="4">
        <f ca="1">IFERROR(__xludf.UNSUPPORTED("""COMPUTED_VALUE"""),45121.8656828703)</f>
        <v>45121.865682870302</v>
      </c>
      <c r="K2397" s="3" t="str">
        <f ca="1">IFERROR(__xludf.UNSUPPORTED("""COMPUTED_VALUE"""),"CPSP")</f>
        <v>CPSP</v>
      </c>
      <c r="L2397" s="3" t="str">
        <f ca="1">IFERROR(__xludf.UNSUPPORTED("""COMPUTED_VALUE"""),"Crítico")</f>
        <v>Crítico</v>
      </c>
    </row>
    <row r="2398" spans="1:12" ht="12.75">
      <c r="A2398" s="3" t="str">
        <f ca="1">IFERROR(__xludf.UNSUPPORTED("""COMPUTED_VALUE"""),"68353b60")</f>
        <v>68353b60</v>
      </c>
      <c r="B2398" s="4">
        <f ca="1">IFERROR(__xludf.UNSUPPORTED("""COMPUTED_VALUE"""),45121.8656018518)</f>
        <v>45121.865601851801</v>
      </c>
      <c r="C2398" s="8" t="str">
        <f ca="1">IFERROR(__xludf.UNSUPPORTED("""COMPUTED_VALUE"""),"Santos")</f>
        <v>Santos</v>
      </c>
      <c r="D2398" s="3" t="str">
        <f ca="1">IFERROR(__xludf.UNSUPPORTED("""COMPUTED_VALUE"""),"🚢 REGULAR")</f>
        <v>🚢 REGULAR</v>
      </c>
      <c r="E2398" s="3" t="str">
        <f ca="1">IFERROR(__xludf.UNSUPPORTED("""COMPUTED_VALUE"""),"🚛 LIBERADO")</f>
        <v>🚛 LIBERADO</v>
      </c>
      <c r="F2398" s="5">
        <f ca="1">IFERROR(__xludf.UNSUPPORTED("""COMPUTED_VALUE"""),0.25)</f>
        <v>0.25</v>
      </c>
      <c r="G2398" s="3" t="str">
        <f ca="1">IFERROR(__xludf.UNSUPPORTED("""COMPUTED_VALUE"""),"Incumbiu-me o Sr. Capitão dos Portos de São Paulo de informar que, a partir das 20h do presente dia, em virtude de melhora das condições meteorológicas, ondas com altura de 2,30m, o Porto de Santos passou a operar na condição de *PRATICAGEM INDIRETA* e ba"&amp;"rra restrita à 12,5m no Zero DHN.")</f>
        <v>Incumbiu-me o Sr. Capitão dos Portos de São Paulo de informar que, a partir das 20h do presente dia, em virtude de melhora das condições meteorológicas, ondas com altura de 2,30m, o Porto de Santos passou a operar na condição de *PRATICAGEM INDIRETA* e barra restrita à 12,5m no Zero DHN.</v>
      </c>
      <c r="H2398" s="4">
        <f ca="1">IFERROR(__xludf.UNSUPPORTED("""COMPUTED_VALUE"""),45121.8656018518)</f>
        <v>45121.865601851801</v>
      </c>
      <c r="I2398" s="3">
        <f ca="1">IFERROR(__xludf.UNSUPPORTED("""COMPUTED_VALUE"""),6)</f>
        <v>6</v>
      </c>
      <c r="J2398" s="4">
        <f ca="1">IFERROR(__xludf.UNSUPPORTED("""COMPUTED_VALUE"""),45122.1156018518)</f>
        <v>45122.115601851801</v>
      </c>
      <c r="K2398" s="3" t="str">
        <f ca="1">IFERROR(__xludf.UNSUPPORTED("""COMPUTED_VALUE"""),"CPSP")</f>
        <v>CPSP</v>
      </c>
      <c r="L2398" s="3" t="str">
        <f ca="1">IFERROR(__xludf.UNSUPPORTED("""COMPUTED_VALUE"""),"Crítico")</f>
        <v>Crítico</v>
      </c>
    </row>
    <row r="2399" spans="1:12" ht="12.75">
      <c r="A2399" s="3" t="str">
        <f ca="1">IFERROR(__xludf.UNSUPPORTED("""COMPUTED_VALUE"""),"d5bd153b")</f>
        <v>d5bd153b</v>
      </c>
      <c r="B2399" s="4">
        <f ca="1">IFERROR(__xludf.UNSUPPORTED("""COMPUTED_VALUE"""),45146.3088194444)</f>
        <v>45146.308819444399</v>
      </c>
      <c r="C2399" s="7" t="str">
        <f ca="1">IFERROR(__xludf.UNSUPPORTED("""COMPUTED_VALUE"""),"Santos")</f>
        <v>Santos</v>
      </c>
      <c r="D2399" s="3" t="str">
        <f ca="1">IFERROR(__xludf.UNSUPPORTED("""COMPUTED_VALUE"""),"🚢 REGULAR")</f>
        <v>🚢 REGULAR</v>
      </c>
      <c r="E2399" s="3" t="str">
        <f ca="1">IFERROR(__xludf.UNSUPPORTED("""COMPUTED_VALUE"""),"🚛 LIBERADO")</f>
        <v>🚛 LIBERADO</v>
      </c>
      <c r="F2399" s="5">
        <f ca="1">IFERROR(__xludf.UNSUPPORTED("""COMPUTED_VALUE"""),0)</f>
        <v>0</v>
      </c>
      <c r="G2399" s="3" t="str">
        <f ca="1">IFERROR(__xludf.UNSUPPORTED("""COMPUTED_VALUE"""),"Normalidade")</f>
        <v>Normalidade</v>
      </c>
      <c r="H2399" s="4">
        <f ca="1">IFERROR(__xludf.UNSUPPORTED("""COMPUTED_VALUE"""),45146.3088194444)</f>
        <v>45146.308819444399</v>
      </c>
      <c r="I2399" s="3">
        <f ca="1">IFERROR(__xludf.UNSUPPORTED("""COMPUTED_VALUE"""),24)</f>
        <v>24</v>
      </c>
      <c r="J2399" s="4">
        <f ca="1">IFERROR(__xludf.UNSUPPORTED("""COMPUTED_VALUE"""),45147.3088194444)</f>
        <v>45147.308819444399</v>
      </c>
    </row>
    <row r="2400" spans="1:12" ht="12.75">
      <c r="A2400" s="3" t="str">
        <f ca="1">IFERROR(__xludf.UNSUPPORTED("""COMPUTED_VALUE"""),"bc61447d")</f>
        <v>bc61447d</v>
      </c>
      <c r="B2400" s="4">
        <f ca="1">IFERROR(__xludf.UNSUPPORTED("""COMPUTED_VALUE"""),45146.3266550925)</f>
        <v>45146.326655092496</v>
      </c>
      <c r="C2400" s="8" t="str">
        <f ca="1">IFERROR(__xludf.UNSUPPORTED("""COMPUTED_VALUE"""),"Santos")</f>
        <v>Santos</v>
      </c>
      <c r="D2400" s="3" t="str">
        <f ca="1">IFERROR(__xludf.UNSUPPORTED("""COMPUTED_VALUE"""),"🚢 REGULAR")</f>
        <v>🚢 REGULAR</v>
      </c>
      <c r="E2400" s="3" t="str">
        <f ca="1">IFERROR(__xludf.UNSUPPORTED("""COMPUTED_VALUE"""),"🚛 LIBERADO")</f>
        <v>🚛 LIBERADO</v>
      </c>
      <c r="F2400" s="5">
        <f ca="1">IFERROR(__xludf.UNSUPPORTED("""COMPUTED_VALUE"""),0.25)</f>
        <v>0.25</v>
      </c>
      <c r="G2400" s="3" t="str">
        <f ca="1">IFERROR(__xludf.UNSUPPORTED("""COMPUTED_VALUE"""),"Incumbiu-me o Sr. Capitão dos Portos de São Paulo de informar que, a partir das ,00h15 do presente dia, em virtude da piora das condições meteorológicas, com ondas de 1,60cm e vento 12 nós, o Porto de Santos passou a operar na condição de *PRATICAGEM INDI"&amp;"RETA*
Respeitosamente,")</f>
        <v>Incumbiu-me o Sr. Capitão dos Portos de São Paulo de informar que, a partir das ,00h15 do presente dia, em virtude da piora das condições meteorológicas, com ondas de 1,60cm e vento 12 nós, o Porto de Santos passou a operar na condição de *PRATICAGEM INDIRETA*
Respeitosamente,</v>
      </c>
      <c r="H2400" s="4">
        <f ca="1">IFERROR(__xludf.UNSUPPORTED("""COMPUTED_VALUE"""),45146.3266550925)</f>
        <v>45146.326655092496</v>
      </c>
      <c r="I2400" s="3">
        <f ca="1">IFERROR(__xludf.UNSUPPORTED("""COMPUTED_VALUE"""),23)</f>
        <v>23</v>
      </c>
      <c r="J2400" s="4">
        <f ca="1">IFERROR(__xludf.UNSUPPORTED("""COMPUTED_VALUE"""),45147.2849884259)</f>
        <v>45147.284988425898</v>
      </c>
      <c r="K2400" s="3" t="str">
        <f ca="1">IFERROR(__xludf.UNSUPPORTED("""COMPUTED_VALUE"""),"CPSP")</f>
        <v>CPSP</v>
      </c>
      <c r="L2400" s="3" t="str">
        <f ca="1">IFERROR(__xludf.UNSUPPORTED("""COMPUTED_VALUE"""),"Crítico")</f>
        <v>Crítico</v>
      </c>
    </row>
    <row r="2401" spans="1:12" ht="12.75">
      <c r="A2401" s="3" t="str">
        <f ca="1">IFERROR(__xludf.UNSUPPORTED("""COMPUTED_VALUE"""),"a7f6695e")</f>
        <v>a7f6695e</v>
      </c>
      <c r="B2401" s="4">
        <f ca="1">IFERROR(__xludf.UNSUPPORTED("""COMPUTED_VALUE"""),45147.3537037037)</f>
        <v>45147.353703703702</v>
      </c>
      <c r="C2401" s="7" t="str">
        <f ca="1">IFERROR(__xludf.UNSUPPORTED("""COMPUTED_VALUE"""),"Santos")</f>
        <v>Santos</v>
      </c>
      <c r="D2401" s="3" t="str">
        <f ca="1">IFERROR(__xludf.UNSUPPORTED("""COMPUTED_VALUE"""),"🚢 REGULAR")</f>
        <v>🚢 REGULAR</v>
      </c>
      <c r="E2401" s="3" t="str">
        <f ca="1">IFERROR(__xludf.UNSUPPORTED("""COMPUTED_VALUE"""),"🚛 LIBERADO")</f>
        <v>🚛 LIBERADO</v>
      </c>
      <c r="F2401" s="5">
        <f ca="1">IFERROR(__xludf.UNSUPPORTED("""COMPUTED_VALUE"""),0.25)</f>
        <v>0.25</v>
      </c>
      <c r="G2401" s="3" t="str">
        <f ca="1">IFERROR(__xludf.UNSUPPORTED("""COMPUTED_VALUE"""),"Informo a impraticabilidade   do Porto de Santos desde às 7h, tendo em vista a condição de mar, que se encontra com ondas acima de 3,0 metros.")</f>
        <v>Informo a impraticabilidade   do Porto de Santos desde às 7h, tendo em vista a condição de mar, que se encontra com ondas acima de 3,0 metros.</v>
      </c>
      <c r="H2401" s="4">
        <f ca="1">IFERROR(__xludf.UNSUPPORTED("""COMPUTED_VALUE"""),45147.3537037037)</f>
        <v>45147.353703703702</v>
      </c>
      <c r="I2401" s="3">
        <f ca="1">IFERROR(__xludf.UNSUPPORTED("""COMPUTED_VALUE"""),6)</f>
        <v>6</v>
      </c>
      <c r="J2401" s="4">
        <f ca="1">IFERROR(__xludf.UNSUPPORTED("""COMPUTED_VALUE"""),45147.6037037037)</f>
        <v>45147.603703703702</v>
      </c>
      <c r="K2401" s="3" t="str">
        <f ca="1">IFERROR(__xludf.UNSUPPORTED("""COMPUTED_VALUE"""),"CPSP")</f>
        <v>CPSP</v>
      </c>
      <c r="L2401" s="3" t="str">
        <f ca="1">IFERROR(__xludf.UNSUPPORTED("""COMPUTED_VALUE"""),"Crítico")</f>
        <v>Crítico</v>
      </c>
    </row>
    <row r="2402" spans="1:12" ht="12.75">
      <c r="A2402" s="3" t="str">
        <f ca="1">IFERROR(__xludf.UNSUPPORTED("""COMPUTED_VALUE"""),"d5698ee6")</f>
        <v>d5698ee6</v>
      </c>
      <c r="B2402" s="4">
        <f ca="1">IFERROR(__xludf.UNSUPPORTED("""COMPUTED_VALUE"""),45147.6400925925)</f>
        <v>45147.640092592497</v>
      </c>
      <c r="C2402" s="8" t="str">
        <f ca="1">IFERROR(__xludf.UNSUPPORTED("""COMPUTED_VALUE"""),"Santos")</f>
        <v>Santos</v>
      </c>
      <c r="D2402" s="3" t="str">
        <f ca="1">IFERROR(__xludf.UNSUPPORTED("""COMPUTED_VALUE"""),"🚢 REGULAR")</f>
        <v>🚢 REGULAR</v>
      </c>
      <c r="E2402" s="3" t="str">
        <f ca="1">IFERROR(__xludf.UNSUPPORTED("""COMPUTED_VALUE"""),"🚛 LIBERADO")</f>
        <v>🚛 LIBERADO</v>
      </c>
      <c r="F2402" s="5">
        <f ca="1">IFERROR(__xludf.UNSUPPORTED("""COMPUTED_VALUE"""),0.25)</f>
        <v>0.25</v>
      </c>
      <c r="G2402" s="3" t="str">
        <f ca="1">IFERROR(__xludf.UNSUPPORTED("""COMPUTED_VALUE"""),"Incumbiu-me o Sr. Capitão dos Portos de São Paulo de informar que, a partir das 10h30 do presente dia, em virtude da melhora das condições meteorológicas, com ondas de 2.6m, vento 20 nós, o Porto de Santos passou a operar na condição de *PRATICAGEM INDIRE"&amp;"TA* e com calado restrito à 12,5m com 1m de maré.
Respeitosamente,")</f>
        <v>Incumbiu-me o Sr. Capitão dos Portos de São Paulo de informar que, a partir das 10h30 do presente dia, em virtude da melhora das condições meteorológicas, com ondas de 2.6m, vento 20 nós, o Porto de Santos passou a operar na condição de *PRATICAGEM INDIRETA* e com calado restrito à 12,5m com 1m de maré.
Respeitosamente,</v>
      </c>
      <c r="H2402" s="4">
        <f ca="1">IFERROR(__xludf.UNSUPPORTED("""COMPUTED_VALUE"""),45147.6400925925)</f>
        <v>45147.640092592497</v>
      </c>
      <c r="I2402" s="3">
        <f ca="1">IFERROR(__xludf.UNSUPPORTED("""COMPUTED_VALUE"""),6)</f>
        <v>6</v>
      </c>
      <c r="J2402" s="4">
        <f ca="1">IFERROR(__xludf.UNSUPPORTED("""COMPUTED_VALUE"""),45147.8900925925)</f>
        <v>45147.890092592497</v>
      </c>
      <c r="K2402" s="3" t="str">
        <f ca="1">IFERROR(__xludf.UNSUPPORTED("""COMPUTED_VALUE"""),"Incumbiu-me o Sr. Capitão dos Portos de São Paulo de informar que, a partir das 10h30 do presente dia, em virtude da melhora das condições meteorológicas, com ondas de 2.6m, vento 20 nós, o Porto de Santos passou a operar na condição de *PRATICAGEM INDIRE"&amp;"TA* e com calado restrito à 12,5m com 1m de maré.")</f>
        <v>Incumbiu-me o Sr. Capitão dos Portos de São Paulo de informar que, a partir das 10h30 do presente dia, em virtude da melhora das condições meteorológicas, com ondas de 2.6m, vento 20 nós, o Porto de Santos passou a operar na condição de *PRATICAGEM INDIRETA* e com calado restrito à 12,5m com 1m de maré.</v>
      </c>
      <c r="L2402" s="3" t="str">
        <f ca="1">IFERROR(__xludf.UNSUPPORTED("""COMPUTED_VALUE"""),"Crítico")</f>
        <v>Crítico</v>
      </c>
    </row>
    <row r="2403" spans="1:12" ht="12.75">
      <c r="A2403" s="3" t="str">
        <f ca="1">IFERROR(__xludf.UNSUPPORTED("""COMPUTED_VALUE"""),"47939778")</f>
        <v>47939778</v>
      </c>
      <c r="B2403" s="4">
        <f ca="1">IFERROR(__xludf.UNSUPPORTED("""COMPUTED_VALUE"""),45149.6784143518)</f>
        <v>45149.678414351802</v>
      </c>
      <c r="C2403" s="7" t="str">
        <f ca="1">IFERROR(__xludf.UNSUPPORTED("""COMPUTED_VALUE"""),"Santos")</f>
        <v>Santos</v>
      </c>
      <c r="D2403" s="3" t="str">
        <f ca="1">IFERROR(__xludf.UNSUPPORTED("""COMPUTED_VALUE"""),"🚢 REGULAR")</f>
        <v>🚢 REGULAR</v>
      </c>
      <c r="E2403" s="3" t="str">
        <f ca="1">IFERROR(__xludf.UNSUPPORTED("""COMPUTED_VALUE"""),"🚛 LIBERADO")</f>
        <v>🚛 LIBERADO</v>
      </c>
      <c r="F2403" s="5">
        <f ca="1">IFERROR(__xludf.UNSUPPORTED("""COMPUTED_VALUE"""),0.25)</f>
        <v>0.25</v>
      </c>
      <c r="G2403" s="3" t="str">
        <f ca="1">IFERROR(__xludf.UNSUPPORTED("""COMPUTED_VALUE"""),"Incumbiu-me o Sr. Capitão dos Portos de São Paulo de informar que, a partir das 10h30 do presente dia, em virtude da melhora das condições meteorológicas, com ondas de 2.6m, vento 20 nós, o Porto de Santos passou a operar na condição de *PRATICAGEM INDIRE"&amp;"TA* e com calado restrito à 12,5m com 1m de maré.")</f>
        <v>Incumbiu-me o Sr. Capitão dos Portos de São Paulo de informar que, a partir das 10h30 do presente dia, em virtude da melhora das condições meteorológicas, com ondas de 2.6m, vento 20 nós, o Porto de Santos passou a operar na condição de *PRATICAGEM INDIRETA* e com calado restrito à 12,5m com 1m de maré.</v>
      </c>
      <c r="H2403" s="4">
        <f ca="1">IFERROR(__xludf.UNSUPPORTED("""COMPUTED_VALUE"""),45149.6784143518)</f>
        <v>45149.678414351802</v>
      </c>
      <c r="I2403" s="3">
        <f ca="1">IFERROR(__xludf.UNSUPPORTED("""COMPUTED_VALUE"""),6)</f>
        <v>6</v>
      </c>
      <c r="J2403" s="4">
        <f ca="1">IFERROR(__xludf.UNSUPPORTED("""COMPUTED_VALUE"""),45149.9284143518)</f>
        <v>45149.928414351802</v>
      </c>
      <c r="K2403" s="3" t="str">
        <f ca="1">IFERROR(__xludf.UNSUPPORTED("""COMPUTED_VALUE"""),"CPSP")</f>
        <v>CPSP</v>
      </c>
      <c r="L2403" s="3" t="str">
        <f ca="1">IFERROR(__xludf.UNSUPPORTED("""COMPUTED_VALUE"""),"Crítico")</f>
        <v>Crítico</v>
      </c>
    </row>
    <row r="2404" spans="1:12" ht="12.75">
      <c r="A2404" s="3" t="str">
        <f ca="1">IFERROR(__xludf.UNSUPPORTED("""COMPUTED_VALUE"""),"ade15226")</f>
        <v>ade15226</v>
      </c>
      <c r="B2404" s="4">
        <f ca="1">IFERROR(__xludf.UNSUPPORTED("""COMPUTED_VALUE"""),45152.2176041666)</f>
        <v>45152.217604166603</v>
      </c>
      <c r="C2404" s="8" t="str">
        <f ca="1">IFERROR(__xludf.UNSUPPORTED("""COMPUTED_VALUE"""),"Santos")</f>
        <v>Santos</v>
      </c>
      <c r="D2404" s="3" t="str">
        <f ca="1">IFERROR(__xludf.UNSUPPORTED("""COMPUTED_VALUE"""),"🚢 REGULAR")</f>
        <v>🚢 REGULAR</v>
      </c>
      <c r="E2404" s="3" t="str">
        <f ca="1">IFERROR(__xludf.UNSUPPORTED("""COMPUTED_VALUE"""),"🚛 LIBERADO")</f>
        <v>🚛 LIBERADO</v>
      </c>
      <c r="F2404" s="5">
        <f ca="1">IFERROR(__xludf.UNSUPPORTED("""COMPUTED_VALUE"""),0)</f>
        <v>0</v>
      </c>
      <c r="G2404" s="3" t="str">
        <f ca="1">IFERROR(__xludf.UNSUPPORTED("""COMPUTED_VALUE"""),"Normalidade")</f>
        <v>Normalidade</v>
      </c>
      <c r="H2404" s="4">
        <f ca="1">IFERROR(__xludf.UNSUPPORTED("""COMPUTED_VALUE"""),45152.2176041666)</f>
        <v>45152.217604166603</v>
      </c>
      <c r="I2404" s="3">
        <f ca="1">IFERROR(__xludf.UNSUPPORTED("""COMPUTED_VALUE"""),24)</f>
        <v>24</v>
      </c>
      <c r="J2404" s="4">
        <f ca="1">IFERROR(__xludf.UNSUPPORTED("""COMPUTED_VALUE"""),45153.2176041666)</f>
        <v>45153.217604166603</v>
      </c>
      <c r="L2404" s="3" t="str">
        <f ca="1">IFERROR(__xludf.UNSUPPORTED("""COMPUTED_VALUE"""),"Normalidade")</f>
        <v>Normalidade</v>
      </c>
    </row>
    <row r="2405" spans="1:12" ht="12.75">
      <c r="A2405" s="3" t="str">
        <f ca="1">IFERROR(__xludf.UNSUPPORTED("""COMPUTED_VALUE"""),"3699781c")</f>
        <v>3699781c</v>
      </c>
      <c r="B2405" s="4">
        <f ca="1">IFERROR(__xludf.UNSUPPORTED("""COMPUTED_VALUE"""),45157.5422685185)</f>
        <v>45157.542268518497</v>
      </c>
      <c r="C2405" s="7" t="str">
        <f ca="1">IFERROR(__xludf.UNSUPPORTED("""COMPUTED_VALUE"""),"Santos")</f>
        <v>Santos</v>
      </c>
      <c r="D2405" s="3" t="str">
        <f ca="1">IFERROR(__xludf.UNSUPPORTED("""COMPUTED_VALUE"""),"🚢 REGULAR")</f>
        <v>🚢 REGULAR</v>
      </c>
      <c r="E2405" s="3" t="str">
        <f ca="1">IFERROR(__xludf.UNSUPPORTED("""COMPUTED_VALUE"""),"🚛 LIBERADO")</f>
        <v>🚛 LIBERADO</v>
      </c>
      <c r="F2405" s="5">
        <f ca="1">IFERROR(__xludf.UNSUPPORTED("""COMPUTED_VALUE"""),0)</f>
        <v>0</v>
      </c>
      <c r="G2405" s="3" t="str">
        <f ca="1">IFERROR(__xludf.UNSUPPORTED("""COMPUTED_VALUE"""),"Normalidade")</f>
        <v>Normalidade</v>
      </c>
      <c r="H2405" s="4">
        <f ca="1">IFERROR(__xludf.UNSUPPORTED("""COMPUTED_VALUE"""),45157.5422685185)</f>
        <v>45157.542268518497</v>
      </c>
      <c r="I2405" s="3">
        <f ca="1">IFERROR(__xludf.UNSUPPORTED("""COMPUTED_VALUE"""),24)</f>
        <v>24</v>
      </c>
      <c r="J2405" s="4">
        <f ca="1">IFERROR(__xludf.UNSUPPORTED("""COMPUTED_VALUE"""),45158.5422685185)</f>
        <v>45158.542268518497</v>
      </c>
      <c r="L2405" s="3" t="str">
        <f ca="1">IFERROR(__xludf.UNSUPPORTED("""COMPUTED_VALUE"""),"Normalidade")</f>
        <v>Normalidade</v>
      </c>
    </row>
    <row r="2406" spans="1:12" ht="12.75">
      <c r="A2406" s="3" t="str">
        <f ca="1">IFERROR(__xludf.UNSUPPORTED("""COMPUTED_VALUE"""),"cd9c3dc2")</f>
        <v>cd9c3dc2</v>
      </c>
      <c r="B2406" s="4">
        <f ca="1">IFERROR(__xludf.UNSUPPORTED("""COMPUTED_VALUE"""),45168.5281018518)</f>
        <v>45168.5281018518</v>
      </c>
      <c r="C2406" s="8" t="str">
        <f ca="1">IFERROR(__xludf.UNSUPPORTED("""COMPUTED_VALUE"""),"Santos")</f>
        <v>Santos</v>
      </c>
      <c r="D2406" s="3" t="str">
        <f ca="1">IFERROR(__xludf.UNSUPPORTED("""COMPUTED_VALUE"""),"🚢 REGULAR")</f>
        <v>🚢 REGULAR</v>
      </c>
      <c r="E2406" s="3" t="str">
        <f ca="1">IFERROR(__xludf.UNSUPPORTED("""COMPUTED_VALUE"""),"🚛 LIBERADO")</f>
        <v>🚛 LIBERADO</v>
      </c>
      <c r="F2406" s="5">
        <f ca="1">IFERROR(__xludf.UNSUPPORTED("""COMPUTED_VALUE"""),0)</f>
        <v>0</v>
      </c>
      <c r="G2406" s="3" t="str">
        <f ca="1">IFERROR(__xludf.UNSUPPORTED("""COMPUTED_VALUE"""),"Normalidade")</f>
        <v>Normalidade</v>
      </c>
      <c r="H2406" s="4">
        <f ca="1">IFERROR(__xludf.UNSUPPORTED("""COMPUTED_VALUE"""),45168.5281018518)</f>
        <v>45168.5281018518</v>
      </c>
      <c r="I2406" s="3">
        <f ca="1">IFERROR(__xludf.UNSUPPORTED("""COMPUTED_VALUE"""),24)</f>
        <v>24</v>
      </c>
      <c r="J2406" s="4">
        <f ca="1">IFERROR(__xludf.UNSUPPORTED("""COMPUTED_VALUE"""),45169.5281018518)</f>
        <v>45169.5281018518</v>
      </c>
      <c r="L2406" s="3" t="str">
        <f ca="1">IFERROR(__xludf.UNSUPPORTED("""COMPUTED_VALUE"""),"Normalidade")</f>
        <v>Normalidade</v>
      </c>
    </row>
    <row r="2407" spans="1:12" ht="12.75">
      <c r="A2407" s="3" t="str">
        <f ca="1">IFERROR(__xludf.UNSUPPORTED("""COMPUTED_VALUE"""),"e78186dd")</f>
        <v>e78186dd</v>
      </c>
      <c r="B2407" s="4">
        <f ca="1">IFERROR(__xludf.UNSUPPORTED("""COMPUTED_VALUE"""),45172.8553935185)</f>
        <v>45172.855393518497</v>
      </c>
      <c r="C2407" s="7" t="str">
        <f ca="1">IFERROR(__xludf.UNSUPPORTED("""COMPUTED_VALUE"""),"Santos")</f>
        <v>Santos</v>
      </c>
      <c r="D2407" s="3" t="str">
        <f ca="1">IFERROR(__xludf.UNSUPPORTED("""COMPUTED_VALUE"""),"🚢 REGULAR")</f>
        <v>🚢 REGULAR</v>
      </c>
      <c r="E2407" s="3" t="str">
        <f ca="1">IFERROR(__xludf.UNSUPPORTED("""COMPUTED_VALUE"""),"🚛 LIBERADO")</f>
        <v>🚛 LIBERADO</v>
      </c>
      <c r="F2407" s="5">
        <f ca="1">IFERROR(__xludf.UNSUPPORTED("""COMPUTED_VALUE"""),0)</f>
        <v>0</v>
      </c>
      <c r="G2407" s="3" t="str">
        <f ca="1">IFERROR(__xludf.UNSUPPORTED("""COMPUTED_VALUE"""),"Normalidade")</f>
        <v>Normalidade</v>
      </c>
      <c r="H2407" s="4">
        <f ca="1">IFERROR(__xludf.UNSUPPORTED("""COMPUTED_VALUE"""),45172.8553935185)</f>
        <v>45172.855393518497</v>
      </c>
      <c r="I2407" s="3">
        <f ca="1">IFERROR(__xludf.UNSUPPORTED("""COMPUTED_VALUE"""),24)</f>
        <v>24</v>
      </c>
      <c r="J2407" s="4">
        <f ca="1">IFERROR(__xludf.UNSUPPORTED("""COMPUTED_VALUE"""),45173.8553935185)</f>
        <v>45173.855393518497</v>
      </c>
      <c r="L2407" s="3" t="str">
        <f ca="1">IFERROR(__xludf.UNSUPPORTED("""COMPUTED_VALUE"""),"Normalidade")</f>
        <v>Normalidade</v>
      </c>
    </row>
    <row r="2408" spans="1:12" ht="12.75">
      <c r="A2408" s="3" t="str">
        <f ca="1">IFERROR(__xludf.UNSUPPORTED("""COMPUTED_VALUE"""),"21bf40e4")</f>
        <v>21bf40e4</v>
      </c>
      <c r="B2408" s="4">
        <f ca="1">IFERROR(__xludf.UNSUPPORTED("""COMPUTED_VALUE"""),45174.4535300925)</f>
        <v>45174.453530092498</v>
      </c>
      <c r="C2408" s="8" t="str">
        <f ca="1">IFERROR(__xludf.UNSUPPORTED("""COMPUTED_VALUE"""),"Santos")</f>
        <v>Santos</v>
      </c>
      <c r="D2408" s="3" t="str">
        <f ca="1">IFERROR(__xludf.UNSUPPORTED("""COMPUTED_VALUE"""),"🚢 REGULAR")</f>
        <v>🚢 REGULAR</v>
      </c>
      <c r="E2408" s="3" t="str">
        <f ca="1">IFERROR(__xludf.UNSUPPORTED("""COMPUTED_VALUE"""),"🚛 LIBERADO")</f>
        <v>🚛 LIBERADO</v>
      </c>
      <c r="F2408" s="5">
        <f ca="1">IFERROR(__xludf.UNSUPPORTED("""COMPUTED_VALUE"""),0.75)</f>
        <v>0.75</v>
      </c>
      <c r="G2408" s="3" t="str">
        <f ca="1">IFERROR(__xludf.UNSUPPORTED("""COMPUTED_VALUE"""),"Participo que, a partir das 09h30 do presente dia, em virtude da piora das condições meteorológicas, com rajadas de vento acima de 35 nós, o Porto de Santos passou para a condição de *IMPRATICABILIDADE DO PORTO* (porto fechado)")</f>
        <v>Participo que, a partir das 09h30 do presente dia, em virtude da piora das condições meteorológicas, com rajadas de vento acima de 35 nós, o Porto de Santos passou para a condição de *IMPRATICABILIDADE DO PORTO* (porto fechado)</v>
      </c>
      <c r="H2408" s="4">
        <f ca="1">IFERROR(__xludf.UNSUPPORTED("""COMPUTED_VALUE"""),45174.4535300925)</f>
        <v>45174.453530092498</v>
      </c>
      <c r="I2408" s="3">
        <f ca="1">IFERROR(__xludf.UNSUPPORTED("""COMPUTED_VALUE"""),6)</f>
        <v>6</v>
      </c>
      <c r="J2408" s="4">
        <f ca="1">IFERROR(__xludf.UNSUPPORTED("""COMPUTED_VALUE"""),45174.7035300925)</f>
        <v>45174.703530092498</v>
      </c>
      <c r="K2408" s="3" t="str">
        <f ca="1">IFERROR(__xludf.UNSUPPORTED("""COMPUTED_VALUE"""),"CPSP")</f>
        <v>CPSP</v>
      </c>
      <c r="L2408" s="3" t="str">
        <f ca="1">IFERROR(__xludf.UNSUPPORTED("""COMPUTED_VALUE"""),"Crítico")</f>
        <v>Crítico</v>
      </c>
    </row>
    <row r="2409" spans="1:12" ht="12.75">
      <c r="A2409" s="3" t="str">
        <f ca="1">IFERROR(__xludf.UNSUPPORTED("""COMPUTED_VALUE"""),"5bfd139d")</f>
        <v>5bfd139d</v>
      </c>
      <c r="B2409" s="4">
        <f ca="1">IFERROR(__xludf.UNSUPPORTED("""COMPUTED_VALUE"""),45174.4941203703)</f>
        <v>45174.494120370298</v>
      </c>
      <c r="C2409" s="7" t="str">
        <f ca="1">IFERROR(__xludf.UNSUPPORTED("""COMPUTED_VALUE"""),"Santos")</f>
        <v>Santos</v>
      </c>
      <c r="D2409" s="3" t="str">
        <f ca="1">IFERROR(__xludf.UNSUPPORTED("""COMPUTED_VALUE"""),"🚢 REGULAR")</f>
        <v>🚢 REGULAR</v>
      </c>
      <c r="E2409" s="3" t="str">
        <f ca="1">IFERROR(__xludf.UNSUPPORTED("""COMPUTED_VALUE"""),"🚛 LIBERADO")</f>
        <v>🚛 LIBERADO</v>
      </c>
      <c r="F2409" s="5">
        <f ca="1">IFERROR(__xludf.UNSUPPORTED("""COMPUTED_VALUE"""),0.25)</f>
        <v>0.25</v>
      </c>
      <c r="G2409" s="3" t="str">
        <f ca="1">IFERROR(__xludf.UNSUPPORTED("""COMPUTED_VALUE"""),"Participo que, a partir das 11h00 do presente dia, em virtude da melhora das condições meteorológicas, com ventos de 18 nós, o Porto de Santos passou para a condição de *PRATICAGEM INDIRETA*(abertura do porto)
Respeitosamente,")</f>
        <v>Participo que, a partir das 11h00 do presente dia, em virtude da melhora das condições meteorológicas, com ventos de 18 nós, o Porto de Santos passou para a condição de *PRATICAGEM INDIRETA*(abertura do porto)
Respeitosamente,</v>
      </c>
      <c r="H2409" s="4">
        <f ca="1">IFERROR(__xludf.UNSUPPORTED("""COMPUTED_VALUE"""),45174.4941203703)</f>
        <v>45174.494120370298</v>
      </c>
      <c r="I2409" s="3">
        <f ca="1">IFERROR(__xludf.UNSUPPORTED("""COMPUTED_VALUE"""),18)</f>
        <v>18</v>
      </c>
      <c r="J2409" s="4">
        <f ca="1">IFERROR(__xludf.UNSUPPORTED("""COMPUTED_VALUE"""),45175.2441203703)</f>
        <v>45175.244120370298</v>
      </c>
      <c r="K2409" s="3" t="str">
        <f ca="1">IFERROR(__xludf.UNSUPPORTED("""COMPUTED_VALUE"""),"CPSP")</f>
        <v>CPSP</v>
      </c>
      <c r="L2409" s="3" t="str">
        <f ca="1">IFERROR(__xludf.UNSUPPORTED("""COMPUTED_VALUE"""),"Crítico")</f>
        <v>Crítico</v>
      </c>
    </row>
    <row r="2410" spans="1:12" ht="12.75">
      <c r="A2410" s="3" t="str">
        <f ca="1">IFERROR(__xludf.UNSUPPORTED("""COMPUTED_VALUE"""),"daab4efa")</f>
        <v>daab4efa</v>
      </c>
      <c r="B2410" s="4">
        <f ca="1">IFERROR(__xludf.UNSUPPORTED("""COMPUTED_VALUE"""),45183.002824074)</f>
        <v>45183.002824073999</v>
      </c>
      <c r="C2410" s="8" t="str">
        <f ca="1">IFERROR(__xludf.UNSUPPORTED("""COMPUTED_VALUE"""),"Santos")</f>
        <v>Santos</v>
      </c>
      <c r="D2410" s="3" t="str">
        <f ca="1">IFERROR(__xludf.UNSUPPORTED("""COMPUTED_VALUE"""),"🚢 REGULAR")</f>
        <v>🚢 REGULAR</v>
      </c>
      <c r="E2410" s="3" t="str">
        <f ca="1">IFERROR(__xludf.UNSUPPORTED("""COMPUTED_VALUE"""),"🚛 LIBERADO")</f>
        <v>🚛 LIBERADO</v>
      </c>
      <c r="F2410" s="5">
        <f ca="1">IFERROR(__xludf.UNSUPPORTED("""COMPUTED_VALUE"""),0.75)</f>
        <v>0.75</v>
      </c>
      <c r="G2410" s="3" t="str">
        <f ca="1">IFERROR(__xludf.UNSUPPORTED("""COMPUTED_VALUE"""),"Incumbiu-me o Capitão dos Portos de São Paulo de participar que, a partir das 23h15 do presente dia, em virtude da piora das condições meteorológicas, com ventos de 27 nós com rajadas de 40 nós, o Porto de Santos passou a operar na condição de IMPRATICABI"&amp;"LIDADE.")</f>
        <v>Incumbiu-me o Capitão dos Portos de São Paulo de participar que, a partir das 23h15 do presente dia, em virtude da piora das condições meteorológicas, com ventos de 27 nós com rajadas de 40 nós, o Porto de Santos passou a operar na condição de IMPRATICABILIDADE.</v>
      </c>
      <c r="H2410" s="4">
        <f ca="1">IFERROR(__xludf.UNSUPPORTED("""COMPUTED_VALUE"""),45183.002824074)</f>
        <v>45183.002824073999</v>
      </c>
      <c r="I2410" s="3">
        <f ca="1">IFERROR(__xludf.UNSUPPORTED("""COMPUTED_VALUE"""),6)</f>
        <v>6</v>
      </c>
      <c r="J2410" s="4">
        <f ca="1">IFERROR(__xludf.UNSUPPORTED("""COMPUTED_VALUE"""),45183.252824074)</f>
        <v>45183.252824073999</v>
      </c>
      <c r="K2410" s="3" t="str">
        <f ca="1">IFERROR(__xludf.UNSUPPORTED("""COMPUTED_VALUE"""),"CPSP")</f>
        <v>CPSP</v>
      </c>
      <c r="L2410" s="3" t="str">
        <f ca="1">IFERROR(__xludf.UNSUPPORTED("""COMPUTED_VALUE"""),"Crítico")</f>
        <v>Crítico</v>
      </c>
    </row>
    <row r="2411" spans="1:12" ht="12.75">
      <c r="A2411" s="3" t="str">
        <f ca="1">IFERROR(__xludf.UNSUPPORTED("""COMPUTED_VALUE"""),"d4e253f2")</f>
        <v>d4e253f2</v>
      </c>
      <c r="B2411" s="4">
        <f ca="1">IFERROR(__xludf.UNSUPPORTED("""COMPUTED_VALUE"""),45183.3133912037)</f>
        <v>45183.313391203701</v>
      </c>
      <c r="C2411" s="7" t="str">
        <f ca="1">IFERROR(__xludf.UNSUPPORTED("""COMPUTED_VALUE"""),"Santos")</f>
        <v>Santos</v>
      </c>
      <c r="D2411" s="3" t="str">
        <f ca="1">IFERROR(__xludf.UNSUPPORTED("""COMPUTED_VALUE"""),"🚢 REGULAR")</f>
        <v>🚢 REGULAR</v>
      </c>
      <c r="E2411" s="3" t="str">
        <f ca="1">IFERROR(__xludf.UNSUPPORTED("""COMPUTED_VALUE"""),"🚛 LIBERADO")</f>
        <v>🚛 LIBERADO</v>
      </c>
      <c r="F2411" s="5">
        <f ca="1">IFERROR(__xludf.UNSUPPORTED("""COMPUTED_VALUE"""),0.25)</f>
        <v>0.25</v>
      </c>
      <c r="G2411" s="3" t="str">
        <f ca="1">IFERROR(__xludf.UNSUPPORTED("""COMPUTED_VALUE"""),"Incumbiu-me o Capitão dos Portos de São Paulo de participar que, a partir das 02h45 do presente dia, em virtude da melhora das condições meteorológicas, com ventos de 5 nós, rajadas de 13 nós e ondas de 1,00 metro, o Porto de Santos passou a operar na con"&amp;"dição de PRATICAGEM INDIRETA.")</f>
        <v>Incumbiu-me o Capitão dos Portos de São Paulo de participar que, a partir das 02h45 do presente dia, em virtude da melhora das condições meteorológicas, com ventos de 5 nós, rajadas de 13 nós e ondas de 1,00 metro, o Porto de Santos passou a operar na condição de PRATICAGEM INDIRETA.</v>
      </c>
      <c r="H2411" s="4">
        <f ca="1">IFERROR(__xludf.UNSUPPORTED("""COMPUTED_VALUE"""),45183.3133912037)</f>
        <v>45183.313391203701</v>
      </c>
      <c r="I2411" s="3">
        <f ca="1">IFERROR(__xludf.UNSUPPORTED("""COMPUTED_VALUE"""),6)</f>
        <v>6</v>
      </c>
      <c r="J2411" s="4">
        <f ca="1">IFERROR(__xludf.UNSUPPORTED("""COMPUTED_VALUE"""),45183.5633912037)</f>
        <v>45183.563391203701</v>
      </c>
      <c r="K2411" s="3" t="str">
        <f ca="1">IFERROR(__xludf.UNSUPPORTED("""COMPUTED_VALUE"""),"CPSP")</f>
        <v>CPSP</v>
      </c>
      <c r="L2411" s="3" t="str">
        <f ca="1">IFERROR(__xludf.UNSUPPORTED("""COMPUTED_VALUE"""),"Crítico")</f>
        <v>Crítico</v>
      </c>
    </row>
    <row r="2412" spans="1:12" ht="12.75">
      <c r="A2412" s="3" t="str">
        <f ca="1">IFERROR(__xludf.UNSUPPORTED("""COMPUTED_VALUE"""),"f6fa19af")</f>
        <v>f6fa19af</v>
      </c>
      <c r="B2412" s="4">
        <f ca="1">IFERROR(__xludf.UNSUPPORTED("""COMPUTED_VALUE"""),45183.3738425925)</f>
        <v>45183.373842592497</v>
      </c>
      <c r="C2412" s="8" t="str">
        <f ca="1">IFERROR(__xludf.UNSUPPORTED("""COMPUTED_VALUE"""),"Santos")</f>
        <v>Santos</v>
      </c>
      <c r="D2412" s="3" t="str">
        <f ca="1">IFERROR(__xludf.UNSUPPORTED("""COMPUTED_VALUE"""),"🚢 REGULAR")</f>
        <v>🚢 REGULAR</v>
      </c>
      <c r="E2412" s="3" t="str">
        <f ca="1">IFERROR(__xludf.UNSUPPORTED("""COMPUTED_VALUE"""),"🚛 LIBERADO")</f>
        <v>🚛 LIBERADO</v>
      </c>
      <c r="F2412" s="5">
        <f ca="1">IFERROR(__xludf.UNSUPPORTED("""COMPUTED_VALUE"""),0.25)</f>
        <v>0.25</v>
      </c>
      <c r="G2412" s="3" t="str">
        <f ca="1">IFERROR(__xludf.UNSUPPORTED("""COMPUTED_VALUE"""),"Incumbiu-me o Capitão dos Portos de São Paulo de participar que, a partir das 08h15 do presente dia, em virtude da melhora das condições meteorológicas, com ventos de 6 nós e ondas de 60 Centimetros, o Porto de Santos passou a operar na condição de PRATIC"&amp;"AGEM DIRETA.")</f>
        <v>Incumbiu-me o Capitão dos Portos de São Paulo de participar que, a partir das 08h15 do presente dia, em virtude da melhora das condições meteorológicas, com ventos de 6 nós e ondas de 60 Centimetros, o Porto de Santos passou a operar na condição de PRATICAGEM DIRETA.</v>
      </c>
      <c r="H2412" s="4">
        <f ca="1">IFERROR(__xludf.UNSUPPORTED("""COMPUTED_VALUE"""),45183.3738425925)</f>
        <v>45183.373842592497</v>
      </c>
      <c r="I2412" s="3">
        <f ca="1">IFERROR(__xludf.UNSUPPORTED("""COMPUTED_VALUE"""),6)</f>
        <v>6</v>
      </c>
      <c r="J2412" s="4">
        <f ca="1">IFERROR(__xludf.UNSUPPORTED("""COMPUTED_VALUE"""),45183.6238425925)</f>
        <v>45183.623842592497</v>
      </c>
      <c r="K2412" s="3" t="str">
        <f ca="1">IFERROR(__xludf.UNSUPPORTED("""COMPUTED_VALUE"""),"CPSP")</f>
        <v>CPSP</v>
      </c>
      <c r="L2412" s="3" t="str">
        <f ca="1">IFERROR(__xludf.UNSUPPORTED("""COMPUTED_VALUE"""),"Crítico")</f>
        <v>Crítico</v>
      </c>
    </row>
    <row r="2413" spans="1:12" ht="12.75">
      <c r="A2413" s="3" t="str">
        <f ca="1">IFERROR(__xludf.UNSUPPORTED("""COMPUTED_VALUE"""),"3737882a")</f>
        <v>3737882a</v>
      </c>
      <c r="B2413" s="4">
        <f ca="1">IFERROR(__xludf.UNSUPPORTED("""COMPUTED_VALUE"""),45183.6229282407)</f>
        <v>45183.6229282407</v>
      </c>
      <c r="C2413" s="8" t="str">
        <f ca="1">IFERROR(__xludf.UNSUPPORTED("""COMPUTED_VALUE"""),"Santos")</f>
        <v>Santos</v>
      </c>
      <c r="D2413" s="3" t="str">
        <f ca="1">IFERROR(__xludf.UNSUPPORTED("""COMPUTED_VALUE"""),"🚢 REGULAR")</f>
        <v>🚢 REGULAR</v>
      </c>
      <c r="E2413" s="3" t="str">
        <f ca="1">IFERROR(__xludf.UNSUPPORTED("""COMPUTED_VALUE"""),"🚛 LIBERADO")</f>
        <v>🚛 LIBERADO</v>
      </c>
      <c r="F2413" s="5">
        <f ca="1">IFERROR(__xludf.UNSUPPORTED("""COMPUTED_VALUE"""),0.25)</f>
        <v>0.25</v>
      </c>
      <c r="G2413" s="3" t="str">
        <f ca="1">IFERROR(__xludf.UNSUPPORTED("""COMPUTED_VALUE"""),"Incumbiu-me o Capitão dos Portos de São Paulo de participar que, a partir das 12h13, do presente dia, em virtude da piora das condições meteorológicas, com ventos de 18 nós, Rajadas de 23 nós, ondas de 1,53 Metros e período de 12 Segundos,  o Porto de San"&amp;"tos passou a operar na condição de PRATICAGEM INDIRETA.")</f>
        <v>Incumbiu-me o Capitão dos Portos de São Paulo de participar que, a partir das 12h13, do presente dia, em virtude da piora das condições meteorológicas, com ventos de 18 nós, Rajadas de 23 nós, ondas de 1,53 Metros e período de 12 Segundos,  o Porto de Santos passou a operar na condição de PRATICAGEM INDIRETA.</v>
      </c>
      <c r="H2413" s="4">
        <f ca="1">IFERROR(__xludf.UNSUPPORTED("""COMPUTED_VALUE"""),45183.6229282407)</f>
        <v>45183.6229282407</v>
      </c>
      <c r="I2413" s="3">
        <f ca="1">IFERROR(__xludf.UNSUPPORTED("""COMPUTED_VALUE"""),15)</f>
        <v>15</v>
      </c>
      <c r="J2413" s="4">
        <f ca="1">IFERROR(__xludf.UNSUPPORTED("""COMPUTED_VALUE"""),45184.2479282407)</f>
        <v>45184.2479282407</v>
      </c>
      <c r="K2413" s="3" t="str">
        <f ca="1">IFERROR(__xludf.UNSUPPORTED("""COMPUTED_VALUE"""),"CPSP")</f>
        <v>CPSP</v>
      </c>
      <c r="L2413" s="3" t="str">
        <f ca="1">IFERROR(__xludf.UNSUPPORTED("""COMPUTED_VALUE"""),"Crítico")</f>
        <v>Crítico</v>
      </c>
    </row>
    <row r="2414" spans="1:12" ht="12.75">
      <c r="A2414" s="3" t="str">
        <f ca="1">IFERROR(__xludf.UNSUPPORTED("""COMPUTED_VALUE"""),"dd92bb0c")</f>
        <v>dd92bb0c</v>
      </c>
      <c r="B2414" s="4">
        <f ca="1">IFERROR(__xludf.UNSUPPORTED("""COMPUTED_VALUE"""),45197.3475925925)</f>
        <v>45197.347592592501</v>
      </c>
      <c r="C2414" s="8" t="str">
        <f ca="1">IFERROR(__xludf.UNSUPPORTED("""COMPUTED_VALUE"""),"Santos")</f>
        <v>Santos</v>
      </c>
      <c r="D2414" s="3" t="str">
        <f ca="1">IFERROR(__xludf.UNSUPPORTED("""COMPUTED_VALUE"""),"🚢 REGULAR")</f>
        <v>🚢 REGULAR</v>
      </c>
      <c r="E2414" s="3" t="str">
        <f ca="1">IFERROR(__xludf.UNSUPPORTED("""COMPUTED_VALUE"""),"🚛 LIBERADO")</f>
        <v>🚛 LIBERADO</v>
      </c>
      <c r="F2414" s="5">
        <f ca="1">IFERROR(__xludf.UNSUPPORTED("""COMPUTED_VALUE"""),0.25)</f>
        <v>0.25</v>
      </c>
      <c r="G2414" s="3" t="str">
        <f ca="1">IFERROR(__xludf.UNSUPPORTED("""COMPUTED_VALUE"""),"Incumbiu-me o Capitão dos Portos de São Paulo de participar que, a partir de 03h15, do presente dia, em virtude da piora das condições meteorológicas, com onda de 3,25m, vento de 30nós e rajadas de 35 nós,  o Porto de Santos passou a operar na condição de"&amp;" IMPRATICABILIDADE DO PORTO.")</f>
        <v>Incumbiu-me o Capitão dos Portos de São Paulo de participar que, a partir de 03h15, do presente dia, em virtude da piora das condições meteorológicas, com onda de 3,25m, vento de 30nós e rajadas de 35 nós,  o Porto de Santos passou a operar na condição de IMPRATICABILIDADE DO PORTO.</v>
      </c>
      <c r="H2414" s="4">
        <f ca="1">IFERROR(__xludf.UNSUPPORTED("""COMPUTED_VALUE"""),45197.3475925925)</f>
        <v>45197.347592592501</v>
      </c>
      <c r="I2414" s="3">
        <f ca="1">IFERROR(__xludf.UNSUPPORTED("""COMPUTED_VALUE"""),6)</f>
        <v>6</v>
      </c>
      <c r="J2414" s="4">
        <f ca="1">IFERROR(__xludf.UNSUPPORTED("""COMPUTED_VALUE"""),45197.5975925925)</f>
        <v>45197.597592592501</v>
      </c>
      <c r="K2414" s="3" t="str">
        <f ca="1">IFERROR(__xludf.UNSUPPORTED("""COMPUTED_VALUE"""),"CPSP")</f>
        <v>CPSP</v>
      </c>
      <c r="L2414" s="3" t="str">
        <f ca="1">IFERROR(__xludf.UNSUPPORTED("""COMPUTED_VALUE"""),"Crítico")</f>
        <v>Crítico</v>
      </c>
    </row>
    <row r="2415" spans="1:12" ht="12.75">
      <c r="A2415" s="3" t="str">
        <f ca="1">IFERROR(__xludf.UNSUPPORTED("""COMPUTED_VALUE"""),"0b628348")</f>
        <v>0b628348</v>
      </c>
      <c r="B2415" s="4">
        <f ca="1">IFERROR(__xludf.UNSUPPORTED("""COMPUTED_VALUE"""),45212.4625347222)</f>
        <v>45212.462534722203</v>
      </c>
      <c r="C2415" s="8" t="str">
        <f ca="1">IFERROR(__xludf.UNSUPPORTED("""COMPUTED_VALUE"""),"Santos")</f>
        <v>Santos</v>
      </c>
      <c r="D2415" s="3" t="str">
        <f ca="1">IFERROR(__xludf.UNSUPPORTED("""COMPUTED_VALUE"""),"🚢 REGULAR")</f>
        <v>🚢 REGULAR</v>
      </c>
      <c r="E2415" s="3" t="str">
        <f ca="1">IFERROR(__xludf.UNSUPPORTED("""COMPUTED_VALUE"""),"🚛 LIBERADO")</f>
        <v>🚛 LIBERADO</v>
      </c>
      <c r="F2415" s="5">
        <f ca="1">IFERROR(__xludf.UNSUPPORTED("""COMPUTED_VALUE"""),0.25)</f>
        <v>0.25</v>
      </c>
      <c r="G2415" s="3" t="str">
        <f ca="1">IFERROR(__xludf.UNSUPPORTED("""COMPUTED_VALUE"""),"Incumbiu-me o Capitão dos Portos de São Paulo de participar que, a partir das 09h30 do presente dia, em virtude das condições meteorológicas com altura de onda de 1,80m, o Porto de Santos passou a operar com RESTRIÇÃO DE CALADO de 13 metros no zero DHN e "&amp;"14 metros com altura de maré &gt;= 1 metro, permanecendo a Praticagem na condição de INDIRETA.")</f>
        <v>Incumbiu-me o Capitão dos Portos de São Paulo de participar que, a partir das 09h30 do presente dia, em virtude das condições meteorológicas com altura de onda de 1,80m, o Porto de Santos passou a operar com RESTRIÇÃO DE CALADO de 13 metros no zero DHN e 14 metros com altura de maré &gt;= 1 metro, permanecendo a Praticagem na condição de INDIRETA.</v>
      </c>
      <c r="H2415" s="4">
        <f ca="1">IFERROR(__xludf.UNSUPPORTED("""COMPUTED_VALUE"""),45212.4625347222)</f>
        <v>45212.462534722203</v>
      </c>
      <c r="I2415" s="3">
        <f ca="1">IFERROR(__xludf.UNSUPPORTED("""COMPUTED_VALUE"""),17)</f>
        <v>17</v>
      </c>
      <c r="J2415" s="4">
        <f ca="1">IFERROR(__xludf.UNSUPPORTED("""COMPUTED_VALUE"""),45213.1708680555)</f>
        <v>45213.170868055502</v>
      </c>
      <c r="K2415" s="3" t="str">
        <f ca="1">IFERROR(__xludf.UNSUPPORTED("""COMPUTED_VALUE"""),"CPSP")</f>
        <v>CPSP</v>
      </c>
      <c r="L2415" s="3" t="str">
        <f ca="1">IFERROR(__xludf.UNSUPPORTED("""COMPUTED_VALUE"""),"Crítico")</f>
        <v>Crítico</v>
      </c>
    </row>
    <row r="2416" spans="1:12" ht="12.75">
      <c r="A2416" s="3" t="str">
        <f ca="1">IFERROR(__xludf.UNSUPPORTED("""COMPUTED_VALUE"""),"f5bf1e2c")</f>
        <v>f5bf1e2c</v>
      </c>
      <c r="B2416" s="4">
        <f ca="1">IFERROR(__xludf.UNSUPPORTED("""COMPUTED_VALUE"""),45587.3268634259)</f>
        <v>45587.3268634259</v>
      </c>
      <c r="C2416" s="7" t="str">
        <f ca="1">IFERROR(__xludf.UNSUPPORTED("""COMPUTED_VALUE"""),"Santos")</f>
        <v>Santos</v>
      </c>
      <c r="D2416" s="3" t="str">
        <f ca="1">IFERROR(__xludf.UNSUPPORTED("""COMPUTED_VALUE"""),"⚠️ COM ATRASOS")</f>
        <v>⚠️ COM ATRASOS</v>
      </c>
      <c r="E2416" s="3" t="str">
        <f ca="1">IFERROR(__xludf.UNSUPPORTED("""COMPUTED_VALUE"""),"⚠️ PARCIALMENTE BLOQUEADO")</f>
        <v>⚠️ PARCIALMENTE BLOQUEADO</v>
      </c>
      <c r="F2416" s="5">
        <f ca="1">IFERROR(__xludf.UNSUPPORTED("""COMPUTED_VALUE"""),0.25)</f>
        <v>0.25</v>
      </c>
      <c r="G2416" s="3" t="str">
        <f ca="1">IFERROR(__xludf.UNSUPPORTED("""COMPUTED_VALUE"""),"Obstrução de algumas vias férrea")</f>
        <v>Obstrução de algumas vias férrea</v>
      </c>
      <c r="H2416" s="4">
        <f ca="1">IFERROR(__xludf.UNSUPPORTED("""COMPUTED_VALUE"""),45587.3268634259)</f>
        <v>45587.3268634259</v>
      </c>
      <c r="I2416" s="3">
        <f ca="1">IFERROR(__xludf.UNSUPPORTED("""COMPUTED_VALUE"""),2)</f>
        <v>2</v>
      </c>
      <c r="J2416" s="4">
        <f ca="1">IFERROR(__xludf.UNSUPPORTED("""COMPUTED_VALUE"""),45587.4101967592)</f>
        <v>45587.4101967592</v>
      </c>
      <c r="K2416" s="3" t="str">
        <f ca="1">IFERROR(__xludf.UNSUPPORTED("""COMPUTED_VALUE"""),"CESPORTOS-SP")</f>
        <v>CESPORTOS-SP</v>
      </c>
      <c r="L2416" s="3" t="str">
        <f ca="1">IFERROR(__xludf.UNSUPPORTED("""COMPUTED_VALUE"""),"Crítico")</f>
        <v>Crítico</v>
      </c>
    </row>
    <row r="2417" spans="1:10" ht="12.75">
      <c r="A2417" s="3" t="str">
        <f ca="1">IFERROR(__xludf.UNSUPPORTED("""COMPUTED_VALUE"""),"guxIaqFa")</f>
        <v>guxIaqFa</v>
      </c>
      <c r="B2417" s="4">
        <f ca="1">IFERROR(__xludf.UNSUPPORTED("""COMPUTED_VALUE"""),44589.5)</f>
        <v>44589.5</v>
      </c>
      <c r="C2417" s="8" t="str">
        <f ca="1">IFERROR(__xludf.UNSUPPORTED("""COMPUTED_VALUE"""),"São Francisco do Sul")</f>
        <v>São Francisco do Sul</v>
      </c>
      <c r="D2417" s="3" t="str">
        <f ca="1">IFERROR(__xludf.UNSUPPORTED("""COMPUTED_VALUE"""),"🚢 REGULAR")</f>
        <v>🚢 REGULAR</v>
      </c>
      <c r="E2417" s="3" t="str">
        <f ca="1">IFERROR(__xludf.UNSUPPORTED("""COMPUTED_VALUE"""),"🚛 LIBERADO")</f>
        <v>🚛 LIBERADO</v>
      </c>
      <c r="F2417" s="5">
        <f ca="1">IFERROR(__xludf.UNSUPPORTED("""COMPUTED_VALUE"""),0)</f>
        <v>0</v>
      </c>
      <c r="G2417" s="3" t="str">
        <f ca="1">IFERROR(__xludf.UNSUPPORTED("""COMPUTED_VALUE"""),"Nada de paralisações, operações transcorrendo normalmente. Poucas faixas e manifestantes no momento.")</f>
        <v>Nada de paralisações, operações transcorrendo normalmente. Poucas faixas e manifestantes no momento.</v>
      </c>
      <c r="H2417" s="4">
        <f ca="1">IFERROR(__xludf.UNSUPPORTED("""COMPUTED_VALUE"""),44589.3763888888)</f>
        <v>44589.376388888799</v>
      </c>
      <c r="I2417" s="3">
        <f ca="1">IFERROR(__xludf.UNSUPPORTED("""COMPUTED_VALUE"""),3)</f>
        <v>3</v>
      </c>
      <c r="J2417" s="4">
        <f ca="1">IFERROR(__xludf.UNSUPPORTED("""COMPUTED_VALUE"""),44589.5013888888)</f>
        <v>44589.501388888799</v>
      </c>
    </row>
    <row r="2418" spans="1:10" ht="12.75">
      <c r="A2418" s="3" t="str">
        <f ca="1">IFERROR(__xludf.UNSUPPORTED("""COMPUTED_VALUE"""),"3652008b")</f>
        <v>3652008b</v>
      </c>
      <c r="B2418" s="4">
        <f ca="1">IFERROR(__xludf.UNSUPPORTED("""COMPUTED_VALUE"""),44866.3345949074)</f>
        <v>44866.334594907399</v>
      </c>
      <c r="C2418" s="8" t="str">
        <f ca="1">IFERROR(__xludf.UNSUPPORTED("""COMPUTED_VALUE"""),"São Francisco do Sul")</f>
        <v>São Francisco do Sul</v>
      </c>
      <c r="D2418" s="3" t="str">
        <f ca="1">IFERROR(__xludf.UNSUPPORTED("""COMPUTED_VALUE"""),"❗️PARALISADA")</f>
        <v>❗️PARALISADA</v>
      </c>
      <c r="E2418" s="3" t="str">
        <f ca="1">IFERROR(__xludf.UNSUPPORTED("""COMPUTED_VALUE"""),"⛔️ BLOQUEADO")</f>
        <v>⛔️ BLOQUEADO</v>
      </c>
      <c r="F2418" s="5">
        <f ca="1">IFERROR(__xludf.UNSUPPORTED("""COMPUTED_VALUE"""),0.75)</f>
        <v>0.75</v>
      </c>
      <c r="G2418" s="3" t="str">
        <f ca="1">IFERROR(__xludf.UNSUPPORTED("""COMPUTED_VALUE"""),"BR 101 bloqueada em diversos pontos em SC, em ambos os sentidos. Vias de acesso praticamente todas interrompidas. Movimentação pelo modal rodoviário está totalmente paralisada.
Como uma parte relevante da operação portuária do Porto de São Francisco do Su"&amp;"l é de graneis sólidos (grãos), os quais chegam majoritariamente pelo modal ferroviário, além de estarem já armazenados nos silos, não há diminuição significativa na operação de graneis. 
Contudo, o Porto está paralisado em relação à movimentação de outra"&amp;"s cargas, pois não há entrada de caminhões. 
O TUP Itapoá relatou que houve diminuição significativa da operação, embora não tenha relatado paralisação ainda. Ontem, 31/10/2022, mais de 800 agendamentos cancelados (Agendamentos Cancelados: 633 Exportaçõe"&amp;"s + 174 Importações = 807). Volume de movimentação nos gates bastante reduzido. Hoje, dia 01/11/2022, previsão de chegada de caminhões apenas para retroárea")</f>
        <v>BR 101 bloqueada em diversos pontos em SC, em ambos os sentidos. Vias de acesso praticamente todas interrompidas. Movimentação pelo modal rodoviário está totalmente paralisada.
Como uma parte relevante da operação portuária do Porto de São Francisco do Sul é de graneis sólidos (grãos), os quais chegam majoritariamente pelo modal ferroviário, além de estarem já armazenados nos silos, não há diminuição significativa na operação de graneis. 
Contudo, o Porto está paralisado em relação à movimentação de outras cargas, pois não há entrada de caminhões. 
O TUP Itapoá relatou que houve diminuição significativa da operação, embora não tenha relatado paralisação ainda. Ontem, 31/10/2022, mais de 800 agendamentos cancelados (Agendamentos Cancelados: 633 Exportações + 174 Importações = 807). Volume de movimentação nos gates bastante reduzido. Hoje, dia 01/11/2022, previsão de chegada de caminhões apenas para retroárea</v>
      </c>
      <c r="H2418" s="4">
        <f ca="1">IFERROR(__xludf.UNSUPPORTED("""COMPUTED_VALUE"""),44865.4166666666)</f>
        <v>44865.416666666599</v>
      </c>
      <c r="I2418" s="3">
        <f ca="1">IFERROR(__xludf.UNSUPPORTED("""COMPUTED_VALUE"""),48)</f>
        <v>48</v>
      </c>
      <c r="J2418" s="4">
        <f ca="1">IFERROR(__xludf.UNSUPPORTED("""COMPUTED_VALUE"""),44867.4166666666)</f>
        <v>44867.416666666599</v>
      </c>
    </row>
    <row r="2419" spans="1:10" ht="12.75">
      <c r="A2419" s="3" t="str">
        <f ca="1">IFERROR(__xludf.UNSUPPORTED("""COMPUTED_VALUE"""),"db1f1be5")</f>
        <v>db1f1be5</v>
      </c>
      <c r="B2419" s="4">
        <f ca="1">IFERROR(__xludf.UNSUPPORTED("""COMPUTED_VALUE"""),44867.4968981481)</f>
        <v>44867.4968981481</v>
      </c>
      <c r="C2419" s="7" t="str">
        <f ca="1">IFERROR(__xludf.UNSUPPORTED("""COMPUTED_VALUE"""),"São Francisco do Sul")</f>
        <v>São Francisco do Sul</v>
      </c>
      <c r="D2419" s="3" t="str">
        <f ca="1">IFERROR(__xludf.UNSUPPORTED("""COMPUTED_VALUE"""),"❗️ PARALISADA")</f>
        <v>❗️ PARALISADA</v>
      </c>
      <c r="E2419" s="3" t="str">
        <f ca="1">IFERROR(__xludf.UNSUPPORTED("""COMPUTED_VALUE"""),"⛔️ BLOQUEADO")</f>
        <v>⛔️ BLOQUEADO</v>
      </c>
      <c r="F2419" s="5">
        <f ca="1">IFERROR(__xludf.UNSUPPORTED("""COMPUTED_VALUE"""),0.75)</f>
        <v>0.75</v>
      </c>
      <c r="G2419" s="3" t="str">
        <f ca="1">IFERROR(__xludf.UNSUPPORTED("""COMPUTED_VALUE"""),"Operação pelo modal rodoviário continua interrompida. Porto opera apenas graneis sólidos, os quais são recebidos pelo modal ferroviário.")</f>
        <v>Operação pelo modal rodoviário continua interrompida. Porto opera apenas graneis sólidos, os quais são recebidos pelo modal ferroviário.</v>
      </c>
      <c r="H2419" s="4">
        <f ca="1">IFERROR(__xludf.UNSUPPORTED("""COMPUTED_VALUE"""),44867.4968981481)</f>
        <v>44867.4968981481</v>
      </c>
      <c r="I2419" s="3">
        <f ca="1">IFERROR(__xludf.UNSUPPORTED("""COMPUTED_VALUE"""),24)</f>
        <v>24</v>
      </c>
      <c r="J2419" s="4">
        <f ca="1">IFERROR(__xludf.UNSUPPORTED("""COMPUTED_VALUE"""),44868.4968981481)</f>
        <v>44868.4968981481</v>
      </c>
    </row>
    <row r="2420" spans="1:10" ht="12.75">
      <c r="A2420" s="3" t="str">
        <f ca="1">IFERROR(__xludf.UNSUPPORTED("""COMPUTED_VALUE"""),"6a7a7c3f")</f>
        <v>6a7a7c3f</v>
      </c>
      <c r="B2420" s="4">
        <f ca="1">IFERROR(__xludf.UNSUPPORTED("""COMPUTED_VALUE"""),44868.4090393518)</f>
        <v>44868.409039351798</v>
      </c>
      <c r="C2420" s="8" t="str">
        <f ca="1">IFERROR(__xludf.UNSUPPORTED("""COMPUTED_VALUE"""),"São Francisco do Sul")</f>
        <v>São Francisco do Sul</v>
      </c>
      <c r="D2420" s="3" t="str">
        <f ca="1">IFERROR(__xludf.UNSUPPORTED("""COMPUTED_VALUE"""),"❗️ PARALISADA")</f>
        <v>❗️ PARALISADA</v>
      </c>
      <c r="E2420" s="3" t="str">
        <f ca="1">IFERROR(__xludf.UNSUPPORTED("""COMPUTED_VALUE"""),"⛔️ BLOQUEADO")</f>
        <v>⛔️ BLOQUEADO</v>
      </c>
      <c r="F2420" s="5">
        <f ca="1">IFERROR(__xludf.UNSUPPORTED("""COMPUTED_VALUE"""),0.75)</f>
        <v>0.75</v>
      </c>
      <c r="G2420" s="3" t="str">
        <f ca="1">IFERROR(__xludf.UNSUPPORTED("""COMPUTED_VALUE"""),"Movimentação pelo modal Rodoviário continua interrompida.
Em Itapoá, operação está ocorrendo, mas movimentação de caminhões segue baixa. Demand para longo curso/exportação ainda baixa. O porto tem 591 agendamentos e janelas disponíveis. Movimentação tran"&amp;"quila em razão da baixa entrada de caminhões.")</f>
        <v>Movimentação pelo modal Rodoviário continua interrompida.
Em Itapoá, operação está ocorrendo, mas movimentação de caminhões segue baixa. Demand para longo curso/exportação ainda baixa. O porto tem 591 agendamentos e janelas disponíveis. Movimentação tranquila em razão da baixa entrada de caminhões.</v>
      </c>
      <c r="H2420" s="4">
        <f ca="1">IFERROR(__xludf.UNSUPPORTED("""COMPUTED_VALUE"""),44868.4090393518)</f>
        <v>44868.409039351798</v>
      </c>
      <c r="I2420" s="3">
        <f ca="1">IFERROR(__xludf.UNSUPPORTED("""COMPUTED_VALUE"""),24)</f>
        <v>24</v>
      </c>
      <c r="J2420" s="4">
        <f ca="1">IFERROR(__xludf.UNSUPPORTED("""COMPUTED_VALUE"""),44869.4090393518)</f>
        <v>44869.409039351798</v>
      </c>
    </row>
    <row r="2421" spans="1:10" ht="12.75">
      <c r="A2421" s="3" t="str">
        <f ca="1">IFERROR(__xludf.UNSUPPORTED("""COMPUTED_VALUE"""),"027f58b0")</f>
        <v>027f58b0</v>
      </c>
      <c r="B2421" s="4">
        <f ca="1">IFERROR(__xludf.UNSUPPORTED("""COMPUTED_VALUE"""),44868.5563773148)</f>
        <v>44868.556377314802</v>
      </c>
      <c r="C2421" s="8" t="str">
        <f ca="1">IFERROR(__xludf.UNSUPPORTED("""COMPUTED_VALUE"""),"São Francisco do Sul")</f>
        <v>São Francisco do Sul</v>
      </c>
      <c r="D2421" s="3" t="str">
        <f ca="1">IFERROR(__xludf.UNSUPPORTED("""COMPUTED_VALUE"""),"🚢 REGULAR")</f>
        <v>🚢 REGULAR</v>
      </c>
      <c r="E2421" s="3" t="str">
        <f ca="1">IFERROR(__xludf.UNSUPPORTED("""COMPUTED_VALUE"""),"🚛 LIBERADO")</f>
        <v>🚛 LIBERADO</v>
      </c>
      <c r="F2421" s="5">
        <f ca="1">IFERROR(__xludf.UNSUPPORTED("""COMPUTED_VALUE"""),0.25)</f>
        <v>0.25</v>
      </c>
      <c r="G2421" s="3" t="str">
        <f ca="1">IFERROR(__xludf.UNSUPPORTED("""COMPUTED_VALUE"""),"Operação pelo modal rodoviário foi retomada a partir das 13:00h. A movimentação de caminhões ainda é mais baixa em relação ao usual, mas é esperada normalização ao longo dia de hoje e amanhã.
Ainda persiste bloqueio na BR 101, mas há relatos de normaliza"&amp;"ção gradual.")</f>
        <v>Operação pelo modal rodoviário foi retomada a partir das 13:00h. A movimentação de caminhões ainda é mais baixa em relação ao usual, mas é esperada normalização ao longo dia de hoje e amanhã.
Ainda persiste bloqueio na BR 101, mas há relatos de normalização gradual.</v>
      </c>
      <c r="H2421" s="4">
        <f ca="1">IFERROR(__xludf.UNSUPPORTED("""COMPUTED_VALUE"""),44868.5563773148)</f>
        <v>44868.556377314802</v>
      </c>
      <c r="I2421" s="3">
        <f ca="1">IFERROR(__xludf.UNSUPPORTED("""COMPUTED_VALUE"""),12)</f>
        <v>12</v>
      </c>
      <c r="J2421" s="4">
        <f ca="1">IFERROR(__xludf.UNSUPPORTED("""COMPUTED_VALUE"""),44869.0563773148)</f>
        <v>44869.056377314802</v>
      </c>
    </row>
    <row r="2422" spans="1:10" ht="12.75">
      <c r="A2422" s="3" t="str">
        <f ca="1">IFERROR(__xludf.UNSUPPORTED("""COMPUTED_VALUE"""),"7953a044")</f>
        <v>7953a044</v>
      </c>
      <c r="B2422" s="4">
        <f ca="1">IFERROR(__xludf.UNSUPPORTED("""COMPUTED_VALUE"""),44869.3818287037)</f>
        <v>44869.381828703699</v>
      </c>
      <c r="C2422" s="7" t="str">
        <f ca="1">IFERROR(__xludf.UNSUPPORTED("""COMPUTED_VALUE"""),"São Francisco do Sul")</f>
        <v>São Francisco do Sul</v>
      </c>
      <c r="D2422" s="3" t="str">
        <f ca="1">IFERROR(__xludf.UNSUPPORTED("""COMPUTED_VALUE"""),"🚢 REGULAR")</f>
        <v>🚢 REGULAR</v>
      </c>
      <c r="E2422" s="3" t="str">
        <f ca="1">IFERROR(__xludf.UNSUPPORTED("""COMPUTED_VALUE"""),"🚛 LIBERADO")</f>
        <v>🚛 LIBERADO</v>
      </c>
      <c r="F2422" s="5">
        <f ca="1">IFERROR(__xludf.UNSUPPORTED("""COMPUTED_VALUE"""),0)</f>
        <v>0</v>
      </c>
      <c r="G2422" s="3" t="str">
        <f ca="1">IFERROR(__xludf.UNSUPPORTED("""COMPUTED_VALUE"""),"Operação normalizada. Fluxo intenso de caminhões, mas entrada ocorre conforme agendamentos.")</f>
        <v>Operação normalizada. Fluxo intenso de caminhões, mas entrada ocorre conforme agendamentos.</v>
      </c>
      <c r="H2422" s="4">
        <f ca="1">IFERROR(__xludf.UNSUPPORTED("""COMPUTED_VALUE"""),44869.3818287037)</f>
        <v>44869.381828703699</v>
      </c>
      <c r="I2422" s="3">
        <f ca="1">IFERROR(__xludf.UNSUPPORTED("""COMPUTED_VALUE"""),24)</f>
        <v>24</v>
      </c>
      <c r="J2422" s="4">
        <f ca="1">IFERROR(__xludf.UNSUPPORTED("""COMPUTED_VALUE"""),44870.3818287037)</f>
        <v>44870.381828703699</v>
      </c>
    </row>
    <row r="2423" spans="1:10" ht="12.75">
      <c r="A2423" s="3" t="str">
        <f ca="1">IFERROR(__xludf.UNSUPPORTED("""COMPUTED_VALUE"""),"fd1f7acf")</f>
        <v>fd1f7acf</v>
      </c>
      <c r="B2423" s="4">
        <f ca="1">IFERROR(__xludf.UNSUPPORTED("""COMPUTED_VALUE"""),44870.6330902777)</f>
        <v>44870.633090277697</v>
      </c>
      <c r="C2423" s="8" t="str">
        <f ca="1">IFERROR(__xludf.UNSUPPORTED("""COMPUTED_VALUE"""),"São Francisco do Sul")</f>
        <v>São Francisco do Sul</v>
      </c>
      <c r="D2423" s="3" t="str">
        <f ca="1">IFERROR(__xludf.UNSUPPORTED("""COMPUTED_VALUE"""),"🚢 REGULAR")</f>
        <v>🚢 REGULAR</v>
      </c>
      <c r="E2423" s="3" t="str">
        <f ca="1">IFERROR(__xludf.UNSUPPORTED("""COMPUTED_VALUE"""),"🚛 LIBERADO")</f>
        <v>🚛 LIBERADO</v>
      </c>
      <c r="F2423" s="5">
        <f ca="1">IFERROR(__xludf.UNSUPPORTED("""COMPUTED_VALUE"""),0)</f>
        <v>0</v>
      </c>
      <c r="G2423" s="3" t="str">
        <f ca="1">IFERROR(__xludf.UNSUPPORTED("""COMPUTED_VALUE"""),"Operação regular e sem intercorrências relacionadas à movimentação de caminhões")</f>
        <v>Operação regular e sem intercorrências relacionadas à movimentação de caminhões</v>
      </c>
      <c r="H2423" s="4">
        <f ca="1">IFERROR(__xludf.UNSUPPORTED("""COMPUTED_VALUE"""),44870.6330902777)</f>
        <v>44870.633090277697</v>
      </c>
      <c r="I2423" s="3">
        <f ca="1">IFERROR(__xludf.UNSUPPORTED("""COMPUTED_VALUE"""),24)</f>
        <v>24</v>
      </c>
      <c r="J2423" s="4">
        <f ca="1">IFERROR(__xludf.UNSUPPORTED("""COMPUTED_VALUE"""),44871.6330902777)</f>
        <v>44871.633090277697</v>
      </c>
    </row>
    <row r="2424" spans="1:10" ht="12.75">
      <c r="A2424" s="3" t="str">
        <f ca="1">IFERROR(__xludf.UNSUPPORTED("""COMPUTED_VALUE"""),"23f31abe")</f>
        <v>23f31abe</v>
      </c>
      <c r="B2424" s="4">
        <f ca="1">IFERROR(__xludf.UNSUPPORTED("""COMPUTED_VALUE"""),44872.3566898148)</f>
        <v>44872.356689814798</v>
      </c>
      <c r="C2424" s="7" t="str">
        <f ca="1">IFERROR(__xludf.UNSUPPORTED("""COMPUTED_VALUE"""),"São Francisco do Sul")</f>
        <v>São Francisco do Sul</v>
      </c>
      <c r="D2424" s="3" t="str">
        <f ca="1">IFERROR(__xludf.UNSUPPORTED("""COMPUTED_VALUE"""),"🚢 REGULAR")</f>
        <v>🚢 REGULAR</v>
      </c>
      <c r="E2424" s="3" t="str">
        <f ca="1">IFERROR(__xludf.UNSUPPORTED("""COMPUTED_VALUE"""),"🚛 LIBERADO")</f>
        <v>🚛 LIBERADO</v>
      </c>
      <c r="F2424" s="5">
        <f ca="1">IFERROR(__xludf.UNSUPPORTED("""COMPUTED_VALUE"""),0)</f>
        <v>0</v>
      </c>
      <c r="G2424" s="3" t="str">
        <f ca="1">IFERROR(__xludf.UNSUPPORTED("""COMPUTED_VALUE"""),"Operação regular. Fluxo de caminhões normal.")</f>
        <v>Operação regular. Fluxo de caminhões normal.</v>
      </c>
      <c r="H2424" s="4">
        <f ca="1">IFERROR(__xludf.UNSUPPORTED("""COMPUTED_VALUE"""),44872.3566898148)</f>
        <v>44872.356689814798</v>
      </c>
      <c r="I2424" s="3">
        <f ca="1">IFERROR(__xludf.UNSUPPORTED("""COMPUTED_VALUE"""),24)</f>
        <v>24</v>
      </c>
      <c r="J2424" s="4">
        <f ca="1">IFERROR(__xludf.UNSUPPORTED("""COMPUTED_VALUE"""),44873.3566898148)</f>
        <v>44873.356689814798</v>
      </c>
    </row>
    <row r="2425" spans="1:10" ht="12.75">
      <c r="A2425" s="3" t="str">
        <f ca="1">IFERROR(__xludf.UNSUPPORTED("""COMPUTED_VALUE"""),"0565bfc6")</f>
        <v>0565bfc6</v>
      </c>
      <c r="B2425" s="4">
        <f ca="1">IFERROR(__xludf.UNSUPPORTED("""COMPUTED_VALUE"""),44883.4939004629)</f>
        <v>44883.493900462898</v>
      </c>
      <c r="C2425" s="8" t="str">
        <f ca="1">IFERROR(__xludf.UNSUPPORTED("""COMPUTED_VALUE"""),"São Francisco do Sul")</f>
        <v>São Francisco do Sul</v>
      </c>
      <c r="D2425" s="3" t="str">
        <f ca="1">IFERROR(__xludf.UNSUPPORTED("""COMPUTED_VALUE"""),"🚢 REGULAR")</f>
        <v>🚢 REGULAR</v>
      </c>
      <c r="E2425" s="3" t="str">
        <f ca="1">IFERROR(__xludf.UNSUPPORTED("""COMPUTED_VALUE"""),"🚛 LIBERADO")</f>
        <v>🚛 LIBERADO</v>
      </c>
      <c r="F2425" s="5">
        <f ca="1">IFERROR(__xludf.UNSUPPORTED("""COMPUTED_VALUE"""),0)</f>
        <v>0</v>
      </c>
      <c r="G2425" s="3" t="str">
        <f ca="1">IFERROR(__xludf.UNSUPPORTED("""COMPUTED_VALUE"""),"Operação regular. Fluxo de caminhões normal.")</f>
        <v>Operação regular. Fluxo de caminhões normal.</v>
      </c>
      <c r="H2425" s="4">
        <f ca="1">IFERROR(__xludf.UNSUPPORTED("""COMPUTED_VALUE"""),44883.4939004629)</f>
        <v>44883.493900462898</v>
      </c>
      <c r="I2425" s="3">
        <f ca="1">IFERROR(__xludf.UNSUPPORTED("""COMPUTED_VALUE"""),24)</f>
        <v>24</v>
      </c>
      <c r="J2425" s="4">
        <f ca="1">IFERROR(__xludf.UNSUPPORTED("""COMPUTED_VALUE"""),44884.4939004629)</f>
        <v>44884.493900462898</v>
      </c>
    </row>
    <row r="2426" spans="1:10" ht="12.75">
      <c r="A2426" s="3" t="str">
        <f ca="1">IFERROR(__xludf.UNSUPPORTED("""COMPUTED_VALUE"""),"cf5abfc8")</f>
        <v>cf5abfc8</v>
      </c>
      <c r="B2426" s="4">
        <f ca="1">IFERROR(__xludf.UNSUPPORTED("""COMPUTED_VALUE"""),44886.3334027777)</f>
        <v>44886.333402777702</v>
      </c>
      <c r="C2426" s="7" t="str">
        <f ca="1">IFERROR(__xludf.UNSUPPORTED("""COMPUTED_VALUE"""),"São Francisco do Sul")</f>
        <v>São Francisco do Sul</v>
      </c>
      <c r="D2426" s="3" t="str">
        <f ca="1">IFERROR(__xludf.UNSUPPORTED("""COMPUTED_VALUE"""),"🚢 REGULAR")</f>
        <v>🚢 REGULAR</v>
      </c>
      <c r="E2426" s="3" t="str">
        <f ca="1">IFERROR(__xludf.UNSUPPORTED("""COMPUTED_VALUE"""),"🚛 LIBERADO")</f>
        <v>🚛 LIBERADO</v>
      </c>
      <c r="F2426" s="5">
        <f ca="1">IFERROR(__xludf.UNSUPPORTED("""COMPUTED_VALUE"""),0)</f>
        <v>0</v>
      </c>
      <c r="G2426" s="3" t="str">
        <f ca="1">IFERROR(__xludf.UNSUPPORTED("""COMPUTED_VALUE"""),"Operação ocorre com plena normalidade, sem registro de nenhuma intercorrência.")</f>
        <v>Operação ocorre com plena normalidade, sem registro de nenhuma intercorrência.</v>
      </c>
      <c r="H2426" s="4">
        <f ca="1">IFERROR(__xludf.UNSUPPORTED("""COMPUTED_VALUE"""),44885.3333333333)</f>
        <v>44885.333333333299</v>
      </c>
      <c r="I2426" s="3">
        <f ca="1">IFERROR(__xludf.UNSUPPORTED("""COMPUTED_VALUE"""),24)</f>
        <v>24</v>
      </c>
      <c r="J2426" s="4">
        <f ca="1">IFERROR(__xludf.UNSUPPORTED("""COMPUTED_VALUE"""),44886.3333333333)</f>
        <v>44886.333333333299</v>
      </c>
    </row>
    <row r="2427" spans="1:10" ht="12.75">
      <c r="A2427" s="3" t="str">
        <f ca="1">IFERROR(__xludf.UNSUPPORTED("""COMPUTED_VALUE"""),"4c02a139")</f>
        <v>4c02a139</v>
      </c>
      <c r="B2427" s="4">
        <f ca="1">IFERROR(__xludf.UNSUPPORTED("""COMPUTED_VALUE"""),44886.3341898148)</f>
        <v>44886.334189814799</v>
      </c>
      <c r="C2427" s="8" t="str">
        <f ca="1">IFERROR(__xludf.UNSUPPORTED("""COMPUTED_VALUE"""),"São Francisco do Sul")</f>
        <v>São Francisco do Sul</v>
      </c>
      <c r="D2427" s="3" t="str">
        <f ca="1">IFERROR(__xludf.UNSUPPORTED("""COMPUTED_VALUE"""),"🚢 REGULAR")</f>
        <v>🚢 REGULAR</v>
      </c>
      <c r="E2427" s="3" t="str">
        <f ca="1">IFERROR(__xludf.UNSUPPORTED("""COMPUTED_VALUE"""),"🚛 LIBERADO")</f>
        <v>🚛 LIBERADO</v>
      </c>
      <c r="F2427" s="5">
        <f ca="1">IFERROR(__xludf.UNSUPPORTED("""COMPUTED_VALUE"""),0)</f>
        <v>0</v>
      </c>
      <c r="G2427" s="3" t="str">
        <f ca="1">IFERROR(__xludf.UNSUPPORTED("""COMPUTED_VALUE"""),"Operação ocorre com plena normalidade, sem registro de nenhuma intercorrência.")</f>
        <v>Operação ocorre com plena normalidade, sem registro de nenhuma intercorrência.</v>
      </c>
      <c r="H2427" s="4">
        <f ca="1">IFERROR(__xludf.UNSUPPORTED("""COMPUTED_VALUE"""),44886.3341898148)</f>
        <v>44886.334189814799</v>
      </c>
      <c r="I2427" s="3">
        <f ca="1">IFERROR(__xludf.UNSUPPORTED("""COMPUTED_VALUE"""),24)</f>
        <v>24</v>
      </c>
      <c r="J2427" s="4">
        <f ca="1">IFERROR(__xludf.UNSUPPORTED("""COMPUTED_VALUE"""),44887.3341898148)</f>
        <v>44887.334189814799</v>
      </c>
    </row>
    <row r="2428" spans="1:10" ht="12.75">
      <c r="A2428" s="3" t="str">
        <f ca="1">IFERROR(__xludf.UNSUPPORTED("""COMPUTED_VALUE"""),"6bc602f9")</f>
        <v>6bc602f9</v>
      </c>
      <c r="B2428" s="4">
        <f ca="1">IFERROR(__xludf.UNSUPPORTED("""COMPUTED_VALUE"""),44887.4623379629)</f>
        <v>44887.462337962897</v>
      </c>
      <c r="C2428" s="8" t="str">
        <f ca="1">IFERROR(__xludf.UNSUPPORTED("""COMPUTED_VALUE"""),"São Francisco do Sul")</f>
        <v>São Francisco do Sul</v>
      </c>
      <c r="D2428" s="3" t="str">
        <f ca="1">IFERROR(__xludf.UNSUPPORTED("""COMPUTED_VALUE"""),"🚢 REGULAR")</f>
        <v>🚢 REGULAR</v>
      </c>
      <c r="E2428" s="3" t="str">
        <f ca="1">IFERROR(__xludf.UNSUPPORTED("""COMPUTED_VALUE"""),"🚛 LIBERADO")</f>
        <v>🚛 LIBERADO</v>
      </c>
      <c r="F2428" s="5">
        <f ca="1">IFERROR(__xludf.UNSUPPORTED("""COMPUTED_VALUE"""),0)</f>
        <v>0</v>
      </c>
      <c r="G2428" s="3" t="str">
        <f ca="1">IFERROR(__xludf.UNSUPPORTED("""COMPUTED_VALUE"""),"Operação normal sem qualquer intercorrência em relação ao acesso rodoviário ao Porto.")</f>
        <v>Operação normal sem qualquer intercorrência em relação ao acesso rodoviário ao Porto.</v>
      </c>
      <c r="H2428" s="4">
        <f ca="1">IFERROR(__xludf.UNSUPPORTED("""COMPUTED_VALUE"""),44887.4623379629)</f>
        <v>44887.462337962897</v>
      </c>
      <c r="I2428" s="3">
        <f ca="1">IFERROR(__xludf.UNSUPPORTED("""COMPUTED_VALUE"""),24)</f>
        <v>24</v>
      </c>
      <c r="J2428" s="4">
        <f ca="1">IFERROR(__xludf.UNSUPPORTED("""COMPUTED_VALUE"""),44888.4623379629)</f>
        <v>44888.462337962897</v>
      </c>
    </row>
    <row r="2429" spans="1:10" ht="12.75">
      <c r="A2429" s="3" t="str">
        <f ca="1">IFERROR(__xludf.UNSUPPORTED("""COMPUTED_VALUE"""),"0c98a43d")</f>
        <v>0c98a43d</v>
      </c>
      <c r="B2429" s="4">
        <f ca="1">IFERROR(__xludf.UNSUPPORTED("""COMPUTED_VALUE"""),44888.443287037)</f>
        <v>44888.443287037</v>
      </c>
      <c r="C2429" s="7" t="str">
        <f ca="1">IFERROR(__xludf.UNSUPPORTED("""COMPUTED_VALUE"""),"São Francisco do Sul")</f>
        <v>São Francisco do Sul</v>
      </c>
      <c r="D2429" s="3" t="str">
        <f ca="1">IFERROR(__xludf.UNSUPPORTED("""COMPUTED_VALUE"""),"🚢 REGULAR")</f>
        <v>🚢 REGULAR</v>
      </c>
      <c r="E2429" s="3" t="str">
        <f ca="1">IFERROR(__xludf.UNSUPPORTED("""COMPUTED_VALUE"""),"🚛 LIBERADO")</f>
        <v>🚛 LIBERADO</v>
      </c>
      <c r="F2429" s="5">
        <f ca="1">IFERROR(__xludf.UNSUPPORTED("""COMPUTED_VALUE"""),0)</f>
        <v>0</v>
      </c>
      <c r="G2429" s="3" t="str">
        <f ca="1">IFERROR(__xludf.UNSUPPORTED("""COMPUTED_VALUE"""),"Operação ocorre com plena normalidade.")</f>
        <v>Operação ocorre com plena normalidade.</v>
      </c>
      <c r="H2429" s="4">
        <f ca="1">IFERROR(__xludf.UNSUPPORTED("""COMPUTED_VALUE"""),44888.443287037)</f>
        <v>44888.443287037</v>
      </c>
      <c r="I2429" s="3">
        <f ca="1">IFERROR(__xludf.UNSUPPORTED("""COMPUTED_VALUE"""),24)</f>
        <v>24</v>
      </c>
      <c r="J2429" s="4">
        <f ca="1">IFERROR(__xludf.UNSUPPORTED("""COMPUTED_VALUE"""),44889.443287037)</f>
        <v>44889.443287037</v>
      </c>
    </row>
    <row r="2430" spans="1:10" ht="12.75">
      <c r="A2430" s="3" t="str">
        <f ca="1">IFERROR(__xludf.UNSUPPORTED("""COMPUTED_VALUE"""),"7e5ff7cb")</f>
        <v>7e5ff7cb</v>
      </c>
      <c r="B2430" s="4">
        <f ca="1">IFERROR(__xludf.UNSUPPORTED("""COMPUTED_VALUE"""),44889.3993171296)</f>
        <v>44889.399317129602</v>
      </c>
      <c r="C2430" s="8" t="str">
        <f ca="1">IFERROR(__xludf.UNSUPPORTED("""COMPUTED_VALUE"""),"São Francisco do Sul")</f>
        <v>São Francisco do Sul</v>
      </c>
      <c r="D2430" s="3" t="str">
        <f ca="1">IFERROR(__xludf.UNSUPPORTED("""COMPUTED_VALUE"""),"🚢 REGULAR")</f>
        <v>🚢 REGULAR</v>
      </c>
      <c r="E2430" s="3" t="str">
        <f ca="1">IFERROR(__xludf.UNSUPPORTED("""COMPUTED_VALUE"""),"🚛 LIBERADO")</f>
        <v>🚛 LIBERADO</v>
      </c>
      <c r="F2430" s="5">
        <f ca="1">IFERROR(__xludf.UNSUPPORTED("""COMPUTED_VALUE"""),0)</f>
        <v>0</v>
      </c>
      <c r="G2430" s="3" t="str">
        <f ca="1">IFERROR(__xludf.UNSUPPORTED("""COMPUTED_VALUE"""),"Operação normal.")</f>
        <v>Operação normal.</v>
      </c>
      <c r="H2430" s="4">
        <f ca="1">IFERROR(__xludf.UNSUPPORTED("""COMPUTED_VALUE"""),44889.3993171296)</f>
        <v>44889.399317129602</v>
      </c>
      <c r="I2430" s="3">
        <f ca="1">IFERROR(__xludf.UNSUPPORTED("""COMPUTED_VALUE"""),24)</f>
        <v>24</v>
      </c>
      <c r="J2430" s="4">
        <f ca="1">IFERROR(__xludf.UNSUPPORTED("""COMPUTED_VALUE"""),44890.3993171296)</f>
        <v>44890.399317129602</v>
      </c>
    </row>
    <row r="2431" spans="1:10" ht="12.75">
      <c r="A2431" s="3" t="str">
        <f ca="1">IFERROR(__xludf.UNSUPPORTED("""COMPUTED_VALUE"""),"cf5f5f4c")</f>
        <v>cf5f5f4c</v>
      </c>
      <c r="B2431" s="4">
        <f ca="1">IFERROR(__xludf.UNSUPPORTED("""COMPUTED_VALUE"""),44890.3558333333)</f>
        <v>44890.355833333299</v>
      </c>
      <c r="C2431" s="8" t="str">
        <f ca="1">IFERROR(__xludf.UNSUPPORTED("""COMPUTED_VALUE"""),"São Francisco do Sul")</f>
        <v>São Francisco do Sul</v>
      </c>
      <c r="D2431" s="3" t="str">
        <f ca="1">IFERROR(__xludf.UNSUPPORTED("""COMPUTED_VALUE"""),"🚢 REGULAR")</f>
        <v>🚢 REGULAR</v>
      </c>
      <c r="E2431" s="3" t="str">
        <f ca="1">IFERROR(__xludf.UNSUPPORTED("""COMPUTED_VALUE"""),"🚛 LIBERADO")</f>
        <v>🚛 LIBERADO</v>
      </c>
      <c r="F2431" s="5">
        <f ca="1">IFERROR(__xludf.UNSUPPORTED("""COMPUTED_VALUE"""),0)</f>
        <v>0</v>
      </c>
      <c r="G2431" s="3" t="str">
        <f ca="1">IFERROR(__xludf.UNSUPPORTED("""COMPUTED_VALUE"""),"Operação regular.")</f>
        <v>Operação regular.</v>
      </c>
      <c r="H2431" s="4">
        <f ca="1">IFERROR(__xludf.UNSUPPORTED("""COMPUTED_VALUE"""),44890.3558333333)</f>
        <v>44890.355833333299</v>
      </c>
      <c r="I2431" s="3">
        <f ca="1">IFERROR(__xludf.UNSUPPORTED("""COMPUTED_VALUE"""),24)</f>
        <v>24</v>
      </c>
      <c r="J2431" s="4">
        <f ca="1">IFERROR(__xludf.UNSUPPORTED("""COMPUTED_VALUE"""),44891.3558333333)</f>
        <v>44891.355833333299</v>
      </c>
    </row>
    <row r="2432" spans="1:10" ht="12.75">
      <c r="A2432" s="3" t="str">
        <f ca="1">IFERROR(__xludf.UNSUPPORTED("""COMPUTED_VALUE"""),"f7130ef8")</f>
        <v>f7130ef8</v>
      </c>
      <c r="B2432" s="4">
        <f ca="1">IFERROR(__xludf.UNSUPPORTED("""COMPUTED_VALUE"""),44892.4330439814)</f>
        <v>44892.4330439814</v>
      </c>
      <c r="C2432" s="7" t="str">
        <f ca="1">IFERROR(__xludf.UNSUPPORTED("""COMPUTED_VALUE"""),"São Francisco do Sul")</f>
        <v>São Francisco do Sul</v>
      </c>
      <c r="D2432" s="3" t="str">
        <f ca="1">IFERROR(__xludf.UNSUPPORTED("""COMPUTED_VALUE"""),"🚢 REGULAR")</f>
        <v>🚢 REGULAR</v>
      </c>
      <c r="E2432" s="3" t="str">
        <f ca="1">IFERROR(__xludf.UNSUPPORTED("""COMPUTED_VALUE"""),"🚛 LIBERADO")</f>
        <v>🚛 LIBERADO</v>
      </c>
      <c r="F2432" s="5">
        <f ca="1">IFERROR(__xludf.UNSUPPORTED("""COMPUTED_VALUE"""),0)</f>
        <v>0</v>
      </c>
      <c r="G2432" s="3" t="str">
        <f ca="1">IFERROR(__xludf.UNSUPPORTED("""COMPUTED_VALUE"""),"Operação ocorre sem intercorrências.")</f>
        <v>Operação ocorre sem intercorrências.</v>
      </c>
      <c r="H2432" s="4">
        <f ca="1">IFERROR(__xludf.UNSUPPORTED("""COMPUTED_VALUE"""),44892.4330439814)</f>
        <v>44892.4330439814</v>
      </c>
      <c r="I2432" s="3">
        <f ca="1">IFERROR(__xludf.UNSUPPORTED("""COMPUTED_VALUE"""),24)</f>
        <v>24</v>
      </c>
      <c r="J2432" s="4">
        <f ca="1">IFERROR(__xludf.UNSUPPORTED("""COMPUTED_VALUE"""),44893.4330439814)</f>
        <v>44893.4330439814</v>
      </c>
    </row>
    <row r="2433" spans="1:12" ht="12.75">
      <c r="A2433" s="3" t="str">
        <f ca="1">IFERROR(__xludf.UNSUPPORTED("""COMPUTED_VALUE"""),"e4ddaa18")</f>
        <v>e4ddaa18</v>
      </c>
      <c r="B2433" s="4">
        <f ca="1">IFERROR(__xludf.UNSUPPORTED("""COMPUTED_VALUE"""),44894.3826967592)</f>
        <v>44894.382696759203</v>
      </c>
      <c r="C2433" s="7" t="str">
        <f ca="1">IFERROR(__xludf.UNSUPPORTED("""COMPUTED_VALUE"""),"São Francisco do Sul")</f>
        <v>São Francisco do Sul</v>
      </c>
      <c r="D2433" s="3" t="str">
        <f ca="1">IFERROR(__xludf.UNSUPPORTED("""COMPUTED_VALUE"""),"❗️ PARALISADA")</f>
        <v>❗️ PARALISADA</v>
      </c>
      <c r="E2433" s="3" t="str">
        <f ca="1">IFERROR(__xludf.UNSUPPORTED("""COMPUTED_VALUE"""),"⚠️ PARCIALMENTE BLOQUEADO")</f>
        <v>⚠️ PARCIALMENTE BLOQUEADO</v>
      </c>
      <c r="F2433" s="5">
        <f ca="1">IFERROR(__xludf.UNSUPPORTED("""COMPUTED_VALUE"""),0.25)</f>
        <v>0.25</v>
      </c>
      <c r="G2433" s="3" t="str">
        <f ca="1">IFERROR(__xludf.UNSUPPORTED("""COMPUTED_VALUE"""),"A operação de pátio segue normalmente.
Entretanto, a operação de navios está prejudicada desde domingo (27/11) devido às chuvas e aos ventos fortes. 
Houve quedas de barreiras nas rodovias BR 280 (na região do Planalto norte do estado de SC) e trecho entr"&amp;"e BR 376/PR e BR 101/SC, entre Guaratuba/PR e Garuva/SC. Contudo, até o momento não prejudicam o acesso de caminhões ao porto e tampouco as operações de Gate.")</f>
        <v>A operação de pátio segue normalmente.
Entretanto, a operação de navios está prejudicada desde domingo (27/11) devido às chuvas e aos ventos fortes. 
Houve quedas de barreiras nas rodovias BR 280 (na região do Planalto norte do estado de SC) e trecho entre BR 376/PR e BR 101/SC, entre Guaratuba/PR e Garuva/SC. Contudo, até o momento não prejudicam o acesso de caminhões ao porto e tampouco as operações de Gate.</v>
      </c>
      <c r="H2433" s="4">
        <f ca="1">IFERROR(__xludf.UNSUPPORTED("""COMPUTED_VALUE"""),44894.3826967592)</f>
        <v>44894.382696759203</v>
      </c>
      <c r="I2433" s="3">
        <f ca="1">IFERROR(__xludf.UNSUPPORTED("""COMPUTED_VALUE"""),24)</f>
        <v>24</v>
      </c>
      <c r="J2433" s="4">
        <f ca="1">IFERROR(__xludf.UNSUPPORTED("""COMPUTED_VALUE"""),44895.3826967592)</f>
        <v>44895.382696759203</v>
      </c>
    </row>
    <row r="2434" spans="1:12" ht="12.75">
      <c r="A2434" s="3" t="str">
        <f ca="1">IFERROR(__xludf.UNSUPPORTED("""COMPUTED_VALUE"""),"18592c3e")</f>
        <v>18592c3e</v>
      </c>
      <c r="B2434" s="4">
        <f ca="1">IFERROR(__xludf.UNSUPPORTED("""COMPUTED_VALUE"""),44895.3587847222)</f>
        <v>44895.358784722201</v>
      </c>
      <c r="C2434" s="7" t="str">
        <f ca="1">IFERROR(__xludf.UNSUPPORTED("""COMPUTED_VALUE"""),"São Francisco do Sul")</f>
        <v>São Francisco do Sul</v>
      </c>
      <c r="D2434" s="3" t="str">
        <f ca="1">IFERROR(__xludf.UNSUPPORTED("""COMPUTED_VALUE"""),"❗️ PARALISADA")</f>
        <v>❗️ PARALISADA</v>
      </c>
      <c r="E2434" s="3" t="str">
        <f ca="1">IFERROR(__xludf.UNSUPPORTED("""COMPUTED_VALUE"""),"🚛 LIBERADO")</f>
        <v>🚛 LIBERADO</v>
      </c>
      <c r="F2434" s="5">
        <f ca="1">IFERROR(__xludf.UNSUPPORTED("""COMPUTED_VALUE"""),0.25)</f>
        <v>0.25</v>
      </c>
      <c r="G2434" s="3" t="str">
        <f ca="1">IFERROR(__xludf.UNSUPPORTED("""COMPUTED_VALUE"""),"A operação de pátio segue normalmente.
Entretanto, a operação de navios está prejudicada desde domingo (27/11) em razão das chuvas e dos ventos fortes. 
As quedas de barreiras nas rodovias BR 280 (região do Planalto norte do estado de SC) e BR 376 PR/BR10"&amp;"1 sul, não prejudicam o acesso de caminhões e as operações de Gate, que ocorrem normalmente.")</f>
        <v>A operação de pátio segue normalmente.
Entretanto, a operação de navios está prejudicada desde domingo (27/11) em razão das chuvas e dos ventos fortes. 
As quedas de barreiras nas rodovias BR 280 (região do Planalto norte do estado de SC) e BR 376 PR/BR101 sul, não prejudicam o acesso de caminhões e as operações de Gate, que ocorrem normalmente.</v>
      </c>
      <c r="H2434" s="4">
        <f ca="1">IFERROR(__xludf.UNSUPPORTED("""COMPUTED_VALUE"""),44895.3587847222)</f>
        <v>44895.358784722201</v>
      </c>
      <c r="I2434" s="3">
        <f ca="1">IFERROR(__xludf.UNSUPPORTED("""COMPUTED_VALUE"""),24)</f>
        <v>24</v>
      </c>
      <c r="J2434" s="4">
        <f ca="1">IFERROR(__xludf.UNSUPPORTED("""COMPUTED_VALUE"""),44896.3587847222)</f>
        <v>44896.358784722201</v>
      </c>
    </row>
    <row r="2435" spans="1:12" ht="12.75">
      <c r="A2435" s="3" t="str">
        <f ca="1">IFERROR(__xludf.UNSUPPORTED("""COMPUTED_VALUE"""),"8d0be1ff")</f>
        <v>8d0be1ff</v>
      </c>
      <c r="B2435" s="4">
        <f ca="1">IFERROR(__xludf.UNSUPPORTED("""COMPUTED_VALUE"""),44896.4388078703)</f>
        <v>44896.438807870298</v>
      </c>
      <c r="C2435" s="8" t="str">
        <f ca="1">IFERROR(__xludf.UNSUPPORTED("""COMPUTED_VALUE"""),"São Francisco do Sul")</f>
        <v>São Francisco do Sul</v>
      </c>
      <c r="D2435" s="3" t="str">
        <f ca="1">IFERROR(__xludf.UNSUPPORTED("""COMPUTED_VALUE"""),"❗️ PARALISADA")</f>
        <v>❗️ PARALISADA</v>
      </c>
      <c r="E2435" s="3" t="str">
        <f ca="1">IFERROR(__xludf.UNSUPPORTED("""COMPUTED_VALUE"""),"🚛 LIBERADO")</f>
        <v>🚛 LIBERADO</v>
      </c>
      <c r="F2435" s="5">
        <f ca="1">IFERROR(__xludf.UNSUPPORTED("""COMPUTED_VALUE"""),0.25)</f>
        <v>0.25</v>
      </c>
      <c r="G2435" s="3" t="str">
        <f ca="1">IFERROR(__xludf.UNSUPPORTED("""COMPUTED_VALUE"""),"Operação segue prejudicada desde sábado (26/12) em razão das fortes chuvas e ventos. Operação de embarque de granéis sólidos paralisada, pois embarcações não operam sob chuva. 
Operação de pátio ocorre normalmente. Acesso ao gate também ocorre normalmente"&amp;", embora se tenha registrado  redução na entrada de caminhões em razão do acidente que bloqueou a BR 376PR/BR 101.")</f>
        <v>Operação segue prejudicada desde sábado (26/12) em razão das fortes chuvas e ventos. Operação de embarque de granéis sólidos paralisada, pois embarcações não operam sob chuva. 
Operação de pátio ocorre normalmente. Acesso ao gate também ocorre normalmente, embora se tenha registrado  redução na entrada de caminhões em razão do acidente que bloqueou a BR 376PR/BR 101.</v>
      </c>
      <c r="H2435" s="4">
        <f ca="1">IFERROR(__xludf.UNSUPPORTED("""COMPUTED_VALUE"""),44896.4388078703)</f>
        <v>44896.438807870298</v>
      </c>
      <c r="I2435" s="3">
        <f ca="1">IFERROR(__xludf.UNSUPPORTED("""COMPUTED_VALUE"""),24)</f>
        <v>24</v>
      </c>
      <c r="J2435" s="4">
        <f ca="1">IFERROR(__xludf.UNSUPPORTED("""COMPUTED_VALUE"""),44897.4388078703)</f>
        <v>44897.438807870298</v>
      </c>
    </row>
    <row r="2436" spans="1:12" ht="12.75">
      <c r="A2436" s="3" t="str">
        <f ca="1">IFERROR(__xludf.UNSUPPORTED("""COMPUTED_VALUE"""),"9b196201")</f>
        <v>9b196201</v>
      </c>
      <c r="B2436" s="4">
        <f ca="1">IFERROR(__xludf.UNSUPPORTED("""COMPUTED_VALUE"""),44897.3577083333)</f>
        <v>44897.3577083333</v>
      </c>
      <c r="C2436" s="7" t="str">
        <f ca="1">IFERROR(__xludf.UNSUPPORTED("""COMPUTED_VALUE"""),"São Francisco do Sul")</f>
        <v>São Francisco do Sul</v>
      </c>
      <c r="D2436" s="3" t="str">
        <f ca="1">IFERROR(__xludf.UNSUPPORTED("""COMPUTED_VALUE"""),"🚢 REGULAR")</f>
        <v>🚢 REGULAR</v>
      </c>
      <c r="E2436" s="3" t="str">
        <f ca="1">IFERROR(__xludf.UNSUPPORTED("""COMPUTED_VALUE"""),"🚛 LIBERADO")</f>
        <v>🚛 LIBERADO</v>
      </c>
      <c r="F2436" s="5">
        <f ca="1">IFERROR(__xludf.UNSUPPORTED("""COMPUTED_VALUE"""),0)</f>
        <v>0</v>
      </c>
      <c r="G2436" s="3" t="str">
        <f ca="1">IFERROR(__xludf.UNSUPPORTED("""COMPUTED_VALUE"""),"Operações de pátio, gate e atracações normais.")</f>
        <v>Operações de pátio, gate e atracações normais.</v>
      </c>
      <c r="H2436" s="4">
        <f ca="1">IFERROR(__xludf.UNSUPPORTED("""COMPUTED_VALUE"""),44897.3577083333)</f>
        <v>44897.3577083333</v>
      </c>
      <c r="I2436" s="3">
        <f ca="1">IFERROR(__xludf.UNSUPPORTED("""COMPUTED_VALUE"""),24)</f>
        <v>24</v>
      </c>
      <c r="J2436" s="4">
        <f ca="1">IFERROR(__xludf.UNSUPPORTED("""COMPUTED_VALUE"""),44898.3577083333)</f>
        <v>44898.3577083333</v>
      </c>
    </row>
    <row r="2437" spans="1:12" ht="12.75">
      <c r="A2437" s="3" t="str">
        <f ca="1">IFERROR(__xludf.UNSUPPORTED("""COMPUTED_VALUE"""),"7583f205")</f>
        <v>7583f205</v>
      </c>
      <c r="B2437" s="4">
        <f ca="1">IFERROR(__xludf.UNSUPPORTED("""COMPUTED_VALUE"""),44900.6221412037)</f>
        <v>44900.622141203698</v>
      </c>
      <c r="C2437" s="8" t="str">
        <f ca="1">IFERROR(__xludf.UNSUPPORTED("""COMPUTED_VALUE"""),"São Francisco do Sul")</f>
        <v>São Francisco do Sul</v>
      </c>
      <c r="D2437" s="3" t="str">
        <f ca="1">IFERROR(__xludf.UNSUPPORTED("""COMPUTED_VALUE"""),"🚢 REGULAR")</f>
        <v>🚢 REGULAR</v>
      </c>
      <c r="E2437" s="3" t="str">
        <f ca="1">IFERROR(__xludf.UNSUPPORTED("""COMPUTED_VALUE"""),"🚛 LIBERADO")</f>
        <v>🚛 LIBERADO</v>
      </c>
      <c r="F2437" s="5">
        <f ca="1">IFERROR(__xludf.UNSUPPORTED("""COMPUTED_VALUE"""),0)</f>
        <v>0</v>
      </c>
      <c r="G2437" s="3" t="str">
        <f ca="1">IFERROR(__xludf.UNSUPPORTED("""COMPUTED_VALUE"""),"Normal")</f>
        <v>Normal</v>
      </c>
      <c r="H2437" s="4">
        <f ca="1">IFERROR(__xludf.UNSUPPORTED("""COMPUTED_VALUE"""),44900.6221412037)</f>
        <v>44900.622141203698</v>
      </c>
      <c r="I2437" s="3">
        <f ca="1">IFERROR(__xludf.UNSUPPORTED("""COMPUTED_VALUE"""),1)</f>
        <v>1</v>
      </c>
      <c r="J2437" s="4">
        <f ca="1">IFERROR(__xludf.UNSUPPORTED("""COMPUTED_VALUE"""),44900.6638078703)</f>
        <v>44900.663807870304</v>
      </c>
    </row>
    <row r="2438" spans="1:12" ht="12.75">
      <c r="A2438" s="3" t="str">
        <f ca="1">IFERROR(__xludf.UNSUPPORTED("""COMPUTED_VALUE"""),"38a9c48b")</f>
        <v>38a9c48b</v>
      </c>
      <c r="B2438" s="4">
        <f ca="1">IFERROR(__xludf.UNSUPPORTED("""COMPUTED_VALUE"""),44901.4208333333)</f>
        <v>44901.420833333301</v>
      </c>
      <c r="C2438" s="7" t="str">
        <f ca="1">IFERROR(__xludf.UNSUPPORTED("""COMPUTED_VALUE"""),"São Francisco do Sul")</f>
        <v>São Francisco do Sul</v>
      </c>
      <c r="D2438" s="3" t="str">
        <f ca="1">IFERROR(__xludf.UNSUPPORTED("""COMPUTED_VALUE"""),"🚢 REGULAR")</f>
        <v>🚢 REGULAR</v>
      </c>
      <c r="E2438" s="3" t="str">
        <f ca="1">IFERROR(__xludf.UNSUPPORTED("""COMPUTED_VALUE"""),"🚛 LIBERADO")</f>
        <v>🚛 LIBERADO</v>
      </c>
      <c r="F2438" s="5">
        <f ca="1">IFERROR(__xludf.UNSUPPORTED("""COMPUTED_VALUE"""),0)</f>
        <v>0</v>
      </c>
      <c r="G2438" s="3" t="str">
        <f ca="1">IFERROR(__xludf.UNSUPPORTED("""COMPUTED_VALUE"""),"Normal")</f>
        <v>Normal</v>
      </c>
      <c r="H2438" s="4">
        <f ca="1">IFERROR(__xludf.UNSUPPORTED("""COMPUTED_VALUE"""),44901.4208333333)</f>
        <v>44901.420833333301</v>
      </c>
      <c r="I2438" s="3">
        <f ca="1">IFERROR(__xludf.UNSUPPORTED("""COMPUTED_VALUE"""),1)</f>
        <v>1</v>
      </c>
      <c r="J2438" s="4">
        <f ca="1">IFERROR(__xludf.UNSUPPORTED("""COMPUTED_VALUE"""),44901.4625)</f>
        <v>44901.462500000001</v>
      </c>
    </row>
    <row r="2439" spans="1:12" ht="12.75">
      <c r="A2439" s="3" t="str">
        <f ca="1">IFERROR(__xludf.UNSUPPORTED("""COMPUTED_VALUE"""),"a72c03db")</f>
        <v>a72c03db</v>
      </c>
      <c r="B2439" s="4">
        <f ca="1">IFERROR(__xludf.UNSUPPORTED("""COMPUTED_VALUE"""),44902.4298611111)</f>
        <v>44902.429861111101</v>
      </c>
      <c r="C2439" s="7" t="str">
        <f ca="1">IFERROR(__xludf.UNSUPPORTED("""COMPUTED_VALUE"""),"São Francisco do Sul")</f>
        <v>São Francisco do Sul</v>
      </c>
      <c r="D2439" s="3" t="str">
        <f ca="1">IFERROR(__xludf.UNSUPPORTED("""COMPUTED_VALUE"""),"🚢 REGULAR")</f>
        <v>🚢 REGULAR</v>
      </c>
      <c r="E2439" s="3" t="str">
        <f ca="1">IFERROR(__xludf.UNSUPPORTED("""COMPUTED_VALUE"""),"🚛 LIBERADO")</f>
        <v>🚛 LIBERADO</v>
      </c>
      <c r="F2439" s="5">
        <f ca="1">IFERROR(__xludf.UNSUPPORTED("""COMPUTED_VALUE"""),0)</f>
        <v>0</v>
      </c>
      <c r="G2439" s="3" t="str">
        <f ca="1">IFERROR(__xludf.UNSUPPORTED("""COMPUTED_VALUE"""),"Normal")</f>
        <v>Normal</v>
      </c>
      <c r="H2439" s="4">
        <f ca="1">IFERROR(__xludf.UNSUPPORTED("""COMPUTED_VALUE"""),44902.4298611111)</f>
        <v>44902.429861111101</v>
      </c>
      <c r="I2439" s="3">
        <f ca="1">IFERROR(__xludf.UNSUPPORTED("""COMPUTED_VALUE"""),1)</f>
        <v>1</v>
      </c>
      <c r="J2439" s="4">
        <f ca="1">IFERROR(__xludf.UNSUPPORTED("""COMPUTED_VALUE"""),44902.4715277777)</f>
        <v>44902.4715277777</v>
      </c>
    </row>
    <row r="2440" spans="1:12" ht="12.75">
      <c r="A2440" s="3" t="str">
        <f ca="1">IFERROR(__xludf.UNSUPPORTED("""COMPUTED_VALUE"""),"00cb5da6")</f>
        <v>00cb5da6</v>
      </c>
      <c r="B2440" s="4">
        <f ca="1">IFERROR(__xludf.UNSUPPORTED("""COMPUTED_VALUE"""),44923.4342824073)</f>
        <v>44923.434282407303</v>
      </c>
      <c r="C2440" s="7" t="str">
        <f ca="1">IFERROR(__xludf.UNSUPPORTED("""COMPUTED_VALUE"""),"São Francisco do Sul")</f>
        <v>São Francisco do Sul</v>
      </c>
      <c r="D2440" s="3" t="str">
        <f ca="1">IFERROR(__xludf.UNSUPPORTED("""COMPUTED_VALUE"""),"🚢 REGULAR")</f>
        <v>🚢 REGULAR</v>
      </c>
      <c r="E2440" s="3" t="str">
        <f ca="1">IFERROR(__xludf.UNSUPPORTED("""COMPUTED_VALUE"""),"🚛 LIBERADO")</f>
        <v>🚛 LIBERADO</v>
      </c>
      <c r="F2440" s="5">
        <f ca="1">IFERROR(__xludf.UNSUPPORTED("""COMPUTED_VALUE"""),0)</f>
        <v>0</v>
      </c>
      <c r="G2440" s="3" t="str">
        <f ca="1">IFERROR(__xludf.UNSUPPORTED("""COMPUTED_VALUE"""),"Normal")</f>
        <v>Normal</v>
      </c>
      <c r="H2440" s="4">
        <f ca="1">IFERROR(__xludf.UNSUPPORTED("""COMPUTED_VALUE"""),44923.4342824073)</f>
        <v>44923.434282407303</v>
      </c>
      <c r="I2440" s="3">
        <f ca="1">IFERROR(__xludf.UNSUPPORTED("""COMPUTED_VALUE"""),1)</f>
        <v>1</v>
      </c>
      <c r="J2440" s="4">
        <f ca="1">IFERROR(__xludf.UNSUPPORTED("""COMPUTED_VALUE"""),44923.475949074)</f>
        <v>44923.475949074003</v>
      </c>
    </row>
    <row r="2441" spans="1:12" ht="12.75">
      <c r="A2441" s="3" t="str">
        <f ca="1">IFERROR(__xludf.UNSUPPORTED("""COMPUTED_VALUE"""),"2fad804c")</f>
        <v>2fad804c</v>
      </c>
      <c r="B2441" s="4">
        <f ca="1">IFERROR(__xludf.UNSUPPORTED("""COMPUTED_VALUE"""),44935.3180555555)</f>
        <v>44935.318055555501</v>
      </c>
      <c r="C2441" s="8" t="str">
        <f ca="1">IFERROR(__xludf.UNSUPPORTED("""COMPUTED_VALUE"""),"São Francisco do Sul")</f>
        <v>São Francisco do Sul</v>
      </c>
      <c r="D2441" s="3" t="str">
        <f ca="1">IFERROR(__xludf.UNSUPPORTED("""COMPUTED_VALUE"""),"🚢 REGULAR")</f>
        <v>🚢 REGULAR</v>
      </c>
      <c r="E2441" s="3" t="str">
        <f ca="1">IFERROR(__xludf.UNSUPPORTED("""COMPUTED_VALUE"""),"🚛 LIBERADO")</f>
        <v>🚛 LIBERADO</v>
      </c>
      <c r="F2441" s="5">
        <f ca="1">IFERROR(__xludf.UNSUPPORTED("""COMPUTED_VALUE"""),0)</f>
        <v>0</v>
      </c>
      <c r="G2441" s="3" t="str">
        <f ca="1">IFERROR(__xludf.UNSUPPORTED("""COMPUTED_VALUE"""),"Normalidade")</f>
        <v>Normalidade</v>
      </c>
      <c r="H2441" s="4">
        <f ca="1">IFERROR(__xludf.UNSUPPORTED("""COMPUTED_VALUE"""),44935.3180555555)</f>
        <v>44935.318055555501</v>
      </c>
      <c r="I2441" s="3">
        <f ca="1">IFERROR(__xludf.UNSUPPORTED("""COMPUTED_VALUE"""),24)</f>
        <v>24</v>
      </c>
      <c r="J2441" s="4">
        <f ca="1">IFERROR(__xludf.UNSUPPORTED("""COMPUTED_VALUE"""),44936.3180555555)</f>
        <v>44936.318055555501</v>
      </c>
      <c r="L2441" s="3" t="str">
        <f ca="1">IFERROR(__xludf.UNSUPPORTED("""COMPUTED_VALUE"""),"Normalidade")</f>
        <v>Normalidade</v>
      </c>
    </row>
    <row r="2442" spans="1:12" ht="12.75">
      <c r="A2442" s="3" t="str">
        <f ca="1">IFERROR(__xludf.UNSUPPORTED("""COMPUTED_VALUE"""),"5f7e3c2a")</f>
        <v>5f7e3c2a</v>
      </c>
      <c r="B2442" s="4">
        <f ca="1">IFERROR(__xludf.UNSUPPORTED("""COMPUTED_VALUE"""),45120.6593055555)</f>
        <v>45120.659305555499</v>
      </c>
      <c r="C2442" s="7" t="str">
        <f ca="1">IFERROR(__xludf.UNSUPPORTED("""COMPUTED_VALUE"""),"São Francisco do Sul")</f>
        <v>São Francisco do Sul</v>
      </c>
      <c r="D2442" s="3" t="str">
        <f ca="1">IFERROR(__xludf.UNSUPPORTED("""COMPUTED_VALUE"""),"❗️ PARALISADA")</f>
        <v>❗️ PARALISADA</v>
      </c>
      <c r="E2442" s="3" t="str">
        <f ca="1">IFERROR(__xludf.UNSUPPORTED("""COMPUTED_VALUE"""),"🚛 LIBERADO")</f>
        <v>🚛 LIBERADO</v>
      </c>
      <c r="F2442" s="5">
        <f ca="1">IFERROR(__xludf.UNSUPPORTED("""COMPUTED_VALUE"""),1)</f>
        <v>1</v>
      </c>
      <c r="G2442" s="3" t="str">
        <f ca="1">IFERROR(__xludf.UNSUPPORTED("""COMPUTED_VALUE"""),"Ciclone provocou paralisação completa das operações.")</f>
        <v>Ciclone provocou paralisação completa das operações.</v>
      </c>
      <c r="H2442" s="4">
        <f ca="1">IFERROR(__xludf.UNSUPPORTED("""COMPUTED_VALUE"""),45120.6593055555)</f>
        <v>45120.659305555499</v>
      </c>
      <c r="I2442" s="3">
        <f ca="1">IFERROR(__xludf.UNSUPPORTED("""COMPUTED_VALUE"""),12)</f>
        <v>12</v>
      </c>
      <c r="J2442" s="4">
        <f ca="1">IFERROR(__xludf.UNSUPPORTED("""COMPUTED_VALUE"""),45121.1593055555)</f>
        <v>45121.159305555499</v>
      </c>
      <c r="K2442" s="3" t="str">
        <f ca="1">IFERROR(__xludf.UNSUPPORTED("""COMPUTED_VALUE"""),"SCPAR Sfs")</f>
        <v>SCPAR Sfs</v>
      </c>
      <c r="L2442" s="3" t="str">
        <f ca="1">IFERROR(__xludf.UNSUPPORTED("""COMPUTED_VALUE"""),"Crítico")</f>
        <v>Crítico</v>
      </c>
    </row>
    <row r="2443" spans="1:12" ht="12.75">
      <c r="A2443" s="3" t="str">
        <f ca="1">IFERROR(__xludf.UNSUPPORTED("""COMPUTED_VALUE"""),"cc3a17af")</f>
        <v>cc3a17af</v>
      </c>
      <c r="B2443" s="4">
        <f ca="1">IFERROR(__xludf.UNSUPPORTED("""COMPUTED_VALUE"""),45121.5389236111)</f>
        <v>45121.5389236111</v>
      </c>
      <c r="C2443" s="8" t="str">
        <f ca="1">IFERROR(__xludf.UNSUPPORTED("""COMPUTED_VALUE"""),"São Francisco do Sul")</f>
        <v>São Francisco do Sul</v>
      </c>
      <c r="D2443" s="3" t="str">
        <f ca="1">IFERROR(__xludf.UNSUPPORTED("""COMPUTED_VALUE"""),"🚢 REGULAR")</f>
        <v>🚢 REGULAR</v>
      </c>
      <c r="E2443" s="3" t="str">
        <f ca="1">IFERROR(__xludf.UNSUPPORTED("""COMPUTED_VALUE"""),"🚛 LIBERADO")</f>
        <v>🚛 LIBERADO</v>
      </c>
      <c r="F2443" s="5">
        <f ca="1">IFERROR(__xludf.UNSUPPORTED("""COMPUTED_VALUE"""),0)</f>
        <v>0</v>
      </c>
      <c r="G2443" s="3" t="str">
        <f ca="1">IFERROR(__xludf.UNSUPPORTED("""COMPUTED_VALUE"""),"Normalidade")</f>
        <v>Normalidade</v>
      </c>
      <c r="H2443" s="4">
        <f ca="1">IFERROR(__xludf.UNSUPPORTED("""COMPUTED_VALUE"""),45121.5389236111)</f>
        <v>45121.5389236111</v>
      </c>
      <c r="I2443" s="3">
        <f ca="1">IFERROR(__xludf.UNSUPPORTED("""COMPUTED_VALUE"""),24)</f>
        <v>24</v>
      </c>
      <c r="J2443" s="4">
        <f ca="1">IFERROR(__xludf.UNSUPPORTED("""COMPUTED_VALUE"""),45122.5389236111)</f>
        <v>45122.5389236111</v>
      </c>
      <c r="L2443" s="3" t="str">
        <f ca="1">IFERROR(__xludf.UNSUPPORTED("""COMPUTED_VALUE"""),"Normalidade")</f>
        <v>Normalidade</v>
      </c>
    </row>
    <row r="2444" spans="1:12" ht="12.75">
      <c r="A2444" s="3" t="str">
        <f ca="1">IFERROR(__xludf.UNSUPPORTED("""COMPUTED_VALUE"""),"8b04e42e")</f>
        <v>8b04e42e</v>
      </c>
      <c r="B2444" s="4">
        <f ca="1">IFERROR(__xludf.UNSUPPORTED("""COMPUTED_VALUE"""),45587.4141898148)</f>
        <v>45587.414189814801</v>
      </c>
      <c r="C2444" s="8" t="str">
        <f ca="1">IFERROR(__xludf.UNSUPPORTED("""COMPUTED_VALUE"""),"São Francisco do Sul")</f>
        <v>São Francisco do Sul</v>
      </c>
      <c r="D2444" s="3" t="str">
        <f ca="1">IFERROR(__xludf.UNSUPPORTED("""COMPUTED_VALUE"""),"❗️ PARALISADA")</f>
        <v>❗️ PARALISADA</v>
      </c>
      <c r="E2444" s="3" t="str">
        <f ca="1">IFERROR(__xludf.UNSUPPORTED("""COMPUTED_VALUE"""),"🚛 LIBERADO")</f>
        <v>🚛 LIBERADO</v>
      </c>
      <c r="F2444" s="5">
        <f ca="1">IFERROR(__xludf.UNSUPPORTED("""COMPUTED_VALUE"""),0.5)</f>
        <v>0.5</v>
      </c>
      <c r="G2444" s="3" t="str">
        <f ca="1">IFERROR(__xludf.UNSUPPORTED("""COMPUTED_VALUE"""),"Operação paralisada em função da greve dos portuários")</f>
        <v>Operação paralisada em função da greve dos portuários</v>
      </c>
      <c r="H2444" s="4">
        <f ca="1">IFERROR(__xludf.UNSUPPORTED("""COMPUTED_VALUE"""),45587.4141898148)</f>
        <v>45587.414189814801</v>
      </c>
      <c r="I2444" s="3">
        <f ca="1">IFERROR(__xludf.UNSUPPORTED("""COMPUTED_VALUE"""),12)</f>
        <v>12</v>
      </c>
      <c r="J2444" s="4">
        <f ca="1">IFERROR(__xludf.UNSUPPORTED("""COMPUTED_VALUE"""),45587.9141898148)</f>
        <v>45587.914189814801</v>
      </c>
      <c r="K2444" s="3" t="str">
        <f ca="1">IFERROR(__xludf.UNSUPPORTED("""COMPUTED_VALUE"""),"Autoridade Portuária")</f>
        <v>Autoridade Portuária</v>
      </c>
      <c r="L2444" s="3" t="str">
        <f ca="1">IFERROR(__xludf.UNSUPPORTED("""COMPUTED_VALUE"""),"Crítico")</f>
        <v>Crítico</v>
      </c>
    </row>
    <row r="2445" spans="1:12" ht="12.75">
      <c r="A2445" s="3" t="str">
        <f ca="1">IFERROR(__xludf.UNSUPPORTED("""COMPUTED_VALUE"""),"6b571587")</f>
        <v>6b571587</v>
      </c>
      <c r="B2445" s="4">
        <f ca="1">IFERROR(__xludf.UNSUPPORTED("""COMPUTED_VALUE"""),44866.3982407407)</f>
        <v>44866.398240740702</v>
      </c>
      <c r="C2445" s="8" t="str">
        <f ca="1">IFERROR(__xludf.UNSUPPORTED("""COMPUTED_VALUE"""),"São Sebastião")</f>
        <v>São Sebastião</v>
      </c>
      <c r="D2445" s="3" t="str">
        <f ca="1">IFERROR(__xludf.UNSUPPORTED("""COMPUTED_VALUE"""),"🚢 REGULAR")</f>
        <v>🚢 REGULAR</v>
      </c>
      <c r="E2445" s="3" t="str">
        <f ca="1">IFERROR(__xludf.UNSUPPORTED("""COMPUTED_VALUE"""),"🚛 LIBERADO")</f>
        <v>🚛 LIBERADO</v>
      </c>
      <c r="F2445" s="5">
        <f ca="1">IFERROR(__xludf.UNSUPPORTED("""COMPUTED_VALUE"""),0)</f>
        <v>0</v>
      </c>
      <c r="G2445" s="3" t="str">
        <f ca="1">IFERROR(__xludf.UNSUPPORTED("""COMPUTED_VALUE"""),"Porto operando normalmente.")</f>
        <v>Porto operando normalmente.</v>
      </c>
      <c r="H2445" s="4">
        <f ca="1">IFERROR(__xludf.UNSUPPORTED("""COMPUTED_VALUE"""),44866.3982407407)</f>
        <v>44866.398240740702</v>
      </c>
      <c r="I2445" s="3">
        <f ca="1">IFERROR(__xludf.UNSUPPORTED("""COMPUTED_VALUE"""),8)</f>
        <v>8</v>
      </c>
      <c r="J2445" s="4">
        <f ca="1">IFERROR(__xludf.UNSUPPORTED("""COMPUTED_VALUE"""),44866.731574074)</f>
        <v>44866.731574074001</v>
      </c>
    </row>
    <row r="2446" spans="1:12" ht="12.75">
      <c r="A2446" s="3" t="str">
        <f ca="1">IFERROR(__xludf.UNSUPPORTED("""COMPUTED_VALUE"""),"11dc79dc")</f>
        <v>11dc79dc</v>
      </c>
      <c r="B2446" s="4">
        <f ca="1">IFERROR(__xludf.UNSUPPORTED("""COMPUTED_VALUE"""),44866.7299421296)</f>
        <v>44866.729942129597</v>
      </c>
      <c r="C2446" s="7" t="str">
        <f ca="1">IFERROR(__xludf.UNSUPPORTED("""COMPUTED_VALUE"""),"São Sebastião")</f>
        <v>São Sebastião</v>
      </c>
      <c r="D2446" s="3" t="str">
        <f ca="1">IFERROR(__xludf.UNSUPPORTED("""COMPUTED_VALUE"""),"🚢 REGULAR")</f>
        <v>🚢 REGULAR</v>
      </c>
      <c r="E2446" s="3" t="str">
        <f ca="1">IFERROR(__xludf.UNSUPPORTED("""COMPUTED_VALUE"""),"🚛 LIBERADO")</f>
        <v>🚛 LIBERADO</v>
      </c>
      <c r="F2446" s="5">
        <f ca="1">IFERROR(__xludf.UNSUPPORTED("""COMPUTED_VALUE"""),0)</f>
        <v>0</v>
      </c>
      <c r="G2446" s="3" t="str">
        <f ca="1">IFERROR(__xludf.UNSUPPORTED("""COMPUTED_VALUE"""),"Operando normalmente.")</f>
        <v>Operando normalmente.</v>
      </c>
      <c r="H2446" s="4">
        <f ca="1">IFERROR(__xludf.UNSUPPORTED("""COMPUTED_VALUE"""),44866.7299421296)</f>
        <v>44866.729942129597</v>
      </c>
      <c r="I2446" s="3">
        <f ca="1">IFERROR(__xludf.UNSUPPORTED("""COMPUTED_VALUE"""),6)</f>
        <v>6</v>
      </c>
      <c r="J2446" s="4">
        <f ca="1">IFERROR(__xludf.UNSUPPORTED("""COMPUTED_VALUE"""),44866.9799421296)</f>
        <v>44866.979942129597</v>
      </c>
    </row>
    <row r="2447" spans="1:12" ht="12.75">
      <c r="A2447" s="3" t="str">
        <f ca="1">IFERROR(__xludf.UNSUPPORTED("""COMPUTED_VALUE"""),"b148b8c1")</f>
        <v>b148b8c1</v>
      </c>
      <c r="B2447" s="4">
        <f ca="1">IFERROR(__xludf.UNSUPPORTED("""COMPUTED_VALUE"""),44867.3308564814)</f>
        <v>44867.3308564814</v>
      </c>
      <c r="C2447" s="7" t="str">
        <f ca="1">IFERROR(__xludf.UNSUPPORTED("""COMPUTED_VALUE"""),"São Sebastião")</f>
        <v>São Sebastião</v>
      </c>
      <c r="D2447" s="3" t="str">
        <f ca="1">IFERROR(__xludf.UNSUPPORTED("""COMPUTED_VALUE"""),"🚢 REGULAR")</f>
        <v>🚢 REGULAR</v>
      </c>
      <c r="E2447" s="3" t="str">
        <f ca="1">IFERROR(__xludf.UNSUPPORTED("""COMPUTED_VALUE"""),"🚛 LIBERADO")</f>
        <v>🚛 LIBERADO</v>
      </c>
      <c r="F2447" s="5">
        <f ca="1">IFERROR(__xludf.UNSUPPORTED("""COMPUTED_VALUE"""),0)</f>
        <v>0</v>
      </c>
      <c r="G2447" s="3" t="str">
        <f ca="1">IFERROR(__xludf.UNSUPPORTED("""COMPUTED_VALUE"""),"Operando Normalmente")</f>
        <v>Operando Normalmente</v>
      </c>
      <c r="H2447" s="4">
        <f ca="1">IFERROR(__xludf.UNSUPPORTED("""COMPUTED_VALUE"""),44867.3308564814)</f>
        <v>44867.3308564814</v>
      </c>
      <c r="I2447" s="3">
        <f ca="1">IFERROR(__xludf.UNSUPPORTED("""COMPUTED_VALUE"""),6)</f>
        <v>6</v>
      </c>
      <c r="J2447" s="4">
        <f ca="1">IFERROR(__xludf.UNSUPPORTED("""COMPUTED_VALUE"""),44867.5808564814)</f>
        <v>44867.5808564814</v>
      </c>
    </row>
    <row r="2448" spans="1:12" ht="12.75">
      <c r="A2448" s="3" t="str">
        <f ca="1">IFERROR(__xludf.UNSUPPORTED("""COMPUTED_VALUE"""),"65d68dd4")</f>
        <v>65d68dd4</v>
      </c>
      <c r="B2448" s="4">
        <f ca="1">IFERROR(__xludf.UNSUPPORTED("""COMPUTED_VALUE"""),44867.5870486111)</f>
        <v>44867.587048611102</v>
      </c>
      <c r="C2448" s="7" t="str">
        <f ca="1">IFERROR(__xludf.UNSUPPORTED("""COMPUTED_VALUE"""),"São Sebastião")</f>
        <v>São Sebastião</v>
      </c>
      <c r="D2448" s="3" t="str">
        <f ca="1">IFERROR(__xludf.UNSUPPORTED("""COMPUTED_VALUE"""),"🚢 REGULAR")</f>
        <v>🚢 REGULAR</v>
      </c>
      <c r="E2448" s="3" t="str">
        <f ca="1">IFERROR(__xludf.UNSUPPORTED("""COMPUTED_VALUE"""),"🚛 LIBERADO")</f>
        <v>🚛 LIBERADO</v>
      </c>
      <c r="F2448" s="5">
        <f ca="1">IFERROR(__xludf.UNSUPPORTED("""COMPUTED_VALUE"""),0)</f>
        <v>0</v>
      </c>
      <c r="G2448" s="3" t="str">
        <f ca="1">IFERROR(__xludf.UNSUPPORTED("""COMPUTED_VALUE"""),"Operando normalmente.")</f>
        <v>Operando normalmente.</v>
      </c>
      <c r="H2448" s="4">
        <f ca="1">IFERROR(__xludf.UNSUPPORTED("""COMPUTED_VALUE"""),44867.5870486111)</f>
        <v>44867.587048611102</v>
      </c>
      <c r="I2448" s="3">
        <f ca="1">IFERROR(__xludf.UNSUPPORTED("""COMPUTED_VALUE"""),6)</f>
        <v>6</v>
      </c>
      <c r="J2448" s="4">
        <f ca="1">IFERROR(__xludf.UNSUPPORTED("""COMPUTED_VALUE"""),44867.8370486111)</f>
        <v>44867.837048611102</v>
      </c>
    </row>
    <row r="2449" spans="1:10" ht="12.75">
      <c r="A2449" s="3" t="str">
        <f ca="1">IFERROR(__xludf.UNSUPPORTED("""COMPUTED_VALUE"""),"06a1abf3")</f>
        <v>06a1abf3</v>
      </c>
      <c r="B2449" s="4">
        <f ca="1">IFERROR(__xludf.UNSUPPORTED("""COMPUTED_VALUE"""),44867.8305787037)</f>
        <v>44867.830578703702</v>
      </c>
      <c r="C2449" s="8" t="str">
        <f ca="1">IFERROR(__xludf.UNSUPPORTED("""COMPUTED_VALUE"""),"São Sebastião")</f>
        <v>São Sebastião</v>
      </c>
      <c r="D2449" s="3" t="str">
        <f ca="1">IFERROR(__xludf.UNSUPPORTED("""COMPUTED_VALUE"""),"🚢 REGULAR")</f>
        <v>🚢 REGULAR</v>
      </c>
      <c r="E2449" s="3" t="str">
        <f ca="1">IFERROR(__xludf.UNSUPPORTED("""COMPUTED_VALUE"""),"🚛 LIBERADO")</f>
        <v>🚛 LIBERADO</v>
      </c>
      <c r="F2449" s="5">
        <f ca="1">IFERROR(__xludf.UNSUPPORTED("""COMPUTED_VALUE"""),0)</f>
        <v>0</v>
      </c>
      <c r="G2449" s="3" t="str">
        <f ca="1">IFERROR(__xludf.UNSUPPORTED("""COMPUTED_VALUE"""),"Operação normal")</f>
        <v>Operação normal</v>
      </c>
      <c r="H2449" s="4">
        <f ca="1">IFERROR(__xludf.UNSUPPORTED("""COMPUTED_VALUE"""),44867.8305787037)</f>
        <v>44867.830578703702</v>
      </c>
      <c r="I2449" s="3">
        <f ca="1">IFERROR(__xludf.UNSUPPORTED("""COMPUTED_VALUE"""),12)</f>
        <v>12</v>
      </c>
      <c r="J2449" s="4">
        <f ca="1">IFERROR(__xludf.UNSUPPORTED("""COMPUTED_VALUE"""),44868.3305787037)</f>
        <v>44868.330578703702</v>
      </c>
    </row>
    <row r="2450" spans="1:10" ht="12.75">
      <c r="A2450" s="3" t="str">
        <f ca="1">IFERROR(__xludf.UNSUPPORTED("""COMPUTED_VALUE"""),"eb3f246f")</f>
        <v>eb3f246f</v>
      </c>
      <c r="B2450" s="4">
        <f ca="1">IFERROR(__xludf.UNSUPPORTED("""COMPUTED_VALUE"""),44868.2644560185)</f>
        <v>44868.2644560185</v>
      </c>
      <c r="C2450" s="7" t="str">
        <f ca="1">IFERROR(__xludf.UNSUPPORTED("""COMPUTED_VALUE"""),"São Sebastião")</f>
        <v>São Sebastião</v>
      </c>
      <c r="D2450" s="3" t="str">
        <f ca="1">IFERROR(__xludf.UNSUPPORTED("""COMPUTED_VALUE"""),"🚢 REGULAR")</f>
        <v>🚢 REGULAR</v>
      </c>
      <c r="E2450" s="3" t="str">
        <f ca="1">IFERROR(__xludf.UNSUPPORTED("""COMPUTED_VALUE"""),"🚛 LIBERADO")</f>
        <v>🚛 LIBERADO</v>
      </c>
      <c r="F2450" s="5">
        <f ca="1">IFERROR(__xludf.UNSUPPORTED("""COMPUTED_VALUE"""),0)</f>
        <v>0</v>
      </c>
      <c r="G2450" s="3" t="str">
        <f ca="1">IFERROR(__xludf.UNSUPPORTED("""COMPUTED_VALUE"""),"Operações Normais")</f>
        <v>Operações Normais</v>
      </c>
      <c r="H2450" s="4">
        <f ca="1">IFERROR(__xludf.UNSUPPORTED("""COMPUTED_VALUE"""),44868.2644560185)</f>
        <v>44868.2644560185</v>
      </c>
      <c r="I2450" s="3">
        <f ca="1">IFERROR(__xludf.UNSUPPORTED("""COMPUTED_VALUE"""),12)</f>
        <v>12</v>
      </c>
      <c r="J2450" s="4">
        <f ca="1">IFERROR(__xludf.UNSUPPORTED("""COMPUTED_VALUE"""),44868.7644560185)</f>
        <v>44868.7644560185</v>
      </c>
    </row>
    <row r="2451" spans="1:10" ht="12.75">
      <c r="A2451" s="3" t="str">
        <f ca="1">IFERROR(__xludf.UNSUPPORTED("""COMPUTED_VALUE"""),"97a1bed2")</f>
        <v>97a1bed2</v>
      </c>
      <c r="B2451" s="4">
        <f ca="1">IFERROR(__xludf.UNSUPPORTED("""COMPUTED_VALUE"""),44869.2872106481)</f>
        <v>44869.287210648101</v>
      </c>
      <c r="C2451" s="7" t="str">
        <f ca="1">IFERROR(__xludf.UNSUPPORTED("""COMPUTED_VALUE"""),"São Sebastião")</f>
        <v>São Sebastião</v>
      </c>
      <c r="D2451" s="3" t="str">
        <f ca="1">IFERROR(__xludf.UNSUPPORTED("""COMPUTED_VALUE"""),"🚢 REGULAR")</f>
        <v>🚢 REGULAR</v>
      </c>
      <c r="E2451" s="3" t="str">
        <f ca="1">IFERROR(__xludf.UNSUPPORTED("""COMPUTED_VALUE"""),"🚛 LIBERADO")</f>
        <v>🚛 LIBERADO</v>
      </c>
      <c r="F2451" s="5">
        <f ca="1">IFERROR(__xludf.UNSUPPORTED("""COMPUTED_VALUE"""),0)</f>
        <v>0</v>
      </c>
      <c r="G2451" s="3" t="str">
        <f ca="1">IFERROR(__xludf.UNSUPPORTED("""COMPUTED_VALUE"""),"Operação normal")</f>
        <v>Operação normal</v>
      </c>
      <c r="H2451" s="4">
        <f ca="1">IFERROR(__xludf.UNSUPPORTED("""COMPUTED_VALUE"""),44869.2872106481)</f>
        <v>44869.287210648101</v>
      </c>
      <c r="I2451" s="3">
        <f ca="1">IFERROR(__xludf.UNSUPPORTED("""COMPUTED_VALUE"""),12)</f>
        <v>12</v>
      </c>
      <c r="J2451" s="4">
        <f ca="1">IFERROR(__xludf.UNSUPPORTED("""COMPUTED_VALUE"""),44869.7872106481)</f>
        <v>44869.787210648101</v>
      </c>
    </row>
    <row r="2452" spans="1:10" ht="12.75">
      <c r="A2452" s="3" t="str">
        <f ca="1">IFERROR(__xludf.UNSUPPORTED("""COMPUTED_VALUE"""),"f1eb36f9")</f>
        <v>f1eb36f9</v>
      </c>
      <c r="B2452" s="4">
        <f ca="1">IFERROR(__xludf.UNSUPPORTED("""COMPUTED_VALUE"""),44870.515474537)</f>
        <v>44870.515474537002</v>
      </c>
      <c r="C2452" s="8" t="str">
        <f ca="1">IFERROR(__xludf.UNSUPPORTED("""COMPUTED_VALUE"""),"São Sebastião")</f>
        <v>São Sebastião</v>
      </c>
      <c r="D2452" s="3" t="str">
        <f ca="1">IFERROR(__xludf.UNSUPPORTED("""COMPUTED_VALUE"""),"🚢 REGULAR")</f>
        <v>🚢 REGULAR</v>
      </c>
      <c r="E2452" s="3" t="str">
        <f ca="1">IFERROR(__xludf.UNSUPPORTED("""COMPUTED_VALUE"""),"🚛 LIBERADO")</f>
        <v>🚛 LIBERADO</v>
      </c>
      <c r="F2452" s="5">
        <f ca="1">IFERROR(__xludf.UNSUPPORTED("""COMPUTED_VALUE"""),0)</f>
        <v>0</v>
      </c>
      <c r="G2452" s="3" t="str">
        <f ca="1">IFERROR(__xludf.UNSUPPORTED("""COMPUTED_VALUE"""),"Operação  Normal")</f>
        <v>Operação  Normal</v>
      </c>
      <c r="H2452" s="4">
        <f ca="1">IFERROR(__xludf.UNSUPPORTED("""COMPUTED_VALUE"""),44870.515474537)</f>
        <v>44870.515474537002</v>
      </c>
      <c r="I2452" s="3">
        <f ca="1">IFERROR(__xludf.UNSUPPORTED("""COMPUTED_VALUE"""),12)</f>
        <v>12</v>
      </c>
      <c r="J2452" s="4">
        <f ca="1">IFERROR(__xludf.UNSUPPORTED("""COMPUTED_VALUE"""),44871.015474537)</f>
        <v>44871.015474537002</v>
      </c>
    </row>
    <row r="2453" spans="1:10" ht="12.75">
      <c r="A2453" s="3" t="str">
        <f ca="1">IFERROR(__xludf.UNSUPPORTED("""COMPUTED_VALUE"""),"1938d929")</f>
        <v>1938d929</v>
      </c>
      <c r="B2453" s="4">
        <f ca="1">IFERROR(__xludf.UNSUPPORTED("""COMPUTED_VALUE"""),44871.3979629629)</f>
        <v>44871.397962962903</v>
      </c>
      <c r="C2453" s="7" t="str">
        <f ca="1">IFERROR(__xludf.UNSUPPORTED("""COMPUTED_VALUE"""),"São Sebastião")</f>
        <v>São Sebastião</v>
      </c>
      <c r="D2453" s="3" t="str">
        <f ca="1">IFERROR(__xludf.UNSUPPORTED("""COMPUTED_VALUE"""),"🚢 REGULAR")</f>
        <v>🚢 REGULAR</v>
      </c>
      <c r="E2453" s="3" t="str">
        <f ca="1">IFERROR(__xludf.UNSUPPORTED("""COMPUTED_VALUE"""),"🚛 LIBERADO")</f>
        <v>🚛 LIBERADO</v>
      </c>
      <c r="F2453" s="5">
        <f ca="1">IFERROR(__xludf.UNSUPPORTED("""COMPUTED_VALUE"""),0)</f>
        <v>0</v>
      </c>
      <c r="G2453" s="3" t="str">
        <f ca="1">IFERROR(__xludf.UNSUPPORTED("""COMPUTED_VALUE"""),"Operação normal")</f>
        <v>Operação normal</v>
      </c>
      <c r="H2453" s="4">
        <f ca="1">IFERROR(__xludf.UNSUPPORTED("""COMPUTED_VALUE"""),44871.3979629629)</f>
        <v>44871.397962962903</v>
      </c>
      <c r="I2453" s="3">
        <f ca="1">IFERROR(__xludf.UNSUPPORTED("""COMPUTED_VALUE"""),12)</f>
        <v>12</v>
      </c>
      <c r="J2453" s="4">
        <f ca="1">IFERROR(__xludf.UNSUPPORTED("""COMPUTED_VALUE"""),44871.8979629629)</f>
        <v>44871.897962962903</v>
      </c>
    </row>
    <row r="2454" spans="1:10" ht="12.75">
      <c r="A2454" s="3" t="str">
        <f ca="1">IFERROR(__xludf.UNSUPPORTED("""COMPUTED_VALUE"""),"ff078bba")</f>
        <v>ff078bba</v>
      </c>
      <c r="B2454" s="4">
        <f ca="1">IFERROR(__xludf.UNSUPPORTED("""COMPUTED_VALUE"""),44872.4126851851)</f>
        <v>44872.412685185103</v>
      </c>
      <c r="C2454" s="8" t="str">
        <f ca="1">IFERROR(__xludf.UNSUPPORTED("""COMPUTED_VALUE"""),"São Sebastião")</f>
        <v>São Sebastião</v>
      </c>
      <c r="D2454" s="3" t="str">
        <f ca="1">IFERROR(__xludf.UNSUPPORTED("""COMPUTED_VALUE"""),"🚢 REGULAR")</f>
        <v>🚢 REGULAR</v>
      </c>
      <c r="E2454" s="3" t="str">
        <f ca="1">IFERROR(__xludf.UNSUPPORTED("""COMPUTED_VALUE"""),"🚛 LIBERADO")</f>
        <v>🚛 LIBERADO</v>
      </c>
      <c r="F2454" s="5">
        <f ca="1">IFERROR(__xludf.UNSUPPORTED("""COMPUTED_VALUE"""),0)</f>
        <v>0</v>
      </c>
      <c r="G2454" s="3" t="str">
        <f ca="1">IFERROR(__xludf.UNSUPPORTED("""COMPUTED_VALUE"""),"Operação normal")</f>
        <v>Operação normal</v>
      </c>
      <c r="H2454" s="4">
        <f ca="1">IFERROR(__xludf.UNSUPPORTED("""COMPUTED_VALUE"""),44872.4126851851)</f>
        <v>44872.412685185103</v>
      </c>
      <c r="I2454" s="3">
        <f ca="1">IFERROR(__xludf.UNSUPPORTED("""COMPUTED_VALUE"""),24)</f>
        <v>24</v>
      </c>
      <c r="J2454" s="4">
        <f ca="1">IFERROR(__xludf.UNSUPPORTED("""COMPUTED_VALUE"""),44873.4126851851)</f>
        <v>44873.412685185103</v>
      </c>
    </row>
    <row r="2455" spans="1:10" ht="12.75">
      <c r="A2455" s="3" t="str">
        <f ca="1">IFERROR(__xludf.UNSUPPORTED("""COMPUTED_VALUE"""),"b5309930")</f>
        <v>b5309930</v>
      </c>
      <c r="B2455" s="4">
        <f ca="1">IFERROR(__xludf.UNSUPPORTED("""COMPUTED_VALUE"""),44873.3205324074)</f>
        <v>44873.320532407401</v>
      </c>
      <c r="C2455" s="7" t="str">
        <f ca="1">IFERROR(__xludf.UNSUPPORTED("""COMPUTED_VALUE"""),"São Sebastião")</f>
        <v>São Sebastião</v>
      </c>
      <c r="D2455" s="3" t="str">
        <f ca="1">IFERROR(__xludf.UNSUPPORTED("""COMPUTED_VALUE"""),"🚢 REGULAR")</f>
        <v>🚢 REGULAR</v>
      </c>
      <c r="E2455" s="3" t="str">
        <f ca="1">IFERROR(__xludf.UNSUPPORTED("""COMPUTED_VALUE"""),"🚛 LIBERADO")</f>
        <v>🚛 LIBERADO</v>
      </c>
      <c r="F2455" s="5">
        <f ca="1">IFERROR(__xludf.UNSUPPORTED("""COMPUTED_VALUE"""),0)</f>
        <v>0</v>
      </c>
      <c r="G2455" s="3" t="str">
        <f ca="1">IFERROR(__xludf.UNSUPPORTED("""COMPUTED_VALUE"""),"Normal")</f>
        <v>Normal</v>
      </c>
      <c r="H2455" s="4">
        <f ca="1">IFERROR(__xludf.UNSUPPORTED("""COMPUTED_VALUE"""),44873.3205324074)</f>
        <v>44873.320532407401</v>
      </c>
      <c r="I2455" s="3">
        <f ca="1">IFERROR(__xludf.UNSUPPORTED("""COMPUTED_VALUE"""),1)</f>
        <v>1</v>
      </c>
      <c r="J2455" s="4">
        <f ca="1">IFERROR(__xludf.UNSUPPORTED("""COMPUTED_VALUE"""),44873.362199074)</f>
        <v>44873.362199073999</v>
      </c>
    </row>
    <row r="2456" spans="1:10" ht="12.75">
      <c r="A2456" s="3" t="str">
        <f ca="1">IFERROR(__xludf.UNSUPPORTED("""COMPUTED_VALUE"""),"668cc735")</f>
        <v>668cc735</v>
      </c>
      <c r="B2456" s="4">
        <f ca="1">IFERROR(__xludf.UNSUPPORTED("""COMPUTED_VALUE"""),44874.6341666666)</f>
        <v>44874.634166666598</v>
      </c>
      <c r="C2456" s="8" t="str">
        <f ca="1">IFERROR(__xludf.UNSUPPORTED("""COMPUTED_VALUE"""),"São Sebastião")</f>
        <v>São Sebastião</v>
      </c>
      <c r="D2456" s="3" t="str">
        <f ca="1">IFERROR(__xludf.UNSUPPORTED("""COMPUTED_VALUE"""),"🚢 REGULAR")</f>
        <v>🚢 REGULAR</v>
      </c>
      <c r="E2456" s="3" t="str">
        <f ca="1">IFERROR(__xludf.UNSUPPORTED("""COMPUTED_VALUE"""),"🚛 LIBERADO")</f>
        <v>🚛 LIBERADO</v>
      </c>
      <c r="F2456" s="5">
        <f ca="1">IFERROR(__xludf.UNSUPPORTED("""COMPUTED_VALUE"""),0)</f>
        <v>0</v>
      </c>
      <c r="G2456" s="3" t="str">
        <f ca="1">IFERROR(__xludf.UNSUPPORTED("""COMPUTED_VALUE"""),"Normal")</f>
        <v>Normal</v>
      </c>
      <c r="H2456" s="4">
        <f ca="1">IFERROR(__xludf.UNSUPPORTED("""COMPUTED_VALUE"""),44874.6341666666)</f>
        <v>44874.634166666598</v>
      </c>
      <c r="I2456" s="3">
        <f ca="1">IFERROR(__xludf.UNSUPPORTED("""COMPUTED_VALUE"""),1)</f>
        <v>1</v>
      </c>
      <c r="J2456" s="4">
        <f ca="1">IFERROR(__xludf.UNSUPPORTED("""COMPUTED_VALUE"""),44874.6758333333)</f>
        <v>44874.675833333298</v>
      </c>
    </row>
    <row r="2457" spans="1:10" ht="12.75">
      <c r="A2457" s="3" t="str">
        <f ca="1">IFERROR(__xludf.UNSUPPORTED("""COMPUTED_VALUE"""),"0e14df91")</f>
        <v>0e14df91</v>
      </c>
      <c r="B2457" s="4">
        <f ca="1">IFERROR(__xludf.UNSUPPORTED("""COMPUTED_VALUE"""),44881.3402893518)</f>
        <v>44881.3402893518</v>
      </c>
      <c r="C2457" s="8" t="str">
        <f ca="1">IFERROR(__xludf.UNSUPPORTED("""COMPUTED_VALUE"""),"São Sebastião")</f>
        <v>São Sebastião</v>
      </c>
      <c r="D2457" s="3" t="str">
        <f ca="1">IFERROR(__xludf.UNSUPPORTED("""COMPUTED_VALUE"""),"🚢 REGULAR")</f>
        <v>🚢 REGULAR</v>
      </c>
      <c r="E2457" s="3" t="str">
        <f ca="1">IFERROR(__xludf.UNSUPPORTED("""COMPUTED_VALUE"""),"🚛 LIBERADO")</f>
        <v>🚛 LIBERADO</v>
      </c>
      <c r="F2457" s="5">
        <f ca="1">IFERROR(__xludf.UNSUPPORTED("""COMPUTED_VALUE"""),0)</f>
        <v>0</v>
      </c>
      <c r="G2457" s="3" t="str">
        <f ca="1">IFERROR(__xludf.UNSUPPORTED("""COMPUTED_VALUE"""),"Normal")</f>
        <v>Normal</v>
      </c>
      <c r="H2457" s="4">
        <f ca="1">IFERROR(__xludf.UNSUPPORTED("""COMPUTED_VALUE"""),44881.3402893518)</f>
        <v>44881.3402893518</v>
      </c>
      <c r="I2457" s="3">
        <f ca="1">IFERROR(__xludf.UNSUPPORTED("""COMPUTED_VALUE"""),1)</f>
        <v>1</v>
      </c>
      <c r="J2457" s="4">
        <f ca="1">IFERROR(__xludf.UNSUPPORTED("""COMPUTED_VALUE"""),44881.3819560185)</f>
        <v>44881.3819560185</v>
      </c>
    </row>
    <row r="2458" spans="1:10" ht="12.75">
      <c r="A2458" s="3" t="str">
        <f ca="1">IFERROR(__xludf.UNSUPPORTED("""COMPUTED_VALUE"""),"3428a323")</f>
        <v>3428a323</v>
      </c>
      <c r="B2458" s="4">
        <f ca="1">IFERROR(__xludf.UNSUPPORTED("""COMPUTED_VALUE"""),44883.5408912037)</f>
        <v>44883.540891203702</v>
      </c>
      <c r="C2458" s="7" t="str">
        <f ca="1">IFERROR(__xludf.UNSUPPORTED("""COMPUTED_VALUE"""),"São Sebastião")</f>
        <v>São Sebastião</v>
      </c>
      <c r="D2458" s="3" t="str">
        <f ca="1">IFERROR(__xludf.UNSUPPORTED("""COMPUTED_VALUE"""),"🚢 REGULAR")</f>
        <v>🚢 REGULAR</v>
      </c>
      <c r="E2458" s="3" t="str">
        <f ca="1">IFERROR(__xludf.UNSUPPORTED("""COMPUTED_VALUE"""),"🚛 LIBERADO")</f>
        <v>🚛 LIBERADO</v>
      </c>
      <c r="F2458" s="5">
        <f ca="1">IFERROR(__xludf.UNSUPPORTED("""COMPUTED_VALUE"""),0)</f>
        <v>0</v>
      </c>
      <c r="G2458" s="3" t="str">
        <f ca="1">IFERROR(__xludf.UNSUPPORTED("""COMPUTED_VALUE"""),"Normal")</f>
        <v>Normal</v>
      </c>
      <c r="H2458" s="4">
        <f ca="1">IFERROR(__xludf.UNSUPPORTED("""COMPUTED_VALUE"""),44883.5408912037)</f>
        <v>44883.540891203702</v>
      </c>
      <c r="I2458" s="3">
        <f ca="1">IFERROR(__xludf.UNSUPPORTED("""COMPUTED_VALUE"""),1)</f>
        <v>1</v>
      </c>
      <c r="J2458" s="4">
        <f ca="1">IFERROR(__xludf.UNSUPPORTED("""COMPUTED_VALUE"""),44883.5825578703)</f>
        <v>44883.582557870301</v>
      </c>
    </row>
    <row r="2459" spans="1:10" ht="12.75">
      <c r="A2459" s="3" t="str">
        <f ca="1">IFERROR(__xludf.UNSUPPORTED("""COMPUTED_VALUE"""),"c6b6ca8d")</f>
        <v>c6b6ca8d</v>
      </c>
      <c r="B2459" s="4">
        <f ca="1">IFERROR(__xludf.UNSUPPORTED("""COMPUTED_VALUE"""),44886.3503125)</f>
        <v>44886.350312499999</v>
      </c>
      <c r="C2459" s="8" t="str">
        <f ca="1">IFERROR(__xludf.UNSUPPORTED("""COMPUTED_VALUE"""),"São Sebastião")</f>
        <v>São Sebastião</v>
      </c>
      <c r="D2459" s="3" t="str">
        <f ca="1">IFERROR(__xludf.UNSUPPORTED("""COMPUTED_VALUE"""),"🚢 REGULAR")</f>
        <v>🚢 REGULAR</v>
      </c>
      <c r="E2459" s="3" t="str">
        <f ca="1">IFERROR(__xludf.UNSUPPORTED("""COMPUTED_VALUE"""),"🚛 LIBERADO")</f>
        <v>🚛 LIBERADO</v>
      </c>
      <c r="F2459" s="5">
        <f ca="1">IFERROR(__xludf.UNSUPPORTED("""COMPUTED_VALUE"""),0)</f>
        <v>0</v>
      </c>
      <c r="G2459" s="3" t="str">
        <f ca="1">IFERROR(__xludf.UNSUPPORTED("""COMPUTED_VALUE"""),"Normal")</f>
        <v>Normal</v>
      </c>
      <c r="H2459" s="4">
        <f ca="1">IFERROR(__xludf.UNSUPPORTED("""COMPUTED_VALUE"""),44886.3503125)</f>
        <v>44886.350312499999</v>
      </c>
      <c r="I2459" s="3">
        <f ca="1">IFERROR(__xludf.UNSUPPORTED("""COMPUTED_VALUE"""),1)</f>
        <v>1</v>
      </c>
      <c r="J2459" s="4">
        <f ca="1">IFERROR(__xludf.UNSUPPORTED("""COMPUTED_VALUE"""),44886.3919791666)</f>
        <v>44886.391979166598</v>
      </c>
    </row>
    <row r="2460" spans="1:10" ht="12.75">
      <c r="A2460" s="3" t="str">
        <f ca="1">IFERROR(__xludf.UNSUPPORTED("""COMPUTED_VALUE"""),"9e0d50a9")</f>
        <v>9e0d50a9</v>
      </c>
      <c r="B2460" s="4">
        <f ca="1">IFERROR(__xludf.UNSUPPORTED("""COMPUTED_VALUE"""),44887.3944675925)</f>
        <v>44887.394467592501</v>
      </c>
      <c r="C2460" s="8" t="str">
        <f ca="1">IFERROR(__xludf.UNSUPPORTED("""COMPUTED_VALUE"""),"São Sebastião")</f>
        <v>São Sebastião</v>
      </c>
      <c r="D2460" s="3" t="str">
        <f ca="1">IFERROR(__xludf.UNSUPPORTED("""COMPUTED_VALUE"""),"🚢 REGULAR")</f>
        <v>🚢 REGULAR</v>
      </c>
      <c r="E2460" s="3" t="str">
        <f ca="1">IFERROR(__xludf.UNSUPPORTED("""COMPUTED_VALUE"""),"🚛 LIBERADO")</f>
        <v>🚛 LIBERADO</v>
      </c>
      <c r="F2460" s="5">
        <f ca="1">IFERROR(__xludf.UNSUPPORTED("""COMPUTED_VALUE"""),0)</f>
        <v>0</v>
      </c>
      <c r="G2460" s="3" t="str">
        <f ca="1">IFERROR(__xludf.UNSUPPORTED("""COMPUTED_VALUE"""),"Normal")</f>
        <v>Normal</v>
      </c>
      <c r="H2460" s="4">
        <f ca="1">IFERROR(__xludf.UNSUPPORTED("""COMPUTED_VALUE"""),44887.3944675925)</f>
        <v>44887.394467592501</v>
      </c>
      <c r="I2460" s="3">
        <f ca="1">IFERROR(__xludf.UNSUPPORTED("""COMPUTED_VALUE"""),1)</f>
        <v>1</v>
      </c>
      <c r="J2460" s="4">
        <f ca="1">IFERROR(__xludf.UNSUPPORTED("""COMPUTED_VALUE"""),44887.4361342592)</f>
        <v>44887.436134259202</v>
      </c>
    </row>
    <row r="2461" spans="1:10" ht="12.75">
      <c r="A2461" s="3" t="str">
        <f ca="1">IFERROR(__xludf.UNSUPPORTED("""COMPUTED_VALUE"""),"b836393e")</f>
        <v>b836393e</v>
      </c>
      <c r="B2461" s="4">
        <f ca="1">IFERROR(__xludf.UNSUPPORTED("""COMPUTED_VALUE"""),44888.4011226851)</f>
        <v>44888.4011226851</v>
      </c>
      <c r="C2461" s="8" t="str">
        <f ca="1">IFERROR(__xludf.UNSUPPORTED("""COMPUTED_VALUE"""),"São Sebastião")</f>
        <v>São Sebastião</v>
      </c>
      <c r="D2461" s="3" t="str">
        <f ca="1">IFERROR(__xludf.UNSUPPORTED("""COMPUTED_VALUE"""),"🚢 REGULAR")</f>
        <v>🚢 REGULAR</v>
      </c>
      <c r="E2461" s="3" t="str">
        <f ca="1">IFERROR(__xludf.UNSUPPORTED("""COMPUTED_VALUE"""),"🚛 LIBERADO")</f>
        <v>🚛 LIBERADO</v>
      </c>
      <c r="F2461" s="5">
        <f ca="1">IFERROR(__xludf.UNSUPPORTED("""COMPUTED_VALUE"""),0)</f>
        <v>0</v>
      </c>
      <c r="G2461" s="3" t="str">
        <f ca="1">IFERROR(__xludf.UNSUPPORTED("""COMPUTED_VALUE"""),"Normal")</f>
        <v>Normal</v>
      </c>
      <c r="H2461" s="4">
        <f ca="1">IFERROR(__xludf.UNSUPPORTED("""COMPUTED_VALUE"""),44888.4011226851)</f>
        <v>44888.4011226851</v>
      </c>
      <c r="I2461" s="3">
        <f ca="1">IFERROR(__xludf.UNSUPPORTED("""COMPUTED_VALUE"""),1)</f>
        <v>1</v>
      </c>
      <c r="J2461" s="4">
        <f ca="1">IFERROR(__xludf.UNSUPPORTED("""COMPUTED_VALUE"""),44888.4427893518)</f>
        <v>44888.4427893518</v>
      </c>
    </row>
    <row r="2462" spans="1:10" ht="12.75">
      <c r="A2462" s="3" t="str">
        <f ca="1">IFERROR(__xludf.UNSUPPORTED("""COMPUTED_VALUE"""),"a0a8beb6")</f>
        <v>a0a8beb6</v>
      </c>
      <c r="B2462" s="4">
        <f ca="1">IFERROR(__xludf.UNSUPPORTED("""COMPUTED_VALUE"""),44888.4027314814)</f>
        <v>44888.402731481401</v>
      </c>
      <c r="C2462" s="7" t="str">
        <f ca="1">IFERROR(__xludf.UNSUPPORTED("""COMPUTED_VALUE"""),"São Sebastião")</f>
        <v>São Sebastião</v>
      </c>
      <c r="D2462" s="3" t="str">
        <f ca="1">IFERROR(__xludf.UNSUPPORTED("""COMPUTED_VALUE"""),"🚢 REGULAR")</f>
        <v>🚢 REGULAR</v>
      </c>
      <c r="E2462" s="3" t="str">
        <f ca="1">IFERROR(__xludf.UNSUPPORTED("""COMPUTED_VALUE"""),"🚛 LIBERADO")</f>
        <v>🚛 LIBERADO</v>
      </c>
      <c r="F2462" s="5">
        <f ca="1">IFERROR(__xludf.UNSUPPORTED("""COMPUTED_VALUE"""),0)</f>
        <v>0</v>
      </c>
      <c r="G2462" s="3" t="str">
        <f ca="1">IFERROR(__xludf.UNSUPPORTED("""COMPUTED_VALUE"""),"Normal")</f>
        <v>Normal</v>
      </c>
      <c r="H2462" s="4">
        <f ca="1">IFERROR(__xludf.UNSUPPORTED("""COMPUTED_VALUE"""),44888.4027314814)</f>
        <v>44888.402731481401</v>
      </c>
      <c r="I2462" s="3">
        <f ca="1">IFERROR(__xludf.UNSUPPORTED("""COMPUTED_VALUE"""),1)</f>
        <v>1</v>
      </c>
      <c r="J2462" s="4">
        <f ca="1">IFERROR(__xludf.UNSUPPORTED("""COMPUTED_VALUE"""),44888.4443981481)</f>
        <v>44888.444398148102</v>
      </c>
    </row>
    <row r="2463" spans="1:10" ht="12.75">
      <c r="A2463" s="3" t="str">
        <f ca="1">IFERROR(__xludf.UNSUPPORTED("""COMPUTED_VALUE"""),"ddb18679")</f>
        <v>ddb18679</v>
      </c>
      <c r="B2463" s="4">
        <f ca="1">IFERROR(__xludf.UNSUPPORTED("""COMPUTED_VALUE"""),44888.4038773148)</f>
        <v>44888.403877314799</v>
      </c>
      <c r="C2463" s="8" t="str">
        <f ca="1">IFERROR(__xludf.UNSUPPORTED("""COMPUTED_VALUE"""),"São Sebastião")</f>
        <v>São Sebastião</v>
      </c>
      <c r="D2463" s="3" t="str">
        <f ca="1">IFERROR(__xludf.UNSUPPORTED("""COMPUTED_VALUE"""),"🚢 REGULAR")</f>
        <v>🚢 REGULAR</v>
      </c>
      <c r="E2463" s="3" t="str">
        <f ca="1">IFERROR(__xludf.UNSUPPORTED("""COMPUTED_VALUE"""),"🚛 LIBERADO")</f>
        <v>🚛 LIBERADO</v>
      </c>
      <c r="F2463" s="5">
        <f ca="1">IFERROR(__xludf.UNSUPPORTED("""COMPUTED_VALUE"""),0)</f>
        <v>0</v>
      </c>
      <c r="G2463" s="3" t="str">
        <f ca="1">IFERROR(__xludf.UNSUPPORTED("""COMPUTED_VALUE"""),"Normal")</f>
        <v>Normal</v>
      </c>
      <c r="H2463" s="4">
        <f ca="1">IFERROR(__xludf.UNSUPPORTED("""COMPUTED_VALUE"""),44888.4038773148)</f>
        <v>44888.403877314799</v>
      </c>
      <c r="I2463" s="3">
        <f ca="1">IFERROR(__xludf.UNSUPPORTED("""COMPUTED_VALUE"""),1)</f>
        <v>1</v>
      </c>
      <c r="J2463" s="4">
        <f ca="1">IFERROR(__xludf.UNSUPPORTED("""COMPUTED_VALUE"""),44888.4455439814)</f>
        <v>44888.445543981397</v>
      </c>
    </row>
    <row r="2464" spans="1:10" ht="12.75">
      <c r="A2464" s="3" t="str">
        <f ca="1">IFERROR(__xludf.UNSUPPORTED("""COMPUTED_VALUE"""),"1df9c909")</f>
        <v>1df9c909</v>
      </c>
      <c r="B2464" s="4">
        <f ca="1">IFERROR(__xludf.UNSUPPORTED("""COMPUTED_VALUE"""),44889.3440277777)</f>
        <v>44889.344027777697</v>
      </c>
      <c r="C2464" s="7" t="str">
        <f ca="1">IFERROR(__xludf.UNSUPPORTED("""COMPUTED_VALUE"""),"São Sebastião")</f>
        <v>São Sebastião</v>
      </c>
      <c r="D2464" s="3" t="str">
        <f ca="1">IFERROR(__xludf.UNSUPPORTED("""COMPUTED_VALUE"""),"🚢 REGULAR")</f>
        <v>🚢 REGULAR</v>
      </c>
      <c r="E2464" s="3" t="str">
        <f ca="1">IFERROR(__xludf.UNSUPPORTED("""COMPUTED_VALUE"""),"🚛 LIBERADO")</f>
        <v>🚛 LIBERADO</v>
      </c>
      <c r="F2464" s="5">
        <f ca="1">IFERROR(__xludf.UNSUPPORTED("""COMPUTED_VALUE"""),0)</f>
        <v>0</v>
      </c>
      <c r="G2464" s="3" t="str">
        <f ca="1">IFERROR(__xludf.UNSUPPORTED("""COMPUTED_VALUE"""),"Normal")</f>
        <v>Normal</v>
      </c>
      <c r="H2464" s="4">
        <f ca="1">IFERROR(__xludf.UNSUPPORTED("""COMPUTED_VALUE"""),44889.3440277777)</f>
        <v>44889.344027777697</v>
      </c>
      <c r="I2464" s="3">
        <f ca="1">IFERROR(__xludf.UNSUPPORTED("""COMPUTED_VALUE"""),1)</f>
        <v>1</v>
      </c>
      <c r="J2464" s="4">
        <f ca="1">IFERROR(__xludf.UNSUPPORTED("""COMPUTED_VALUE"""),44889.3856944444)</f>
        <v>44889.385694444398</v>
      </c>
    </row>
    <row r="2465" spans="1:12" ht="12.75">
      <c r="A2465" s="3" t="str">
        <f ca="1">IFERROR(__xludf.UNSUPPORTED("""COMPUTED_VALUE"""),"e1e56041")</f>
        <v>e1e56041</v>
      </c>
      <c r="B2465" s="4">
        <f ca="1">IFERROR(__xludf.UNSUPPORTED("""COMPUTED_VALUE"""),44890.4063078703)</f>
        <v>44890.406307870297</v>
      </c>
      <c r="C2465" s="8" t="str">
        <f ca="1">IFERROR(__xludf.UNSUPPORTED("""COMPUTED_VALUE"""),"São Sebastião")</f>
        <v>São Sebastião</v>
      </c>
      <c r="D2465" s="3" t="str">
        <f ca="1">IFERROR(__xludf.UNSUPPORTED("""COMPUTED_VALUE"""),"🚢 REGULAR")</f>
        <v>🚢 REGULAR</v>
      </c>
      <c r="E2465" s="3" t="str">
        <f ca="1">IFERROR(__xludf.UNSUPPORTED("""COMPUTED_VALUE"""),"🚛 LIBERADO")</f>
        <v>🚛 LIBERADO</v>
      </c>
      <c r="F2465" s="5">
        <f ca="1">IFERROR(__xludf.UNSUPPORTED("""COMPUTED_VALUE"""),0)</f>
        <v>0</v>
      </c>
      <c r="G2465" s="3" t="str">
        <f ca="1">IFERROR(__xludf.UNSUPPORTED("""COMPUTED_VALUE"""),"Normal")</f>
        <v>Normal</v>
      </c>
      <c r="H2465" s="4">
        <f ca="1">IFERROR(__xludf.UNSUPPORTED("""COMPUTED_VALUE"""),44890.4063078703)</f>
        <v>44890.406307870297</v>
      </c>
      <c r="I2465" s="3">
        <f ca="1">IFERROR(__xludf.UNSUPPORTED("""COMPUTED_VALUE"""),1)</f>
        <v>1</v>
      </c>
      <c r="J2465" s="4">
        <f ca="1">IFERROR(__xludf.UNSUPPORTED("""COMPUTED_VALUE"""),44890.447974537)</f>
        <v>44890.447974536997</v>
      </c>
    </row>
    <row r="2466" spans="1:12" ht="12.75">
      <c r="A2466" s="3" t="str">
        <f ca="1">IFERROR(__xludf.UNSUPPORTED("""COMPUTED_VALUE"""),"46c92ca0")</f>
        <v>46c92ca0</v>
      </c>
      <c r="B2466" s="4">
        <f ca="1">IFERROR(__xludf.UNSUPPORTED("""COMPUTED_VALUE"""),44893.3785763888)</f>
        <v>44893.378576388801</v>
      </c>
      <c r="C2466" s="8" t="str">
        <f ca="1">IFERROR(__xludf.UNSUPPORTED("""COMPUTED_VALUE"""),"São Sebastião")</f>
        <v>São Sebastião</v>
      </c>
      <c r="D2466" s="3" t="str">
        <f ca="1">IFERROR(__xludf.UNSUPPORTED("""COMPUTED_VALUE"""),"🚢 REGULAR")</f>
        <v>🚢 REGULAR</v>
      </c>
      <c r="E2466" s="3" t="str">
        <f ca="1">IFERROR(__xludf.UNSUPPORTED("""COMPUTED_VALUE"""),"🚛 LIBERADO")</f>
        <v>🚛 LIBERADO</v>
      </c>
      <c r="F2466" s="5">
        <f ca="1">IFERROR(__xludf.UNSUPPORTED("""COMPUTED_VALUE"""),0)</f>
        <v>0</v>
      </c>
      <c r="G2466" s="3" t="str">
        <f ca="1">IFERROR(__xludf.UNSUPPORTED("""COMPUTED_VALUE"""),"Normal")</f>
        <v>Normal</v>
      </c>
      <c r="H2466" s="4">
        <f ca="1">IFERROR(__xludf.UNSUPPORTED("""COMPUTED_VALUE"""),44893.3785763888)</f>
        <v>44893.378576388801</v>
      </c>
      <c r="I2466" s="3">
        <f ca="1">IFERROR(__xludf.UNSUPPORTED("""COMPUTED_VALUE"""),1)</f>
        <v>1</v>
      </c>
      <c r="J2466" s="4">
        <f ca="1">IFERROR(__xludf.UNSUPPORTED("""COMPUTED_VALUE"""),44893.4202430555)</f>
        <v>44893.420243055501</v>
      </c>
    </row>
    <row r="2467" spans="1:12" ht="12.75">
      <c r="A2467" s="3" t="str">
        <f ca="1">IFERROR(__xludf.UNSUPPORTED("""COMPUTED_VALUE"""),"36bc61a7")</f>
        <v>36bc61a7</v>
      </c>
      <c r="B2467" s="4">
        <f ca="1">IFERROR(__xludf.UNSUPPORTED("""COMPUTED_VALUE"""),44894.3759375)</f>
        <v>44894.375937500001</v>
      </c>
      <c r="C2467" s="8" t="str">
        <f ca="1">IFERROR(__xludf.UNSUPPORTED("""COMPUTED_VALUE"""),"São Sebastião")</f>
        <v>São Sebastião</v>
      </c>
      <c r="D2467" s="3" t="str">
        <f ca="1">IFERROR(__xludf.UNSUPPORTED("""COMPUTED_VALUE"""),"🚢 REGULAR")</f>
        <v>🚢 REGULAR</v>
      </c>
      <c r="E2467" s="3" t="str">
        <f ca="1">IFERROR(__xludf.UNSUPPORTED("""COMPUTED_VALUE"""),"🚛 LIBERADO")</f>
        <v>🚛 LIBERADO</v>
      </c>
      <c r="F2467" s="5">
        <f ca="1">IFERROR(__xludf.UNSUPPORTED("""COMPUTED_VALUE"""),0)</f>
        <v>0</v>
      </c>
      <c r="G2467" s="3" t="str">
        <f ca="1">IFERROR(__xludf.UNSUPPORTED("""COMPUTED_VALUE"""),"normal")</f>
        <v>normal</v>
      </c>
      <c r="H2467" s="4">
        <f ca="1">IFERROR(__xludf.UNSUPPORTED("""COMPUTED_VALUE"""),44894.3759375)</f>
        <v>44894.375937500001</v>
      </c>
      <c r="I2467" s="3">
        <f ca="1">IFERROR(__xludf.UNSUPPORTED("""COMPUTED_VALUE"""),1)</f>
        <v>1</v>
      </c>
      <c r="J2467" s="4">
        <f ca="1">IFERROR(__xludf.UNSUPPORTED("""COMPUTED_VALUE"""),44894.4176041666)</f>
        <v>44894.4176041666</v>
      </c>
    </row>
    <row r="2468" spans="1:12" ht="12.75">
      <c r="A2468" s="3" t="str">
        <f ca="1">IFERROR(__xludf.UNSUPPORTED("""COMPUTED_VALUE"""),"0cc78f43")</f>
        <v>0cc78f43</v>
      </c>
      <c r="B2468" s="4">
        <f ca="1">IFERROR(__xludf.UNSUPPORTED("""COMPUTED_VALUE"""),44895.4259606481)</f>
        <v>44895.425960648099</v>
      </c>
      <c r="C2468" s="8" t="str">
        <f ca="1">IFERROR(__xludf.UNSUPPORTED("""COMPUTED_VALUE"""),"São Sebastião")</f>
        <v>São Sebastião</v>
      </c>
      <c r="D2468" s="3" t="str">
        <f ca="1">IFERROR(__xludf.UNSUPPORTED("""COMPUTED_VALUE"""),"🚢 REGULAR")</f>
        <v>🚢 REGULAR</v>
      </c>
      <c r="E2468" s="3" t="str">
        <f ca="1">IFERROR(__xludf.UNSUPPORTED("""COMPUTED_VALUE"""),"🚛 LIBERADO")</f>
        <v>🚛 LIBERADO</v>
      </c>
      <c r="F2468" s="5">
        <f ca="1">IFERROR(__xludf.UNSUPPORTED("""COMPUTED_VALUE"""),0)</f>
        <v>0</v>
      </c>
      <c r="G2468" s="3" t="str">
        <f ca="1">IFERROR(__xludf.UNSUPPORTED("""COMPUTED_VALUE"""),"Normal")</f>
        <v>Normal</v>
      </c>
      <c r="H2468" s="4">
        <f ca="1">IFERROR(__xludf.UNSUPPORTED("""COMPUTED_VALUE"""),44895.4259606481)</f>
        <v>44895.425960648099</v>
      </c>
      <c r="I2468" s="3">
        <f ca="1">IFERROR(__xludf.UNSUPPORTED("""COMPUTED_VALUE"""),1)</f>
        <v>1</v>
      </c>
      <c r="J2468" s="4">
        <f ca="1">IFERROR(__xludf.UNSUPPORTED("""COMPUTED_VALUE"""),44895.4676273148)</f>
        <v>44895.4676273148</v>
      </c>
    </row>
    <row r="2469" spans="1:12" ht="12.75">
      <c r="A2469" s="3" t="str">
        <f ca="1">IFERROR(__xludf.UNSUPPORTED("""COMPUTED_VALUE"""),"32326afd")</f>
        <v>32326afd</v>
      </c>
      <c r="B2469" s="4">
        <f ca="1">IFERROR(__xludf.UNSUPPORTED("""COMPUTED_VALUE"""),44896.3747800925)</f>
        <v>44896.374780092498</v>
      </c>
      <c r="C2469" s="8" t="str">
        <f ca="1">IFERROR(__xludf.UNSUPPORTED("""COMPUTED_VALUE"""),"São Sebastião")</f>
        <v>São Sebastião</v>
      </c>
      <c r="D2469" s="3" t="str">
        <f ca="1">IFERROR(__xludf.UNSUPPORTED("""COMPUTED_VALUE"""),"🚢 REGULAR")</f>
        <v>🚢 REGULAR</v>
      </c>
      <c r="E2469" s="3" t="str">
        <f ca="1">IFERROR(__xludf.UNSUPPORTED("""COMPUTED_VALUE"""),"🚛 LIBERADO")</f>
        <v>🚛 LIBERADO</v>
      </c>
      <c r="F2469" s="5">
        <f ca="1">IFERROR(__xludf.UNSUPPORTED("""COMPUTED_VALUE"""),0)</f>
        <v>0</v>
      </c>
      <c r="G2469" s="3" t="str">
        <f ca="1">IFERROR(__xludf.UNSUPPORTED("""COMPUTED_VALUE"""),"normal")</f>
        <v>normal</v>
      </c>
      <c r="H2469" s="4">
        <f ca="1">IFERROR(__xludf.UNSUPPORTED("""COMPUTED_VALUE"""),44896.3747800925)</f>
        <v>44896.374780092498</v>
      </c>
      <c r="I2469" s="3">
        <f ca="1">IFERROR(__xludf.UNSUPPORTED("""COMPUTED_VALUE"""),1)</f>
        <v>1</v>
      </c>
      <c r="J2469" s="4">
        <f ca="1">IFERROR(__xludf.UNSUPPORTED("""COMPUTED_VALUE"""),44896.4164467592)</f>
        <v>44896.416446759198</v>
      </c>
    </row>
    <row r="2470" spans="1:12" ht="12.75">
      <c r="A2470" s="3" t="str">
        <f ca="1">IFERROR(__xludf.UNSUPPORTED("""COMPUTED_VALUE"""),"c12a47ec")</f>
        <v>c12a47ec</v>
      </c>
      <c r="B2470" s="4">
        <f ca="1">IFERROR(__xludf.UNSUPPORTED("""COMPUTED_VALUE"""),44897.4180324074)</f>
        <v>44897.418032407397</v>
      </c>
      <c r="C2470" s="7" t="str">
        <f ca="1">IFERROR(__xludf.UNSUPPORTED("""COMPUTED_VALUE"""),"São Sebastião")</f>
        <v>São Sebastião</v>
      </c>
      <c r="D2470" s="3" t="str">
        <f ca="1">IFERROR(__xludf.UNSUPPORTED("""COMPUTED_VALUE"""),"🚢 REGULAR")</f>
        <v>🚢 REGULAR</v>
      </c>
      <c r="E2470" s="3" t="str">
        <f ca="1">IFERROR(__xludf.UNSUPPORTED("""COMPUTED_VALUE"""),"🚛 LIBERADO")</f>
        <v>🚛 LIBERADO</v>
      </c>
      <c r="F2470" s="5">
        <f ca="1">IFERROR(__xludf.UNSUPPORTED("""COMPUTED_VALUE"""),0)</f>
        <v>0</v>
      </c>
      <c r="G2470" s="3" t="str">
        <f ca="1">IFERROR(__xludf.UNSUPPORTED("""COMPUTED_VALUE"""),"NORMAL")</f>
        <v>NORMAL</v>
      </c>
      <c r="H2470" s="4">
        <f ca="1">IFERROR(__xludf.UNSUPPORTED("""COMPUTED_VALUE"""),44897.4180324074)</f>
        <v>44897.418032407397</v>
      </c>
      <c r="I2470" s="3">
        <f ca="1">IFERROR(__xludf.UNSUPPORTED("""COMPUTED_VALUE"""),1)</f>
        <v>1</v>
      </c>
      <c r="J2470" s="4">
        <f ca="1">IFERROR(__xludf.UNSUPPORTED("""COMPUTED_VALUE"""),44897.459699074)</f>
        <v>44897.459699074003</v>
      </c>
    </row>
    <row r="2471" spans="1:12" ht="12.75">
      <c r="A2471" s="3" t="str">
        <f ca="1">IFERROR(__xludf.UNSUPPORTED("""COMPUTED_VALUE"""),"45f0f13b")</f>
        <v>45f0f13b</v>
      </c>
      <c r="B2471" s="4">
        <f ca="1">IFERROR(__xludf.UNSUPPORTED("""COMPUTED_VALUE"""),44900.3867129629)</f>
        <v>44900.3867129629</v>
      </c>
      <c r="C2471" s="7" t="str">
        <f ca="1">IFERROR(__xludf.UNSUPPORTED("""COMPUTED_VALUE"""),"São Sebastião")</f>
        <v>São Sebastião</v>
      </c>
      <c r="D2471" s="3" t="str">
        <f ca="1">IFERROR(__xludf.UNSUPPORTED("""COMPUTED_VALUE"""),"🚢 REGULAR")</f>
        <v>🚢 REGULAR</v>
      </c>
      <c r="E2471" s="3" t="str">
        <f ca="1">IFERROR(__xludf.UNSUPPORTED("""COMPUTED_VALUE"""),"🚛 LIBERADO")</f>
        <v>🚛 LIBERADO</v>
      </c>
      <c r="F2471" s="5">
        <f ca="1">IFERROR(__xludf.UNSUPPORTED("""COMPUTED_VALUE"""),0)</f>
        <v>0</v>
      </c>
      <c r="G2471" s="3" t="str">
        <f ca="1">IFERROR(__xludf.UNSUPPORTED("""COMPUTED_VALUE"""),"NORMAL")</f>
        <v>NORMAL</v>
      </c>
      <c r="H2471" s="4">
        <f ca="1">IFERROR(__xludf.UNSUPPORTED("""COMPUTED_VALUE"""),44900.3867129629)</f>
        <v>44900.3867129629</v>
      </c>
      <c r="I2471" s="3">
        <f ca="1">IFERROR(__xludf.UNSUPPORTED("""COMPUTED_VALUE"""),1)</f>
        <v>1</v>
      </c>
      <c r="J2471" s="4">
        <f ca="1">IFERROR(__xludf.UNSUPPORTED("""COMPUTED_VALUE"""),44900.4283796296)</f>
        <v>44900.4283796296</v>
      </c>
    </row>
    <row r="2472" spans="1:12" ht="12.75">
      <c r="A2472" s="3" t="str">
        <f ca="1">IFERROR(__xludf.UNSUPPORTED("""COMPUTED_VALUE"""),"3addb7ac")</f>
        <v>3addb7ac</v>
      </c>
      <c r="B2472" s="4">
        <f ca="1">IFERROR(__xludf.UNSUPPORTED("""COMPUTED_VALUE"""),44901.4213657407)</f>
        <v>44901.421365740702</v>
      </c>
      <c r="C2472" s="7" t="str">
        <f ca="1">IFERROR(__xludf.UNSUPPORTED("""COMPUTED_VALUE"""),"São Sebastião")</f>
        <v>São Sebastião</v>
      </c>
      <c r="D2472" s="3" t="str">
        <f ca="1">IFERROR(__xludf.UNSUPPORTED("""COMPUTED_VALUE"""),"🚢 REGULAR")</f>
        <v>🚢 REGULAR</v>
      </c>
      <c r="E2472" s="3" t="str">
        <f ca="1">IFERROR(__xludf.UNSUPPORTED("""COMPUTED_VALUE"""),"🚛 LIBERADO")</f>
        <v>🚛 LIBERADO</v>
      </c>
      <c r="F2472" s="5">
        <f ca="1">IFERROR(__xludf.UNSUPPORTED("""COMPUTED_VALUE"""),0)</f>
        <v>0</v>
      </c>
      <c r="G2472" s="3" t="str">
        <f ca="1">IFERROR(__xludf.UNSUPPORTED("""COMPUTED_VALUE"""),"Normal")</f>
        <v>Normal</v>
      </c>
      <c r="H2472" s="4">
        <f ca="1">IFERROR(__xludf.UNSUPPORTED("""COMPUTED_VALUE"""),44901.4213657407)</f>
        <v>44901.421365740702</v>
      </c>
      <c r="I2472" s="3">
        <f ca="1">IFERROR(__xludf.UNSUPPORTED("""COMPUTED_VALUE"""),1)</f>
        <v>1</v>
      </c>
      <c r="J2472" s="4">
        <f ca="1">IFERROR(__xludf.UNSUPPORTED("""COMPUTED_VALUE"""),44901.4630324074)</f>
        <v>44901.463032407402</v>
      </c>
    </row>
    <row r="2473" spans="1:12" ht="12.75">
      <c r="A2473" s="3" t="str">
        <f ca="1">IFERROR(__xludf.UNSUPPORTED("""COMPUTED_VALUE"""),"2348bb27")</f>
        <v>2348bb27</v>
      </c>
      <c r="B2473" s="4">
        <f ca="1">IFERROR(__xludf.UNSUPPORTED("""COMPUTED_VALUE"""),44902.4306018518)</f>
        <v>44902.430601851796</v>
      </c>
      <c r="C2473" s="7" t="str">
        <f ca="1">IFERROR(__xludf.UNSUPPORTED("""COMPUTED_VALUE"""),"São Sebastião")</f>
        <v>São Sebastião</v>
      </c>
      <c r="D2473" s="3" t="str">
        <f ca="1">IFERROR(__xludf.UNSUPPORTED("""COMPUTED_VALUE"""),"🚢 REGULAR")</f>
        <v>🚢 REGULAR</v>
      </c>
      <c r="E2473" s="3" t="str">
        <f ca="1">IFERROR(__xludf.UNSUPPORTED("""COMPUTED_VALUE"""),"🚛 LIBERADO")</f>
        <v>🚛 LIBERADO</v>
      </c>
      <c r="F2473" s="5">
        <f ca="1">IFERROR(__xludf.UNSUPPORTED("""COMPUTED_VALUE"""),0)</f>
        <v>0</v>
      </c>
      <c r="G2473" s="3" t="str">
        <f ca="1">IFERROR(__xludf.UNSUPPORTED("""COMPUTED_VALUE"""),"normal")</f>
        <v>normal</v>
      </c>
      <c r="H2473" s="4">
        <f ca="1">IFERROR(__xludf.UNSUPPORTED("""COMPUTED_VALUE"""),44902.4306018518)</f>
        <v>44902.430601851796</v>
      </c>
      <c r="I2473" s="3">
        <f ca="1">IFERROR(__xludf.UNSUPPORTED("""COMPUTED_VALUE"""),1)</f>
        <v>1</v>
      </c>
      <c r="J2473" s="4">
        <f ca="1">IFERROR(__xludf.UNSUPPORTED("""COMPUTED_VALUE"""),44902.4722685185)</f>
        <v>44902.472268518497</v>
      </c>
    </row>
    <row r="2474" spans="1:12" ht="12.75">
      <c r="A2474" s="3" t="str">
        <f ca="1">IFERROR(__xludf.UNSUPPORTED("""COMPUTED_VALUE"""),"3b7bb3fd")</f>
        <v>3b7bb3fd</v>
      </c>
      <c r="B2474" s="4">
        <f ca="1">IFERROR(__xludf.UNSUPPORTED("""COMPUTED_VALUE"""),44903.4087037037)</f>
        <v>44903.408703703702</v>
      </c>
      <c r="C2474" s="8" t="str">
        <f ca="1">IFERROR(__xludf.UNSUPPORTED("""COMPUTED_VALUE"""),"São Sebastião")</f>
        <v>São Sebastião</v>
      </c>
      <c r="D2474" s="3" t="str">
        <f ca="1">IFERROR(__xludf.UNSUPPORTED("""COMPUTED_VALUE"""),"🚢 REGULAR")</f>
        <v>🚢 REGULAR</v>
      </c>
      <c r="E2474" s="3" t="str">
        <f ca="1">IFERROR(__xludf.UNSUPPORTED("""COMPUTED_VALUE"""),"🚛 LIBERADO")</f>
        <v>🚛 LIBERADO</v>
      </c>
      <c r="F2474" s="5">
        <f ca="1">IFERROR(__xludf.UNSUPPORTED("""COMPUTED_VALUE"""),0)</f>
        <v>0</v>
      </c>
      <c r="G2474" s="3" t="str">
        <f ca="1">IFERROR(__xludf.UNSUPPORTED("""COMPUTED_VALUE"""),"normal")</f>
        <v>normal</v>
      </c>
      <c r="H2474" s="4">
        <f ca="1">IFERROR(__xludf.UNSUPPORTED("""COMPUTED_VALUE"""),44903.4087037037)</f>
        <v>44903.408703703702</v>
      </c>
      <c r="I2474" s="3">
        <f ca="1">IFERROR(__xludf.UNSUPPORTED("""COMPUTED_VALUE"""),1)</f>
        <v>1</v>
      </c>
      <c r="J2474" s="4">
        <f ca="1">IFERROR(__xludf.UNSUPPORTED("""COMPUTED_VALUE"""),44903.4503703703)</f>
        <v>44903.450370370301</v>
      </c>
    </row>
    <row r="2475" spans="1:12" ht="12.75">
      <c r="A2475" s="3" t="str">
        <f ca="1">IFERROR(__xludf.UNSUPPORTED("""COMPUTED_VALUE"""),"22a78805")</f>
        <v>22a78805</v>
      </c>
      <c r="B2475" s="4">
        <f ca="1">IFERROR(__xludf.UNSUPPORTED("""COMPUTED_VALUE"""),44907.4190277777)</f>
        <v>44907.419027777702</v>
      </c>
      <c r="C2475" s="8" t="str">
        <f ca="1">IFERROR(__xludf.UNSUPPORTED("""COMPUTED_VALUE"""),"São Sebastião")</f>
        <v>São Sebastião</v>
      </c>
      <c r="D2475" s="3" t="str">
        <f ca="1">IFERROR(__xludf.UNSUPPORTED("""COMPUTED_VALUE"""),"🚢 REGULAR")</f>
        <v>🚢 REGULAR</v>
      </c>
      <c r="E2475" s="3" t="str">
        <f ca="1">IFERROR(__xludf.UNSUPPORTED("""COMPUTED_VALUE"""),"🚛 LIBERADO")</f>
        <v>🚛 LIBERADO</v>
      </c>
      <c r="F2475" s="5">
        <f ca="1">IFERROR(__xludf.UNSUPPORTED("""COMPUTED_VALUE"""),0)</f>
        <v>0</v>
      </c>
      <c r="G2475" s="3" t="str">
        <f ca="1">IFERROR(__xludf.UNSUPPORTED("""COMPUTED_VALUE"""),"normal")</f>
        <v>normal</v>
      </c>
      <c r="H2475" s="4">
        <f ca="1">IFERROR(__xludf.UNSUPPORTED("""COMPUTED_VALUE"""),44907.4190277777)</f>
        <v>44907.419027777702</v>
      </c>
      <c r="I2475" s="3">
        <f ca="1">IFERROR(__xludf.UNSUPPORTED("""COMPUTED_VALUE"""),1)</f>
        <v>1</v>
      </c>
      <c r="J2475" s="4">
        <f ca="1">IFERROR(__xludf.UNSUPPORTED("""COMPUTED_VALUE"""),44907.4606944444)</f>
        <v>44907.460694444402</v>
      </c>
    </row>
    <row r="2476" spans="1:12" ht="12.75">
      <c r="A2476" s="3" t="str">
        <f ca="1">IFERROR(__xludf.UNSUPPORTED("""COMPUTED_VALUE"""),"e2f59d91")</f>
        <v>e2f59d91</v>
      </c>
      <c r="B2476" s="4">
        <f ca="1">IFERROR(__xludf.UNSUPPORTED("""COMPUTED_VALUE"""),44923.3861921296)</f>
        <v>44923.386192129597</v>
      </c>
      <c r="C2476" s="7" t="str">
        <f ca="1">IFERROR(__xludf.UNSUPPORTED("""COMPUTED_VALUE"""),"São Sebastião")</f>
        <v>São Sebastião</v>
      </c>
      <c r="D2476" s="3" t="str">
        <f ca="1">IFERROR(__xludf.UNSUPPORTED("""COMPUTED_VALUE"""),"🚢 REGULAR")</f>
        <v>🚢 REGULAR</v>
      </c>
      <c r="E2476" s="3" t="str">
        <f ca="1">IFERROR(__xludf.UNSUPPORTED("""COMPUTED_VALUE"""),"🚛 LIBERADO")</f>
        <v>🚛 LIBERADO</v>
      </c>
      <c r="F2476" s="5">
        <f ca="1">IFERROR(__xludf.UNSUPPORTED("""COMPUTED_VALUE"""),0)</f>
        <v>0</v>
      </c>
      <c r="G2476" s="3" t="str">
        <f ca="1">IFERROR(__xludf.UNSUPPORTED("""COMPUTED_VALUE"""),"normal")</f>
        <v>normal</v>
      </c>
      <c r="H2476" s="4">
        <f ca="1">IFERROR(__xludf.UNSUPPORTED("""COMPUTED_VALUE"""),44923.3861921296)</f>
        <v>44923.386192129597</v>
      </c>
      <c r="I2476" s="3">
        <f ca="1">IFERROR(__xludf.UNSUPPORTED("""COMPUTED_VALUE"""),1)</f>
        <v>1</v>
      </c>
      <c r="J2476" s="4">
        <f ca="1">IFERROR(__xludf.UNSUPPORTED("""COMPUTED_VALUE"""),44923.4278587963)</f>
        <v>44923.427858796298</v>
      </c>
    </row>
    <row r="2477" spans="1:12" ht="12.75">
      <c r="A2477" s="3" t="str">
        <f ca="1">IFERROR(__xludf.UNSUPPORTED("""COMPUTED_VALUE"""),"171fd4ae")</f>
        <v>171fd4ae</v>
      </c>
      <c r="B2477" s="4">
        <f ca="1">IFERROR(__xludf.UNSUPPORTED("""COMPUTED_VALUE"""),44932.5028587962)</f>
        <v>44932.502858796201</v>
      </c>
      <c r="C2477" s="7" t="str">
        <f ca="1">IFERROR(__xludf.UNSUPPORTED("""COMPUTED_VALUE"""),"São Sebastião")</f>
        <v>São Sebastião</v>
      </c>
      <c r="D2477" s="3" t="str">
        <f ca="1">IFERROR(__xludf.UNSUPPORTED("""COMPUTED_VALUE"""),"🚢 REGULAR")</f>
        <v>🚢 REGULAR</v>
      </c>
      <c r="E2477" s="3" t="str">
        <f ca="1">IFERROR(__xludf.UNSUPPORTED("""COMPUTED_VALUE"""),"🚛 LIBERADO")</f>
        <v>🚛 LIBERADO</v>
      </c>
      <c r="F2477" s="5">
        <f ca="1">IFERROR(__xludf.UNSUPPORTED("""COMPUTED_VALUE"""),0)</f>
        <v>0</v>
      </c>
      <c r="G2477" s="3" t="str">
        <f ca="1">IFERROR(__xludf.UNSUPPORTED("""COMPUTED_VALUE"""),"Normalidade")</f>
        <v>Normalidade</v>
      </c>
      <c r="H2477" s="4">
        <f ca="1">IFERROR(__xludf.UNSUPPORTED("""COMPUTED_VALUE"""),44932.5028587962)</f>
        <v>44932.502858796201</v>
      </c>
      <c r="I2477" s="3">
        <f ca="1">IFERROR(__xludf.UNSUPPORTED("""COMPUTED_VALUE"""),24)</f>
        <v>24</v>
      </c>
      <c r="J2477" s="4">
        <f ca="1">IFERROR(__xludf.UNSUPPORTED("""COMPUTED_VALUE"""),44933.5028587962)</f>
        <v>44933.502858796201</v>
      </c>
    </row>
    <row r="2478" spans="1:12" ht="12.75">
      <c r="A2478" s="3" t="str">
        <f ca="1">IFERROR(__xludf.UNSUPPORTED("""COMPUTED_VALUE"""),"411abeb0")</f>
        <v>411abeb0</v>
      </c>
      <c r="B2478" s="4">
        <f ca="1">IFERROR(__xludf.UNSUPPORTED("""COMPUTED_VALUE"""),44935.3409953703)</f>
        <v>44935.340995370301</v>
      </c>
      <c r="C2478" s="7" t="str">
        <f ca="1">IFERROR(__xludf.UNSUPPORTED("""COMPUTED_VALUE"""),"São Sebastião")</f>
        <v>São Sebastião</v>
      </c>
      <c r="D2478" s="3" t="str">
        <f ca="1">IFERROR(__xludf.UNSUPPORTED("""COMPUTED_VALUE"""),"🚢 REGULAR")</f>
        <v>🚢 REGULAR</v>
      </c>
      <c r="E2478" s="3" t="str">
        <f ca="1">IFERROR(__xludf.UNSUPPORTED("""COMPUTED_VALUE"""),"🚛 LIBERADO")</f>
        <v>🚛 LIBERADO</v>
      </c>
      <c r="F2478" s="5">
        <f ca="1">IFERROR(__xludf.UNSUPPORTED("""COMPUTED_VALUE"""),0)</f>
        <v>0</v>
      </c>
      <c r="G2478" s="3" t="str">
        <f ca="1">IFERROR(__xludf.UNSUPPORTED("""COMPUTED_VALUE"""),"Normalidade")</f>
        <v>Normalidade</v>
      </c>
      <c r="H2478" s="4">
        <f ca="1">IFERROR(__xludf.UNSUPPORTED("""COMPUTED_VALUE"""),44935.3409953703)</f>
        <v>44935.340995370301</v>
      </c>
      <c r="I2478" s="3">
        <f ca="1">IFERROR(__xludf.UNSUPPORTED("""COMPUTED_VALUE"""),24)</f>
        <v>24</v>
      </c>
      <c r="J2478" s="4">
        <f ca="1">IFERROR(__xludf.UNSUPPORTED("""COMPUTED_VALUE"""),44936.3409953703)</f>
        <v>44936.340995370301</v>
      </c>
      <c r="L2478" s="3" t="str">
        <f ca="1">IFERROR(__xludf.UNSUPPORTED("""COMPUTED_VALUE"""),"Normalidade")</f>
        <v>Normalidade</v>
      </c>
    </row>
    <row r="2479" spans="1:12" ht="12.75">
      <c r="A2479" s="3" t="str">
        <f ca="1">IFERROR(__xludf.UNSUPPORTED("""COMPUTED_VALUE"""),"81cb217d")</f>
        <v>81cb217d</v>
      </c>
      <c r="B2479" s="4">
        <f ca="1">IFERROR(__xludf.UNSUPPORTED("""COMPUTED_VALUE"""),44979.5402893518)</f>
        <v>44979.540289351797</v>
      </c>
      <c r="C2479" s="8" t="str">
        <f ca="1">IFERROR(__xludf.UNSUPPORTED("""COMPUTED_VALUE"""),"São Sebastião")</f>
        <v>São Sebastião</v>
      </c>
      <c r="D2479" s="3" t="str">
        <f ca="1">IFERROR(__xludf.UNSUPPORTED("""COMPUTED_VALUE"""),"🚢 REGULAR")</f>
        <v>🚢 REGULAR</v>
      </c>
      <c r="E2479" s="3" t="str">
        <f ca="1">IFERROR(__xludf.UNSUPPORTED("""COMPUTED_VALUE"""),"🚛 LIBERADO")</f>
        <v>🚛 LIBERADO</v>
      </c>
      <c r="F2479" s="5">
        <f ca="1">IFERROR(__xludf.UNSUPPORTED("""COMPUTED_VALUE"""),0)</f>
        <v>0</v>
      </c>
      <c r="G2479" s="3" t="str">
        <f ca="1">IFERROR(__xludf.UNSUPPORTED("""COMPUTED_VALUE"""),"Normalidade")</f>
        <v>Normalidade</v>
      </c>
      <c r="H2479" s="4">
        <f ca="1">IFERROR(__xludf.UNSUPPORTED("""COMPUTED_VALUE"""),44979.5402893518)</f>
        <v>44979.540289351797</v>
      </c>
      <c r="I2479" s="3">
        <f ca="1">IFERROR(__xludf.UNSUPPORTED("""COMPUTED_VALUE"""),24)</f>
        <v>24</v>
      </c>
      <c r="J2479" s="4">
        <f ca="1">IFERROR(__xludf.UNSUPPORTED("""COMPUTED_VALUE"""),44980.5402893518)</f>
        <v>44980.540289351797</v>
      </c>
      <c r="L2479" s="3" t="str">
        <f ca="1">IFERROR(__xludf.UNSUPPORTED("""COMPUTED_VALUE"""),"Normalidade")</f>
        <v>Normalidade</v>
      </c>
    </row>
    <row r="2480" spans="1:12" ht="12.75">
      <c r="A2480" s="3" t="str">
        <f ca="1">IFERROR(__xludf.UNSUPPORTED("""COMPUTED_VALUE"""),"e30e7395")</f>
        <v>e30e7395</v>
      </c>
      <c r="B2480" s="4">
        <f ca="1">IFERROR(__xludf.UNSUPPORTED("""COMPUTED_VALUE"""),45120.6782407407)</f>
        <v>45120.678240740701</v>
      </c>
      <c r="C2480" s="8" t="str">
        <f ca="1">IFERROR(__xludf.UNSUPPORTED("""COMPUTED_VALUE"""),"São Sebastião")</f>
        <v>São Sebastião</v>
      </c>
      <c r="D2480" s="3" t="str">
        <f ca="1">IFERROR(__xludf.UNSUPPORTED("""COMPUTED_VALUE"""),"🚢 REGULAR")</f>
        <v>🚢 REGULAR</v>
      </c>
      <c r="E2480" s="3" t="str">
        <f ca="1">IFERROR(__xludf.UNSUPPORTED("""COMPUTED_VALUE"""),"🚛 LIBERADO")</f>
        <v>🚛 LIBERADO</v>
      </c>
      <c r="F2480" s="5">
        <f ca="1">IFERROR(__xludf.UNSUPPORTED("""COMPUTED_VALUE"""),0)</f>
        <v>0</v>
      </c>
      <c r="G2480" s="3" t="str">
        <f ca="1">IFERROR(__xludf.UNSUPPORTED("""COMPUTED_VALUE"""),"Normalidade")</f>
        <v>Normalidade</v>
      </c>
      <c r="H2480" s="4">
        <f ca="1">IFERROR(__xludf.UNSUPPORTED("""COMPUTED_VALUE"""),45120.6782407407)</f>
        <v>45120.678240740701</v>
      </c>
      <c r="I2480" s="3">
        <f ca="1">IFERROR(__xludf.UNSUPPORTED("""COMPUTED_VALUE"""),24)</f>
        <v>24</v>
      </c>
      <c r="J2480" s="4">
        <f ca="1">IFERROR(__xludf.UNSUPPORTED("""COMPUTED_VALUE"""),45121.6782407407)</f>
        <v>45121.678240740701</v>
      </c>
      <c r="L2480" s="3" t="str">
        <f ca="1">IFERROR(__xludf.UNSUPPORTED("""COMPUTED_VALUE"""),"Normalidade")</f>
        <v>Normalidade</v>
      </c>
    </row>
    <row r="2481" spans="1:12" ht="12.75">
      <c r="A2481" s="3" t="str">
        <f ca="1">IFERROR(__xludf.UNSUPPORTED("""COMPUTED_VALUE"""),"33f9d547")</f>
        <v>33f9d547</v>
      </c>
      <c r="B2481" s="4">
        <f ca="1">IFERROR(__xludf.UNSUPPORTED("""COMPUTED_VALUE"""),45121.542199074)</f>
        <v>45121.542199074</v>
      </c>
      <c r="C2481" s="8" t="str">
        <f ca="1">IFERROR(__xludf.UNSUPPORTED("""COMPUTED_VALUE"""),"São Sebastião")</f>
        <v>São Sebastião</v>
      </c>
      <c r="D2481" s="3" t="str">
        <f ca="1">IFERROR(__xludf.UNSUPPORTED("""COMPUTED_VALUE"""),"🚢 REGULAR")</f>
        <v>🚢 REGULAR</v>
      </c>
      <c r="E2481" s="3" t="str">
        <f ca="1">IFERROR(__xludf.UNSUPPORTED("""COMPUTED_VALUE"""),"🚛 LIBERADO")</f>
        <v>🚛 LIBERADO</v>
      </c>
      <c r="F2481" s="5">
        <f ca="1">IFERROR(__xludf.UNSUPPORTED("""COMPUTED_VALUE"""),0.75)</f>
        <v>0.75</v>
      </c>
      <c r="G2481" s="3" t="str">
        <f ca="1">IFERROR(__xludf.UNSUPPORTED("""COMPUTED_VALUE"""),"Barra fechada")</f>
        <v>Barra fechada</v>
      </c>
      <c r="H2481" s="4">
        <f ca="1">IFERROR(__xludf.UNSUPPORTED("""COMPUTED_VALUE"""),45121.542199074)</f>
        <v>45121.542199074</v>
      </c>
      <c r="I2481" s="3">
        <f ca="1">IFERROR(__xludf.UNSUPPORTED("""COMPUTED_VALUE"""),6)</f>
        <v>6</v>
      </c>
      <c r="J2481" s="4">
        <f ca="1">IFERROR(__xludf.UNSUPPORTED("""COMPUTED_VALUE"""),45121.792199074)</f>
        <v>45121.792199074</v>
      </c>
      <c r="K2481" s="3" t="str">
        <f ca="1">IFERROR(__xludf.UNSUPPORTED("""COMPUTED_VALUE"""),"Autoridade Portuária de São Sebastião.")</f>
        <v>Autoridade Portuária de São Sebastião.</v>
      </c>
      <c r="L2481" s="3" t="str">
        <f ca="1">IFERROR(__xludf.UNSUPPORTED("""COMPUTED_VALUE"""),"Crítico")</f>
        <v>Crítico</v>
      </c>
    </row>
    <row r="2482" spans="1:12" ht="12.75">
      <c r="A2482" s="3" t="str">
        <f ca="1">IFERROR(__xludf.UNSUPPORTED("""COMPUTED_VALUE"""),"1f60cc94")</f>
        <v>1f60cc94</v>
      </c>
      <c r="B2482" s="4">
        <f ca="1">IFERROR(__xludf.UNSUPPORTED("""COMPUTED_VALUE"""),45121.5613773148)</f>
        <v>45121.5613773148</v>
      </c>
      <c r="C2482" s="8" t="str">
        <f ca="1">IFERROR(__xludf.UNSUPPORTED("""COMPUTED_VALUE"""),"São Sebastião")</f>
        <v>São Sebastião</v>
      </c>
      <c r="D2482" s="3" t="str">
        <f ca="1">IFERROR(__xludf.UNSUPPORTED("""COMPUTED_VALUE"""),"❗️ PARALISADA")</f>
        <v>❗️ PARALISADA</v>
      </c>
      <c r="E2482" s="3" t="str">
        <f ca="1">IFERROR(__xludf.UNSUPPORTED("""COMPUTED_VALUE"""),"🚛 LIBERADO")</f>
        <v>🚛 LIBERADO</v>
      </c>
      <c r="F2482" s="5">
        <f ca="1">IFERROR(__xludf.UNSUPPORTED("""COMPUTED_VALUE"""),0.25)</f>
        <v>0.25</v>
      </c>
      <c r="G2482" s="3" t="str">
        <f ca="1">IFERROR(__xludf.UNSUPPORTED("""COMPUTED_VALUE"""),"Em virtude  das condições meteorológicas, , o CANAL DO PORTO DE SÃO SEBASTIÃO na condição de *IMPRATICABILIDADE*")</f>
        <v>Em virtude  das condições meteorológicas, , o CANAL DO PORTO DE SÃO SEBASTIÃO na condição de *IMPRATICABILIDADE*</v>
      </c>
      <c r="H2482" s="4">
        <f ca="1">IFERROR(__xludf.UNSUPPORTED("""COMPUTED_VALUE"""),45121.5613773148)</f>
        <v>45121.5613773148</v>
      </c>
      <c r="I2482" s="3">
        <f ca="1">IFERROR(__xludf.UNSUPPORTED("""COMPUTED_VALUE"""),24)</f>
        <v>24</v>
      </c>
      <c r="J2482" s="4">
        <f ca="1">IFERROR(__xludf.UNSUPPORTED("""COMPUTED_VALUE"""),45122.5613773148)</f>
        <v>45122.5613773148</v>
      </c>
      <c r="K2482" s="3" t="str">
        <f ca="1">IFERROR(__xludf.UNSUPPORTED("""COMPUTED_VALUE"""),"Delegacia da Capitania de São Sebastião-SP.")</f>
        <v>Delegacia da Capitania de São Sebastião-SP.</v>
      </c>
      <c r="L2482" s="3" t="str">
        <f ca="1">IFERROR(__xludf.UNSUPPORTED("""COMPUTED_VALUE"""),"Crítico")</f>
        <v>Crítico</v>
      </c>
    </row>
    <row r="2483" spans="1:12" ht="12.75">
      <c r="A2483" s="3" t="str">
        <f ca="1">IFERROR(__xludf.UNSUPPORTED("""COMPUTED_VALUE"""),"ad193359")</f>
        <v>ad193359</v>
      </c>
      <c r="B2483" s="4">
        <f ca="1">IFERROR(__xludf.UNSUPPORTED("""COMPUTED_VALUE"""),45121.8242129629)</f>
        <v>45121.8242129629</v>
      </c>
      <c r="C2483" s="8" t="str">
        <f ca="1">IFERROR(__xludf.UNSUPPORTED("""COMPUTED_VALUE"""),"São Sebastião")</f>
        <v>São Sebastião</v>
      </c>
      <c r="D2483" s="3" t="str">
        <f ca="1">IFERROR(__xludf.UNSUPPORTED("""COMPUTED_VALUE"""),"🚢 REGULAR")</f>
        <v>🚢 REGULAR</v>
      </c>
      <c r="E2483" s="3" t="str">
        <f ca="1">IFERROR(__xludf.UNSUPPORTED("""COMPUTED_VALUE"""),"🚛 LIBERADO")</f>
        <v>🚛 LIBERADO</v>
      </c>
      <c r="F2483" s="5">
        <f ca="1">IFERROR(__xludf.UNSUPPORTED("""COMPUTED_VALUE"""),0.25)</f>
        <v>0.25</v>
      </c>
      <c r="G2483" s="3" t="str">
        <f ca="1">IFERROR(__xludf.UNSUPPORTED("""COMPUTED_VALUE"""),"DECLARAÇÃO DE PRATICABILIDADE
Em decorrência das informações recebidas da Praticagem de São Sebastião, por meio do comunicado nº 08-B/2023, de 14 de julho de 2023, incumbiu-me o Delegado da Capitania dos Portos em São Sebastião de declarar “Praticabilidad"&amp;"e” das manobras no Cais Comercial, a partir das 18h00 do
dia 14/07/2023, em virtude de melhora nas condições meteorológicas, conforme preconizado no item 0231, 0232 da NORMAM (Normas da Autoridade Marítima para Serviço de Praticagem) No 12 (1a
Revisão) e "&amp;"item 0418 da NPCP-SP (Normas e Procedimentos da Capitania dos Portos de São Paulo).")</f>
        <v>DECLARAÇÃO DE PRATICABILIDADE
Em decorrência das informações recebidas da Praticagem de São Sebastião, por meio do comunicado nº 08-B/2023, de 14 de julho de 2023, incumbiu-me o Delegado da Capitania dos Portos em São Sebastião de declarar “Praticabilidade” das manobras no Cais Comercial, a partir das 18h00 do
dia 14/07/2023, em virtude de melhora nas condições meteorológicas, conforme preconizado no item 0231, 0232 da NORMAM (Normas da Autoridade Marítima para Serviço de Praticagem) No 12 (1a
Revisão) e item 0418 da NPCP-SP (Normas e Procedimentos da Capitania dos Portos de São Paulo).</v>
      </c>
      <c r="H2483" s="4">
        <f ca="1">IFERROR(__xludf.UNSUPPORTED("""COMPUTED_VALUE"""),45121.8242129629)</f>
        <v>45121.8242129629</v>
      </c>
      <c r="I2483" s="3">
        <f ca="1">IFERROR(__xludf.UNSUPPORTED("""COMPUTED_VALUE"""),12)</f>
        <v>12</v>
      </c>
      <c r="J2483" s="4">
        <f ca="1">IFERROR(__xludf.UNSUPPORTED("""COMPUTED_VALUE"""),45122.3242129629)</f>
        <v>45122.3242129629</v>
      </c>
      <c r="K2483" s="3" t="str">
        <f ca="1">IFERROR(__xludf.UNSUPPORTED("""COMPUTED_VALUE"""),"Delegacia da Capitania dos Portos de São Sebastião.")</f>
        <v>Delegacia da Capitania dos Portos de São Sebastião.</v>
      </c>
      <c r="L2483" s="3" t="str">
        <f ca="1">IFERROR(__xludf.UNSUPPORTED("""COMPUTED_VALUE"""),"Crítico")</f>
        <v>Crítico</v>
      </c>
    </row>
    <row r="2484" spans="1:12" ht="12.75">
      <c r="A2484" s="3" t="str">
        <f ca="1">IFERROR(__xludf.UNSUPPORTED("""COMPUTED_VALUE"""),"de04714a")</f>
        <v>de04714a</v>
      </c>
      <c r="B2484" s="4">
        <f ca="1">IFERROR(__xludf.UNSUPPORTED("""COMPUTED_VALUE"""),45146.3000925925)</f>
        <v>45146.300092592501</v>
      </c>
      <c r="C2484" s="7" t="str">
        <f ca="1">IFERROR(__xludf.UNSUPPORTED("""COMPUTED_VALUE"""),"São Sebastião")</f>
        <v>São Sebastião</v>
      </c>
      <c r="D2484" s="3" t="str">
        <f ca="1">IFERROR(__xludf.UNSUPPORTED("""COMPUTED_VALUE"""),"🚢 REGULAR")</f>
        <v>🚢 REGULAR</v>
      </c>
      <c r="E2484" s="3" t="str">
        <f ca="1">IFERROR(__xludf.UNSUPPORTED("""COMPUTED_VALUE"""),"🚛 LIBERADO")</f>
        <v>🚛 LIBERADO</v>
      </c>
      <c r="F2484" s="5">
        <f ca="1">IFERROR(__xludf.UNSUPPORTED("""COMPUTED_VALUE"""),0.25)</f>
        <v>0.25</v>
      </c>
      <c r="G2484" s="3" t="str">
        <f ca="1">IFERROR(__xludf.UNSUPPORTED("""COMPUTED_VALUE"""),"O Delegado da Capitania dos Portos em São Sebastião declarou condições de Implaticabilidade para realização de manobras no: fundeadores Norte e Sul, PP1, PP2, PP3 e PP4 do Tebar, cais Comercial, a partir da 02hs do dia 08/08/23.")</f>
        <v>O Delegado da Capitania dos Portos em São Sebastião declarou condições de Implaticabilidade para realização de manobras no: fundeadores Norte e Sul, PP1, PP2, PP3 e PP4 do Tebar, cais Comercial, a partir da 02hs do dia 08/08/23.</v>
      </c>
      <c r="H2484" s="4">
        <f ca="1">IFERROR(__xludf.UNSUPPORTED("""COMPUTED_VALUE"""),45146.3000925925)</f>
        <v>45146.300092592501</v>
      </c>
      <c r="I2484" s="3">
        <f ca="1">IFERROR(__xludf.UNSUPPORTED("""COMPUTED_VALUE"""),16)</f>
        <v>16</v>
      </c>
      <c r="J2484" s="4">
        <f ca="1">IFERROR(__xludf.UNSUPPORTED("""COMPUTED_VALUE"""),45146.9667592592)</f>
        <v>45146.966759259201</v>
      </c>
      <c r="K2484" s="3" t="str">
        <f ca="1">IFERROR(__xludf.UNSUPPORTED("""COMPUTED_VALUE"""),"Delegacia da Capitania dos Portos em São  Sebastião")</f>
        <v>Delegacia da Capitania dos Portos em São  Sebastião</v>
      </c>
      <c r="L2484" s="3" t="str">
        <f ca="1">IFERROR(__xludf.UNSUPPORTED("""COMPUTED_VALUE"""),"Crítico")</f>
        <v>Crítico</v>
      </c>
    </row>
    <row r="2485" spans="1:12" ht="12.75">
      <c r="A2485" s="3" t="str">
        <f ca="1">IFERROR(__xludf.UNSUPPORTED("""COMPUTED_VALUE"""),"3d813e9d")</f>
        <v>3d813e9d</v>
      </c>
      <c r="B2485" s="4">
        <f ca="1">IFERROR(__xludf.UNSUPPORTED("""COMPUTED_VALUE"""),45147.355474537)</f>
        <v>45147.355474536998</v>
      </c>
      <c r="C2485" s="8" t="str">
        <f ca="1">IFERROR(__xludf.UNSUPPORTED("""COMPUTED_VALUE"""),"São Sebastião")</f>
        <v>São Sebastião</v>
      </c>
      <c r="D2485" s="3" t="str">
        <f ca="1">IFERROR(__xludf.UNSUPPORTED("""COMPUTED_VALUE"""),"🚢 REGULAR")</f>
        <v>🚢 REGULAR</v>
      </c>
      <c r="E2485" s="3" t="str">
        <f ca="1">IFERROR(__xludf.UNSUPPORTED("""COMPUTED_VALUE"""),"🚛 LIBERADO")</f>
        <v>🚛 LIBERADO</v>
      </c>
      <c r="F2485" s="5">
        <f ca="1">IFERROR(__xludf.UNSUPPORTED("""COMPUTED_VALUE"""),0.25)</f>
        <v>0.25</v>
      </c>
      <c r="G2485" s="3" t="str">
        <f ca="1">IFERROR(__xludf.UNSUPPORTED("""COMPUTED_VALUE"""),"IMPRATICABILIDADE do Porto desde as 11:05 do dia 08/08.")</f>
        <v>IMPRATICABILIDADE do Porto desde as 11:05 do dia 08/08.</v>
      </c>
      <c r="H2485" s="4">
        <f ca="1">IFERROR(__xludf.UNSUPPORTED("""COMPUTED_VALUE"""),45147.355474537)</f>
        <v>45147.355474536998</v>
      </c>
      <c r="I2485" s="3">
        <f ca="1">IFERROR(__xludf.UNSUPPORTED("""COMPUTED_VALUE"""),6)</f>
        <v>6</v>
      </c>
      <c r="J2485" s="4">
        <f ca="1">IFERROR(__xludf.UNSUPPORTED("""COMPUTED_VALUE"""),45147.605474537)</f>
        <v>45147.605474536998</v>
      </c>
      <c r="K2485" s="3" t="str">
        <f ca="1">IFERROR(__xludf.UNSUPPORTED("""COMPUTED_VALUE"""),"Delegacia da Capitania dos Portos em São Sebastião.")</f>
        <v>Delegacia da Capitania dos Portos em São Sebastião.</v>
      </c>
      <c r="L2485" s="3" t="str">
        <f ca="1">IFERROR(__xludf.UNSUPPORTED("""COMPUTED_VALUE"""),"Crítico")</f>
        <v>Crítico</v>
      </c>
    </row>
    <row r="2486" spans="1:12" ht="12.75">
      <c r="A2486" s="3" t="str">
        <f ca="1">IFERROR(__xludf.UNSUPPORTED("""COMPUTED_VALUE"""),"eef6f4dc")</f>
        <v>eef6f4dc</v>
      </c>
      <c r="B2486" s="4">
        <f ca="1">IFERROR(__xludf.UNSUPPORTED("""COMPUTED_VALUE"""),45147.6376736111)</f>
        <v>45147.637673611098</v>
      </c>
      <c r="C2486" s="7" t="str">
        <f ca="1">IFERROR(__xludf.UNSUPPORTED("""COMPUTED_VALUE"""),"São Sebastião")</f>
        <v>São Sebastião</v>
      </c>
      <c r="D2486" s="3" t="str">
        <f ca="1">IFERROR(__xludf.UNSUPPORTED("""COMPUTED_VALUE"""),"🚢 REGULAR")</f>
        <v>🚢 REGULAR</v>
      </c>
      <c r="E2486" s="3" t="str">
        <f ca="1">IFERROR(__xludf.UNSUPPORTED("""COMPUTED_VALUE"""),"🚛 LIBERADO")</f>
        <v>🚛 LIBERADO</v>
      </c>
      <c r="F2486" s="5">
        <f ca="1">IFERROR(__xludf.UNSUPPORTED("""COMPUTED_VALUE"""),0)</f>
        <v>0</v>
      </c>
      <c r="G2486" s="3" t="str">
        <f ca="1">IFERROR(__xludf.UNSUPPORTED("""COMPUTED_VALUE"""),"Normalidade")</f>
        <v>Normalidade</v>
      </c>
      <c r="H2486" s="4">
        <f ca="1">IFERROR(__xludf.UNSUPPORTED("""COMPUTED_VALUE"""),45147.6376736111)</f>
        <v>45147.637673611098</v>
      </c>
      <c r="I2486" s="3">
        <f ca="1">IFERROR(__xludf.UNSUPPORTED("""COMPUTED_VALUE"""),24)</f>
        <v>24</v>
      </c>
      <c r="J2486" s="4">
        <f ca="1">IFERROR(__xludf.UNSUPPORTED("""COMPUTED_VALUE"""),45148.6376736111)</f>
        <v>45148.637673611098</v>
      </c>
      <c r="L2486" s="3" t="str">
        <f ca="1">IFERROR(__xludf.UNSUPPORTED("""COMPUTED_VALUE"""),"Normalidade")</f>
        <v>Normalidade</v>
      </c>
    </row>
    <row r="2487" spans="1:12" ht="12.75">
      <c r="A2487" s="3" t="str">
        <f ca="1">IFERROR(__xludf.UNSUPPORTED("""COMPUTED_VALUE"""),"1d822df3")</f>
        <v>1d822df3</v>
      </c>
      <c r="B2487" s="4">
        <f ca="1">IFERROR(__xludf.UNSUPPORTED("""COMPUTED_VALUE"""),45152.2179166666)</f>
        <v>45152.217916666603</v>
      </c>
      <c r="C2487" s="7" t="str">
        <f ca="1">IFERROR(__xludf.UNSUPPORTED("""COMPUTED_VALUE"""),"São Sebastião")</f>
        <v>São Sebastião</v>
      </c>
      <c r="D2487" s="3" t="str">
        <f ca="1">IFERROR(__xludf.UNSUPPORTED("""COMPUTED_VALUE"""),"🚢 REGULAR")</f>
        <v>🚢 REGULAR</v>
      </c>
      <c r="E2487" s="3" t="str">
        <f ca="1">IFERROR(__xludf.UNSUPPORTED("""COMPUTED_VALUE"""),"🚛 LIBERADO")</f>
        <v>🚛 LIBERADO</v>
      </c>
      <c r="F2487" s="5">
        <f ca="1">IFERROR(__xludf.UNSUPPORTED("""COMPUTED_VALUE"""),0)</f>
        <v>0</v>
      </c>
      <c r="G2487" s="3" t="str">
        <f ca="1">IFERROR(__xludf.UNSUPPORTED("""COMPUTED_VALUE"""),"Normalidade")</f>
        <v>Normalidade</v>
      </c>
      <c r="H2487" s="4">
        <f ca="1">IFERROR(__xludf.UNSUPPORTED("""COMPUTED_VALUE"""),45152.2179166666)</f>
        <v>45152.217916666603</v>
      </c>
      <c r="I2487" s="3">
        <f ca="1">IFERROR(__xludf.UNSUPPORTED("""COMPUTED_VALUE"""),24)</f>
        <v>24</v>
      </c>
      <c r="J2487" s="4">
        <f ca="1">IFERROR(__xludf.UNSUPPORTED("""COMPUTED_VALUE"""),45153.2179166666)</f>
        <v>45153.217916666603</v>
      </c>
      <c r="L2487" s="3" t="str">
        <f ca="1">IFERROR(__xludf.UNSUPPORTED("""COMPUTED_VALUE"""),"Normalidade")</f>
        <v>Normalidade</v>
      </c>
    </row>
    <row r="2488" spans="1:12" ht="12.75">
      <c r="A2488" s="3" t="str">
        <f ca="1">IFERROR(__xludf.UNSUPPORTED("""COMPUTED_VALUE"""),"c1181089")</f>
        <v>c1181089</v>
      </c>
      <c r="B2488" s="4">
        <f ca="1">IFERROR(__xludf.UNSUPPORTED("""COMPUTED_VALUE"""),45157.5424074074)</f>
        <v>45157.542407407404</v>
      </c>
      <c r="C2488" s="8" t="str">
        <f ca="1">IFERROR(__xludf.UNSUPPORTED("""COMPUTED_VALUE"""),"São Sebastião")</f>
        <v>São Sebastião</v>
      </c>
      <c r="D2488" s="3" t="str">
        <f ca="1">IFERROR(__xludf.UNSUPPORTED("""COMPUTED_VALUE"""),"🚢 REGULAR")</f>
        <v>🚢 REGULAR</v>
      </c>
      <c r="E2488" s="3" t="str">
        <f ca="1">IFERROR(__xludf.UNSUPPORTED("""COMPUTED_VALUE"""),"🚛 LIBERADO")</f>
        <v>🚛 LIBERADO</v>
      </c>
      <c r="F2488" s="5">
        <f ca="1">IFERROR(__xludf.UNSUPPORTED("""COMPUTED_VALUE"""),0)</f>
        <v>0</v>
      </c>
      <c r="G2488" s="3" t="str">
        <f ca="1">IFERROR(__xludf.UNSUPPORTED("""COMPUTED_VALUE"""),"Normalidade")</f>
        <v>Normalidade</v>
      </c>
      <c r="H2488" s="4">
        <f ca="1">IFERROR(__xludf.UNSUPPORTED("""COMPUTED_VALUE"""),45157.5424074074)</f>
        <v>45157.542407407404</v>
      </c>
      <c r="I2488" s="3">
        <f ca="1">IFERROR(__xludf.UNSUPPORTED("""COMPUTED_VALUE"""),24)</f>
        <v>24</v>
      </c>
      <c r="J2488" s="4">
        <f ca="1">IFERROR(__xludf.UNSUPPORTED("""COMPUTED_VALUE"""),45158.5424074074)</f>
        <v>45158.542407407404</v>
      </c>
      <c r="L2488" s="3" t="str">
        <f ca="1">IFERROR(__xludf.UNSUPPORTED("""COMPUTED_VALUE"""),"Normalidade")</f>
        <v>Normalidade</v>
      </c>
    </row>
    <row r="2489" spans="1:12" ht="12.75">
      <c r="A2489" s="3" t="str">
        <f ca="1">IFERROR(__xludf.UNSUPPORTED("""COMPUTED_VALUE"""),"22b0057e")</f>
        <v>22b0057e</v>
      </c>
      <c r="B2489" s="4">
        <f ca="1">IFERROR(__xludf.UNSUPPORTED("""COMPUTED_VALUE"""),45172.8558564814)</f>
        <v>45172.855856481401</v>
      </c>
      <c r="C2489" s="8" t="str">
        <f ca="1">IFERROR(__xludf.UNSUPPORTED("""COMPUTED_VALUE"""),"São Sebastião")</f>
        <v>São Sebastião</v>
      </c>
      <c r="D2489" s="3" t="str">
        <f ca="1">IFERROR(__xludf.UNSUPPORTED("""COMPUTED_VALUE"""),"🚢 REGULAR")</f>
        <v>🚢 REGULAR</v>
      </c>
      <c r="E2489" s="3" t="str">
        <f ca="1">IFERROR(__xludf.UNSUPPORTED("""COMPUTED_VALUE"""),"🚛 LIBERADO")</f>
        <v>🚛 LIBERADO</v>
      </c>
      <c r="F2489" s="5">
        <f ca="1">IFERROR(__xludf.UNSUPPORTED("""COMPUTED_VALUE"""),0)</f>
        <v>0</v>
      </c>
      <c r="G2489" s="3" t="str">
        <f ca="1">IFERROR(__xludf.UNSUPPORTED("""COMPUTED_VALUE"""),"Normalidade")</f>
        <v>Normalidade</v>
      </c>
      <c r="H2489" s="4">
        <f ca="1">IFERROR(__xludf.UNSUPPORTED("""COMPUTED_VALUE"""),45172.8558564814)</f>
        <v>45172.855856481401</v>
      </c>
      <c r="I2489" s="3">
        <f ca="1">IFERROR(__xludf.UNSUPPORTED("""COMPUTED_VALUE"""),24)</f>
        <v>24</v>
      </c>
      <c r="J2489" s="4">
        <f ca="1">IFERROR(__xludf.UNSUPPORTED("""COMPUTED_VALUE"""),45173.8558564814)</f>
        <v>45173.855856481401</v>
      </c>
      <c r="L2489" s="3" t="str">
        <f ca="1">IFERROR(__xludf.UNSUPPORTED("""COMPUTED_VALUE"""),"Normalidade")</f>
        <v>Normalidade</v>
      </c>
    </row>
    <row r="2490" spans="1:12" ht="12.75">
      <c r="A2490" s="3" t="str">
        <f ca="1">IFERROR(__xludf.UNSUPPORTED("""COMPUTED_VALUE"""),"8c6c8fc1")</f>
        <v>8c6c8fc1</v>
      </c>
      <c r="B2490" s="4">
        <f ca="1">IFERROR(__xludf.UNSUPPORTED("""COMPUTED_VALUE"""),45174.4949074074)</f>
        <v>45174.494907407403</v>
      </c>
      <c r="C2490" s="8" t="str">
        <f ca="1">IFERROR(__xludf.UNSUPPORTED("""COMPUTED_VALUE"""),"São Sebastião")</f>
        <v>São Sebastião</v>
      </c>
      <c r="D2490" s="3" t="str">
        <f ca="1">IFERROR(__xludf.UNSUPPORTED("""COMPUTED_VALUE"""),"🚢 REGULAR")</f>
        <v>🚢 REGULAR</v>
      </c>
      <c r="E2490" s="3" t="str">
        <f ca="1">IFERROR(__xludf.UNSUPPORTED("""COMPUTED_VALUE"""),"🚛 LIBERADO")</f>
        <v>🚛 LIBERADO</v>
      </c>
      <c r="F2490" s="5">
        <f ca="1">IFERROR(__xludf.UNSUPPORTED("""COMPUTED_VALUE"""),0)</f>
        <v>0</v>
      </c>
      <c r="G2490" s="3" t="str">
        <f ca="1">IFERROR(__xludf.UNSUPPORTED("""COMPUTED_VALUE"""),"Normalidade")</f>
        <v>Normalidade</v>
      </c>
      <c r="H2490" s="4">
        <f ca="1">IFERROR(__xludf.UNSUPPORTED("""COMPUTED_VALUE"""),45174.4949074074)</f>
        <v>45174.494907407403</v>
      </c>
      <c r="I2490" s="3">
        <f ca="1">IFERROR(__xludf.UNSUPPORTED("""COMPUTED_VALUE"""),24)</f>
        <v>24</v>
      </c>
      <c r="J2490" s="4">
        <f ca="1">IFERROR(__xludf.UNSUPPORTED("""COMPUTED_VALUE"""),45175.4949074074)</f>
        <v>45175.494907407403</v>
      </c>
      <c r="L2490" s="3" t="str">
        <f ca="1">IFERROR(__xludf.UNSUPPORTED("""COMPUTED_VALUE"""),"Normalidade")</f>
        <v>Normalidade</v>
      </c>
    </row>
    <row r="2491" spans="1:12" ht="12.75">
      <c r="A2491" s="3" t="str">
        <f ca="1">IFERROR(__xludf.UNSUPPORTED("""COMPUTED_VALUE"""),"abd83e63")</f>
        <v>abd83e63</v>
      </c>
      <c r="B2491" s="4">
        <f ca="1">IFERROR(__xludf.UNSUPPORTED("""COMPUTED_VALUE"""),45174.7642708333)</f>
        <v>45174.764270833301</v>
      </c>
      <c r="C2491" s="8" t="str">
        <f ca="1">IFERROR(__xludf.UNSUPPORTED("""COMPUTED_VALUE"""),"São Sebastião")</f>
        <v>São Sebastião</v>
      </c>
      <c r="D2491" s="3" t="str">
        <f ca="1">IFERROR(__xludf.UNSUPPORTED("""COMPUTED_VALUE"""),"🚢 REGULAR")</f>
        <v>🚢 REGULAR</v>
      </c>
      <c r="E2491" s="3" t="str">
        <f ca="1">IFERROR(__xludf.UNSUPPORTED("""COMPUTED_VALUE"""),"🚛 LIBERADO")</f>
        <v>🚛 LIBERADO</v>
      </c>
      <c r="F2491" s="5">
        <f ca="1">IFERROR(__xludf.UNSUPPORTED("""COMPUTED_VALUE"""),0.25)</f>
        <v>0.25</v>
      </c>
      <c r="G2491" s="3" t="str">
        <f ca="1">IFERROR(__xludf.UNSUPPORTED("""COMPUTED_VALUE"""),"Em decorrência das informações recebidas da Praticagem de São Sebastião, por meio do comunicado n 14/2023, do dia 05 de setembro de 2023, incumbiu-me o Sr. Delegado da Capitania dos Portos em São Sebastião de declarar a ""Impraticabilidade"", para realiza"&amp;"ção de manobras no Cais Comercial, a partir das 15h30 do dia 05/o9/2023, em virtude de condições meteorológicas desfavoráveis (fortes ventos e forte correntada), conforme preconizado no item n° 0221 e 0222 da NORMAM (Normas da Autoridade Marítima para Ser"&amp;"viço de Praticagem) N 12 (1 Revisão) e item n° 0312 da NPCP-SP (Normas e Procedimentos da Capitania dos Portos de São Paulo) Capítulo 3- Seção I.
 Estas condições deverão ser reavaliadas a cada hora pela Praticagem e informadas a esta Delegacia a fim de s"&amp;"ubsidiar a decisão do retorno à normalidade das operações.")</f>
        <v>Em decorrência das informações recebidas da Praticagem de São Sebastião, por meio do comunicado n 14/2023, do dia 05 de setembro de 2023, incumbiu-me o Sr. Delegado da Capitania dos Portos em São Sebastião de declarar a "Impraticabilidade", para realização de manobras no Cais Comercial, a partir das 15h30 do dia 05/o9/2023, em virtude de condições meteorológicas desfavoráveis (fortes ventos e forte correntada), conforme preconizado no item n° 0221 e 0222 da NORMAM (Normas da Autoridade Marítima para Serviço de Praticagem) N 12 (1 Revisão) e item n° 0312 da NPCP-SP (Normas e Procedimentos da Capitania dos Portos de São Paulo) Capítulo 3- Seção I.
 Estas condições deverão ser reavaliadas a cada hora pela Praticagem e informadas a esta Delegacia a fim de subsidiar a decisão do retorno à normalidade das operações.</v>
      </c>
      <c r="H2491" s="4">
        <f ca="1">IFERROR(__xludf.UNSUPPORTED("""COMPUTED_VALUE"""),45174.7642708333)</f>
        <v>45174.764270833301</v>
      </c>
      <c r="I2491" s="3">
        <f ca="1">IFERROR(__xludf.UNSUPPORTED("""COMPUTED_VALUE"""),19)</f>
        <v>19</v>
      </c>
      <c r="J2491" s="4">
        <f ca="1">IFERROR(__xludf.UNSUPPORTED("""COMPUTED_VALUE"""),45175.5559375)</f>
        <v>45175.555937500001</v>
      </c>
      <c r="K2491" s="3" t="str">
        <f ca="1">IFERROR(__xludf.UNSUPPORTED("""COMPUTED_VALUE"""),"Delegacia da Capitania dos Portos em São Sebastião.")</f>
        <v>Delegacia da Capitania dos Portos em São Sebastião.</v>
      </c>
      <c r="L2491" s="3" t="str">
        <f ca="1">IFERROR(__xludf.UNSUPPORTED("""COMPUTED_VALUE"""),"Crítico")</f>
        <v>Crítico</v>
      </c>
    </row>
    <row r="2492" spans="1:12" ht="12.75">
      <c r="A2492" s="3" t="str">
        <f ca="1">IFERROR(__xludf.UNSUPPORTED("""COMPUTED_VALUE"""),"47900497")</f>
        <v>47900497</v>
      </c>
      <c r="B2492" s="4">
        <f ca="1">IFERROR(__xludf.UNSUPPORTED("""COMPUTED_VALUE"""),45174.8228703703)</f>
        <v>45174.822870370299</v>
      </c>
      <c r="C2492" s="7" t="str">
        <f ca="1">IFERROR(__xludf.UNSUPPORTED("""COMPUTED_VALUE"""),"São Sebastião")</f>
        <v>São Sebastião</v>
      </c>
      <c r="D2492" s="3" t="str">
        <f ca="1">IFERROR(__xludf.UNSUPPORTED("""COMPUTED_VALUE"""),"🚢 REGULAR")</f>
        <v>🚢 REGULAR</v>
      </c>
      <c r="E2492" s="3" t="str">
        <f ca="1">IFERROR(__xludf.UNSUPPORTED("""COMPUTED_VALUE"""),"🚛 LIBERADO")</f>
        <v>🚛 LIBERADO</v>
      </c>
      <c r="F2492" s="5">
        <f ca="1">IFERROR(__xludf.UNSUPPORTED("""COMPUTED_VALUE"""),0.25)</f>
        <v>0.25</v>
      </c>
      <c r="G2492" s="3" t="str">
        <f ca="1">IFERROR(__xludf.UNSUPPORTED("""COMPUTED_VALUE"""),"Em decorrência das informações recebidas da Praticagem de São Sebastião, por meio do comunicado ng
 15/2023, do dia 05 de setembro de 2023, incumbiu-me o Sr. Delegado da Capitania dos Portos em São Sebastião de
 declarar a ""Praticabilidade"", para realiz"&amp;"ação de manobras no Cais Comercial, a partir das 18h30 do dia 05/09/2023, em virtude de melhora nas condições meteorológicas, conforme preconizado no item n° 0221 e 0222 da NORMAM (Normas da Autoridade Marítima para Serviço de Praticagem) N° 12 (1° Revisã"&amp;"o) e item n° 0312 da NPCP-SP (Normas e Procedimentos da Capitania dos Portos de São Paulo) Capítulo 3-Seção I.")</f>
        <v>Em decorrência das informações recebidas da Praticagem de São Sebastião, por meio do comunicado ng
 15/2023, do dia 05 de setembro de 2023, incumbiu-me o Sr. Delegado da Capitania dos Portos em São Sebastião de
 declarar a "Praticabilidade", para realização de manobras no Cais Comercial, a partir das 18h30 do dia 05/09/2023, em virtude de melhora nas condições meteorológicas, conforme preconizado no item n° 0221 e 0222 da NORMAM (Normas da Autoridade Marítima para Serviço de Praticagem) N° 12 (1° Revisão) e item n° 0312 da NPCP-SP (Normas e Procedimentos da Capitania dos Portos de São Paulo) Capítulo 3-Seção I.</v>
      </c>
      <c r="H2492" s="4">
        <f ca="1">IFERROR(__xludf.UNSUPPORTED("""COMPUTED_VALUE"""),45174.8228703703)</f>
        <v>45174.822870370299</v>
      </c>
      <c r="I2492" s="3">
        <f ca="1">IFERROR(__xludf.UNSUPPORTED("""COMPUTED_VALUE"""),6)</f>
        <v>6</v>
      </c>
      <c r="J2492" s="4">
        <f ca="1">IFERROR(__xludf.UNSUPPORTED("""COMPUTED_VALUE"""),45175.0728703703)</f>
        <v>45175.072870370299</v>
      </c>
      <c r="K2492" s="3" t="str">
        <f ca="1">IFERROR(__xludf.UNSUPPORTED("""COMPUTED_VALUE"""),"Delegacia da Capitania dos Portos em São Sebastião.")</f>
        <v>Delegacia da Capitania dos Portos em São Sebastião.</v>
      </c>
      <c r="L2492" s="3" t="str">
        <f ca="1">IFERROR(__xludf.UNSUPPORTED("""COMPUTED_VALUE"""),"Crítico")</f>
        <v>Crítico</v>
      </c>
    </row>
    <row r="2493" spans="1:12" ht="12.75">
      <c r="A2493" s="3" t="str">
        <f ca="1">IFERROR(__xludf.UNSUPPORTED("""COMPUTED_VALUE"""),"3d72a2dc")</f>
        <v>3d72a2dc</v>
      </c>
      <c r="B2493" s="4">
        <f ca="1">IFERROR(__xludf.UNSUPPORTED("""COMPUTED_VALUE"""),45212.2569907407)</f>
        <v>45212.256990740701</v>
      </c>
      <c r="C2493" s="8" t="str">
        <f ca="1">IFERROR(__xludf.UNSUPPORTED("""COMPUTED_VALUE"""),"São Sebastião")</f>
        <v>São Sebastião</v>
      </c>
      <c r="D2493" s="3" t="str">
        <f ca="1">IFERROR(__xludf.UNSUPPORTED("""COMPUTED_VALUE"""),"🚢 REGULAR")</f>
        <v>🚢 REGULAR</v>
      </c>
      <c r="E2493" s="3" t="str">
        <f ca="1">IFERROR(__xludf.UNSUPPORTED("""COMPUTED_VALUE"""),"🚛 LIBERADO")</f>
        <v>🚛 LIBERADO</v>
      </c>
      <c r="F2493" s="5">
        <f ca="1">IFERROR(__xludf.UNSUPPORTED("""COMPUTED_VALUE"""),0.25)</f>
        <v>0.25</v>
      </c>
      <c r="G2493" s="3" t="str">
        <f ca="1">IFERROR(__xludf.UNSUPPORTED("""COMPUTED_VALUE"""),"DECLARAÇÃO DE IMPRATICABILIDADE PARCIAL
Em decorrência das informações recebidas da Praticagem de São Sebastião, por meio do
comunicado nº 18/2023, de 13 de outubro de 2023, incumbiu-me o Delegado da Capitania dos Portos 
em São Sebastião de declarar a “I"&amp;"mpraticabilidade parcial” para realização de manobras no PP1 do 
TEBAR a partir das 00h00 do dia 13/10/2023, em virtude de Forte correntada e fortes ventos, conforme 
preconizado nos itens 2.32 e 2.33 da NORMAM-311/DPC (Normas da Autoridade Marítima para "&amp;"Serviço 
de Praticagem e item 0312 da NPCP-SP (Normas e Procedimentos da Capitania dos Portos de São Paulo).
Estas condições deverão ser reavaliadas a cada hora pela Praticagem e informadas a esta Delegacia 
a fim de subsidiar a decisão do retorno à norma"&amp;"lidade das operações.")</f>
        <v>DECLARAÇÃO DE IMPRATICABILIDADE PARCIAL
Em decorrência das informações recebidas da Praticagem de São Sebastião, por meio do
comunicado nº 18/2023, de 13 de outubro de 2023, incumbiu-me o Delegado da Capitania dos Portos 
em São Sebastião de declarar a “Impraticabilidade parcial” para realização de manobras no PP1 do 
TEBAR a partir das 00h00 do dia 13/10/2023, em virtude de Forte correntada e fortes ventos, conforme 
preconizado nos itens 2.32 e 2.33 da NORMAM-311/DPC (Normas da Autoridade Marítima para Serviço 
de Praticagem e item 0312 da NPCP-SP (Normas e Procedimentos da Capitania dos Portos de São Paulo).
Estas condições deverão ser reavaliadas a cada hora pela Praticagem e informadas a esta Delegacia 
a fim de subsidiar a decisão do retorno à normalidade das operações.</v>
      </c>
      <c r="H2493" s="4">
        <f ca="1">IFERROR(__xludf.UNSUPPORTED("""COMPUTED_VALUE"""),45212.2569907407)</f>
        <v>45212.256990740701</v>
      </c>
      <c r="I2493" s="3">
        <f ca="1">IFERROR(__xludf.UNSUPPORTED("""COMPUTED_VALUE"""),18)</f>
        <v>18</v>
      </c>
      <c r="J2493" s="4">
        <f ca="1">IFERROR(__xludf.UNSUPPORTED("""COMPUTED_VALUE"""),45213.0069907407)</f>
        <v>45213.006990740701</v>
      </c>
      <c r="K2493" s="3" t="str">
        <f ca="1">IFERROR(__xludf.UNSUPPORTED("""COMPUTED_VALUE"""),"CPSP")</f>
        <v>CPSP</v>
      </c>
      <c r="L2493" s="3" t="str">
        <f ca="1">IFERROR(__xludf.UNSUPPORTED("""COMPUTED_VALUE"""),"Crítico")</f>
        <v>Crítico</v>
      </c>
    </row>
    <row r="2494" spans="1:12" ht="12.75">
      <c r="A2494" s="3" t="str">
        <f ca="1">IFERROR(__xludf.UNSUPPORTED("""COMPUTED_VALUE"""),"edb27f3e")</f>
        <v>edb27f3e</v>
      </c>
      <c r="B2494" s="4">
        <f ca="1">IFERROR(__xludf.UNSUPPORTED("""COMPUTED_VALUE"""),45212.5137268518)</f>
        <v>45212.513726851801</v>
      </c>
      <c r="C2494" s="7" t="str">
        <f ca="1">IFERROR(__xludf.UNSUPPORTED("""COMPUTED_VALUE"""),"São Sebastião")</f>
        <v>São Sebastião</v>
      </c>
      <c r="D2494" s="3" t="str">
        <f ca="1">IFERROR(__xludf.UNSUPPORTED("""COMPUTED_VALUE"""),"🚢 REGULAR")</f>
        <v>🚢 REGULAR</v>
      </c>
      <c r="E2494" s="3" t="str">
        <f ca="1">IFERROR(__xludf.UNSUPPORTED("""COMPUTED_VALUE"""),"🚛 LIBERADO")</f>
        <v>🚛 LIBERADO</v>
      </c>
      <c r="F2494" s="5">
        <f ca="1">IFERROR(__xludf.UNSUPPORTED("""COMPUTED_VALUE"""),0)</f>
        <v>0</v>
      </c>
      <c r="G2494" s="3" t="str">
        <f ca="1">IFERROR(__xludf.UNSUPPORTED("""COMPUTED_VALUE"""),"Normalidade")</f>
        <v>Normalidade</v>
      </c>
      <c r="H2494" s="4">
        <f ca="1">IFERROR(__xludf.UNSUPPORTED("""COMPUTED_VALUE"""),45212.5137268518)</f>
        <v>45212.513726851801</v>
      </c>
      <c r="I2494" s="3">
        <f ca="1">IFERROR(__xludf.UNSUPPORTED("""COMPUTED_VALUE"""),24)</f>
        <v>24</v>
      </c>
      <c r="J2494" s="4">
        <f ca="1">IFERROR(__xludf.UNSUPPORTED("""COMPUTED_VALUE"""),45213.5137268518)</f>
        <v>45213.513726851801</v>
      </c>
      <c r="L2494" s="3" t="str">
        <f ca="1">IFERROR(__xludf.UNSUPPORTED("""COMPUTED_VALUE"""),"Normalidade")</f>
        <v>Normalidade</v>
      </c>
    </row>
    <row r="2495" spans="1:12" ht="12.75">
      <c r="A2495" s="3" t="str">
        <f ca="1">IFERROR(__xludf.UNSUPPORTED("""COMPUTED_VALUE"""),"82ae6fc8")</f>
        <v>82ae6fc8</v>
      </c>
      <c r="B2495" s="4">
        <f ca="1">IFERROR(__xludf.UNSUPPORTED("""COMPUTED_VALUE"""),45587.3497106481)</f>
        <v>45587.349710648101</v>
      </c>
      <c r="C2495" s="8" t="str">
        <f ca="1">IFERROR(__xludf.UNSUPPORTED("""COMPUTED_VALUE"""),"São Sebastião")</f>
        <v>São Sebastião</v>
      </c>
      <c r="D2495" s="3" t="str">
        <f ca="1">IFERROR(__xludf.UNSUPPORTED("""COMPUTED_VALUE"""),"⚠️ COM ATRASOS")</f>
        <v>⚠️ COM ATRASOS</v>
      </c>
      <c r="E2495" s="3" t="str">
        <f ca="1">IFERROR(__xludf.UNSUPPORTED("""COMPUTED_VALUE"""),"⛔️ BLOQUEADO")</f>
        <v>⛔️ BLOQUEADO</v>
      </c>
      <c r="F2495" s="5">
        <f ca="1">IFERROR(__xludf.UNSUPPORTED("""COMPUTED_VALUE"""),0)</f>
        <v>0</v>
      </c>
      <c r="G2495" s="3" t="str">
        <f ca="1">IFERROR(__xludf.UNSUPPORTED("""COMPUTED_VALUE"""),"Operação com navio: redução de 50% dos trabalhadores (1 terno). Recepção da carga nos armazéns paralisada.")</f>
        <v>Operação com navio: redução de 50% dos trabalhadores (1 terno). Recepção da carga nos armazéns paralisada.</v>
      </c>
      <c r="H2495" s="4">
        <f ca="1">IFERROR(__xludf.UNSUPPORTED("""COMPUTED_VALUE"""),45587.3497106481)</f>
        <v>45587.349710648101</v>
      </c>
      <c r="I2495" s="3">
        <f ca="1">IFERROR(__xludf.UNSUPPORTED("""COMPUTED_VALUE"""),6)</f>
        <v>6</v>
      </c>
      <c r="J2495" s="4">
        <f ca="1">IFERROR(__xludf.UNSUPPORTED("""COMPUTED_VALUE"""),45587.5997106481)</f>
        <v>45587.599710648101</v>
      </c>
      <c r="K2495" s="3" t="str">
        <f ca="1">IFERROR(__xludf.UNSUPPORTED("""COMPUTED_VALUE"""),"Autoridade Portuária")</f>
        <v>Autoridade Portuária</v>
      </c>
      <c r="L2495" s="3" t="str">
        <f ca="1">IFERROR(__xludf.UNSUPPORTED("""COMPUTED_VALUE"""),"Crítico")</f>
        <v>Crítico</v>
      </c>
    </row>
    <row r="2496" spans="1:12" ht="12.75">
      <c r="A2496" s="3" t="str">
        <f ca="1">IFERROR(__xludf.UNSUPPORTED("""COMPUTED_VALUE"""),"kiyIXovq")</f>
        <v>kiyIXovq</v>
      </c>
      <c r="B2496" s="4">
        <f ca="1">IFERROR(__xludf.UNSUPPORTED("""COMPUTED_VALUE"""),44589.5)</f>
        <v>44589.5</v>
      </c>
      <c r="C2496" s="7" t="str">
        <f ca="1">IFERROR(__xludf.UNSUPPORTED("""COMPUTED_VALUE"""),"Suape")</f>
        <v>Suape</v>
      </c>
      <c r="D2496" s="3" t="str">
        <f ca="1">IFERROR(__xludf.UNSUPPORTED("""COMPUTED_VALUE"""),"🚢 REGULAR")</f>
        <v>🚢 REGULAR</v>
      </c>
      <c r="E2496" s="3" t="str">
        <f ca="1">IFERROR(__xludf.UNSUPPORTED("""COMPUTED_VALUE"""),"🚛 LIBERADO")</f>
        <v>🚛 LIBERADO</v>
      </c>
      <c r="F2496" s="5">
        <f ca="1">IFERROR(__xludf.UNSUPPORTED("""COMPUTED_VALUE"""),0)</f>
        <v>0</v>
      </c>
      <c r="G2496" s="3" t="str">
        <f ca="1">IFERROR(__xludf.UNSUPPORTED("""COMPUTED_VALUE"""),"Sem alterações.")</f>
        <v>Sem alterações.</v>
      </c>
      <c r="H2496" s="4">
        <f ca="1">IFERROR(__xludf.UNSUPPORTED("""COMPUTED_VALUE"""),44589.5756944444)</f>
        <v>44589.5756944444</v>
      </c>
      <c r="I2496" s="3">
        <f ca="1">IFERROR(__xludf.UNSUPPORTED("""COMPUTED_VALUE"""),3)</f>
        <v>3</v>
      </c>
      <c r="J2496" s="4">
        <f ca="1">IFERROR(__xludf.UNSUPPORTED("""COMPUTED_VALUE"""),44589.7006944444)</f>
        <v>44589.7006944444</v>
      </c>
    </row>
    <row r="2497" spans="1:10" ht="12.75">
      <c r="A2497" s="3" t="str">
        <f ca="1">IFERROR(__xludf.UNSUPPORTED("""COMPUTED_VALUE"""),"82ebbf3a")</f>
        <v>82ebbf3a</v>
      </c>
      <c r="B2497" s="4">
        <f ca="1">IFERROR(__xludf.UNSUPPORTED("""COMPUTED_VALUE"""),44866.3731597222)</f>
        <v>44866.373159722199</v>
      </c>
      <c r="C2497" s="8" t="str">
        <f ca="1">IFERROR(__xludf.UNSUPPORTED("""COMPUTED_VALUE"""),"Suape")</f>
        <v>Suape</v>
      </c>
      <c r="D2497" s="3" t="str">
        <f ca="1">IFERROR(__xludf.UNSUPPORTED("""COMPUTED_VALUE"""),"🚢 REGULAR")</f>
        <v>🚢 REGULAR</v>
      </c>
      <c r="E2497" s="3" t="str">
        <f ca="1">IFERROR(__xludf.UNSUPPORTED("""COMPUTED_VALUE"""),"🚛 LIBERADO")</f>
        <v>🚛 LIBERADO</v>
      </c>
      <c r="F2497" s="5">
        <f ca="1">IFERROR(__xludf.UNSUPPORTED("""COMPUTED_VALUE"""),0)</f>
        <v>0</v>
      </c>
      <c r="G2497" s="3" t="str">
        <f ca="1">IFERROR(__xludf.UNSUPPORTED("""COMPUTED_VALUE"""),"situação normal")</f>
        <v>situação normal</v>
      </c>
      <c r="H2497" s="4">
        <f ca="1">IFERROR(__xludf.UNSUPPORTED("""COMPUTED_VALUE"""),44866.3731597222)</f>
        <v>44866.373159722199</v>
      </c>
      <c r="I2497" s="3">
        <f ca="1">IFERROR(__xludf.UNSUPPORTED("""COMPUTED_VALUE"""),8)</f>
        <v>8</v>
      </c>
      <c r="J2497" s="4">
        <f ca="1">IFERROR(__xludf.UNSUPPORTED("""COMPUTED_VALUE"""),44866.7064930555)</f>
        <v>44866.706493055499</v>
      </c>
    </row>
    <row r="2498" spans="1:10" ht="12.75">
      <c r="A2498" s="3" t="str">
        <f ca="1">IFERROR(__xludf.UNSUPPORTED("""COMPUTED_VALUE"""),"efc64dd0")</f>
        <v>efc64dd0</v>
      </c>
      <c r="B2498" s="4">
        <f ca="1">IFERROR(__xludf.UNSUPPORTED("""COMPUTED_VALUE"""),44868.3873379629)</f>
        <v>44868.3873379629</v>
      </c>
      <c r="C2498" s="8" t="str">
        <f ca="1">IFERROR(__xludf.UNSUPPORTED("""COMPUTED_VALUE"""),"Suape")</f>
        <v>Suape</v>
      </c>
      <c r="D2498" s="3" t="str">
        <f ca="1">IFERROR(__xludf.UNSUPPORTED("""COMPUTED_VALUE"""),"🚢 REGULAR")</f>
        <v>🚢 REGULAR</v>
      </c>
      <c r="E2498" s="3" t="str">
        <f ca="1">IFERROR(__xludf.UNSUPPORTED("""COMPUTED_VALUE"""),"🚛 LIBERADO")</f>
        <v>🚛 LIBERADO</v>
      </c>
      <c r="F2498" s="5">
        <f ca="1">IFERROR(__xludf.UNSUPPORTED("""COMPUTED_VALUE"""),0)</f>
        <v>0</v>
      </c>
      <c r="G2498" s="3" t="str">
        <f ca="1">IFERROR(__xludf.UNSUPPORTED("""COMPUTED_VALUE"""),"Situação normal")</f>
        <v>Situação normal</v>
      </c>
      <c r="H2498" s="4">
        <f ca="1">IFERROR(__xludf.UNSUPPORTED("""COMPUTED_VALUE"""),44868.3873379629)</f>
        <v>44868.3873379629</v>
      </c>
      <c r="I2498" s="3">
        <f ca="1">IFERROR(__xludf.UNSUPPORTED("""COMPUTED_VALUE"""),1)</f>
        <v>1</v>
      </c>
      <c r="J2498" s="4">
        <f ca="1">IFERROR(__xludf.UNSUPPORTED("""COMPUTED_VALUE"""),44868.4290046296)</f>
        <v>44868.429004629601</v>
      </c>
    </row>
    <row r="2499" spans="1:10" ht="12.75">
      <c r="A2499" s="3" t="str">
        <f ca="1">IFERROR(__xludf.UNSUPPORTED("""COMPUTED_VALUE"""),"003ee272")</f>
        <v>003ee272</v>
      </c>
      <c r="B2499" s="4">
        <f ca="1">IFERROR(__xludf.UNSUPPORTED("""COMPUTED_VALUE"""),44869.4098726851)</f>
        <v>44869.409872685101</v>
      </c>
      <c r="C2499" s="7" t="str">
        <f ca="1">IFERROR(__xludf.UNSUPPORTED("""COMPUTED_VALUE"""),"Suape")</f>
        <v>Suape</v>
      </c>
      <c r="D2499" s="3" t="str">
        <f ca="1">IFERROR(__xludf.UNSUPPORTED("""COMPUTED_VALUE"""),"🚢 REGULAR")</f>
        <v>🚢 REGULAR</v>
      </c>
      <c r="E2499" s="3" t="str">
        <f ca="1">IFERROR(__xludf.UNSUPPORTED("""COMPUTED_VALUE"""),"🚛 LIBERADO")</f>
        <v>🚛 LIBERADO</v>
      </c>
      <c r="F2499" s="5">
        <f ca="1">IFERROR(__xludf.UNSUPPORTED("""COMPUTED_VALUE"""),0)</f>
        <v>0</v>
      </c>
      <c r="G2499" s="3" t="str">
        <f ca="1">IFERROR(__xludf.UNSUPPORTED("""COMPUTED_VALUE"""),"Normal")</f>
        <v>Normal</v>
      </c>
      <c r="H2499" s="4">
        <f ca="1">IFERROR(__xludf.UNSUPPORTED("""COMPUTED_VALUE"""),44869.4098726851)</f>
        <v>44869.409872685101</v>
      </c>
      <c r="I2499" s="3">
        <f ca="1">IFERROR(__xludf.UNSUPPORTED("""COMPUTED_VALUE"""),1)</f>
        <v>1</v>
      </c>
      <c r="J2499" s="4">
        <f ca="1">IFERROR(__xludf.UNSUPPORTED("""COMPUTED_VALUE"""),44869.4515393518)</f>
        <v>44869.451539351801</v>
      </c>
    </row>
    <row r="2500" spans="1:10" ht="12.75">
      <c r="A2500" s="3" t="str">
        <f ca="1">IFERROR(__xludf.UNSUPPORTED("""COMPUTED_VALUE"""),"38c8750d")</f>
        <v>38c8750d</v>
      </c>
      <c r="B2500" s="4">
        <f ca="1">IFERROR(__xludf.UNSUPPORTED("""COMPUTED_VALUE"""),44870.4038657407)</f>
        <v>44870.4038657407</v>
      </c>
      <c r="C2500" s="7" t="str">
        <f ca="1">IFERROR(__xludf.UNSUPPORTED("""COMPUTED_VALUE"""),"Suape")</f>
        <v>Suape</v>
      </c>
      <c r="D2500" s="3" t="str">
        <f ca="1">IFERROR(__xludf.UNSUPPORTED("""COMPUTED_VALUE"""),"🚢 REGULAR")</f>
        <v>🚢 REGULAR</v>
      </c>
      <c r="E2500" s="3" t="str">
        <f ca="1">IFERROR(__xludf.UNSUPPORTED("""COMPUTED_VALUE"""),"🚛 LIBERADO")</f>
        <v>🚛 LIBERADO</v>
      </c>
      <c r="F2500" s="5">
        <f ca="1">IFERROR(__xludf.UNSUPPORTED("""COMPUTED_VALUE"""),0)</f>
        <v>0</v>
      </c>
      <c r="G2500" s="3" t="str">
        <f ca="1">IFERROR(__xludf.UNSUPPORTED("""COMPUTED_VALUE"""),"Normal")</f>
        <v>Normal</v>
      </c>
      <c r="H2500" s="4">
        <f ca="1">IFERROR(__xludf.UNSUPPORTED("""COMPUTED_VALUE"""),44870.4038657407)</f>
        <v>44870.4038657407</v>
      </c>
      <c r="I2500" s="3">
        <f ca="1">IFERROR(__xludf.UNSUPPORTED("""COMPUTED_VALUE"""),1)</f>
        <v>1</v>
      </c>
      <c r="J2500" s="4">
        <f ca="1">IFERROR(__xludf.UNSUPPORTED("""COMPUTED_VALUE"""),44870.4455324074)</f>
        <v>44870.445532407401</v>
      </c>
    </row>
    <row r="2501" spans="1:10" ht="12.75">
      <c r="A2501" s="3" t="str">
        <f ca="1">IFERROR(__xludf.UNSUPPORTED("""COMPUTED_VALUE"""),"9025b5aa")</f>
        <v>9025b5aa</v>
      </c>
      <c r="B2501" s="4">
        <f ca="1">IFERROR(__xludf.UNSUPPORTED("""COMPUTED_VALUE"""),44871.4189930555)</f>
        <v>44871.4189930555</v>
      </c>
      <c r="C2501" s="7" t="str">
        <f ca="1">IFERROR(__xludf.UNSUPPORTED("""COMPUTED_VALUE"""),"Suape")</f>
        <v>Suape</v>
      </c>
      <c r="D2501" s="3" t="str">
        <f ca="1">IFERROR(__xludf.UNSUPPORTED("""COMPUTED_VALUE"""),"🚢 REGULAR")</f>
        <v>🚢 REGULAR</v>
      </c>
      <c r="E2501" s="3" t="str">
        <f ca="1">IFERROR(__xludf.UNSUPPORTED("""COMPUTED_VALUE"""),"🚛 LIBERADO")</f>
        <v>🚛 LIBERADO</v>
      </c>
      <c r="F2501" s="5">
        <f ca="1">IFERROR(__xludf.UNSUPPORTED("""COMPUTED_VALUE"""),0)</f>
        <v>0</v>
      </c>
      <c r="G2501" s="3" t="str">
        <f ca="1">IFERROR(__xludf.UNSUPPORTED("""COMPUTED_VALUE"""),"Normal")</f>
        <v>Normal</v>
      </c>
      <c r="H2501" s="4">
        <f ca="1">IFERROR(__xludf.UNSUPPORTED("""COMPUTED_VALUE"""),44871.4189930555)</f>
        <v>44871.4189930555</v>
      </c>
      <c r="I2501" s="3">
        <f ca="1">IFERROR(__xludf.UNSUPPORTED("""COMPUTED_VALUE"""),1)</f>
        <v>1</v>
      </c>
      <c r="J2501" s="4">
        <f ca="1">IFERROR(__xludf.UNSUPPORTED("""COMPUTED_VALUE"""),44871.4606597222)</f>
        <v>44871.460659722201</v>
      </c>
    </row>
    <row r="2502" spans="1:10" ht="12.75">
      <c r="A2502" s="3" t="str">
        <f ca="1">IFERROR(__xludf.UNSUPPORTED("""COMPUTED_VALUE"""),"c3b53243")</f>
        <v>c3b53243</v>
      </c>
      <c r="B2502" s="4">
        <f ca="1">IFERROR(__xludf.UNSUPPORTED("""COMPUTED_VALUE"""),44872.5371527777)</f>
        <v>44872.537152777702</v>
      </c>
      <c r="C2502" s="8" t="str">
        <f ca="1">IFERROR(__xludf.UNSUPPORTED("""COMPUTED_VALUE"""),"Suape")</f>
        <v>Suape</v>
      </c>
      <c r="D2502" s="3" t="str">
        <f ca="1">IFERROR(__xludf.UNSUPPORTED("""COMPUTED_VALUE"""),"🚢 REGULAR")</f>
        <v>🚢 REGULAR</v>
      </c>
      <c r="E2502" s="3" t="str">
        <f ca="1">IFERROR(__xludf.UNSUPPORTED("""COMPUTED_VALUE"""),"🚛 LIBERADO")</f>
        <v>🚛 LIBERADO</v>
      </c>
      <c r="F2502" s="5">
        <f ca="1">IFERROR(__xludf.UNSUPPORTED("""COMPUTED_VALUE"""),0)</f>
        <v>0</v>
      </c>
      <c r="G2502" s="3" t="str">
        <f ca="1">IFERROR(__xludf.UNSUPPORTED("""COMPUTED_VALUE"""),"Normal")</f>
        <v>Normal</v>
      </c>
      <c r="H2502" s="4">
        <f ca="1">IFERROR(__xludf.UNSUPPORTED("""COMPUTED_VALUE"""),44872.5371527777)</f>
        <v>44872.537152777702</v>
      </c>
      <c r="I2502" s="3">
        <f ca="1">IFERROR(__xludf.UNSUPPORTED("""COMPUTED_VALUE"""),1)</f>
        <v>1</v>
      </c>
      <c r="J2502" s="4">
        <f ca="1">IFERROR(__xludf.UNSUPPORTED("""COMPUTED_VALUE"""),44872.5788194444)</f>
        <v>44872.578819444403</v>
      </c>
    </row>
    <row r="2503" spans="1:10" ht="12.75">
      <c r="A2503" s="3" t="str">
        <f ca="1">IFERROR(__xludf.UNSUPPORTED("""COMPUTED_VALUE"""),"5bc9f958")</f>
        <v>5bc9f958</v>
      </c>
      <c r="B2503" s="4">
        <f ca="1">IFERROR(__xludf.UNSUPPORTED("""COMPUTED_VALUE"""),44874.6338425925)</f>
        <v>44874.633842592499</v>
      </c>
      <c r="C2503" s="7" t="str">
        <f ca="1">IFERROR(__xludf.UNSUPPORTED("""COMPUTED_VALUE"""),"Suape")</f>
        <v>Suape</v>
      </c>
      <c r="D2503" s="3" t="str">
        <f ca="1">IFERROR(__xludf.UNSUPPORTED("""COMPUTED_VALUE"""),"🚢 REGULAR")</f>
        <v>🚢 REGULAR</v>
      </c>
      <c r="E2503" s="3" t="str">
        <f ca="1">IFERROR(__xludf.UNSUPPORTED("""COMPUTED_VALUE"""),"🚛 LIBERADO")</f>
        <v>🚛 LIBERADO</v>
      </c>
      <c r="F2503" s="5">
        <f ca="1">IFERROR(__xludf.UNSUPPORTED("""COMPUTED_VALUE"""),0)</f>
        <v>0</v>
      </c>
      <c r="G2503" s="3" t="str">
        <f ca="1">IFERROR(__xludf.UNSUPPORTED("""COMPUTED_VALUE"""),"Normal")</f>
        <v>Normal</v>
      </c>
      <c r="H2503" s="4">
        <f ca="1">IFERROR(__xludf.UNSUPPORTED("""COMPUTED_VALUE"""),44874.6338425925)</f>
        <v>44874.633842592499</v>
      </c>
      <c r="I2503" s="3">
        <f ca="1">IFERROR(__xludf.UNSUPPORTED("""COMPUTED_VALUE"""),1)</f>
        <v>1</v>
      </c>
      <c r="J2503" s="4">
        <f ca="1">IFERROR(__xludf.UNSUPPORTED("""COMPUTED_VALUE"""),44874.6755092592)</f>
        <v>44874.675509259199</v>
      </c>
    </row>
    <row r="2504" spans="1:10" ht="12.75">
      <c r="A2504" s="3" t="str">
        <f ca="1">IFERROR(__xludf.UNSUPPORTED("""COMPUTED_VALUE"""),"92deb3d3")</f>
        <v>92deb3d3</v>
      </c>
      <c r="B2504" s="4">
        <f ca="1">IFERROR(__xludf.UNSUPPORTED("""COMPUTED_VALUE"""),44875.6472916666)</f>
        <v>44875.647291666603</v>
      </c>
      <c r="C2504" s="7" t="str">
        <f ca="1">IFERROR(__xludf.UNSUPPORTED("""COMPUTED_VALUE"""),"Suape")</f>
        <v>Suape</v>
      </c>
      <c r="D2504" s="3" t="str">
        <f ca="1">IFERROR(__xludf.UNSUPPORTED("""COMPUTED_VALUE"""),"🚢 REGULAR")</f>
        <v>🚢 REGULAR</v>
      </c>
      <c r="E2504" s="3" t="str">
        <f ca="1">IFERROR(__xludf.UNSUPPORTED("""COMPUTED_VALUE"""),"🚛 LIBERADO")</f>
        <v>🚛 LIBERADO</v>
      </c>
      <c r="F2504" s="5">
        <f ca="1">IFERROR(__xludf.UNSUPPORTED("""COMPUTED_VALUE"""),0)</f>
        <v>0</v>
      </c>
      <c r="G2504" s="3" t="str">
        <f ca="1">IFERROR(__xludf.UNSUPPORTED("""COMPUTED_VALUE"""),"Normal")</f>
        <v>Normal</v>
      </c>
      <c r="H2504" s="4">
        <f ca="1">IFERROR(__xludf.UNSUPPORTED("""COMPUTED_VALUE"""),44875.6472916666)</f>
        <v>44875.647291666603</v>
      </c>
      <c r="I2504" s="3">
        <f ca="1">IFERROR(__xludf.UNSUPPORTED("""COMPUTED_VALUE"""),1)</f>
        <v>1</v>
      </c>
      <c r="J2504" s="4">
        <f ca="1">IFERROR(__xludf.UNSUPPORTED("""COMPUTED_VALUE"""),44875.6889583333)</f>
        <v>44875.688958333303</v>
      </c>
    </row>
    <row r="2505" spans="1:10" ht="12.75">
      <c r="A2505" s="3" t="str">
        <f ca="1">IFERROR(__xludf.UNSUPPORTED("""COMPUTED_VALUE"""),"045a342a")</f>
        <v>045a342a</v>
      </c>
      <c r="B2505" s="4">
        <f ca="1">IFERROR(__xludf.UNSUPPORTED("""COMPUTED_VALUE"""),44878.6686111111)</f>
        <v>44878.668611111098</v>
      </c>
      <c r="C2505" s="7" t="str">
        <f ca="1">IFERROR(__xludf.UNSUPPORTED("""COMPUTED_VALUE"""),"Suape")</f>
        <v>Suape</v>
      </c>
      <c r="D2505" s="3" t="str">
        <f ca="1">IFERROR(__xludf.UNSUPPORTED("""COMPUTED_VALUE"""),"🚢 REGULAR")</f>
        <v>🚢 REGULAR</v>
      </c>
      <c r="E2505" s="3" t="str">
        <f ca="1">IFERROR(__xludf.UNSUPPORTED("""COMPUTED_VALUE"""),"🚛 LIBERADO")</f>
        <v>🚛 LIBERADO</v>
      </c>
      <c r="F2505" s="5">
        <f ca="1">IFERROR(__xludf.UNSUPPORTED("""COMPUTED_VALUE"""),0)</f>
        <v>0</v>
      </c>
      <c r="G2505" s="3" t="str">
        <f ca="1">IFERROR(__xludf.UNSUPPORTED("""COMPUTED_VALUE"""),"Normal")</f>
        <v>Normal</v>
      </c>
      <c r="H2505" s="4">
        <f ca="1">IFERROR(__xludf.UNSUPPORTED("""COMPUTED_VALUE"""),44878.6686111111)</f>
        <v>44878.668611111098</v>
      </c>
      <c r="I2505" s="3">
        <f ca="1">IFERROR(__xludf.UNSUPPORTED("""COMPUTED_VALUE"""),1)</f>
        <v>1</v>
      </c>
      <c r="J2505" s="4">
        <f ca="1">IFERROR(__xludf.UNSUPPORTED("""COMPUTED_VALUE"""),44878.7102777777)</f>
        <v>44878.710277777704</v>
      </c>
    </row>
    <row r="2506" spans="1:10" ht="12.75">
      <c r="A2506" s="3" t="str">
        <f ca="1">IFERROR(__xludf.UNSUPPORTED("""COMPUTED_VALUE"""),"3d93722e")</f>
        <v>3d93722e</v>
      </c>
      <c r="B2506" s="4">
        <f ca="1">IFERROR(__xludf.UNSUPPORTED("""COMPUTED_VALUE"""),44879.3634606481)</f>
        <v>44879.363460648099</v>
      </c>
      <c r="C2506" s="7" t="str">
        <f ca="1">IFERROR(__xludf.UNSUPPORTED("""COMPUTED_VALUE"""),"Suape")</f>
        <v>Suape</v>
      </c>
      <c r="D2506" s="3" t="str">
        <f ca="1">IFERROR(__xludf.UNSUPPORTED("""COMPUTED_VALUE"""),"🚢 REGULAR")</f>
        <v>🚢 REGULAR</v>
      </c>
      <c r="E2506" s="3" t="str">
        <f ca="1">IFERROR(__xludf.UNSUPPORTED("""COMPUTED_VALUE"""),"🚛 LIBERADO")</f>
        <v>🚛 LIBERADO</v>
      </c>
      <c r="F2506" s="5">
        <f ca="1">IFERROR(__xludf.UNSUPPORTED("""COMPUTED_VALUE"""),0)</f>
        <v>0</v>
      </c>
      <c r="G2506" s="3" t="str">
        <f ca="1">IFERROR(__xludf.UNSUPPORTED("""COMPUTED_VALUE"""),"Normal")</f>
        <v>Normal</v>
      </c>
      <c r="H2506" s="4">
        <f ca="1">IFERROR(__xludf.UNSUPPORTED("""COMPUTED_VALUE"""),44879.3634606481)</f>
        <v>44879.363460648099</v>
      </c>
      <c r="I2506" s="3">
        <f ca="1">IFERROR(__xludf.UNSUPPORTED("""COMPUTED_VALUE"""),1)</f>
        <v>1</v>
      </c>
      <c r="J2506" s="4">
        <f ca="1">IFERROR(__xludf.UNSUPPORTED("""COMPUTED_VALUE"""),44879.4051273148)</f>
        <v>44879.4051273148</v>
      </c>
    </row>
    <row r="2507" spans="1:10" ht="12.75">
      <c r="A2507" s="3" t="str">
        <f ca="1">IFERROR(__xludf.UNSUPPORTED("""COMPUTED_VALUE"""),"1a41aa53")</f>
        <v>1a41aa53</v>
      </c>
      <c r="B2507" s="4">
        <f ca="1">IFERROR(__xludf.UNSUPPORTED("""COMPUTED_VALUE"""),44880.3539814813)</f>
        <v>44880.353981481298</v>
      </c>
      <c r="C2507" s="7" t="str">
        <f ca="1">IFERROR(__xludf.UNSUPPORTED("""COMPUTED_VALUE"""),"Suape")</f>
        <v>Suape</v>
      </c>
      <c r="D2507" s="3" t="str">
        <f ca="1">IFERROR(__xludf.UNSUPPORTED("""COMPUTED_VALUE"""),"🚢 REGULAR")</f>
        <v>🚢 REGULAR</v>
      </c>
      <c r="E2507" s="3" t="str">
        <f ca="1">IFERROR(__xludf.UNSUPPORTED("""COMPUTED_VALUE"""),"🚛 LIBERADO")</f>
        <v>🚛 LIBERADO</v>
      </c>
      <c r="F2507" s="5">
        <f ca="1">IFERROR(__xludf.UNSUPPORTED("""COMPUTED_VALUE"""),0)</f>
        <v>0</v>
      </c>
      <c r="G2507" s="3" t="str">
        <f ca="1">IFERROR(__xludf.UNSUPPORTED("""COMPUTED_VALUE"""),"Normal")</f>
        <v>Normal</v>
      </c>
      <c r="H2507" s="4">
        <f ca="1">IFERROR(__xludf.UNSUPPORTED("""COMPUTED_VALUE"""),44880.3539814813)</f>
        <v>44880.353981481298</v>
      </c>
      <c r="I2507" s="3">
        <f ca="1">IFERROR(__xludf.UNSUPPORTED("""COMPUTED_VALUE"""),1)</f>
        <v>1</v>
      </c>
      <c r="J2507" s="4">
        <f ca="1">IFERROR(__xludf.UNSUPPORTED("""COMPUTED_VALUE"""),44880.3956481481)</f>
        <v>44880.3956481481</v>
      </c>
    </row>
    <row r="2508" spans="1:10" ht="12.75">
      <c r="A2508" s="3" t="str">
        <f ca="1">IFERROR(__xludf.UNSUPPORTED("""COMPUTED_VALUE"""),"6608d9ab")</f>
        <v>6608d9ab</v>
      </c>
      <c r="B2508" s="4">
        <f ca="1">IFERROR(__xludf.UNSUPPORTED("""COMPUTED_VALUE"""),44881.7363657407)</f>
        <v>44881.736365740697</v>
      </c>
      <c r="C2508" s="8" t="str">
        <f ca="1">IFERROR(__xludf.UNSUPPORTED("""COMPUTED_VALUE"""),"Suape")</f>
        <v>Suape</v>
      </c>
      <c r="D2508" s="3" t="str">
        <f ca="1">IFERROR(__xludf.UNSUPPORTED("""COMPUTED_VALUE"""),"🚢 REGULAR")</f>
        <v>🚢 REGULAR</v>
      </c>
      <c r="E2508" s="3" t="str">
        <f ca="1">IFERROR(__xludf.UNSUPPORTED("""COMPUTED_VALUE"""),"🚛 LIBERADO")</f>
        <v>🚛 LIBERADO</v>
      </c>
      <c r="F2508" s="5">
        <f ca="1">IFERROR(__xludf.UNSUPPORTED("""COMPUTED_VALUE"""),0)</f>
        <v>0</v>
      </c>
      <c r="G2508" s="3" t="str">
        <f ca="1">IFERROR(__xludf.UNSUPPORTED("""COMPUTED_VALUE"""),"Normal")</f>
        <v>Normal</v>
      </c>
      <c r="H2508" s="4">
        <f ca="1">IFERROR(__xludf.UNSUPPORTED("""COMPUTED_VALUE"""),44881.7363657407)</f>
        <v>44881.736365740697</v>
      </c>
      <c r="I2508" s="3">
        <f ca="1">IFERROR(__xludf.UNSUPPORTED("""COMPUTED_VALUE"""),1)</f>
        <v>1</v>
      </c>
      <c r="J2508" s="4">
        <f ca="1">IFERROR(__xludf.UNSUPPORTED("""COMPUTED_VALUE"""),44881.7780324073)</f>
        <v>44881.778032407303</v>
      </c>
    </row>
    <row r="2509" spans="1:10" ht="12.75">
      <c r="A2509" s="3" t="str">
        <f ca="1">IFERROR(__xludf.UNSUPPORTED("""COMPUTED_VALUE"""),"4dae3bb2")</f>
        <v>4dae3bb2</v>
      </c>
      <c r="B2509" s="4">
        <f ca="1">IFERROR(__xludf.UNSUPPORTED("""COMPUTED_VALUE"""),44883.3450694444)</f>
        <v>44883.345069444404</v>
      </c>
      <c r="C2509" s="8" t="str">
        <f ca="1">IFERROR(__xludf.UNSUPPORTED("""COMPUTED_VALUE"""),"Suape")</f>
        <v>Suape</v>
      </c>
      <c r="D2509" s="3" t="str">
        <f ca="1">IFERROR(__xludf.UNSUPPORTED("""COMPUTED_VALUE"""),"🚢 REGULAR")</f>
        <v>🚢 REGULAR</v>
      </c>
      <c r="E2509" s="3" t="str">
        <f ca="1">IFERROR(__xludf.UNSUPPORTED("""COMPUTED_VALUE"""),"🚛 LIBERADO")</f>
        <v>🚛 LIBERADO</v>
      </c>
      <c r="F2509" s="5">
        <f ca="1">IFERROR(__xludf.UNSUPPORTED("""COMPUTED_VALUE"""),0)</f>
        <v>0</v>
      </c>
      <c r="G2509" s="3" t="str">
        <f ca="1">IFERROR(__xludf.UNSUPPORTED("""COMPUTED_VALUE"""),"Normal")</f>
        <v>Normal</v>
      </c>
      <c r="H2509" s="4">
        <f ca="1">IFERROR(__xludf.UNSUPPORTED("""COMPUTED_VALUE"""),44883.3450694444)</f>
        <v>44883.345069444404</v>
      </c>
      <c r="I2509" s="3">
        <f ca="1">IFERROR(__xludf.UNSUPPORTED("""COMPUTED_VALUE"""),1)</f>
        <v>1</v>
      </c>
      <c r="J2509" s="4">
        <f ca="1">IFERROR(__xludf.UNSUPPORTED("""COMPUTED_VALUE"""),44883.3867361111)</f>
        <v>44883.386736111097</v>
      </c>
    </row>
    <row r="2510" spans="1:10" ht="12.75">
      <c r="A2510" s="3" t="str">
        <f ca="1">IFERROR(__xludf.UNSUPPORTED("""COMPUTED_VALUE"""),"efd39584")</f>
        <v>efd39584</v>
      </c>
      <c r="B2510" s="4">
        <f ca="1">IFERROR(__xludf.UNSUPPORTED("""COMPUTED_VALUE"""),44886.3581828703)</f>
        <v>44886.358182870303</v>
      </c>
      <c r="C2510" s="7" t="str">
        <f ca="1">IFERROR(__xludf.UNSUPPORTED("""COMPUTED_VALUE"""),"Suape")</f>
        <v>Suape</v>
      </c>
      <c r="D2510" s="3" t="str">
        <f ca="1">IFERROR(__xludf.UNSUPPORTED("""COMPUTED_VALUE"""),"🚢 REGULAR")</f>
        <v>🚢 REGULAR</v>
      </c>
      <c r="E2510" s="3" t="str">
        <f ca="1">IFERROR(__xludf.UNSUPPORTED("""COMPUTED_VALUE"""),"🚛 LIBERADO")</f>
        <v>🚛 LIBERADO</v>
      </c>
      <c r="F2510" s="5">
        <f ca="1">IFERROR(__xludf.UNSUPPORTED("""COMPUTED_VALUE"""),0)</f>
        <v>0</v>
      </c>
      <c r="G2510" s="3" t="str">
        <f ca="1">IFERROR(__xludf.UNSUPPORTED("""COMPUTED_VALUE"""),"Normal")</f>
        <v>Normal</v>
      </c>
      <c r="H2510" s="4">
        <f ca="1">IFERROR(__xludf.UNSUPPORTED("""COMPUTED_VALUE"""),44886.3581828703)</f>
        <v>44886.358182870303</v>
      </c>
      <c r="I2510" s="3">
        <f ca="1">IFERROR(__xludf.UNSUPPORTED("""COMPUTED_VALUE"""),1)</f>
        <v>1</v>
      </c>
      <c r="J2510" s="4">
        <f ca="1">IFERROR(__xludf.UNSUPPORTED("""COMPUTED_VALUE"""),44886.399849537)</f>
        <v>44886.399849537003</v>
      </c>
    </row>
    <row r="2511" spans="1:10" ht="12.75">
      <c r="A2511" s="3" t="str">
        <f ca="1">IFERROR(__xludf.UNSUPPORTED("""COMPUTED_VALUE"""),"e8859de7")</f>
        <v>e8859de7</v>
      </c>
      <c r="B2511" s="4">
        <f ca="1">IFERROR(__xludf.UNSUPPORTED("""COMPUTED_VALUE"""),44887.3487384259)</f>
        <v>44887.348738425899</v>
      </c>
      <c r="C2511" s="8" t="str">
        <f ca="1">IFERROR(__xludf.UNSUPPORTED("""COMPUTED_VALUE"""),"Suape")</f>
        <v>Suape</v>
      </c>
      <c r="D2511" s="3" t="str">
        <f ca="1">IFERROR(__xludf.UNSUPPORTED("""COMPUTED_VALUE"""),"🚢 REGULAR")</f>
        <v>🚢 REGULAR</v>
      </c>
      <c r="E2511" s="3" t="str">
        <f ca="1">IFERROR(__xludf.UNSUPPORTED("""COMPUTED_VALUE"""),"🚛 LIBERADO")</f>
        <v>🚛 LIBERADO</v>
      </c>
      <c r="F2511" s="5">
        <f ca="1">IFERROR(__xludf.UNSUPPORTED("""COMPUTED_VALUE"""),0)</f>
        <v>0</v>
      </c>
      <c r="G2511" s="3" t="str">
        <f ca="1">IFERROR(__xludf.UNSUPPORTED("""COMPUTED_VALUE"""),"Normal")</f>
        <v>Normal</v>
      </c>
      <c r="H2511" s="4">
        <f ca="1">IFERROR(__xludf.UNSUPPORTED("""COMPUTED_VALUE"""),44887.3487384259)</f>
        <v>44887.348738425899</v>
      </c>
      <c r="I2511" s="3">
        <f ca="1">IFERROR(__xludf.UNSUPPORTED("""COMPUTED_VALUE"""),1)</f>
        <v>1</v>
      </c>
      <c r="J2511" s="4">
        <f ca="1">IFERROR(__xludf.UNSUPPORTED("""COMPUTED_VALUE"""),44887.3904050925)</f>
        <v>44887.390405092498</v>
      </c>
    </row>
    <row r="2512" spans="1:10" ht="12.75">
      <c r="A2512" s="3" t="str">
        <f ca="1">IFERROR(__xludf.UNSUPPORTED("""COMPUTED_VALUE"""),"f1c37fb2")</f>
        <v>f1c37fb2</v>
      </c>
      <c r="B2512" s="4">
        <f ca="1">IFERROR(__xludf.UNSUPPORTED("""COMPUTED_VALUE"""),44888.2454166666)</f>
        <v>44888.245416666599</v>
      </c>
      <c r="C2512" s="7" t="str">
        <f ca="1">IFERROR(__xludf.UNSUPPORTED("""COMPUTED_VALUE"""),"Suape")</f>
        <v>Suape</v>
      </c>
      <c r="D2512" s="3" t="str">
        <f ca="1">IFERROR(__xludf.UNSUPPORTED("""COMPUTED_VALUE"""),"🚢 REGULAR")</f>
        <v>🚢 REGULAR</v>
      </c>
      <c r="E2512" s="3" t="str">
        <f ca="1">IFERROR(__xludf.UNSUPPORTED("""COMPUTED_VALUE"""),"🚛 LIBERADO")</f>
        <v>🚛 LIBERADO</v>
      </c>
      <c r="F2512" s="5">
        <f ca="1">IFERROR(__xludf.UNSUPPORTED("""COMPUTED_VALUE"""),0)</f>
        <v>0</v>
      </c>
      <c r="G2512" s="3" t="str">
        <f ca="1">IFERROR(__xludf.UNSUPPORTED("""COMPUTED_VALUE"""),"Normal")</f>
        <v>Normal</v>
      </c>
      <c r="H2512" s="4">
        <f ca="1">IFERROR(__xludf.UNSUPPORTED("""COMPUTED_VALUE"""),44888.2454166666)</f>
        <v>44888.245416666599</v>
      </c>
      <c r="I2512" s="3">
        <f ca="1">IFERROR(__xludf.UNSUPPORTED("""COMPUTED_VALUE"""),1)</f>
        <v>1</v>
      </c>
      <c r="J2512" s="4">
        <f ca="1">IFERROR(__xludf.UNSUPPORTED("""COMPUTED_VALUE"""),44888.2870833333)</f>
        <v>44888.2870833333</v>
      </c>
    </row>
    <row r="2513" spans="1:10" ht="12.75">
      <c r="A2513" s="3" t="str">
        <f ca="1">IFERROR(__xludf.UNSUPPORTED("""COMPUTED_VALUE"""),"da94ced6")</f>
        <v>da94ced6</v>
      </c>
      <c r="B2513" s="4">
        <f ca="1">IFERROR(__xludf.UNSUPPORTED("""COMPUTED_VALUE"""),44889.2677314814)</f>
        <v>44889.267731481399</v>
      </c>
      <c r="C2513" s="7" t="str">
        <f ca="1">IFERROR(__xludf.UNSUPPORTED("""COMPUTED_VALUE"""),"Suape")</f>
        <v>Suape</v>
      </c>
      <c r="D2513" s="3" t="str">
        <f ca="1">IFERROR(__xludf.UNSUPPORTED("""COMPUTED_VALUE"""),"🚢 REGULAR")</f>
        <v>🚢 REGULAR</v>
      </c>
      <c r="E2513" s="3" t="str">
        <f ca="1">IFERROR(__xludf.UNSUPPORTED("""COMPUTED_VALUE"""),"🚛 LIBERADO")</f>
        <v>🚛 LIBERADO</v>
      </c>
      <c r="F2513" s="5">
        <f ca="1">IFERROR(__xludf.UNSUPPORTED("""COMPUTED_VALUE"""),0)</f>
        <v>0</v>
      </c>
      <c r="G2513" s="3" t="str">
        <f ca="1">IFERROR(__xludf.UNSUPPORTED("""COMPUTED_VALUE"""),"Normal")</f>
        <v>Normal</v>
      </c>
      <c r="H2513" s="4">
        <f ca="1">IFERROR(__xludf.UNSUPPORTED("""COMPUTED_VALUE"""),44889.2677314814)</f>
        <v>44889.267731481399</v>
      </c>
      <c r="I2513" s="3">
        <f ca="1">IFERROR(__xludf.UNSUPPORTED("""COMPUTED_VALUE"""),1)</f>
        <v>1</v>
      </c>
      <c r="J2513" s="4">
        <f ca="1">IFERROR(__xludf.UNSUPPORTED("""COMPUTED_VALUE"""),44889.3093981481)</f>
        <v>44889.3093981481</v>
      </c>
    </row>
    <row r="2514" spans="1:10" ht="12.75">
      <c r="A2514" s="3" t="str">
        <f ca="1">IFERROR(__xludf.UNSUPPORTED("""COMPUTED_VALUE"""),"40eafe38")</f>
        <v>40eafe38</v>
      </c>
      <c r="B2514" s="4">
        <f ca="1">IFERROR(__xludf.UNSUPPORTED("""COMPUTED_VALUE"""),44890.2628819444)</f>
        <v>44890.2628819444</v>
      </c>
      <c r="C2514" s="7" t="str">
        <f ca="1">IFERROR(__xludf.UNSUPPORTED("""COMPUTED_VALUE"""),"Suape")</f>
        <v>Suape</v>
      </c>
      <c r="D2514" s="3" t="str">
        <f ca="1">IFERROR(__xludf.UNSUPPORTED("""COMPUTED_VALUE"""),"🚢 REGULAR")</f>
        <v>🚢 REGULAR</v>
      </c>
      <c r="E2514" s="3" t="str">
        <f ca="1">IFERROR(__xludf.UNSUPPORTED("""COMPUTED_VALUE"""),"🚛 LIBERADO")</f>
        <v>🚛 LIBERADO</v>
      </c>
      <c r="F2514" s="5">
        <f ca="1">IFERROR(__xludf.UNSUPPORTED("""COMPUTED_VALUE"""),0)</f>
        <v>0</v>
      </c>
      <c r="G2514" s="3" t="str">
        <f ca="1">IFERROR(__xludf.UNSUPPORTED("""COMPUTED_VALUE"""),"Normal")</f>
        <v>Normal</v>
      </c>
      <c r="H2514" s="4">
        <f ca="1">IFERROR(__xludf.UNSUPPORTED("""COMPUTED_VALUE"""),44890.2628819444)</f>
        <v>44890.2628819444</v>
      </c>
      <c r="I2514" s="3">
        <f ca="1">IFERROR(__xludf.UNSUPPORTED("""COMPUTED_VALUE"""),1)</f>
        <v>1</v>
      </c>
      <c r="J2514" s="4">
        <f ca="1">IFERROR(__xludf.UNSUPPORTED("""COMPUTED_VALUE"""),44890.3045486111)</f>
        <v>44890.3045486111</v>
      </c>
    </row>
    <row r="2515" spans="1:10" ht="12.75">
      <c r="A2515" s="3" t="str">
        <f ca="1">IFERROR(__xludf.UNSUPPORTED("""COMPUTED_VALUE"""),"c5719955")</f>
        <v>c5719955</v>
      </c>
      <c r="B2515" s="4">
        <f ca="1">IFERROR(__xludf.UNSUPPORTED("""COMPUTED_VALUE"""),44891.2617939814)</f>
        <v>44891.261793981401</v>
      </c>
      <c r="C2515" s="8" t="str">
        <f ca="1">IFERROR(__xludf.UNSUPPORTED("""COMPUTED_VALUE"""),"Suape")</f>
        <v>Suape</v>
      </c>
      <c r="D2515" s="3" t="str">
        <f ca="1">IFERROR(__xludf.UNSUPPORTED("""COMPUTED_VALUE"""),"🚢 REGULAR")</f>
        <v>🚢 REGULAR</v>
      </c>
      <c r="E2515" s="3" t="str">
        <f ca="1">IFERROR(__xludf.UNSUPPORTED("""COMPUTED_VALUE"""),"🚛 LIBERADO")</f>
        <v>🚛 LIBERADO</v>
      </c>
      <c r="F2515" s="5">
        <f ca="1">IFERROR(__xludf.UNSUPPORTED("""COMPUTED_VALUE"""),0)</f>
        <v>0</v>
      </c>
      <c r="G2515" s="3" t="str">
        <f ca="1">IFERROR(__xludf.UNSUPPORTED("""COMPUTED_VALUE"""),"Normal")</f>
        <v>Normal</v>
      </c>
      <c r="H2515" s="4">
        <f ca="1">IFERROR(__xludf.UNSUPPORTED("""COMPUTED_VALUE"""),44891.2617939814)</f>
        <v>44891.261793981401</v>
      </c>
      <c r="I2515" s="3">
        <f ca="1">IFERROR(__xludf.UNSUPPORTED("""COMPUTED_VALUE"""),1)</f>
        <v>1</v>
      </c>
      <c r="J2515" s="4">
        <f ca="1">IFERROR(__xludf.UNSUPPORTED("""COMPUTED_VALUE"""),44891.3034606481)</f>
        <v>44891.303460648101</v>
      </c>
    </row>
    <row r="2516" spans="1:10" ht="12.75">
      <c r="A2516" s="3" t="str">
        <f ca="1">IFERROR(__xludf.UNSUPPORTED("""COMPUTED_VALUE"""),"e5b910b5")</f>
        <v>e5b910b5</v>
      </c>
      <c r="B2516" s="4">
        <f ca="1">IFERROR(__xludf.UNSUPPORTED("""COMPUTED_VALUE"""),44892.3410185185)</f>
        <v>44892.341018518498</v>
      </c>
      <c r="C2516" s="8" t="str">
        <f ca="1">IFERROR(__xludf.UNSUPPORTED("""COMPUTED_VALUE"""),"Suape")</f>
        <v>Suape</v>
      </c>
      <c r="D2516" s="3" t="str">
        <f ca="1">IFERROR(__xludf.UNSUPPORTED("""COMPUTED_VALUE"""),"🚢 REGULAR")</f>
        <v>🚢 REGULAR</v>
      </c>
      <c r="E2516" s="3" t="str">
        <f ca="1">IFERROR(__xludf.UNSUPPORTED("""COMPUTED_VALUE"""),"🚛 LIBERADO")</f>
        <v>🚛 LIBERADO</v>
      </c>
      <c r="F2516" s="5">
        <f ca="1">IFERROR(__xludf.UNSUPPORTED("""COMPUTED_VALUE"""),0)</f>
        <v>0</v>
      </c>
      <c r="G2516" s="3" t="str">
        <f ca="1">IFERROR(__xludf.UNSUPPORTED("""COMPUTED_VALUE"""),"Normal")</f>
        <v>Normal</v>
      </c>
      <c r="H2516" s="4">
        <f ca="1">IFERROR(__xludf.UNSUPPORTED("""COMPUTED_VALUE"""),44892.3410185185)</f>
        <v>44892.341018518498</v>
      </c>
      <c r="I2516" s="3">
        <f ca="1">IFERROR(__xludf.UNSUPPORTED("""COMPUTED_VALUE"""),1)</f>
        <v>1</v>
      </c>
      <c r="J2516" s="4">
        <f ca="1">IFERROR(__xludf.UNSUPPORTED("""COMPUTED_VALUE"""),44892.3826851851)</f>
        <v>44892.382685185097</v>
      </c>
    </row>
    <row r="2517" spans="1:10" ht="12.75">
      <c r="A2517" s="3" t="str">
        <f ca="1">IFERROR(__xludf.UNSUPPORTED("""COMPUTED_VALUE"""),"03d25a59")</f>
        <v>03d25a59</v>
      </c>
      <c r="B2517" s="4">
        <f ca="1">IFERROR(__xludf.UNSUPPORTED("""COMPUTED_VALUE"""),44893.3393518518)</f>
        <v>44893.339351851799</v>
      </c>
      <c r="C2517" s="7" t="str">
        <f ca="1">IFERROR(__xludf.UNSUPPORTED("""COMPUTED_VALUE"""),"Suape")</f>
        <v>Suape</v>
      </c>
      <c r="D2517" s="3" t="str">
        <f ca="1">IFERROR(__xludf.UNSUPPORTED("""COMPUTED_VALUE"""),"🚢 REGULAR")</f>
        <v>🚢 REGULAR</v>
      </c>
      <c r="E2517" s="3" t="str">
        <f ca="1">IFERROR(__xludf.UNSUPPORTED("""COMPUTED_VALUE"""),"🚛 LIBERADO")</f>
        <v>🚛 LIBERADO</v>
      </c>
      <c r="F2517" s="5">
        <f ca="1">IFERROR(__xludf.UNSUPPORTED("""COMPUTED_VALUE"""),0)</f>
        <v>0</v>
      </c>
      <c r="G2517" s="3" t="str">
        <f ca="1">IFERROR(__xludf.UNSUPPORTED("""COMPUTED_VALUE"""),"Normal")</f>
        <v>Normal</v>
      </c>
      <c r="H2517" s="4">
        <f ca="1">IFERROR(__xludf.UNSUPPORTED("""COMPUTED_VALUE"""),44893.3393518518)</f>
        <v>44893.339351851799</v>
      </c>
      <c r="I2517" s="3">
        <f ca="1">IFERROR(__xludf.UNSUPPORTED("""COMPUTED_VALUE"""),1)</f>
        <v>1</v>
      </c>
      <c r="J2517" s="4">
        <f ca="1">IFERROR(__xludf.UNSUPPORTED("""COMPUTED_VALUE"""),44893.3810185185)</f>
        <v>44893.381018518499</v>
      </c>
    </row>
    <row r="2518" spans="1:10" ht="12.75">
      <c r="A2518" s="3" t="str">
        <f ca="1">IFERROR(__xludf.UNSUPPORTED("""COMPUTED_VALUE"""),"24cf1409")</f>
        <v>24cf1409</v>
      </c>
      <c r="B2518" s="4">
        <f ca="1">IFERROR(__xludf.UNSUPPORTED("""COMPUTED_VALUE"""),44894.3943518518)</f>
        <v>44894.394351851799</v>
      </c>
      <c r="C2518" s="7" t="str">
        <f ca="1">IFERROR(__xludf.UNSUPPORTED("""COMPUTED_VALUE"""),"Suape")</f>
        <v>Suape</v>
      </c>
      <c r="D2518" s="3" t="str">
        <f ca="1">IFERROR(__xludf.UNSUPPORTED("""COMPUTED_VALUE"""),"🚢 REGULAR")</f>
        <v>🚢 REGULAR</v>
      </c>
      <c r="E2518" s="3" t="str">
        <f ca="1">IFERROR(__xludf.UNSUPPORTED("""COMPUTED_VALUE"""),"🚛 LIBERADO")</f>
        <v>🚛 LIBERADO</v>
      </c>
      <c r="F2518" s="5">
        <f ca="1">IFERROR(__xludf.UNSUPPORTED("""COMPUTED_VALUE"""),0)</f>
        <v>0</v>
      </c>
      <c r="G2518" s="3" t="str">
        <f ca="1">IFERROR(__xludf.UNSUPPORTED("""COMPUTED_VALUE"""),"Normal")</f>
        <v>Normal</v>
      </c>
      <c r="H2518" s="4">
        <f ca="1">IFERROR(__xludf.UNSUPPORTED("""COMPUTED_VALUE"""),44894.3943518518)</f>
        <v>44894.394351851799</v>
      </c>
      <c r="I2518" s="3">
        <f ca="1">IFERROR(__xludf.UNSUPPORTED("""COMPUTED_VALUE"""),1)</f>
        <v>1</v>
      </c>
      <c r="J2518" s="4">
        <f ca="1">IFERROR(__xludf.UNSUPPORTED("""COMPUTED_VALUE"""),44894.4360185185)</f>
        <v>44894.4360185185</v>
      </c>
    </row>
    <row r="2519" spans="1:10" ht="12.75">
      <c r="A2519" s="3" t="str">
        <f ca="1">IFERROR(__xludf.UNSUPPORTED("""COMPUTED_VALUE"""),"b607d14a")</f>
        <v>b607d14a</v>
      </c>
      <c r="B2519" s="4">
        <f ca="1">IFERROR(__xludf.UNSUPPORTED("""COMPUTED_VALUE"""),44895.333449074)</f>
        <v>44895.333449074002</v>
      </c>
      <c r="C2519" s="8" t="str">
        <f ca="1">IFERROR(__xludf.UNSUPPORTED("""COMPUTED_VALUE"""),"Suape")</f>
        <v>Suape</v>
      </c>
      <c r="D2519" s="3" t="str">
        <f ca="1">IFERROR(__xludf.UNSUPPORTED("""COMPUTED_VALUE"""),"🚢 REGULAR")</f>
        <v>🚢 REGULAR</v>
      </c>
      <c r="E2519" s="3" t="str">
        <f ca="1">IFERROR(__xludf.UNSUPPORTED("""COMPUTED_VALUE"""),"🚛 LIBERADO")</f>
        <v>🚛 LIBERADO</v>
      </c>
      <c r="F2519" s="5">
        <f ca="1">IFERROR(__xludf.UNSUPPORTED("""COMPUTED_VALUE"""),0)</f>
        <v>0</v>
      </c>
      <c r="G2519" s="3" t="str">
        <f ca="1">IFERROR(__xludf.UNSUPPORTED("""COMPUTED_VALUE"""),"Normal")</f>
        <v>Normal</v>
      </c>
      <c r="H2519" s="4">
        <f ca="1">IFERROR(__xludf.UNSUPPORTED("""COMPUTED_VALUE"""),44895.333449074)</f>
        <v>44895.333449074002</v>
      </c>
      <c r="I2519" s="3">
        <f ca="1">IFERROR(__xludf.UNSUPPORTED("""COMPUTED_VALUE"""),1)</f>
        <v>1</v>
      </c>
      <c r="J2519" s="4">
        <f ca="1">IFERROR(__xludf.UNSUPPORTED("""COMPUTED_VALUE"""),44895.3751157407)</f>
        <v>44895.375115740702</v>
      </c>
    </row>
    <row r="2520" spans="1:10" ht="12.75">
      <c r="A2520" s="3" t="str">
        <f ca="1">IFERROR(__xludf.UNSUPPORTED("""COMPUTED_VALUE"""),"5c3d07ff")</f>
        <v>5c3d07ff</v>
      </c>
      <c r="B2520" s="4">
        <f ca="1">IFERROR(__xludf.UNSUPPORTED("""COMPUTED_VALUE"""),44896.3612962962)</f>
        <v>44896.3612962962</v>
      </c>
      <c r="C2520" s="7" t="str">
        <f ca="1">IFERROR(__xludf.UNSUPPORTED("""COMPUTED_VALUE"""),"Suape")</f>
        <v>Suape</v>
      </c>
      <c r="D2520" s="3" t="str">
        <f ca="1">IFERROR(__xludf.UNSUPPORTED("""COMPUTED_VALUE"""),"🚢 REGULAR")</f>
        <v>🚢 REGULAR</v>
      </c>
      <c r="E2520" s="3" t="str">
        <f ca="1">IFERROR(__xludf.UNSUPPORTED("""COMPUTED_VALUE"""),"🚛 LIBERADO")</f>
        <v>🚛 LIBERADO</v>
      </c>
      <c r="F2520" s="5">
        <f ca="1">IFERROR(__xludf.UNSUPPORTED("""COMPUTED_VALUE"""),0)</f>
        <v>0</v>
      </c>
      <c r="G2520" s="3" t="str">
        <f ca="1">IFERROR(__xludf.UNSUPPORTED("""COMPUTED_VALUE"""),"Normal")</f>
        <v>Normal</v>
      </c>
      <c r="H2520" s="4">
        <f ca="1">IFERROR(__xludf.UNSUPPORTED("""COMPUTED_VALUE"""),44896.3612962962)</f>
        <v>44896.3612962962</v>
      </c>
      <c r="I2520" s="3">
        <f ca="1">IFERROR(__xludf.UNSUPPORTED("""COMPUTED_VALUE"""),1)</f>
        <v>1</v>
      </c>
      <c r="J2520" s="4">
        <f ca="1">IFERROR(__xludf.UNSUPPORTED("""COMPUTED_VALUE"""),44896.4029629629)</f>
        <v>44896.4029629629</v>
      </c>
    </row>
    <row r="2521" spans="1:10" ht="12.75">
      <c r="A2521" s="3" t="str">
        <f ca="1">IFERROR(__xludf.UNSUPPORTED("""COMPUTED_VALUE"""),"d1aaad3a")</f>
        <v>d1aaad3a</v>
      </c>
      <c r="B2521" s="4">
        <f ca="1">IFERROR(__xludf.UNSUPPORTED("""COMPUTED_VALUE"""),44897.3596064814)</f>
        <v>44897.359606481397</v>
      </c>
      <c r="C2521" s="7" t="str">
        <f ca="1">IFERROR(__xludf.UNSUPPORTED("""COMPUTED_VALUE"""),"Suape")</f>
        <v>Suape</v>
      </c>
      <c r="D2521" s="3" t="str">
        <f ca="1">IFERROR(__xludf.UNSUPPORTED("""COMPUTED_VALUE"""),"🚢 REGULAR")</f>
        <v>🚢 REGULAR</v>
      </c>
      <c r="E2521" s="3" t="str">
        <f ca="1">IFERROR(__xludf.UNSUPPORTED("""COMPUTED_VALUE"""),"🚛 LIBERADO")</f>
        <v>🚛 LIBERADO</v>
      </c>
      <c r="F2521" s="5">
        <f ca="1">IFERROR(__xludf.UNSUPPORTED("""COMPUTED_VALUE"""),0)</f>
        <v>0</v>
      </c>
      <c r="G2521" s="3" t="str">
        <f ca="1">IFERROR(__xludf.UNSUPPORTED("""COMPUTED_VALUE"""),"Normal")</f>
        <v>Normal</v>
      </c>
      <c r="H2521" s="4">
        <f ca="1">IFERROR(__xludf.UNSUPPORTED("""COMPUTED_VALUE"""),44897.3596064814)</f>
        <v>44897.359606481397</v>
      </c>
      <c r="I2521" s="3">
        <f ca="1">IFERROR(__xludf.UNSUPPORTED("""COMPUTED_VALUE"""),1)</f>
        <v>1</v>
      </c>
      <c r="J2521" s="4">
        <f ca="1">IFERROR(__xludf.UNSUPPORTED("""COMPUTED_VALUE"""),44897.4012731481)</f>
        <v>44897.401273148098</v>
      </c>
    </row>
    <row r="2522" spans="1:10" ht="12.75">
      <c r="A2522" s="3" t="str">
        <f ca="1">IFERROR(__xludf.UNSUPPORTED("""COMPUTED_VALUE"""),"2c13c330")</f>
        <v>2c13c330</v>
      </c>
      <c r="B2522" s="4">
        <f ca="1">IFERROR(__xludf.UNSUPPORTED("""COMPUTED_VALUE"""),44900.3895138888)</f>
        <v>44900.389513888797</v>
      </c>
      <c r="C2522" s="7" t="str">
        <f ca="1">IFERROR(__xludf.UNSUPPORTED("""COMPUTED_VALUE"""),"Suape")</f>
        <v>Suape</v>
      </c>
      <c r="D2522" s="3" t="str">
        <f ca="1">IFERROR(__xludf.UNSUPPORTED("""COMPUTED_VALUE"""),"🚢 REGULAR")</f>
        <v>🚢 REGULAR</v>
      </c>
      <c r="E2522" s="3" t="str">
        <f ca="1">IFERROR(__xludf.UNSUPPORTED("""COMPUTED_VALUE"""),"🚛 LIBERADO")</f>
        <v>🚛 LIBERADO</v>
      </c>
      <c r="F2522" s="5">
        <f ca="1">IFERROR(__xludf.UNSUPPORTED("""COMPUTED_VALUE"""),0)</f>
        <v>0</v>
      </c>
      <c r="G2522" s="3" t="str">
        <f ca="1">IFERROR(__xludf.UNSUPPORTED("""COMPUTED_VALUE"""),"Normal")</f>
        <v>Normal</v>
      </c>
      <c r="H2522" s="4">
        <f ca="1">IFERROR(__xludf.UNSUPPORTED("""COMPUTED_VALUE"""),44900.3895138888)</f>
        <v>44900.389513888797</v>
      </c>
      <c r="I2522" s="3">
        <f ca="1">IFERROR(__xludf.UNSUPPORTED("""COMPUTED_VALUE"""),1)</f>
        <v>1</v>
      </c>
      <c r="J2522" s="4">
        <f ca="1">IFERROR(__xludf.UNSUPPORTED("""COMPUTED_VALUE"""),44900.4311805555)</f>
        <v>44900.431180555497</v>
      </c>
    </row>
    <row r="2523" spans="1:10" ht="12.75">
      <c r="A2523" s="3" t="str">
        <f ca="1">IFERROR(__xludf.UNSUPPORTED("""COMPUTED_VALUE"""),"08e5ac02")</f>
        <v>08e5ac02</v>
      </c>
      <c r="B2523" s="4">
        <f ca="1">IFERROR(__xludf.UNSUPPORTED("""COMPUTED_VALUE"""),44901.3755902777)</f>
        <v>44901.375590277697</v>
      </c>
      <c r="C2523" s="8" t="str">
        <f ca="1">IFERROR(__xludf.UNSUPPORTED("""COMPUTED_VALUE"""),"Suape")</f>
        <v>Suape</v>
      </c>
      <c r="D2523" s="3" t="str">
        <f ca="1">IFERROR(__xludf.UNSUPPORTED("""COMPUTED_VALUE"""),"🚢 REGULAR")</f>
        <v>🚢 REGULAR</v>
      </c>
      <c r="E2523" s="3" t="str">
        <f ca="1">IFERROR(__xludf.UNSUPPORTED("""COMPUTED_VALUE"""),"🚛 LIBERADO")</f>
        <v>🚛 LIBERADO</v>
      </c>
      <c r="F2523" s="5">
        <f ca="1">IFERROR(__xludf.UNSUPPORTED("""COMPUTED_VALUE"""),0)</f>
        <v>0</v>
      </c>
      <c r="G2523" s="3" t="str">
        <f ca="1">IFERROR(__xludf.UNSUPPORTED("""COMPUTED_VALUE"""),"Normal")</f>
        <v>Normal</v>
      </c>
      <c r="H2523" s="4">
        <f ca="1">IFERROR(__xludf.UNSUPPORTED("""COMPUTED_VALUE"""),44901.3755902777)</f>
        <v>44901.375590277697</v>
      </c>
      <c r="I2523" s="3">
        <f ca="1">IFERROR(__xludf.UNSUPPORTED("""COMPUTED_VALUE"""),1)</f>
        <v>1</v>
      </c>
      <c r="J2523" s="4">
        <f ca="1">IFERROR(__xludf.UNSUPPORTED("""COMPUTED_VALUE"""),44901.4172569444)</f>
        <v>44901.417256944398</v>
      </c>
    </row>
    <row r="2524" spans="1:10" ht="12.75">
      <c r="A2524" s="3" t="str">
        <f ca="1">IFERROR(__xludf.UNSUPPORTED("""COMPUTED_VALUE"""),"983cf719")</f>
        <v>983cf719</v>
      </c>
      <c r="B2524" s="4">
        <f ca="1">IFERROR(__xludf.UNSUPPORTED("""COMPUTED_VALUE"""),44902.3270486111)</f>
        <v>44902.3270486111</v>
      </c>
      <c r="C2524" s="8" t="str">
        <f ca="1">IFERROR(__xludf.UNSUPPORTED("""COMPUTED_VALUE"""),"Suape")</f>
        <v>Suape</v>
      </c>
      <c r="D2524" s="3" t="str">
        <f ca="1">IFERROR(__xludf.UNSUPPORTED("""COMPUTED_VALUE"""),"🚢 REGULAR")</f>
        <v>🚢 REGULAR</v>
      </c>
      <c r="E2524" s="3" t="str">
        <f ca="1">IFERROR(__xludf.UNSUPPORTED("""COMPUTED_VALUE"""),"🚛 LIBERADO")</f>
        <v>🚛 LIBERADO</v>
      </c>
      <c r="F2524" s="5">
        <f ca="1">IFERROR(__xludf.UNSUPPORTED("""COMPUTED_VALUE"""),0)</f>
        <v>0</v>
      </c>
      <c r="G2524" s="3" t="str">
        <f ca="1">IFERROR(__xludf.UNSUPPORTED("""COMPUTED_VALUE"""),"Normal")</f>
        <v>Normal</v>
      </c>
      <c r="H2524" s="4">
        <f ca="1">IFERROR(__xludf.UNSUPPORTED("""COMPUTED_VALUE"""),44902.3270486111)</f>
        <v>44902.3270486111</v>
      </c>
      <c r="I2524" s="3">
        <f ca="1">IFERROR(__xludf.UNSUPPORTED("""COMPUTED_VALUE"""),1)</f>
        <v>1</v>
      </c>
      <c r="J2524" s="4">
        <f ca="1">IFERROR(__xludf.UNSUPPORTED("""COMPUTED_VALUE"""),44902.3687152777)</f>
        <v>44902.368715277698</v>
      </c>
    </row>
    <row r="2525" spans="1:10" ht="12.75">
      <c r="A2525" s="3" t="str">
        <f ca="1">IFERROR(__xludf.UNSUPPORTED("""COMPUTED_VALUE"""),"39c34a37")</f>
        <v>39c34a37</v>
      </c>
      <c r="B2525" s="4">
        <f ca="1">IFERROR(__xludf.UNSUPPORTED("""COMPUTED_VALUE"""),44903.3229050925)</f>
        <v>44903.3229050925</v>
      </c>
      <c r="C2525" s="7" t="str">
        <f ca="1">IFERROR(__xludf.UNSUPPORTED("""COMPUTED_VALUE"""),"Suape")</f>
        <v>Suape</v>
      </c>
      <c r="D2525" s="3" t="str">
        <f ca="1">IFERROR(__xludf.UNSUPPORTED("""COMPUTED_VALUE"""),"🚢 REGULAR")</f>
        <v>🚢 REGULAR</v>
      </c>
      <c r="E2525" s="3" t="str">
        <f ca="1">IFERROR(__xludf.UNSUPPORTED("""COMPUTED_VALUE"""),"🚛 LIBERADO")</f>
        <v>🚛 LIBERADO</v>
      </c>
      <c r="F2525" s="5">
        <f ca="1">IFERROR(__xludf.UNSUPPORTED("""COMPUTED_VALUE"""),0)</f>
        <v>0</v>
      </c>
      <c r="G2525" s="3" t="str">
        <f ca="1">IFERROR(__xludf.UNSUPPORTED("""COMPUTED_VALUE"""),"Normal")</f>
        <v>Normal</v>
      </c>
      <c r="H2525" s="4">
        <f ca="1">IFERROR(__xludf.UNSUPPORTED("""COMPUTED_VALUE"""),44903.3229050925)</f>
        <v>44903.3229050925</v>
      </c>
      <c r="I2525" s="3">
        <f ca="1">IFERROR(__xludf.UNSUPPORTED("""COMPUTED_VALUE"""),1)</f>
        <v>1</v>
      </c>
      <c r="J2525" s="4">
        <f ca="1">IFERROR(__xludf.UNSUPPORTED("""COMPUTED_VALUE"""),44903.3645717592)</f>
        <v>44903.364571759201</v>
      </c>
    </row>
    <row r="2526" spans="1:10" ht="12.75">
      <c r="A2526" s="3" t="str">
        <f ca="1">IFERROR(__xludf.UNSUPPORTED("""COMPUTED_VALUE"""),"31b9981a")</f>
        <v>31b9981a</v>
      </c>
      <c r="B2526" s="4">
        <f ca="1">IFERROR(__xludf.UNSUPPORTED("""COMPUTED_VALUE"""),44904.369537037)</f>
        <v>44904.369537036997</v>
      </c>
      <c r="C2526" s="7" t="str">
        <f ca="1">IFERROR(__xludf.UNSUPPORTED("""COMPUTED_VALUE"""),"Suape")</f>
        <v>Suape</v>
      </c>
      <c r="D2526" s="3" t="str">
        <f ca="1">IFERROR(__xludf.UNSUPPORTED("""COMPUTED_VALUE"""),"🚢 REGULAR")</f>
        <v>🚢 REGULAR</v>
      </c>
      <c r="E2526" s="3" t="str">
        <f ca="1">IFERROR(__xludf.UNSUPPORTED("""COMPUTED_VALUE"""),"🚛 LIBERADO")</f>
        <v>🚛 LIBERADO</v>
      </c>
      <c r="F2526" s="5">
        <f ca="1">IFERROR(__xludf.UNSUPPORTED("""COMPUTED_VALUE"""),0)</f>
        <v>0</v>
      </c>
      <c r="G2526" s="3" t="str">
        <f ca="1">IFERROR(__xludf.UNSUPPORTED("""COMPUTED_VALUE"""),"Normal")</f>
        <v>Normal</v>
      </c>
      <c r="H2526" s="4">
        <f ca="1">IFERROR(__xludf.UNSUPPORTED("""COMPUTED_VALUE"""),44904.369537037)</f>
        <v>44904.369537036997</v>
      </c>
      <c r="I2526" s="3">
        <f ca="1">IFERROR(__xludf.UNSUPPORTED("""COMPUTED_VALUE"""),1)</f>
        <v>1</v>
      </c>
      <c r="J2526" s="4">
        <f ca="1">IFERROR(__xludf.UNSUPPORTED("""COMPUTED_VALUE"""),44904.4112037037)</f>
        <v>44904.411203703698</v>
      </c>
    </row>
    <row r="2527" spans="1:10" ht="12.75">
      <c r="A2527" s="3" t="str">
        <f ca="1">IFERROR(__xludf.UNSUPPORTED("""COMPUTED_VALUE"""),"a75f84a7")</f>
        <v>a75f84a7</v>
      </c>
      <c r="B2527" s="4">
        <f ca="1">IFERROR(__xludf.UNSUPPORTED("""COMPUTED_VALUE"""),44907.3871412037)</f>
        <v>44907.387141203697</v>
      </c>
      <c r="C2527" s="8" t="str">
        <f ca="1">IFERROR(__xludf.UNSUPPORTED("""COMPUTED_VALUE"""),"Suape")</f>
        <v>Suape</v>
      </c>
      <c r="D2527" s="3" t="str">
        <f ca="1">IFERROR(__xludf.UNSUPPORTED("""COMPUTED_VALUE"""),"🚢 REGULAR")</f>
        <v>🚢 REGULAR</v>
      </c>
      <c r="E2527" s="3" t="str">
        <f ca="1">IFERROR(__xludf.UNSUPPORTED("""COMPUTED_VALUE"""),"🚛 LIBERADO")</f>
        <v>🚛 LIBERADO</v>
      </c>
      <c r="F2527" s="5">
        <f ca="1">IFERROR(__xludf.UNSUPPORTED("""COMPUTED_VALUE"""),0)</f>
        <v>0</v>
      </c>
      <c r="G2527" s="3" t="str">
        <f ca="1">IFERROR(__xludf.UNSUPPORTED("""COMPUTED_VALUE"""),"Normal")</f>
        <v>Normal</v>
      </c>
      <c r="H2527" s="4">
        <f ca="1">IFERROR(__xludf.UNSUPPORTED("""COMPUTED_VALUE"""),44907.3871412037)</f>
        <v>44907.387141203697</v>
      </c>
      <c r="I2527" s="3">
        <f ca="1">IFERROR(__xludf.UNSUPPORTED("""COMPUTED_VALUE"""),1)</f>
        <v>1</v>
      </c>
      <c r="J2527" s="4">
        <f ca="1">IFERROR(__xludf.UNSUPPORTED("""COMPUTED_VALUE"""),44907.4288078703)</f>
        <v>44907.428807870303</v>
      </c>
    </row>
    <row r="2528" spans="1:10" ht="12.75">
      <c r="A2528" s="3" t="str">
        <f ca="1">IFERROR(__xludf.UNSUPPORTED("""COMPUTED_VALUE"""),"3c654d8a")</f>
        <v>3c654d8a</v>
      </c>
      <c r="B2528" s="4">
        <f ca="1">IFERROR(__xludf.UNSUPPORTED("""COMPUTED_VALUE"""),44908.3670833333)</f>
        <v>44908.367083333302</v>
      </c>
      <c r="C2528" s="7" t="str">
        <f ca="1">IFERROR(__xludf.UNSUPPORTED("""COMPUTED_VALUE"""),"Suape")</f>
        <v>Suape</v>
      </c>
      <c r="D2528" s="3" t="str">
        <f ca="1">IFERROR(__xludf.UNSUPPORTED("""COMPUTED_VALUE"""),"🚢 REGULAR")</f>
        <v>🚢 REGULAR</v>
      </c>
      <c r="E2528" s="3" t="str">
        <f ca="1">IFERROR(__xludf.UNSUPPORTED("""COMPUTED_VALUE"""),"🚛 LIBERADO")</f>
        <v>🚛 LIBERADO</v>
      </c>
      <c r="F2528" s="5">
        <f ca="1">IFERROR(__xludf.UNSUPPORTED("""COMPUTED_VALUE"""),0)</f>
        <v>0</v>
      </c>
      <c r="G2528" s="3" t="str">
        <f ca="1">IFERROR(__xludf.UNSUPPORTED("""COMPUTED_VALUE"""),"Normal")</f>
        <v>Normal</v>
      </c>
      <c r="H2528" s="4">
        <f ca="1">IFERROR(__xludf.UNSUPPORTED("""COMPUTED_VALUE"""),44908.3670833333)</f>
        <v>44908.367083333302</v>
      </c>
      <c r="I2528" s="3">
        <f ca="1">IFERROR(__xludf.UNSUPPORTED("""COMPUTED_VALUE"""),1)</f>
        <v>1</v>
      </c>
      <c r="J2528" s="4">
        <f ca="1">IFERROR(__xludf.UNSUPPORTED("""COMPUTED_VALUE"""),44908.40875)</f>
        <v>44908.408750000002</v>
      </c>
    </row>
    <row r="2529" spans="1:10" ht="12.75">
      <c r="A2529" s="3" t="str">
        <f ca="1">IFERROR(__xludf.UNSUPPORTED("""COMPUTED_VALUE"""),"20621882")</f>
        <v>20621882</v>
      </c>
      <c r="B2529" s="4">
        <f ca="1">IFERROR(__xludf.UNSUPPORTED("""COMPUTED_VALUE"""),44909.372662037)</f>
        <v>44909.372662037</v>
      </c>
      <c r="C2529" s="7" t="str">
        <f ca="1">IFERROR(__xludf.UNSUPPORTED("""COMPUTED_VALUE"""),"Suape")</f>
        <v>Suape</v>
      </c>
      <c r="D2529" s="3" t="str">
        <f ca="1">IFERROR(__xludf.UNSUPPORTED("""COMPUTED_VALUE"""),"🚢 REGULAR")</f>
        <v>🚢 REGULAR</v>
      </c>
      <c r="E2529" s="3" t="str">
        <f ca="1">IFERROR(__xludf.UNSUPPORTED("""COMPUTED_VALUE"""),"🚛 LIBERADO")</f>
        <v>🚛 LIBERADO</v>
      </c>
      <c r="F2529" s="5">
        <f ca="1">IFERROR(__xludf.UNSUPPORTED("""COMPUTED_VALUE"""),0)</f>
        <v>0</v>
      </c>
      <c r="G2529" s="3" t="str">
        <f ca="1">IFERROR(__xludf.UNSUPPORTED("""COMPUTED_VALUE"""),"Normal")</f>
        <v>Normal</v>
      </c>
      <c r="H2529" s="4">
        <f ca="1">IFERROR(__xludf.UNSUPPORTED("""COMPUTED_VALUE"""),44909.372662037)</f>
        <v>44909.372662037</v>
      </c>
      <c r="I2529" s="3">
        <f ca="1">IFERROR(__xludf.UNSUPPORTED("""COMPUTED_VALUE"""),1)</f>
        <v>1</v>
      </c>
      <c r="J2529" s="4">
        <f ca="1">IFERROR(__xludf.UNSUPPORTED("""COMPUTED_VALUE"""),44909.4143287037)</f>
        <v>44909.4143287037</v>
      </c>
    </row>
    <row r="2530" spans="1:10" ht="12.75">
      <c r="A2530" s="3" t="str">
        <f ca="1">IFERROR(__xludf.UNSUPPORTED("""COMPUTED_VALUE"""),"5b93c845")</f>
        <v>5b93c845</v>
      </c>
      <c r="B2530" s="4">
        <f ca="1">IFERROR(__xludf.UNSUPPORTED("""COMPUTED_VALUE"""),44910.3519444444)</f>
        <v>44910.351944444403</v>
      </c>
      <c r="C2530" s="8" t="str">
        <f ca="1">IFERROR(__xludf.UNSUPPORTED("""COMPUTED_VALUE"""),"Suape")</f>
        <v>Suape</v>
      </c>
      <c r="D2530" s="3" t="str">
        <f ca="1">IFERROR(__xludf.UNSUPPORTED("""COMPUTED_VALUE"""),"🚢 REGULAR")</f>
        <v>🚢 REGULAR</v>
      </c>
      <c r="E2530" s="3" t="str">
        <f ca="1">IFERROR(__xludf.UNSUPPORTED("""COMPUTED_VALUE"""),"🚛 LIBERADO")</f>
        <v>🚛 LIBERADO</v>
      </c>
      <c r="F2530" s="5">
        <f ca="1">IFERROR(__xludf.UNSUPPORTED("""COMPUTED_VALUE"""),0)</f>
        <v>0</v>
      </c>
      <c r="G2530" s="3" t="str">
        <f ca="1">IFERROR(__xludf.UNSUPPORTED("""COMPUTED_VALUE"""),"Normal")</f>
        <v>Normal</v>
      </c>
      <c r="H2530" s="4">
        <f ca="1">IFERROR(__xludf.UNSUPPORTED("""COMPUTED_VALUE"""),44910.3519444444)</f>
        <v>44910.351944444403</v>
      </c>
      <c r="I2530" s="3">
        <f ca="1">IFERROR(__xludf.UNSUPPORTED("""COMPUTED_VALUE"""),1)</f>
        <v>1</v>
      </c>
      <c r="J2530" s="4">
        <f ca="1">IFERROR(__xludf.UNSUPPORTED("""COMPUTED_VALUE"""),44910.3936111111)</f>
        <v>44910.393611111103</v>
      </c>
    </row>
    <row r="2531" spans="1:10" ht="12.75">
      <c r="A2531" s="3" t="str">
        <f ca="1">IFERROR(__xludf.UNSUPPORTED("""COMPUTED_VALUE"""),"08ff2e82")</f>
        <v>08ff2e82</v>
      </c>
      <c r="B2531" s="4">
        <f ca="1">IFERROR(__xludf.UNSUPPORTED("""COMPUTED_VALUE"""),44910.3521875)</f>
        <v>44910.352187500001</v>
      </c>
      <c r="C2531" s="7" t="str">
        <f ca="1">IFERROR(__xludf.UNSUPPORTED("""COMPUTED_VALUE"""),"Suape")</f>
        <v>Suape</v>
      </c>
      <c r="D2531" s="3" t="str">
        <f ca="1">IFERROR(__xludf.UNSUPPORTED("""COMPUTED_VALUE"""),"🚢 REGULAR")</f>
        <v>🚢 REGULAR</v>
      </c>
      <c r="E2531" s="3" t="str">
        <f ca="1">IFERROR(__xludf.UNSUPPORTED("""COMPUTED_VALUE"""),"🚛 LIBERADO")</f>
        <v>🚛 LIBERADO</v>
      </c>
      <c r="F2531" s="5">
        <f ca="1">IFERROR(__xludf.UNSUPPORTED("""COMPUTED_VALUE"""),0)</f>
        <v>0</v>
      </c>
      <c r="G2531" s="3" t="str">
        <f ca="1">IFERROR(__xludf.UNSUPPORTED("""COMPUTED_VALUE"""),"Normal")</f>
        <v>Normal</v>
      </c>
      <c r="H2531" s="4">
        <f ca="1">IFERROR(__xludf.UNSUPPORTED("""COMPUTED_VALUE"""),44910.3521875)</f>
        <v>44910.352187500001</v>
      </c>
      <c r="I2531" s="3">
        <f ca="1">IFERROR(__xludf.UNSUPPORTED("""COMPUTED_VALUE"""),1)</f>
        <v>1</v>
      </c>
      <c r="J2531" s="4">
        <f ca="1">IFERROR(__xludf.UNSUPPORTED("""COMPUTED_VALUE"""),44910.3938541666)</f>
        <v>44910.393854166599</v>
      </c>
    </row>
    <row r="2532" spans="1:10" ht="12.75">
      <c r="A2532" s="3" t="str">
        <f ca="1">IFERROR(__xludf.UNSUPPORTED("""COMPUTED_VALUE"""),"2f7de516")</f>
        <v>2f7de516</v>
      </c>
      <c r="B2532" s="4">
        <f ca="1">IFERROR(__xludf.UNSUPPORTED("""COMPUTED_VALUE"""),44911.3629629629)</f>
        <v>44911.362962962899</v>
      </c>
      <c r="C2532" s="8" t="str">
        <f ca="1">IFERROR(__xludf.UNSUPPORTED("""COMPUTED_VALUE"""),"Suape")</f>
        <v>Suape</v>
      </c>
      <c r="D2532" s="3" t="str">
        <f ca="1">IFERROR(__xludf.UNSUPPORTED("""COMPUTED_VALUE"""),"🚢 REGULAR")</f>
        <v>🚢 REGULAR</v>
      </c>
      <c r="E2532" s="3" t="str">
        <f ca="1">IFERROR(__xludf.UNSUPPORTED("""COMPUTED_VALUE"""),"🚛 LIBERADO")</f>
        <v>🚛 LIBERADO</v>
      </c>
      <c r="F2532" s="5">
        <f ca="1">IFERROR(__xludf.UNSUPPORTED("""COMPUTED_VALUE"""),0)</f>
        <v>0</v>
      </c>
      <c r="G2532" s="3" t="str">
        <f ca="1">IFERROR(__xludf.UNSUPPORTED("""COMPUTED_VALUE"""),"Normal")</f>
        <v>Normal</v>
      </c>
      <c r="H2532" s="4">
        <f ca="1">IFERROR(__xludf.UNSUPPORTED("""COMPUTED_VALUE"""),44911.3629629629)</f>
        <v>44911.362962962899</v>
      </c>
      <c r="I2532" s="3">
        <f ca="1">IFERROR(__xludf.UNSUPPORTED("""COMPUTED_VALUE"""),1)</f>
        <v>1</v>
      </c>
      <c r="J2532" s="4">
        <f ca="1">IFERROR(__xludf.UNSUPPORTED("""COMPUTED_VALUE"""),44911.4046296296)</f>
        <v>44911.4046296296</v>
      </c>
    </row>
    <row r="2533" spans="1:10" ht="12.75">
      <c r="A2533" s="3" t="str">
        <f ca="1">IFERROR(__xludf.UNSUPPORTED("""COMPUTED_VALUE"""),"71486c7f")</f>
        <v>71486c7f</v>
      </c>
      <c r="B2533" s="4">
        <f ca="1">IFERROR(__xludf.UNSUPPORTED("""COMPUTED_VALUE"""),44912.6119907407)</f>
        <v>44912.611990740697</v>
      </c>
      <c r="C2533" s="7" t="str">
        <f ca="1">IFERROR(__xludf.UNSUPPORTED("""COMPUTED_VALUE"""),"Suape")</f>
        <v>Suape</v>
      </c>
      <c r="D2533" s="3" t="str">
        <f ca="1">IFERROR(__xludf.UNSUPPORTED("""COMPUTED_VALUE"""),"🚢 REGULAR")</f>
        <v>🚢 REGULAR</v>
      </c>
      <c r="E2533" s="3" t="str">
        <f ca="1">IFERROR(__xludf.UNSUPPORTED("""COMPUTED_VALUE"""),"🚛 LIBERADO")</f>
        <v>🚛 LIBERADO</v>
      </c>
      <c r="F2533" s="5">
        <f ca="1">IFERROR(__xludf.UNSUPPORTED("""COMPUTED_VALUE"""),0)</f>
        <v>0</v>
      </c>
      <c r="G2533" s="3" t="str">
        <f ca="1">IFERROR(__xludf.UNSUPPORTED("""COMPUTED_VALUE"""),"Normal")</f>
        <v>Normal</v>
      </c>
      <c r="H2533" s="4">
        <f ca="1">IFERROR(__xludf.UNSUPPORTED("""COMPUTED_VALUE"""),44912.6119907407)</f>
        <v>44912.611990740697</v>
      </c>
      <c r="I2533" s="3">
        <f ca="1">IFERROR(__xludf.UNSUPPORTED("""COMPUTED_VALUE"""),1)</f>
        <v>1</v>
      </c>
      <c r="J2533" s="4">
        <f ca="1">IFERROR(__xludf.UNSUPPORTED("""COMPUTED_VALUE"""),44912.6536574074)</f>
        <v>44912.653657407398</v>
      </c>
    </row>
    <row r="2534" spans="1:10" ht="12.75">
      <c r="A2534" s="3" t="str">
        <f ca="1">IFERROR(__xludf.UNSUPPORTED("""COMPUTED_VALUE"""),"1c88d8f6")</f>
        <v>1c88d8f6</v>
      </c>
      <c r="B2534" s="4">
        <f ca="1">IFERROR(__xludf.UNSUPPORTED("""COMPUTED_VALUE"""),44913.3693634259)</f>
        <v>44913.369363425903</v>
      </c>
      <c r="C2534" s="8" t="str">
        <f ca="1">IFERROR(__xludf.UNSUPPORTED("""COMPUTED_VALUE"""),"Suape")</f>
        <v>Suape</v>
      </c>
      <c r="D2534" s="3" t="str">
        <f ca="1">IFERROR(__xludf.UNSUPPORTED("""COMPUTED_VALUE"""),"🚢 REGULAR")</f>
        <v>🚢 REGULAR</v>
      </c>
      <c r="E2534" s="3" t="str">
        <f ca="1">IFERROR(__xludf.UNSUPPORTED("""COMPUTED_VALUE"""),"🚛 LIBERADO")</f>
        <v>🚛 LIBERADO</v>
      </c>
      <c r="F2534" s="5">
        <f ca="1">IFERROR(__xludf.UNSUPPORTED("""COMPUTED_VALUE"""),0)</f>
        <v>0</v>
      </c>
      <c r="G2534" s="3" t="str">
        <f ca="1">IFERROR(__xludf.UNSUPPORTED("""COMPUTED_VALUE"""),"Normal")</f>
        <v>Normal</v>
      </c>
      <c r="H2534" s="4">
        <f ca="1">IFERROR(__xludf.UNSUPPORTED("""COMPUTED_VALUE"""),44913.3693634259)</f>
        <v>44913.369363425903</v>
      </c>
      <c r="I2534" s="3">
        <f ca="1">IFERROR(__xludf.UNSUPPORTED("""COMPUTED_VALUE"""),1)</f>
        <v>1</v>
      </c>
      <c r="J2534" s="4">
        <f ca="1">IFERROR(__xludf.UNSUPPORTED("""COMPUTED_VALUE"""),44913.4110300926)</f>
        <v>44913.411030092597</v>
      </c>
    </row>
    <row r="2535" spans="1:10" ht="12.75">
      <c r="A2535" s="3" t="str">
        <f ca="1">IFERROR(__xludf.UNSUPPORTED("""COMPUTED_VALUE"""),"ad711f50")</f>
        <v>ad711f50</v>
      </c>
      <c r="B2535" s="4">
        <f ca="1">IFERROR(__xludf.UNSUPPORTED("""COMPUTED_VALUE"""),44914.3455671296)</f>
        <v>44914.345567129603</v>
      </c>
      <c r="C2535" s="7" t="str">
        <f ca="1">IFERROR(__xludf.UNSUPPORTED("""COMPUTED_VALUE"""),"Suape")</f>
        <v>Suape</v>
      </c>
      <c r="D2535" s="3" t="str">
        <f ca="1">IFERROR(__xludf.UNSUPPORTED("""COMPUTED_VALUE"""),"🚢 REGULAR")</f>
        <v>🚢 REGULAR</v>
      </c>
      <c r="E2535" s="3" t="str">
        <f ca="1">IFERROR(__xludf.UNSUPPORTED("""COMPUTED_VALUE"""),"🚛 LIBERADO")</f>
        <v>🚛 LIBERADO</v>
      </c>
      <c r="F2535" s="5">
        <f ca="1">IFERROR(__xludf.UNSUPPORTED("""COMPUTED_VALUE"""),0)</f>
        <v>0</v>
      </c>
      <c r="G2535" s="3" t="str">
        <f ca="1">IFERROR(__xludf.UNSUPPORTED("""COMPUTED_VALUE"""),"Normal")</f>
        <v>Normal</v>
      </c>
      <c r="H2535" s="4">
        <f ca="1">IFERROR(__xludf.UNSUPPORTED("""COMPUTED_VALUE"""),44914.3455671296)</f>
        <v>44914.345567129603</v>
      </c>
      <c r="I2535" s="3">
        <f ca="1">IFERROR(__xludf.UNSUPPORTED("""COMPUTED_VALUE"""),1)</f>
        <v>1</v>
      </c>
      <c r="J2535" s="4">
        <f ca="1">IFERROR(__xludf.UNSUPPORTED("""COMPUTED_VALUE"""),44914.3872337962)</f>
        <v>44914.387233796202</v>
      </c>
    </row>
    <row r="2536" spans="1:10" ht="12.75">
      <c r="A2536" s="3" t="str">
        <f ca="1">IFERROR(__xludf.UNSUPPORTED("""COMPUTED_VALUE"""),"cf0cfd4e")</f>
        <v>cf0cfd4e</v>
      </c>
      <c r="B2536" s="4">
        <f ca="1">IFERROR(__xludf.UNSUPPORTED("""COMPUTED_VALUE"""),44915.2688773148)</f>
        <v>44915.268877314797</v>
      </c>
      <c r="C2536" s="7" t="str">
        <f ca="1">IFERROR(__xludf.UNSUPPORTED("""COMPUTED_VALUE"""),"Suape")</f>
        <v>Suape</v>
      </c>
      <c r="D2536" s="3" t="str">
        <f ca="1">IFERROR(__xludf.UNSUPPORTED("""COMPUTED_VALUE"""),"🚢 REGULAR")</f>
        <v>🚢 REGULAR</v>
      </c>
      <c r="E2536" s="3" t="str">
        <f ca="1">IFERROR(__xludf.UNSUPPORTED("""COMPUTED_VALUE"""),"🚛 LIBERADO")</f>
        <v>🚛 LIBERADO</v>
      </c>
      <c r="F2536" s="5">
        <f ca="1">IFERROR(__xludf.UNSUPPORTED("""COMPUTED_VALUE"""),0)</f>
        <v>0</v>
      </c>
      <c r="G2536" s="3" t="str">
        <f ca="1">IFERROR(__xludf.UNSUPPORTED("""COMPUTED_VALUE"""),"Normal")</f>
        <v>Normal</v>
      </c>
      <c r="H2536" s="4">
        <f ca="1">IFERROR(__xludf.UNSUPPORTED("""COMPUTED_VALUE"""),44915.2688773148)</f>
        <v>44915.268877314797</v>
      </c>
      <c r="I2536" s="3">
        <f ca="1">IFERROR(__xludf.UNSUPPORTED("""COMPUTED_VALUE"""),1)</f>
        <v>1</v>
      </c>
      <c r="J2536" s="4">
        <f ca="1">IFERROR(__xludf.UNSUPPORTED("""COMPUTED_VALUE"""),44915.3105439814)</f>
        <v>44915.310543981403</v>
      </c>
    </row>
    <row r="2537" spans="1:10" ht="12.75">
      <c r="A2537" s="3" t="str">
        <f ca="1">IFERROR(__xludf.UNSUPPORTED("""COMPUTED_VALUE"""),"b8b976f9")</f>
        <v>b8b976f9</v>
      </c>
      <c r="B2537" s="4">
        <f ca="1">IFERROR(__xludf.UNSUPPORTED("""COMPUTED_VALUE"""),44916.3720949074)</f>
        <v>44916.372094907398</v>
      </c>
      <c r="C2537" s="8" t="str">
        <f ca="1">IFERROR(__xludf.UNSUPPORTED("""COMPUTED_VALUE"""),"Suape")</f>
        <v>Suape</v>
      </c>
      <c r="D2537" s="3" t="str">
        <f ca="1">IFERROR(__xludf.UNSUPPORTED("""COMPUTED_VALUE"""),"🚢 REGULAR")</f>
        <v>🚢 REGULAR</v>
      </c>
      <c r="E2537" s="3" t="str">
        <f ca="1">IFERROR(__xludf.UNSUPPORTED("""COMPUTED_VALUE"""),"🚛 LIBERADO")</f>
        <v>🚛 LIBERADO</v>
      </c>
      <c r="F2537" s="5">
        <f ca="1">IFERROR(__xludf.UNSUPPORTED("""COMPUTED_VALUE"""),0)</f>
        <v>0</v>
      </c>
      <c r="G2537" s="3" t="str">
        <f ca="1">IFERROR(__xludf.UNSUPPORTED("""COMPUTED_VALUE"""),"Normal")</f>
        <v>Normal</v>
      </c>
      <c r="H2537" s="4">
        <f ca="1">IFERROR(__xludf.UNSUPPORTED("""COMPUTED_VALUE"""),44916.3720949074)</f>
        <v>44916.372094907398</v>
      </c>
      <c r="I2537" s="3">
        <f ca="1">IFERROR(__xludf.UNSUPPORTED("""COMPUTED_VALUE"""),1)</f>
        <v>1</v>
      </c>
      <c r="J2537" s="4">
        <f ca="1">IFERROR(__xludf.UNSUPPORTED("""COMPUTED_VALUE"""),44916.413761574)</f>
        <v>44916.413761573996</v>
      </c>
    </row>
    <row r="2538" spans="1:10" ht="12.75">
      <c r="A2538" s="3" t="str">
        <f ca="1">IFERROR(__xludf.UNSUPPORTED("""COMPUTED_VALUE"""),"731e080c")</f>
        <v>731e080c</v>
      </c>
      <c r="B2538" s="4">
        <f ca="1">IFERROR(__xludf.UNSUPPORTED("""COMPUTED_VALUE"""),44918.3837037037)</f>
        <v>44918.383703703701</v>
      </c>
      <c r="C2538" s="8" t="str">
        <f ca="1">IFERROR(__xludf.UNSUPPORTED("""COMPUTED_VALUE"""),"Suape")</f>
        <v>Suape</v>
      </c>
      <c r="D2538" s="3" t="str">
        <f ca="1">IFERROR(__xludf.UNSUPPORTED("""COMPUTED_VALUE"""),"🚢 REGULAR")</f>
        <v>🚢 REGULAR</v>
      </c>
      <c r="E2538" s="3" t="str">
        <f ca="1">IFERROR(__xludf.UNSUPPORTED("""COMPUTED_VALUE"""),"🚛 LIBERADO")</f>
        <v>🚛 LIBERADO</v>
      </c>
      <c r="F2538" s="5">
        <f ca="1">IFERROR(__xludf.UNSUPPORTED("""COMPUTED_VALUE"""),0)</f>
        <v>0</v>
      </c>
      <c r="G2538" s="3" t="str">
        <f ca="1">IFERROR(__xludf.UNSUPPORTED("""COMPUTED_VALUE"""),"Normal")</f>
        <v>Normal</v>
      </c>
      <c r="H2538" s="4">
        <f ca="1">IFERROR(__xludf.UNSUPPORTED("""COMPUTED_VALUE"""),44918.3837037037)</f>
        <v>44918.383703703701</v>
      </c>
      <c r="I2538" s="3">
        <f ca="1">IFERROR(__xludf.UNSUPPORTED("""COMPUTED_VALUE"""),1)</f>
        <v>1</v>
      </c>
      <c r="J2538" s="4">
        <f ca="1">IFERROR(__xludf.UNSUPPORTED("""COMPUTED_VALUE"""),44918.4253703703)</f>
        <v>44918.4253703703</v>
      </c>
    </row>
    <row r="2539" spans="1:10" ht="12.75">
      <c r="A2539" s="3" t="str">
        <f ca="1">IFERROR(__xludf.UNSUPPORTED("""COMPUTED_VALUE"""),"e7f1efeb")</f>
        <v>e7f1efeb</v>
      </c>
      <c r="B2539" s="4">
        <f ca="1">IFERROR(__xludf.UNSUPPORTED("""COMPUTED_VALUE"""),44919.5389930555)</f>
        <v>44919.538993055503</v>
      </c>
      <c r="C2539" s="7" t="str">
        <f ca="1">IFERROR(__xludf.UNSUPPORTED("""COMPUTED_VALUE"""),"Suape")</f>
        <v>Suape</v>
      </c>
      <c r="D2539" s="3" t="str">
        <f ca="1">IFERROR(__xludf.UNSUPPORTED("""COMPUTED_VALUE"""),"🚢 REGULAR")</f>
        <v>🚢 REGULAR</v>
      </c>
      <c r="E2539" s="3" t="str">
        <f ca="1">IFERROR(__xludf.UNSUPPORTED("""COMPUTED_VALUE"""),"🚛 LIBERADO")</f>
        <v>🚛 LIBERADO</v>
      </c>
      <c r="F2539" s="5">
        <f ca="1">IFERROR(__xludf.UNSUPPORTED("""COMPUTED_VALUE"""),0)</f>
        <v>0</v>
      </c>
      <c r="G2539" s="3" t="str">
        <f ca="1">IFERROR(__xludf.UNSUPPORTED("""COMPUTED_VALUE"""),"Normal")</f>
        <v>Normal</v>
      </c>
      <c r="H2539" s="4">
        <f ca="1">IFERROR(__xludf.UNSUPPORTED("""COMPUTED_VALUE"""),44919.5389930555)</f>
        <v>44919.538993055503</v>
      </c>
      <c r="I2539" s="3">
        <f ca="1">IFERROR(__xludf.UNSUPPORTED("""COMPUTED_VALUE"""),1)</f>
        <v>1</v>
      </c>
      <c r="J2539" s="4">
        <f ca="1">IFERROR(__xludf.UNSUPPORTED("""COMPUTED_VALUE"""),44919.5806597222)</f>
        <v>44919.580659722204</v>
      </c>
    </row>
    <row r="2540" spans="1:10" ht="12.75">
      <c r="A2540" s="3" t="str">
        <f ca="1">IFERROR(__xludf.UNSUPPORTED("""COMPUTED_VALUE"""),"fb2998c3")</f>
        <v>fb2998c3</v>
      </c>
      <c r="B2540" s="4">
        <f ca="1">IFERROR(__xludf.UNSUPPORTED("""COMPUTED_VALUE"""),44920.604386574)</f>
        <v>44920.604386573999</v>
      </c>
      <c r="C2540" s="8" t="str">
        <f ca="1">IFERROR(__xludf.UNSUPPORTED("""COMPUTED_VALUE"""),"Suape")</f>
        <v>Suape</v>
      </c>
      <c r="D2540" s="3" t="str">
        <f ca="1">IFERROR(__xludf.UNSUPPORTED("""COMPUTED_VALUE"""),"🚢 REGULAR")</f>
        <v>🚢 REGULAR</v>
      </c>
      <c r="E2540" s="3" t="str">
        <f ca="1">IFERROR(__xludf.UNSUPPORTED("""COMPUTED_VALUE"""),"🚛 LIBERADO")</f>
        <v>🚛 LIBERADO</v>
      </c>
      <c r="F2540" s="5">
        <f ca="1">IFERROR(__xludf.UNSUPPORTED("""COMPUTED_VALUE"""),0)</f>
        <v>0</v>
      </c>
      <c r="G2540" s="3" t="str">
        <f ca="1">IFERROR(__xludf.UNSUPPORTED("""COMPUTED_VALUE"""),"Normal")</f>
        <v>Normal</v>
      </c>
      <c r="H2540" s="4">
        <f ca="1">IFERROR(__xludf.UNSUPPORTED("""COMPUTED_VALUE"""),44920.604386574)</f>
        <v>44920.604386573999</v>
      </c>
      <c r="I2540" s="3">
        <f ca="1">IFERROR(__xludf.UNSUPPORTED("""COMPUTED_VALUE"""),1)</f>
        <v>1</v>
      </c>
      <c r="J2540" s="4">
        <f ca="1">IFERROR(__xludf.UNSUPPORTED("""COMPUTED_VALUE"""),44920.6460532407)</f>
        <v>44920.6460532407</v>
      </c>
    </row>
    <row r="2541" spans="1:10" ht="12.75">
      <c r="A2541" s="3" t="str">
        <f ca="1">IFERROR(__xludf.UNSUPPORTED("""COMPUTED_VALUE"""),"4bd33405")</f>
        <v>4bd33405</v>
      </c>
      <c r="B2541" s="4">
        <f ca="1">IFERROR(__xludf.UNSUPPORTED("""COMPUTED_VALUE"""),44921.6119560185)</f>
        <v>44921.611956018503</v>
      </c>
      <c r="C2541" s="7" t="str">
        <f ca="1">IFERROR(__xludf.UNSUPPORTED("""COMPUTED_VALUE"""),"Suape")</f>
        <v>Suape</v>
      </c>
      <c r="D2541" s="3" t="str">
        <f ca="1">IFERROR(__xludf.UNSUPPORTED("""COMPUTED_VALUE"""),"🚢 REGULAR")</f>
        <v>🚢 REGULAR</v>
      </c>
      <c r="E2541" s="3" t="str">
        <f ca="1">IFERROR(__xludf.UNSUPPORTED("""COMPUTED_VALUE"""),"🚛 LIBERADO")</f>
        <v>🚛 LIBERADO</v>
      </c>
      <c r="F2541" s="5">
        <f ca="1">IFERROR(__xludf.UNSUPPORTED("""COMPUTED_VALUE"""),0)</f>
        <v>0</v>
      </c>
      <c r="G2541" s="3" t="str">
        <f ca="1">IFERROR(__xludf.UNSUPPORTED("""COMPUTED_VALUE"""),"Normal")</f>
        <v>Normal</v>
      </c>
      <c r="H2541" s="4">
        <f ca="1">IFERROR(__xludf.UNSUPPORTED("""COMPUTED_VALUE"""),44921.6119560185)</f>
        <v>44921.611956018503</v>
      </c>
      <c r="I2541" s="3">
        <f ca="1">IFERROR(__xludf.UNSUPPORTED("""COMPUTED_VALUE"""),1)</f>
        <v>1</v>
      </c>
      <c r="J2541" s="4">
        <f ca="1">IFERROR(__xludf.UNSUPPORTED("""COMPUTED_VALUE"""),44921.6536226851)</f>
        <v>44921.653622685102</v>
      </c>
    </row>
    <row r="2542" spans="1:10" ht="12.75">
      <c r="A2542" s="3" t="str">
        <f ca="1">IFERROR(__xludf.UNSUPPORTED("""COMPUTED_VALUE"""),"28b15537")</f>
        <v>28b15537</v>
      </c>
      <c r="B2542" s="4">
        <f ca="1">IFERROR(__xludf.UNSUPPORTED("""COMPUTED_VALUE"""),44922.3329976851)</f>
        <v>44922.332997685102</v>
      </c>
      <c r="C2542" s="7" t="str">
        <f ca="1">IFERROR(__xludf.UNSUPPORTED("""COMPUTED_VALUE"""),"Suape")</f>
        <v>Suape</v>
      </c>
      <c r="D2542" s="3" t="str">
        <f ca="1">IFERROR(__xludf.UNSUPPORTED("""COMPUTED_VALUE"""),"🚢 REGULAR")</f>
        <v>🚢 REGULAR</v>
      </c>
      <c r="E2542" s="3" t="str">
        <f ca="1">IFERROR(__xludf.UNSUPPORTED("""COMPUTED_VALUE"""),"🚛 LIBERADO")</f>
        <v>🚛 LIBERADO</v>
      </c>
      <c r="F2542" s="5">
        <f ca="1">IFERROR(__xludf.UNSUPPORTED("""COMPUTED_VALUE"""),0)</f>
        <v>0</v>
      </c>
      <c r="G2542" s="3" t="str">
        <f ca="1">IFERROR(__xludf.UNSUPPORTED("""COMPUTED_VALUE"""),"Normal")</f>
        <v>Normal</v>
      </c>
      <c r="H2542" s="4">
        <f ca="1">IFERROR(__xludf.UNSUPPORTED("""COMPUTED_VALUE"""),44922.3329976851)</f>
        <v>44922.332997685102</v>
      </c>
      <c r="I2542" s="3">
        <f ca="1">IFERROR(__xludf.UNSUPPORTED("""COMPUTED_VALUE"""),1)</f>
        <v>1</v>
      </c>
      <c r="J2542" s="4">
        <f ca="1">IFERROR(__xludf.UNSUPPORTED("""COMPUTED_VALUE"""),44922.3746643518)</f>
        <v>44922.374664351802</v>
      </c>
    </row>
    <row r="2543" spans="1:10" ht="12.75">
      <c r="A2543" s="3" t="str">
        <f ca="1">IFERROR(__xludf.UNSUPPORTED("""COMPUTED_VALUE"""),"e1d4b757")</f>
        <v>e1d4b757</v>
      </c>
      <c r="B2543" s="4">
        <f ca="1">IFERROR(__xludf.UNSUPPORTED("""COMPUTED_VALUE"""),44923.3805787037)</f>
        <v>44923.380578703698</v>
      </c>
      <c r="C2543" s="8" t="str">
        <f ca="1">IFERROR(__xludf.UNSUPPORTED("""COMPUTED_VALUE"""),"Suape")</f>
        <v>Suape</v>
      </c>
      <c r="D2543" s="3" t="str">
        <f ca="1">IFERROR(__xludf.UNSUPPORTED("""COMPUTED_VALUE"""),"🚢 REGULAR")</f>
        <v>🚢 REGULAR</v>
      </c>
      <c r="E2543" s="3" t="str">
        <f ca="1">IFERROR(__xludf.UNSUPPORTED("""COMPUTED_VALUE"""),"🚛 LIBERADO")</f>
        <v>🚛 LIBERADO</v>
      </c>
      <c r="F2543" s="5">
        <f ca="1">IFERROR(__xludf.UNSUPPORTED("""COMPUTED_VALUE"""),0)</f>
        <v>0</v>
      </c>
      <c r="G2543" s="3" t="str">
        <f ca="1">IFERROR(__xludf.UNSUPPORTED("""COMPUTED_VALUE"""),"Normal")</f>
        <v>Normal</v>
      </c>
      <c r="H2543" s="4">
        <f ca="1">IFERROR(__xludf.UNSUPPORTED("""COMPUTED_VALUE"""),44923.3805787037)</f>
        <v>44923.380578703698</v>
      </c>
      <c r="I2543" s="3">
        <f ca="1">IFERROR(__xludf.UNSUPPORTED("""COMPUTED_VALUE"""),1)</f>
        <v>1</v>
      </c>
      <c r="J2543" s="4">
        <f ca="1">IFERROR(__xludf.UNSUPPORTED("""COMPUTED_VALUE"""),44923.4222453703)</f>
        <v>44923.422245370297</v>
      </c>
    </row>
    <row r="2544" spans="1:10" ht="12.75">
      <c r="A2544" s="3" t="str">
        <f ca="1">IFERROR(__xludf.UNSUPPORTED("""COMPUTED_VALUE"""),"48e1b9b6")</f>
        <v>48e1b9b6</v>
      </c>
      <c r="B2544" s="4">
        <f ca="1">IFERROR(__xludf.UNSUPPORTED("""COMPUTED_VALUE"""),44924.3988078703)</f>
        <v>44924.398807870297</v>
      </c>
      <c r="C2544" s="7" t="str">
        <f ca="1">IFERROR(__xludf.UNSUPPORTED("""COMPUTED_VALUE"""),"Suape")</f>
        <v>Suape</v>
      </c>
      <c r="D2544" s="3" t="str">
        <f ca="1">IFERROR(__xludf.UNSUPPORTED("""COMPUTED_VALUE"""),"🚢 REGULAR")</f>
        <v>🚢 REGULAR</v>
      </c>
      <c r="E2544" s="3" t="str">
        <f ca="1">IFERROR(__xludf.UNSUPPORTED("""COMPUTED_VALUE"""),"🚛 LIBERADO")</f>
        <v>🚛 LIBERADO</v>
      </c>
      <c r="F2544" s="5">
        <f ca="1">IFERROR(__xludf.UNSUPPORTED("""COMPUTED_VALUE"""),0)</f>
        <v>0</v>
      </c>
      <c r="G2544" s="3" t="str">
        <f ca="1">IFERROR(__xludf.UNSUPPORTED("""COMPUTED_VALUE"""),"Normal")</f>
        <v>Normal</v>
      </c>
      <c r="H2544" s="4">
        <f ca="1">IFERROR(__xludf.UNSUPPORTED("""COMPUTED_VALUE"""),44924.3988078703)</f>
        <v>44924.398807870297</v>
      </c>
      <c r="I2544" s="3">
        <f ca="1">IFERROR(__xludf.UNSUPPORTED("""COMPUTED_VALUE"""),1)</f>
        <v>1</v>
      </c>
      <c r="J2544" s="4">
        <f ca="1">IFERROR(__xludf.UNSUPPORTED("""COMPUTED_VALUE"""),44924.440474537)</f>
        <v>44924.440474536997</v>
      </c>
    </row>
    <row r="2545" spans="1:12" ht="12.75">
      <c r="A2545" s="3" t="str">
        <f ca="1">IFERROR(__xludf.UNSUPPORTED("""COMPUTED_VALUE"""),"79727b3a")</f>
        <v>79727b3a</v>
      </c>
      <c r="B2545" s="4">
        <f ca="1">IFERROR(__xludf.UNSUPPORTED("""COMPUTED_VALUE"""),44925.3883101851)</f>
        <v>44925.388310185102</v>
      </c>
      <c r="C2545" s="7" t="str">
        <f ca="1">IFERROR(__xludf.UNSUPPORTED("""COMPUTED_VALUE"""),"Suape")</f>
        <v>Suape</v>
      </c>
      <c r="D2545" s="3" t="str">
        <f ca="1">IFERROR(__xludf.UNSUPPORTED("""COMPUTED_VALUE"""),"🚢 REGULAR")</f>
        <v>🚢 REGULAR</v>
      </c>
      <c r="E2545" s="3" t="str">
        <f ca="1">IFERROR(__xludf.UNSUPPORTED("""COMPUTED_VALUE"""),"🚛 LIBERADO")</f>
        <v>🚛 LIBERADO</v>
      </c>
      <c r="F2545" s="5">
        <f ca="1">IFERROR(__xludf.UNSUPPORTED("""COMPUTED_VALUE"""),0)</f>
        <v>0</v>
      </c>
      <c r="G2545" s="3" t="str">
        <f ca="1">IFERROR(__xludf.UNSUPPORTED("""COMPUTED_VALUE"""),"Normal")</f>
        <v>Normal</v>
      </c>
      <c r="H2545" s="4">
        <f ca="1">IFERROR(__xludf.UNSUPPORTED("""COMPUTED_VALUE"""),44925.3883101851)</f>
        <v>44925.388310185102</v>
      </c>
      <c r="I2545" s="3">
        <f ca="1">IFERROR(__xludf.UNSUPPORTED("""COMPUTED_VALUE"""),1)</f>
        <v>1</v>
      </c>
      <c r="J2545" s="4">
        <f ca="1">IFERROR(__xludf.UNSUPPORTED("""COMPUTED_VALUE"""),44925.4299768518)</f>
        <v>44925.429976851803</v>
      </c>
    </row>
    <row r="2546" spans="1:12" ht="12.75">
      <c r="A2546" s="3" t="str">
        <f ca="1">IFERROR(__xludf.UNSUPPORTED("""COMPUTED_VALUE"""),"a3cf537f")</f>
        <v>a3cf537f</v>
      </c>
      <c r="B2546" s="4">
        <f ca="1">IFERROR(__xludf.UNSUPPORTED("""COMPUTED_VALUE"""),44927.3278009259)</f>
        <v>44927.327800925901</v>
      </c>
      <c r="C2546" s="8" t="str">
        <f ca="1">IFERROR(__xludf.UNSUPPORTED("""COMPUTED_VALUE"""),"Suape")</f>
        <v>Suape</v>
      </c>
      <c r="D2546" s="3" t="str">
        <f ca="1">IFERROR(__xludf.UNSUPPORTED("""COMPUTED_VALUE"""),"🚢 REGULAR")</f>
        <v>🚢 REGULAR</v>
      </c>
      <c r="E2546" s="3" t="str">
        <f ca="1">IFERROR(__xludf.UNSUPPORTED("""COMPUTED_VALUE"""),"🚛 LIBERADO")</f>
        <v>🚛 LIBERADO</v>
      </c>
      <c r="F2546" s="5">
        <f ca="1">IFERROR(__xludf.UNSUPPORTED("""COMPUTED_VALUE"""),0)</f>
        <v>0</v>
      </c>
      <c r="G2546" s="3" t="str">
        <f ca="1">IFERROR(__xludf.UNSUPPORTED("""COMPUTED_VALUE"""),"Normal")</f>
        <v>Normal</v>
      </c>
      <c r="H2546" s="4">
        <f ca="1">IFERROR(__xludf.UNSUPPORTED("""COMPUTED_VALUE"""),44927.3278009259)</f>
        <v>44927.327800925901</v>
      </c>
      <c r="I2546" s="3">
        <f ca="1">IFERROR(__xludf.UNSUPPORTED("""COMPUTED_VALUE"""),1)</f>
        <v>1</v>
      </c>
      <c r="J2546" s="4">
        <f ca="1">IFERROR(__xludf.UNSUPPORTED("""COMPUTED_VALUE"""),44927.3694675925)</f>
        <v>44927.3694675925</v>
      </c>
    </row>
    <row r="2547" spans="1:12" ht="12.75">
      <c r="A2547" s="3" t="str">
        <f ca="1">IFERROR(__xludf.UNSUPPORTED("""COMPUTED_VALUE"""),"46602ead")</f>
        <v>46602ead</v>
      </c>
      <c r="B2547" s="4">
        <f ca="1">IFERROR(__xludf.UNSUPPORTED("""COMPUTED_VALUE"""),44928.3688888888)</f>
        <v>44928.368888888799</v>
      </c>
      <c r="C2547" s="8" t="str">
        <f ca="1">IFERROR(__xludf.UNSUPPORTED("""COMPUTED_VALUE"""),"Suape")</f>
        <v>Suape</v>
      </c>
      <c r="D2547" s="3" t="str">
        <f ca="1">IFERROR(__xludf.UNSUPPORTED("""COMPUTED_VALUE"""),"🚢 REGULAR")</f>
        <v>🚢 REGULAR</v>
      </c>
      <c r="E2547" s="3" t="str">
        <f ca="1">IFERROR(__xludf.UNSUPPORTED("""COMPUTED_VALUE"""),"🚛 LIBERADO")</f>
        <v>🚛 LIBERADO</v>
      </c>
      <c r="F2547" s="5">
        <f ca="1">IFERROR(__xludf.UNSUPPORTED("""COMPUTED_VALUE"""),0)</f>
        <v>0</v>
      </c>
      <c r="G2547" s="3" t="str">
        <f ca="1">IFERROR(__xludf.UNSUPPORTED("""COMPUTED_VALUE"""),"Normal")</f>
        <v>Normal</v>
      </c>
      <c r="H2547" s="4">
        <f ca="1">IFERROR(__xludf.UNSUPPORTED("""COMPUTED_VALUE"""),44928.3688888888)</f>
        <v>44928.368888888799</v>
      </c>
      <c r="I2547" s="3">
        <f ca="1">IFERROR(__xludf.UNSUPPORTED("""COMPUTED_VALUE"""),1)</f>
        <v>1</v>
      </c>
      <c r="J2547" s="4">
        <f ca="1">IFERROR(__xludf.UNSUPPORTED("""COMPUTED_VALUE"""),44928.4105555555)</f>
        <v>44928.4105555555</v>
      </c>
    </row>
    <row r="2548" spans="1:12" ht="12.75">
      <c r="A2548" s="3" t="str">
        <f ca="1">IFERROR(__xludf.UNSUPPORTED("""COMPUTED_VALUE"""),"af4da2a2")</f>
        <v>af4da2a2</v>
      </c>
      <c r="B2548" s="4">
        <f ca="1">IFERROR(__xludf.UNSUPPORTED("""COMPUTED_VALUE"""),44929.3517129629)</f>
        <v>44929.351712962904</v>
      </c>
      <c r="C2548" s="8" t="str">
        <f ca="1">IFERROR(__xludf.UNSUPPORTED("""COMPUTED_VALUE"""),"Suape")</f>
        <v>Suape</v>
      </c>
      <c r="D2548" s="3" t="str">
        <f ca="1">IFERROR(__xludf.UNSUPPORTED("""COMPUTED_VALUE"""),"🚢 REGULAR")</f>
        <v>🚢 REGULAR</v>
      </c>
      <c r="E2548" s="3" t="str">
        <f ca="1">IFERROR(__xludf.UNSUPPORTED("""COMPUTED_VALUE"""),"🚛 LIBERADO")</f>
        <v>🚛 LIBERADO</v>
      </c>
      <c r="F2548" s="5">
        <f ca="1">IFERROR(__xludf.UNSUPPORTED("""COMPUTED_VALUE"""),0)</f>
        <v>0</v>
      </c>
      <c r="G2548" s="3" t="str">
        <f ca="1">IFERROR(__xludf.UNSUPPORTED("""COMPUTED_VALUE"""),"Normal")</f>
        <v>Normal</v>
      </c>
      <c r="H2548" s="4">
        <f ca="1">IFERROR(__xludf.UNSUPPORTED("""COMPUTED_VALUE"""),44929.3517129629)</f>
        <v>44929.351712962904</v>
      </c>
      <c r="I2548" s="3">
        <f ca="1">IFERROR(__xludf.UNSUPPORTED("""COMPUTED_VALUE"""),1)</f>
        <v>1</v>
      </c>
      <c r="J2548" s="4">
        <f ca="1">IFERROR(__xludf.UNSUPPORTED("""COMPUTED_VALUE"""),44929.3933796296)</f>
        <v>44929.393379629597</v>
      </c>
    </row>
    <row r="2549" spans="1:12" ht="12.75">
      <c r="A2549" s="3" t="str">
        <f ca="1">IFERROR(__xludf.UNSUPPORTED("""COMPUTED_VALUE"""),"af08aea5")</f>
        <v>af08aea5</v>
      </c>
      <c r="B2549" s="4">
        <f ca="1">IFERROR(__xludf.UNSUPPORTED("""COMPUTED_VALUE"""),44930.3550578703)</f>
        <v>44930.3550578703</v>
      </c>
      <c r="C2549" s="8" t="str">
        <f ca="1">IFERROR(__xludf.UNSUPPORTED("""COMPUTED_VALUE"""),"Suape")</f>
        <v>Suape</v>
      </c>
      <c r="D2549" s="3" t="str">
        <f ca="1">IFERROR(__xludf.UNSUPPORTED("""COMPUTED_VALUE"""),"🚢 REGULAR")</f>
        <v>🚢 REGULAR</v>
      </c>
      <c r="E2549" s="3" t="str">
        <f ca="1">IFERROR(__xludf.UNSUPPORTED("""COMPUTED_VALUE"""),"🚛 LIBERADO")</f>
        <v>🚛 LIBERADO</v>
      </c>
      <c r="F2549" s="5">
        <f ca="1">IFERROR(__xludf.UNSUPPORTED("""COMPUTED_VALUE"""),0)</f>
        <v>0</v>
      </c>
      <c r="G2549" s="3" t="str">
        <f ca="1">IFERROR(__xludf.UNSUPPORTED("""COMPUTED_VALUE"""),"Normal")</f>
        <v>Normal</v>
      </c>
      <c r="H2549" s="4">
        <f ca="1">IFERROR(__xludf.UNSUPPORTED("""COMPUTED_VALUE"""),44930.3550578703)</f>
        <v>44930.3550578703</v>
      </c>
      <c r="I2549" s="3">
        <f ca="1">IFERROR(__xludf.UNSUPPORTED("""COMPUTED_VALUE"""),1)</f>
        <v>1</v>
      </c>
      <c r="J2549" s="4">
        <f ca="1">IFERROR(__xludf.UNSUPPORTED("""COMPUTED_VALUE"""),44930.396724537)</f>
        <v>44930.396724537</v>
      </c>
    </row>
    <row r="2550" spans="1:12" ht="12.75">
      <c r="A2550" s="3" t="str">
        <f ca="1">IFERROR(__xludf.UNSUPPORTED("""COMPUTED_VALUE"""),"39d84722")</f>
        <v>39d84722</v>
      </c>
      <c r="B2550" s="4">
        <f ca="1">IFERROR(__xludf.UNSUPPORTED("""COMPUTED_VALUE"""),44931.3486458333)</f>
        <v>44931.348645833299</v>
      </c>
      <c r="C2550" s="8" t="str">
        <f ca="1">IFERROR(__xludf.UNSUPPORTED("""COMPUTED_VALUE"""),"Suape")</f>
        <v>Suape</v>
      </c>
      <c r="D2550" s="3" t="str">
        <f ca="1">IFERROR(__xludf.UNSUPPORTED("""COMPUTED_VALUE"""),"🚢 REGULAR")</f>
        <v>🚢 REGULAR</v>
      </c>
      <c r="E2550" s="3" t="str">
        <f ca="1">IFERROR(__xludf.UNSUPPORTED("""COMPUTED_VALUE"""),"🚛 LIBERADO")</f>
        <v>🚛 LIBERADO</v>
      </c>
      <c r="F2550" s="5">
        <f ca="1">IFERROR(__xludf.UNSUPPORTED("""COMPUTED_VALUE"""),0)</f>
        <v>0</v>
      </c>
      <c r="G2550" s="3" t="str">
        <f ca="1">IFERROR(__xludf.UNSUPPORTED("""COMPUTED_VALUE"""),"Normalidade")</f>
        <v>Normalidade</v>
      </c>
      <c r="H2550" s="4">
        <f ca="1">IFERROR(__xludf.UNSUPPORTED("""COMPUTED_VALUE"""),44931.3486458333)</f>
        <v>44931.348645833299</v>
      </c>
      <c r="I2550" s="3">
        <f ca="1">IFERROR(__xludf.UNSUPPORTED("""COMPUTED_VALUE"""),24)</f>
        <v>24</v>
      </c>
      <c r="J2550" s="4">
        <f ca="1">IFERROR(__xludf.UNSUPPORTED("""COMPUTED_VALUE"""),44932.3486458333)</f>
        <v>44932.348645833299</v>
      </c>
    </row>
    <row r="2551" spans="1:12" ht="12.75">
      <c r="A2551" s="3" t="str">
        <f ca="1">IFERROR(__xludf.UNSUPPORTED("""COMPUTED_VALUE"""),"6a4d9940")</f>
        <v>6a4d9940</v>
      </c>
      <c r="B2551" s="4">
        <f ca="1">IFERROR(__xludf.UNSUPPORTED("""COMPUTED_VALUE"""),44932.5249884259)</f>
        <v>44932.524988425903</v>
      </c>
      <c r="C2551" s="8" t="str">
        <f ca="1">IFERROR(__xludf.UNSUPPORTED("""COMPUTED_VALUE"""),"Suape")</f>
        <v>Suape</v>
      </c>
      <c r="D2551" s="3" t="str">
        <f ca="1">IFERROR(__xludf.UNSUPPORTED("""COMPUTED_VALUE"""),"🚢 REGULAR")</f>
        <v>🚢 REGULAR</v>
      </c>
      <c r="E2551" s="3" t="str">
        <f ca="1">IFERROR(__xludf.UNSUPPORTED("""COMPUTED_VALUE"""),"🚛 LIBERADO")</f>
        <v>🚛 LIBERADO</v>
      </c>
      <c r="F2551" s="5">
        <f ca="1">IFERROR(__xludf.UNSUPPORTED("""COMPUTED_VALUE"""),0)</f>
        <v>0</v>
      </c>
      <c r="G2551" s="3" t="str">
        <f ca="1">IFERROR(__xludf.UNSUPPORTED("""COMPUTED_VALUE"""),"Normalidade")</f>
        <v>Normalidade</v>
      </c>
      <c r="H2551" s="4">
        <f ca="1">IFERROR(__xludf.UNSUPPORTED("""COMPUTED_VALUE"""),44932.5249884259)</f>
        <v>44932.524988425903</v>
      </c>
      <c r="I2551" s="3">
        <f ca="1">IFERROR(__xludf.UNSUPPORTED("""COMPUTED_VALUE"""),24)</f>
        <v>24</v>
      </c>
      <c r="J2551" s="4">
        <f ca="1">IFERROR(__xludf.UNSUPPORTED("""COMPUTED_VALUE"""),44933.5249884259)</f>
        <v>44933.524988425903</v>
      </c>
      <c r="L2551" s="3" t="str">
        <f ca="1">IFERROR(__xludf.UNSUPPORTED("""COMPUTED_VALUE"""),"Normalidade")</f>
        <v>Normalidade</v>
      </c>
    </row>
    <row r="2552" spans="1:12" ht="12.75">
      <c r="A2552" s="3" t="str">
        <f ca="1">IFERROR(__xludf.UNSUPPORTED("""COMPUTED_VALUE"""),"917ad029")</f>
        <v>917ad029</v>
      </c>
      <c r="B2552" s="4">
        <f ca="1">IFERROR(__xludf.UNSUPPORTED("""COMPUTED_VALUE"""),44933.490011574)</f>
        <v>44933.490011574002</v>
      </c>
      <c r="C2552" s="7" t="str">
        <f ca="1">IFERROR(__xludf.UNSUPPORTED("""COMPUTED_VALUE"""),"Suape")</f>
        <v>Suape</v>
      </c>
      <c r="D2552" s="3" t="str">
        <f ca="1">IFERROR(__xludf.UNSUPPORTED("""COMPUTED_VALUE"""),"🚢 REGULAR")</f>
        <v>🚢 REGULAR</v>
      </c>
      <c r="E2552" s="3" t="str">
        <f ca="1">IFERROR(__xludf.UNSUPPORTED("""COMPUTED_VALUE"""),"🚛 LIBERADO")</f>
        <v>🚛 LIBERADO</v>
      </c>
      <c r="F2552" s="5">
        <f ca="1">IFERROR(__xludf.UNSUPPORTED("""COMPUTED_VALUE"""),0)</f>
        <v>0</v>
      </c>
      <c r="G2552" s="3" t="str">
        <f ca="1">IFERROR(__xludf.UNSUPPORTED("""COMPUTED_VALUE"""),"Normalidade")</f>
        <v>Normalidade</v>
      </c>
      <c r="H2552" s="4">
        <f ca="1">IFERROR(__xludf.UNSUPPORTED("""COMPUTED_VALUE"""),44933.490011574)</f>
        <v>44933.490011574002</v>
      </c>
      <c r="I2552" s="3">
        <f ca="1">IFERROR(__xludf.UNSUPPORTED("""COMPUTED_VALUE"""),24)</f>
        <v>24</v>
      </c>
      <c r="J2552" s="4">
        <f ca="1">IFERROR(__xludf.UNSUPPORTED("""COMPUTED_VALUE"""),44934.490011574)</f>
        <v>44934.490011574002</v>
      </c>
      <c r="L2552" s="3" t="str">
        <f ca="1">IFERROR(__xludf.UNSUPPORTED("""COMPUTED_VALUE"""),"Normalidade")</f>
        <v>Normalidade</v>
      </c>
    </row>
    <row r="2553" spans="1:12" ht="12.75">
      <c r="A2553" s="3" t="str">
        <f ca="1">IFERROR(__xludf.UNSUPPORTED("""COMPUTED_VALUE"""),"49af69fb")</f>
        <v>49af69fb</v>
      </c>
      <c r="B2553" s="4">
        <f ca="1">IFERROR(__xludf.UNSUPPORTED("""COMPUTED_VALUE"""),44934.4305555555)</f>
        <v>44934.430555555497</v>
      </c>
      <c r="C2553" s="7" t="str">
        <f ca="1">IFERROR(__xludf.UNSUPPORTED("""COMPUTED_VALUE"""),"Suape")</f>
        <v>Suape</v>
      </c>
      <c r="D2553" s="3" t="str">
        <f ca="1">IFERROR(__xludf.UNSUPPORTED("""COMPUTED_VALUE"""),"🚢 REGULAR")</f>
        <v>🚢 REGULAR</v>
      </c>
      <c r="E2553" s="3" t="str">
        <f ca="1">IFERROR(__xludf.UNSUPPORTED("""COMPUTED_VALUE"""),"🚛 LIBERADO")</f>
        <v>🚛 LIBERADO</v>
      </c>
      <c r="F2553" s="5">
        <f ca="1">IFERROR(__xludf.UNSUPPORTED("""COMPUTED_VALUE"""),0)</f>
        <v>0</v>
      </c>
      <c r="G2553" s="3" t="str">
        <f ca="1">IFERROR(__xludf.UNSUPPORTED("""COMPUTED_VALUE"""),"Normalidade")</f>
        <v>Normalidade</v>
      </c>
      <c r="H2553" s="4">
        <f ca="1">IFERROR(__xludf.UNSUPPORTED("""COMPUTED_VALUE"""),44934.4305555555)</f>
        <v>44934.430555555497</v>
      </c>
      <c r="I2553" s="3">
        <f ca="1">IFERROR(__xludf.UNSUPPORTED("""COMPUTED_VALUE"""),24)</f>
        <v>24</v>
      </c>
      <c r="J2553" s="4">
        <f ca="1">IFERROR(__xludf.UNSUPPORTED("""COMPUTED_VALUE"""),44935.4305555555)</f>
        <v>44935.430555555497</v>
      </c>
      <c r="L2553" s="3" t="str">
        <f ca="1">IFERROR(__xludf.UNSUPPORTED("""COMPUTED_VALUE"""),"Normalidade")</f>
        <v>Normalidade</v>
      </c>
    </row>
    <row r="2554" spans="1:12" ht="12.75">
      <c r="A2554" s="3" t="str">
        <f ca="1">IFERROR(__xludf.UNSUPPORTED("""COMPUTED_VALUE"""),"a83bcd29")</f>
        <v>a83bcd29</v>
      </c>
      <c r="B2554" s="4">
        <f ca="1">IFERROR(__xludf.UNSUPPORTED("""COMPUTED_VALUE"""),44935.3489467592)</f>
        <v>44935.348946759201</v>
      </c>
      <c r="C2554" s="7" t="str">
        <f ca="1">IFERROR(__xludf.UNSUPPORTED("""COMPUTED_VALUE"""),"Suape")</f>
        <v>Suape</v>
      </c>
      <c r="D2554" s="3" t="str">
        <f ca="1">IFERROR(__xludf.UNSUPPORTED("""COMPUTED_VALUE"""),"🚢 REGULAR")</f>
        <v>🚢 REGULAR</v>
      </c>
      <c r="E2554" s="3" t="str">
        <f ca="1">IFERROR(__xludf.UNSUPPORTED("""COMPUTED_VALUE"""),"🚛 LIBERADO")</f>
        <v>🚛 LIBERADO</v>
      </c>
      <c r="F2554" s="5">
        <f ca="1">IFERROR(__xludf.UNSUPPORTED("""COMPUTED_VALUE"""),0)</f>
        <v>0</v>
      </c>
      <c r="G2554" s="3" t="str">
        <f ca="1">IFERROR(__xludf.UNSUPPORTED("""COMPUTED_VALUE"""),"Normalidade")</f>
        <v>Normalidade</v>
      </c>
      <c r="H2554" s="4">
        <f ca="1">IFERROR(__xludf.UNSUPPORTED("""COMPUTED_VALUE"""),44935.3489467592)</f>
        <v>44935.348946759201</v>
      </c>
      <c r="I2554" s="3">
        <f ca="1">IFERROR(__xludf.UNSUPPORTED("""COMPUTED_VALUE"""),24)</f>
        <v>24</v>
      </c>
      <c r="J2554" s="4">
        <f ca="1">IFERROR(__xludf.UNSUPPORTED("""COMPUTED_VALUE"""),44936.3489467592)</f>
        <v>44936.348946759201</v>
      </c>
      <c r="L2554" s="3" t="str">
        <f ca="1">IFERROR(__xludf.UNSUPPORTED("""COMPUTED_VALUE"""),"Normalidade")</f>
        <v>Normalidade</v>
      </c>
    </row>
    <row r="2555" spans="1:12" ht="12.75">
      <c r="A2555" s="3" t="str">
        <f ca="1">IFERROR(__xludf.UNSUPPORTED("""COMPUTED_VALUE"""),"7025d50e")</f>
        <v>7025d50e</v>
      </c>
      <c r="B2555" s="4">
        <f ca="1">IFERROR(__xludf.UNSUPPORTED("""COMPUTED_VALUE"""),44936.3588310185)</f>
        <v>44936.3588310185</v>
      </c>
      <c r="C2555" s="8" t="str">
        <f ca="1">IFERROR(__xludf.UNSUPPORTED("""COMPUTED_VALUE"""),"Suape")</f>
        <v>Suape</v>
      </c>
      <c r="D2555" s="3" t="str">
        <f ca="1">IFERROR(__xludf.UNSUPPORTED("""COMPUTED_VALUE"""),"🚢 REGULAR")</f>
        <v>🚢 REGULAR</v>
      </c>
      <c r="E2555" s="3" t="str">
        <f ca="1">IFERROR(__xludf.UNSUPPORTED("""COMPUTED_VALUE"""),"🚛 LIBERADO")</f>
        <v>🚛 LIBERADO</v>
      </c>
      <c r="F2555" s="5">
        <f ca="1">IFERROR(__xludf.UNSUPPORTED("""COMPUTED_VALUE"""),0)</f>
        <v>0</v>
      </c>
      <c r="G2555" s="3" t="str">
        <f ca="1">IFERROR(__xludf.UNSUPPORTED("""COMPUTED_VALUE"""),"Normalidade")</f>
        <v>Normalidade</v>
      </c>
      <c r="H2555" s="4">
        <f ca="1">IFERROR(__xludf.UNSUPPORTED("""COMPUTED_VALUE"""),44936.3588310185)</f>
        <v>44936.3588310185</v>
      </c>
      <c r="I2555" s="3">
        <f ca="1">IFERROR(__xludf.UNSUPPORTED("""COMPUTED_VALUE"""),24)</f>
        <v>24</v>
      </c>
      <c r="J2555" s="4">
        <f ca="1">IFERROR(__xludf.UNSUPPORTED("""COMPUTED_VALUE"""),44937.3588310185)</f>
        <v>44937.3588310185</v>
      </c>
      <c r="L2555" s="3" t="str">
        <f ca="1">IFERROR(__xludf.UNSUPPORTED("""COMPUTED_VALUE"""),"Normalidade")</f>
        <v>Normalidade</v>
      </c>
    </row>
    <row r="2556" spans="1:12" ht="12.75">
      <c r="A2556" s="3" t="str">
        <f ca="1">IFERROR(__xludf.UNSUPPORTED("""COMPUTED_VALUE"""),"ca55c584")</f>
        <v>ca55c584</v>
      </c>
      <c r="B2556" s="4">
        <f ca="1">IFERROR(__xludf.UNSUPPORTED("""COMPUTED_VALUE"""),44937.341261574)</f>
        <v>44937.341261574002</v>
      </c>
      <c r="C2556" s="8" t="str">
        <f ca="1">IFERROR(__xludf.UNSUPPORTED("""COMPUTED_VALUE"""),"Suape")</f>
        <v>Suape</v>
      </c>
      <c r="D2556" s="3" t="str">
        <f ca="1">IFERROR(__xludf.UNSUPPORTED("""COMPUTED_VALUE"""),"🚢 REGULAR")</f>
        <v>🚢 REGULAR</v>
      </c>
      <c r="E2556" s="3" t="str">
        <f ca="1">IFERROR(__xludf.UNSUPPORTED("""COMPUTED_VALUE"""),"🚛 LIBERADO")</f>
        <v>🚛 LIBERADO</v>
      </c>
      <c r="F2556" s="5">
        <f ca="1">IFERROR(__xludf.UNSUPPORTED("""COMPUTED_VALUE"""),0)</f>
        <v>0</v>
      </c>
      <c r="G2556" s="3" t="str">
        <f ca="1">IFERROR(__xludf.UNSUPPORTED("""COMPUTED_VALUE"""),"Normalidade")</f>
        <v>Normalidade</v>
      </c>
      <c r="H2556" s="4">
        <f ca="1">IFERROR(__xludf.UNSUPPORTED("""COMPUTED_VALUE"""),44937.341261574)</f>
        <v>44937.341261574002</v>
      </c>
      <c r="I2556" s="3">
        <f ca="1">IFERROR(__xludf.UNSUPPORTED("""COMPUTED_VALUE"""),24)</f>
        <v>24</v>
      </c>
      <c r="J2556" s="4">
        <f ca="1">IFERROR(__xludf.UNSUPPORTED("""COMPUTED_VALUE"""),44938.341261574)</f>
        <v>44938.341261574002</v>
      </c>
      <c r="L2556" s="3" t="str">
        <f ca="1">IFERROR(__xludf.UNSUPPORTED("""COMPUTED_VALUE"""),"Normalidade")</f>
        <v>Normalidade</v>
      </c>
    </row>
    <row r="2557" spans="1:12" ht="12.75">
      <c r="A2557" s="3" t="str">
        <f ca="1">IFERROR(__xludf.UNSUPPORTED("""COMPUTED_VALUE"""),"98f40b18")</f>
        <v>98f40b18</v>
      </c>
      <c r="B2557" s="4">
        <f ca="1">IFERROR(__xludf.UNSUPPORTED("""COMPUTED_VALUE"""),44939.2915277777)</f>
        <v>44939.291527777699</v>
      </c>
      <c r="C2557" s="7" t="str">
        <f ca="1">IFERROR(__xludf.UNSUPPORTED("""COMPUTED_VALUE"""),"Suape")</f>
        <v>Suape</v>
      </c>
      <c r="D2557" s="3" t="str">
        <f ca="1">IFERROR(__xludf.UNSUPPORTED("""COMPUTED_VALUE"""),"🚢 REGULAR")</f>
        <v>🚢 REGULAR</v>
      </c>
      <c r="E2557" s="3" t="str">
        <f ca="1">IFERROR(__xludf.UNSUPPORTED("""COMPUTED_VALUE"""),"🚛 LIBERADO")</f>
        <v>🚛 LIBERADO</v>
      </c>
      <c r="F2557" s="5">
        <f ca="1">IFERROR(__xludf.UNSUPPORTED("""COMPUTED_VALUE"""),0)</f>
        <v>0</v>
      </c>
      <c r="G2557" s="3" t="str">
        <f ca="1">IFERROR(__xludf.UNSUPPORTED("""COMPUTED_VALUE"""),"Normalidade")</f>
        <v>Normalidade</v>
      </c>
      <c r="H2557" s="4">
        <f ca="1">IFERROR(__xludf.UNSUPPORTED("""COMPUTED_VALUE"""),44939.2915277777)</f>
        <v>44939.291527777699</v>
      </c>
      <c r="I2557" s="3">
        <f ca="1">IFERROR(__xludf.UNSUPPORTED("""COMPUTED_VALUE"""),24)</f>
        <v>24</v>
      </c>
      <c r="J2557" s="4">
        <f ca="1">IFERROR(__xludf.UNSUPPORTED("""COMPUTED_VALUE"""),44940.2915277777)</f>
        <v>44940.291527777699</v>
      </c>
      <c r="L2557" s="3" t="str">
        <f ca="1">IFERROR(__xludf.UNSUPPORTED("""COMPUTED_VALUE"""),"Normalidade")</f>
        <v>Normalidade</v>
      </c>
    </row>
    <row r="2558" spans="1:12" ht="12.75">
      <c r="A2558" s="3" t="str">
        <f ca="1">IFERROR(__xludf.UNSUPPORTED("""COMPUTED_VALUE"""),"e9578939")</f>
        <v>e9578939</v>
      </c>
      <c r="B2558" s="4">
        <f ca="1">IFERROR(__xludf.UNSUPPORTED("""COMPUTED_VALUE"""),44940.4094328703)</f>
        <v>44940.409432870299</v>
      </c>
      <c r="C2558" s="7" t="str">
        <f ca="1">IFERROR(__xludf.UNSUPPORTED("""COMPUTED_VALUE"""),"Suape")</f>
        <v>Suape</v>
      </c>
      <c r="D2558" s="3" t="str">
        <f ca="1">IFERROR(__xludf.UNSUPPORTED("""COMPUTED_VALUE"""),"🚢 REGULAR")</f>
        <v>🚢 REGULAR</v>
      </c>
      <c r="E2558" s="3" t="str">
        <f ca="1">IFERROR(__xludf.UNSUPPORTED("""COMPUTED_VALUE"""),"🚛 LIBERADO")</f>
        <v>🚛 LIBERADO</v>
      </c>
      <c r="F2558" s="5">
        <f ca="1">IFERROR(__xludf.UNSUPPORTED("""COMPUTED_VALUE"""),0)</f>
        <v>0</v>
      </c>
      <c r="G2558" s="3" t="str">
        <f ca="1">IFERROR(__xludf.UNSUPPORTED("""COMPUTED_VALUE"""),"Normalidade")</f>
        <v>Normalidade</v>
      </c>
      <c r="H2558" s="4">
        <f ca="1">IFERROR(__xludf.UNSUPPORTED("""COMPUTED_VALUE"""),44940.4094328703)</f>
        <v>44940.409432870299</v>
      </c>
      <c r="I2558" s="3">
        <f ca="1">IFERROR(__xludf.UNSUPPORTED("""COMPUTED_VALUE"""),24)</f>
        <v>24</v>
      </c>
      <c r="J2558" s="4">
        <f ca="1">IFERROR(__xludf.UNSUPPORTED("""COMPUTED_VALUE"""),44941.4094328703)</f>
        <v>44941.409432870299</v>
      </c>
      <c r="L2558" s="3" t="str">
        <f ca="1">IFERROR(__xludf.UNSUPPORTED("""COMPUTED_VALUE"""),"Normalidade")</f>
        <v>Normalidade</v>
      </c>
    </row>
    <row r="2559" spans="1:12" ht="12.75">
      <c r="A2559" s="3" t="str">
        <f ca="1">IFERROR(__xludf.UNSUPPORTED("""COMPUTED_VALUE"""),"136f6b22")</f>
        <v>136f6b22</v>
      </c>
      <c r="B2559" s="4">
        <f ca="1">IFERROR(__xludf.UNSUPPORTED("""COMPUTED_VALUE"""),44941.7245254629)</f>
        <v>44941.724525462902</v>
      </c>
      <c r="C2559" s="7" t="str">
        <f ca="1">IFERROR(__xludf.UNSUPPORTED("""COMPUTED_VALUE"""),"Suape")</f>
        <v>Suape</v>
      </c>
      <c r="D2559" s="3" t="str">
        <f ca="1">IFERROR(__xludf.UNSUPPORTED("""COMPUTED_VALUE"""),"🚢 REGULAR")</f>
        <v>🚢 REGULAR</v>
      </c>
      <c r="E2559" s="3" t="str">
        <f ca="1">IFERROR(__xludf.UNSUPPORTED("""COMPUTED_VALUE"""),"🚛 LIBERADO")</f>
        <v>🚛 LIBERADO</v>
      </c>
      <c r="F2559" s="5">
        <f ca="1">IFERROR(__xludf.UNSUPPORTED("""COMPUTED_VALUE"""),0)</f>
        <v>0</v>
      </c>
      <c r="G2559" s="3" t="str">
        <f ca="1">IFERROR(__xludf.UNSUPPORTED("""COMPUTED_VALUE"""),"Normalidade")</f>
        <v>Normalidade</v>
      </c>
      <c r="H2559" s="4">
        <f ca="1">IFERROR(__xludf.UNSUPPORTED("""COMPUTED_VALUE"""),44941.7245254629)</f>
        <v>44941.724525462902</v>
      </c>
      <c r="I2559" s="3">
        <f ca="1">IFERROR(__xludf.UNSUPPORTED("""COMPUTED_VALUE"""),24)</f>
        <v>24</v>
      </c>
      <c r="J2559" s="4">
        <f ca="1">IFERROR(__xludf.UNSUPPORTED("""COMPUTED_VALUE"""),44942.7245254629)</f>
        <v>44942.724525462902</v>
      </c>
      <c r="L2559" s="3" t="str">
        <f ca="1">IFERROR(__xludf.UNSUPPORTED("""COMPUTED_VALUE"""),"Normalidade")</f>
        <v>Normalidade</v>
      </c>
    </row>
    <row r="2560" spans="1:12" ht="12.75">
      <c r="A2560" s="3" t="str">
        <f ca="1">IFERROR(__xludf.UNSUPPORTED("""COMPUTED_VALUE"""),"9e4648ea")</f>
        <v>9e4648ea</v>
      </c>
      <c r="B2560" s="4">
        <f ca="1">IFERROR(__xludf.UNSUPPORTED("""COMPUTED_VALUE"""),44942.5848842592)</f>
        <v>44942.584884259202</v>
      </c>
      <c r="C2560" s="8" t="str">
        <f ca="1">IFERROR(__xludf.UNSUPPORTED("""COMPUTED_VALUE"""),"Suape")</f>
        <v>Suape</v>
      </c>
      <c r="D2560" s="3" t="str">
        <f ca="1">IFERROR(__xludf.UNSUPPORTED("""COMPUTED_VALUE"""),"🚢 REGULAR")</f>
        <v>🚢 REGULAR</v>
      </c>
      <c r="E2560" s="3" t="str">
        <f ca="1">IFERROR(__xludf.UNSUPPORTED("""COMPUTED_VALUE"""),"🚛 LIBERADO")</f>
        <v>🚛 LIBERADO</v>
      </c>
      <c r="F2560" s="5">
        <f ca="1">IFERROR(__xludf.UNSUPPORTED("""COMPUTED_VALUE"""),0)</f>
        <v>0</v>
      </c>
      <c r="G2560" s="3" t="str">
        <f ca="1">IFERROR(__xludf.UNSUPPORTED("""COMPUTED_VALUE"""),"Normalidade")</f>
        <v>Normalidade</v>
      </c>
      <c r="H2560" s="4">
        <f ca="1">IFERROR(__xludf.UNSUPPORTED("""COMPUTED_VALUE"""),44942.5848842592)</f>
        <v>44942.584884259202</v>
      </c>
      <c r="I2560" s="3">
        <f ca="1">IFERROR(__xludf.UNSUPPORTED("""COMPUTED_VALUE"""),24)</f>
        <v>24</v>
      </c>
      <c r="J2560" s="4">
        <f ca="1">IFERROR(__xludf.UNSUPPORTED("""COMPUTED_VALUE"""),44943.5848842592)</f>
        <v>44943.584884259202</v>
      </c>
      <c r="L2560" s="3" t="str">
        <f ca="1">IFERROR(__xludf.UNSUPPORTED("""COMPUTED_VALUE"""),"Normalidade")</f>
        <v>Normalidade</v>
      </c>
    </row>
    <row r="2561" spans="1:12" ht="12.75">
      <c r="A2561" s="3" t="str">
        <f ca="1">IFERROR(__xludf.UNSUPPORTED("""COMPUTED_VALUE"""),"e4f386c1")</f>
        <v>e4f386c1</v>
      </c>
      <c r="B2561" s="4">
        <f ca="1">IFERROR(__xludf.UNSUPPORTED("""COMPUTED_VALUE"""),44943.3619097222)</f>
        <v>44943.361909722204</v>
      </c>
      <c r="C2561" s="8" t="str">
        <f ca="1">IFERROR(__xludf.UNSUPPORTED("""COMPUTED_VALUE"""),"Suape")</f>
        <v>Suape</v>
      </c>
      <c r="D2561" s="3" t="str">
        <f ca="1">IFERROR(__xludf.UNSUPPORTED("""COMPUTED_VALUE"""),"🚢 REGULAR")</f>
        <v>🚢 REGULAR</v>
      </c>
      <c r="E2561" s="3" t="str">
        <f ca="1">IFERROR(__xludf.UNSUPPORTED("""COMPUTED_VALUE"""),"🚛 LIBERADO")</f>
        <v>🚛 LIBERADO</v>
      </c>
      <c r="F2561" s="5">
        <f ca="1">IFERROR(__xludf.UNSUPPORTED("""COMPUTED_VALUE"""),0)</f>
        <v>0</v>
      </c>
      <c r="G2561" s="3" t="str">
        <f ca="1">IFERROR(__xludf.UNSUPPORTED("""COMPUTED_VALUE"""),"Normalidade")</f>
        <v>Normalidade</v>
      </c>
      <c r="H2561" s="4">
        <f ca="1">IFERROR(__xludf.UNSUPPORTED("""COMPUTED_VALUE"""),44943.3619097222)</f>
        <v>44943.361909722204</v>
      </c>
      <c r="I2561" s="3">
        <f ca="1">IFERROR(__xludf.UNSUPPORTED("""COMPUTED_VALUE"""),24)</f>
        <v>24</v>
      </c>
      <c r="J2561" s="4">
        <f ca="1">IFERROR(__xludf.UNSUPPORTED("""COMPUTED_VALUE"""),44944.3619097222)</f>
        <v>44944.361909722204</v>
      </c>
      <c r="L2561" s="3" t="str">
        <f ca="1">IFERROR(__xludf.UNSUPPORTED("""COMPUTED_VALUE"""),"Normalidade")</f>
        <v>Normalidade</v>
      </c>
    </row>
    <row r="2562" spans="1:12" ht="12.75">
      <c r="A2562" s="3" t="str">
        <f ca="1">IFERROR(__xludf.UNSUPPORTED("""COMPUTED_VALUE"""),"f13c828a")</f>
        <v>f13c828a</v>
      </c>
      <c r="B2562" s="4">
        <f ca="1">IFERROR(__xludf.UNSUPPORTED("""COMPUTED_VALUE"""),44944.4026504629)</f>
        <v>44944.4026504629</v>
      </c>
      <c r="C2562" s="7" t="str">
        <f ca="1">IFERROR(__xludf.UNSUPPORTED("""COMPUTED_VALUE"""),"Suape")</f>
        <v>Suape</v>
      </c>
      <c r="D2562" s="3" t="str">
        <f ca="1">IFERROR(__xludf.UNSUPPORTED("""COMPUTED_VALUE"""),"🚢 REGULAR")</f>
        <v>🚢 REGULAR</v>
      </c>
      <c r="E2562" s="3" t="str">
        <f ca="1">IFERROR(__xludf.UNSUPPORTED("""COMPUTED_VALUE"""),"🚛 LIBERADO")</f>
        <v>🚛 LIBERADO</v>
      </c>
      <c r="F2562" s="5">
        <f ca="1">IFERROR(__xludf.UNSUPPORTED("""COMPUTED_VALUE"""),0)</f>
        <v>0</v>
      </c>
      <c r="G2562" s="3" t="str">
        <f ca="1">IFERROR(__xludf.UNSUPPORTED("""COMPUTED_VALUE"""),"Normalidade")</f>
        <v>Normalidade</v>
      </c>
      <c r="H2562" s="4">
        <f ca="1">IFERROR(__xludf.UNSUPPORTED("""COMPUTED_VALUE"""),44944.4026504629)</f>
        <v>44944.4026504629</v>
      </c>
      <c r="I2562" s="3">
        <f ca="1">IFERROR(__xludf.UNSUPPORTED("""COMPUTED_VALUE"""),24)</f>
        <v>24</v>
      </c>
      <c r="J2562" s="4">
        <f ca="1">IFERROR(__xludf.UNSUPPORTED("""COMPUTED_VALUE"""),44945.4026504629)</f>
        <v>44945.4026504629</v>
      </c>
    </row>
    <row r="2563" spans="1:12" ht="12.75">
      <c r="A2563" s="3" t="str">
        <f ca="1">IFERROR(__xludf.UNSUPPORTED("""COMPUTED_VALUE"""),"7158463e")</f>
        <v>7158463e</v>
      </c>
      <c r="B2563" s="4">
        <f ca="1">IFERROR(__xludf.UNSUPPORTED("""COMPUTED_VALUE"""),44945.3973032407)</f>
        <v>44945.397303240701</v>
      </c>
      <c r="C2563" s="8" t="str">
        <f ca="1">IFERROR(__xludf.UNSUPPORTED("""COMPUTED_VALUE"""),"Suape")</f>
        <v>Suape</v>
      </c>
      <c r="D2563" s="3" t="str">
        <f ca="1">IFERROR(__xludf.UNSUPPORTED("""COMPUTED_VALUE"""),"🚢 REGULAR")</f>
        <v>🚢 REGULAR</v>
      </c>
      <c r="E2563" s="3" t="str">
        <f ca="1">IFERROR(__xludf.UNSUPPORTED("""COMPUTED_VALUE"""),"🚛 LIBERADO")</f>
        <v>🚛 LIBERADO</v>
      </c>
      <c r="F2563" s="5">
        <f ca="1">IFERROR(__xludf.UNSUPPORTED("""COMPUTED_VALUE"""),0)</f>
        <v>0</v>
      </c>
      <c r="G2563" s="3" t="str">
        <f ca="1">IFERROR(__xludf.UNSUPPORTED("""COMPUTED_VALUE"""),"Normalidade")</f>
        <v>Normalidade</v>
      </c>
      <c r="H2563" s="4">
        <f ca="1">IFERROR(__xludf.UNSUPPORTED("""COMPUTED_VALUE"""),44945.3973032407)</f>
        <v>44945.397303240701</v>
      </c>
      <c r="I2563" s="3">
        <f ca="1">IFERROR(__xludf.UNSUPPORTED("""COMPUTED_VALUE"""),24)</f>
        <v>24</v>
      </c>
      <c r="J2563" s="4">
        <f ca="1">IFERROR(__xludf.UNSUPPORTED("""COMPUTED_VALUE"""),44946.3973032407)</f>
        <v>44946.397303240701</v>
      </c>
      <c r="L2563" s="3" t="str">
        <f ca="1">IFERROR(__xludf.UNSUPPORTED("""COMPUTED_VALUE"""),"Normalidade")</f>
        <v>Normalidade</v>
      </c>
    </row>
    <row r="2564" spans="1:12" ht="12.75">
      <c r="A2564" s="3" t="str">
        <f ca="1">IFERROR(__xludf.UNSUPPORTED("""COMPUTED_VALUE"""),"e6e649a4")</f>
        <v>e6e649a4</v>
      </c>
      <c r="B2564" s="4">
        <f ca="1">IFERROR(__xludf.UNSUPPORTED("""COMPUTED_VALUE"""),44946.3347222222)</f>
        <v>44946.3347222222</v>
      </c>
      <c r="C2564" s="8" t="str">
        <f ca="1">IFERROR(__xludf.UNSUPPORTED("""COMPUTED_VALUE"""),"Suape")</f>
        <v>Suape</v>
      </c>
      <c r="D2564" s="3" t="str">
        <f ca="1">IFERROR(__xludf.UNSUPPORTED("""COMPUTED_VALUE"""),"🚢 REGULAR")</f>
        <v>🚢 REGULAR</v>
      </c>
      <c r="E2564" s="3" t="str">
        <f ca="1">IFERROR(__xludf.UNSUPPORTED("""COMPUTED_VALUE"""),"🚛 LIBERADO")</f>
        <v>🚛 LIBERADO</v>
      </c>
      <c r="F2564" s="5">
        <f ca="1">IFERROR(__xludf.UNSUPPORTED("""COMPUTED_VALUE"""),0)</f>
        <v>0</v>
      </c>
      <c r="G2564" s="3" t="str">
        <f ca="1">IFERROR(__xludf.UNSUPPORTED("""COMPUTED_VALUE"""),"Normalidade")</f>
        <v>Normalidade</v>
      </c>
      <c r="H2564" s="4">
        <f ca="1">IFERROR(__xludf.UNSUPPORTED("""COMPUTED_VALUE"""),44946.3347222222)</f>
        <v>44946.3347222222</v>
      </c>
      <c r="I2564" s="3">
        <f ca="1">IFERROR(__xludf.UNSUPPORTED("""COMPUTED_VALUE"""),24)</f>
        <v>24</v>
      </c>
      <c r="J2564" s="4">
        <f ca="1">IFERROR(__xludf.UNSUPPORTED("""COMPUTED_VALUE"""),44947.3347222222)</f>
        <v>44947.3347222222</v>
      </c>
      <c r="L2564" s="3" t="str">
        <f ca="1">IFERROR(__xludf.UNSUPPORTED("""COMPUTED_VALUE"""),"Normalidade")</f>
        <v>Normalidade</v>
      </c>
    </row>
    <row r="2565" spans="1:12" ht="12.75">
      <c r="A2565" s="3" t="str">
        <f ca="1">IFERROR(__xludf.UNSUPPORTED("""COMPUTED_VALUE"""),"8dcfe94a")</f>
        <v>8dcfe94a</v>
      </c>
      <c r="B2565" s="4">
        <f ca="1">IFERROR(__xludf.UNSUPPORTED("""COMPUTED_VALUE"""),44947.3646412037)</f>
        <v>44947.364641203698</v>
      </c>
      <c r="C2565" s="8" t="str">
        <f ca="1">IFERROR(__xludf.UNSUPPORTED("""COMPUTED_VALUE"""),"Suape")</f>
        <v>Suape</v>
      </c>
      <c r="D2565" s="3" t="str">
        <f ca="1">IFERROR(__xludf.UNSUPPORTED("""COMPUTED_VALUE"""),"🚢 REGULAR")</f>
        <v>🚢 REGULAR</v>
      </c>
      <c r="E2565" s="3" t="str">
        <f ca="1">IFERROR(__xludf.UNSUPPORTED("""COMPUTED_VALUE"""),"🚛 LIBERADO")</f>
        <v>🚛 LIBERADO</v>
      </c>
      <c r="F2565" s="5">
        <f ca="1">IFERROR(__xludf.UNSUPPORTED("""COMPUTED_VALUE"""),0)</f>
        <v>0</v>
      </c>
      <c r="G2565" s="3" t="str">
        <f ca="1">IFERROR(__xludf.UNSUPPORTED("""COMPUTED_VALUE"""),"Normalidade")</f>
        <v>Normalidade</v>
      </c>
      <c r="H2565" s="4">
        <f ca="1">IFERROR(__xludf.UNSUPPORTED("""COMPUTED_VALUE"""),44947.3646412037)</f>
        <v>44947.364641203698</v>
      </c>
      <c r="I2565" s="3">
        <f ca="1">IFERROR(__xludf.UNSUPPORTED("""COMPUTED_VALUE"""),24)</f>
        <v>24</v>
      </c>
      <c r="J2565" s="4">
        <f ca="1">IFERROR(__xludf.UNSUPPORTED("""COMPUTED_VALUE"""),44948.3646412037)</f>
        <v>44948.364641203698</v>
      </c>
      <c r="L2565" s="3" t="str">
        <f ca="1">IFERROR(__xludf.UNSUPPORTED("""COMPUTED_VALUE"""),"Normalidade")</f>
        <v>Normalidade</v>
      </c>
    </row>
    <row r="2566" spans="1:12" ht="12.75">
      <c r="A2566" s="3" t="str">
        <f ca="1">IFERROR(__xludf.UNSUPPORTED("""COMPUTED_VALUE"""),"d15ea2c7")</f>
        <v>d15ea2c7</v>
      </c>
      <c r="B2566" s="4">
        <f ca="1">IFERROR(__xludf.UNSUPPORTED("""COMPUTED_VALUE"""),44948.3624884259)</f>
        <v>44948.362488425897</v>
      </c>
      <c r="C2566" s="8" t="str">
        <f ca="1">IFERROR(__xludf.UNSUPPORTED("""COMPUTED_VALUE"""),"Suape")</f>
        <v>Suape</v>
      </c>
      <c r="D2566" s="3" t="str">
        <f ca="1">IFERROR(__xludf.UNSUPPORTED("""COMPUTED_VALUE"""),"🚢 REGULAR")</f>
        <v>🚢 REGULAR</v>
      </c>
      <c r="E2566" s="3" t="str">
        <f ca="1">IFERROR(__xludf.UNSUPPORTED("""COMPUTED_VALUE"""),"🚛 LIBERADO")</f>
        <v>🚛 LIBERADO</v>
      </c>
      <c r="F2566" s="5">
        <f ca="1">IFERROR(__xludf.UNSUPPORTED("""COMPUTED_VALUE"""),0)</f>
        <v>0</v>
      </c>
      <c r="G2566" s="3" t="str">
        <f ca="1">IFERROR(__xludf.UNSUPPORTED("""COMPUTED_VALUE"""),"Normalidade")</f>
        <v>Normalidade</v>
      </c>
      <c r="H2566" s="4">
        <f ca="1">IFERROR(__xludf.UNSUPPORTED("""COMPUTED_VALUE"""),44948.3624884259)</f>
        <v>44948.362488425897</v>
      </c>
      <c r="I2566" s="3">
        <f ca="1">IFERROR(__xludf.UNSUPPORTED("""COMPUTED_VALUE"""),24)</f>
        <v>24</v>
      </c>
      <c r="J2566" s="4">
        <f ca="1">IFERROR(__xludf.UNSUPPORTED("""COMPUTED_VALUE"""),44949.3624884259)</f>
        <v>44949.362488425897</v>
      </c>
      <c r="L2566" s="3" t="str">
        <f ca="1">IFERROR(__xludf.UNSUPPORTED("""COMPUTED_VALUE"""),"Normalidade")</f>
        <v>Normalidade</v>
      </c>
    </row>
    <row r="2567" spans="1:12" ht="12.75">
      <c r="A2567" s="3" t="str">
        <f ca="1">IFERROR(__xludf.UNSUPPORTED("""COMPUTED_VALUE"""),"aaf3ccff")</f>
        <v>aaf3ccff</v>
      </c>
      <c r="B2567" s="4">
        <f ca="1">IFERROR(__xludf.UNSUPPORTED("""COMPUTED_VALUE"""),44949.3669675925)</f>
        <v>44949.366967592498</v>
      </c>
      <c r="C2567" s="7" t="str">
        <f ca="1">IFERROR(__xludf.UNSUPPORTED("""COMPUTED_VALUE"""),"Suape")</f>
        <v>Suape</v>
      </c>
      <c r="D2567" s="3" t="str">
        <f ca="1">IFERROR(__xludf.UNSUPPORTED("""COMPUTED_VALUE"""),"🚢 REGULAR")</f>
        <v>🚢 REGULAR</v>
      </c>
      <c r="E2567" s="3" t="str">
        <f ca="1">IFERROR(__xludf.UNSUPPORTED("""COMPUTED_VALUE"""),"🚛 LIBERADO")</f>
        <v>🚛 LIBERADO</v>
      </c>
      <c r="F2567" s="5">
        <f ca="1">IFERROR(__xludf.UNSUPPORTED("""COMPUTED_VALUE"""),0)</f>
        <v>0</v>
      </c>
      <c r="G2567" s="3" t="str">
        <f ca="1">IFERROR(__xludf.UNSUPPORTED("""COMPUTED_VALUE"""),"Normalidade")</f>
        <v>Normalidade</v>
      </c>
      <c r="H2567" s="4">
        <f ca="1">IFERROR(__xludf.UNSUPPORTED("""COMPUTED_VALUE"""),44949.3669675925)</f>
        <v>44949.366967592498</v>
      </c>
      <c r="I2567" s="3">
        <f ca="1">IFERROR(__xludf.UNSUPPORTED("""COMPUTED_VALUE"""),24)</f>
        <v>24</v>
      </c>
      <c r="J2567" s="4">
        <f ca="1">IFERROR(__xludf.UNSUPPORTED("""COMPUTED_VALUE"""),44950.3669675925)</f>
        <v>44950.366967592498</v>
      </c>
      <c r="L2567" s="3" t="str">
        <f ca="1">IFERROR(__xludf.UNSUPPORTED("""COMPUTED_VALUE"""),"Normalidade")</f>
        <v>Normalidade</v>
      </c>
    </row>
    <row r="2568" spans="1:12" ht="12.75">
      <c r="A2568" s="3" t="str">
        <f ca="1">IFERROR(__xludf.UNSUPPORTED("""COMPUTED_VALUE"""),"915f49a2")</f>
        <v>915f49a2</v>
      </c>
      <c r="B2568" s="4">
        <f ca="1">IFERROR(__xludf.UNSUPPORTED("""COMPUTED_VALUE"""),44950.3782986111)</f>
        <v>44950.378298611096</v>
      </c>
      <c r="C2568" s="8" t="str">
        <f ca="1">IFERROR(__xludf.UNSUPPORTED("""COMPUTED_VALUE"""),"Suape")</f>
        <v>Suape</v>
      </c>
      <c r="D2568" s="3" t="str">
        <f ca="1">IFERROR(__xludf.UNSUPPORTED("""COMPUTED_VALUE"""),"🚢 REGULAR")</f>
        <v>🚢 REGULAR</v>
      </c>
      <c r="E2568" s="3" t="str">
        <f ca="1">IFERROR(__xludf.UNSUPPORTED("""COMPUTED_VALUE"""),"🚛 LIBERADO")</f>
        <v>🚛 LIBERADO</v>
      </c>
      <c r="F2568" s="5">
        <f ca="1">IFERROR(__xludf.UNSUPPORTED("""COMPUTED_VALUE"""),0)</f>
        <v>0</v>
      </c>
      <c r="G2568" s="3" t="str">
        <f ca="1">IFERROR(__xludf.UNSUPPORTED("""COMPUTED_VALUE"""),"Normalidade")</f>
        <v>Normalidade</v>
      </c>
      <c r="H2568" s="4">
        <f ca="1">IFERROR(__xludf.UNSUPPORTED("""COMPUTED_VALUE"""),44950.3782986111)</f>
        <v>44950.378298611096</v>
      </c>
      <c r="I2568" s="3">
        <f ca="1">IFERROR(__xludf.UNSUPPORTED("""COMPUTED_VALUE"""),24)</f>
        <v>24</v>
      </c>
      <c r="J2568" s="4">
        <f ca="1">IFERROR(__xludf.UNSUPPORTED("""COMPUTED_VALUE"""),44951.3782986111)</f>
        <v>44951.378298611096</v>
      </c>
      <c r="L2568" s="3" t="str">
        <f ca="1">IFERROR(__xludf.UNSUPPORTED("""COMPUTED_VALUE"""),"Normalidade")</f>
        <v>Normalidade</v>
      </c>
    </row>
    <row r="2569" spans="1:12" ht="12.75">
      <c r="A2569" s="3" t="str">
        <f ca="1">IFERROR(__xludf.UNSUPPORTED("""COMPUTED_VALUE"""),"c9390cd9")</f>
        <v>c9390cd9</v>
      </c>
      <c r="B2569" s="4">
        <f ca="1">IFERROR(__xludf.UNSUPPORTED("""COMPUTED_VALUE"""),44951.4547106481)</f>
        <v>44951.454710648097</v>
      </c>
      <c r="C2569" s="8" t="str">
        <f ca="1">IFERROR(__xludf.UNSUPPORTED("""COMPUTED_VALUE"""),"Suape")</f>
        <v>Suape</v>
      </c>
      <c r="D2569" s="3" t="str">
        <f ca="1">IFERROR(__xludf.UNSUPPORTED("""COMPUTED_VALUE"""),"🚢 REGULAR")</f>
        <v>🚢 REGULAR</v>
      </c>
      <c r="E2569" s="3" t="str">
        <f ca="1">IFERROR(__xludf.UNSUPPORTED("""COMPUTED_VALUE"""),"🚛 LIBERADO")</f>
        <v>🚛 LIBERADO</v>
      </c>
      <c r="F2569" s="5">
        <f ca="1">IFERROR(__xludf.UNSUPPORTED("""COMPUTED_VALUE"""),0)</f>
        <v>0</v>
      </c>
      <c r="G2569" s="3" t="str">
        <f ca="1">IFERROR(__xludf.UNSUPPORTED("""COMPUTED_VALUE"""),"Normalidade")</f>
        <v>Normalidade</v>
      </c>
      <c r="H2569" s="4">
        <f ca="1">IFERROR(__xludf.UNSUPPORTED("""COMPUTED_VALUE"""),44951.4547106481)</f>
        <v>44951.454710648097</v>
      </c>
      <c r="I2569" s="3">
        <f ca="1">IFERROR(__xludf.UNSUPPORTED("""COMPUTED_VALUE"""),24)</f>
        <v>24</v>
      </c>
      <c r="J2569" s="4">
        <f ca="1">IFERROR(__xludf.UNSUPPORTED("""COMPUTED_VALUE"""),44952.4547106481)</f>
        <v>44952.454710648097</v>
      </c>
      <c r="L2569" s="3" t="str">
        <f ca="1">IFERROR(__xludf.UNSUPPORTED("""COMPUTED_VALUE"""),"Normalidade")</f>
        <v>Normalidade</v>
      </c>
    </row>
    <row r="2570" spans="1:12" ht="12.75">
      <c r="A2570" s="3" t="str">
        <f ca="1">IFERROR(__xludf.UNSUPPORTED("""COMPUTED_VALUE"""),"8572453d")</f>
        <v>8572453d</v>
      </c>
      <c r="B2570" s="4">
        <f ca="1">IFERROR(__xludf.UNSUPPORTED("""COMPUTED_VALUE"""),44952.40875)</f>
        <v>44952.408750000002</v>
      </c>
      <c r="C2570" s="8" t="str">
        <f ca="1">IFERROR(__xludf.UNSUPPORTED("""COMPUTED_VALUE"""),"Suape")</f>
        <v>Suape</v>
      </c>
      <c r="D2570" s="3" t="str">
        <f ca="1">IFERROR(__xludf.UNSUPPORTED("""COMPUTED_VALUE"""),"🚢 REGULAR")</f>
        <v>🚢 REGULAR</v>
      </c>
      <c r="E2570" s="3" t="str">
        <f ca="1">IFERROR(__xludf.UNSUPPORTED("""COMPUTED_VALUE"""),"🚛 LIBERADO")</f>
        <v>🚛 LIBERADO</v>
      </c>
      <c r="F2570" s="5">
        <f ca="1">IFERROR(__xludf.UNSUPPORTED("""COMPUTED_VALUE"""),0)</f>
        <v>0</v>
      </c>
      <c r="G2570" s="3" t="str">
        <f ca="1">IFERROR(__xludf.UNSUPPORTED("""COMPUTED_VALUE"""),"Normalidade")</f>
        <v>Normalidade</v>
      </c>
      <c r="H2570" s="4">
        <f ca="1">IFERROR(__xludf.UNSUPPORTED("""COMPUTED_VALUE"""),44952.40875)</f>
        <v>44952.408750000002</v>
      </c>
      <c r="I2570" s="3">
        <f ca="1">IFERROR(__xludf.UNSUPPORTED("""COMPUTED_VALUE"""),24)</f>
        <v>24</v>
      </c>
      <c r="J2570" s="4">
        <f ca="1">IFERROR(__xludf.UNSUPPORTED("""COMPUTED_VALUE"""),44953.40875)</f>
        <v>44953.408750000002</v>
      </c>
      <c r="L2570" s="3" t="str">
        <f ca="1">IFERROR(__xludf.UNSUPPORTED("""COMPUTED_VALUE"""),"Normalidade")</f>
        <v>Normalidade</v>
      </c>
    </row>
    <row r="2571" spans="1:12" ht="12.75">
      <c r="A2571" s="3" t="str">
        <f ca="1">IFERROR(__xludf.UNSUPPORTED("""COMPUTED_VALUE"""),"9ae35c15")</f>
        <v>9ae35c15</v>
      </c>
      <c r="B2571" s="4">
        <f ca="1">IFERROR(__xludf.UNSUPPORTED("""COMPUTED_VALUE"""),44953.3306481481)</f>
        <v>44953.330648148098</v>
      </c>
      <c r="C2571" s="7" t="str">
        <f ca="1">IFERROR(__xludf.UNSUPPORTED("""COMPUTED_VALUE"""),"Suape")</f>
        <v>Suape</v>
      </c>
      <c r="D2571" s="3" t="str">
        <f ca="1">IFERROR(__xludf.UNSUPPORTED("""COMPUTED_VALUE"""),"🚢 REGULAR")</f>
        <v>🚢 REGULAR</v>
      </c>
      <c r="E2571" s="3" t="str">
        <f ca="1">IFERROR(__xludf.UNSUPPORTED("""COMPUTED_VALUE"""),"🚛 LIBERADO")</f>
        <v>🚛 LIBERADO</v>
      </c>
      <c r="F2571" s="5">
        <f ca="1">IFERROR(__xludf.UNSUPPORTED("""COMPUTED_VALUE"""),0)</f>
        <v>0</v>
      </c>
      <c r="G2571" s="3" t="str">
        <f ca="1">IFERROR(__xludf.UNSUPPORTED("""COMPUTED_VALUE"""),"Normalidade")</f>
        <v>Normalidade</v>
      </c>
      <c r="H2571" s="4">
        <f ca="1">IFERROR(__xludf.UNSUPPORTED("""COMPUTED_VALUE"""),44953.3306481481)</f>
        <v>44953.330648148098</v>
      </c>
      <c r="I2571" s="3">
        <f ca="1">IFERROR(__xludf.UNSUPPORTED("""COMPUTED_VALUE"""),24)</f>
        <v>24</v>
      </c>
      <c r="J2571" s="4">
        <f ca="1">IFERROR(__xludf.UNSUPPORTED("""COMPUTED_VALUE"""),44954.3306481481)</f>
        <v>44954.330648148098</v>
      </c>
      <c r="L2571" s="3" t="str">
        <f ca="1">IFERROR(__xludf.UNSUPPORTED("""COMPUTED_VALUE"""),"Normalidade")</f>
        <v>Normalidade</v>
      </c>
    </row>
    <row r="2572" spans="1:12" ht="12.75">
      <c r="A2572" s="3" t="str">
        <f ca="1">IFERROR(__xludf.UNSUPPORTED("""COMPUTED_VALUE"""),"228cd8c2")</f>
        <v>228cd8c2</v>
      </c>
      <c r="B2572" s="4">
        <f ca="1">IFERROR(__xludf.UNSUPPORTED("""COMPUTED_VALUE"""),44954.4107638888)</f>
        <v>44954.410763888802</v>
      </c>
      <c r="C2572" s="8" t="str">
        <f ca="1">IFERROR(__xludf.UNSUPPORTED("""COMPUTED_VALUE"""),"Suape")</f>
        <v>Suape</v>
      </c>
      <c r="D2572" s="3" t="str">
        <f ca="1">IFERROR(__xludf.UNSUPPORTED("""COMPUTED_VALUE"""),"🚢 REGULAR")</f>
        <v>🚢 REGULAR</v>
      </c>
      <c r="E2572" s="3" t="str">
        <f ca="1">IFERROR(__xludf.UNSUPPORTED("""COMPUTED_VALUE"""),"🚛 LIBERADO")</f>
        <v>🚛 LIBERADO</v>
      </c>
      <c r="F2572" s="5">
        <f ca="1">IFERROR(__xludf.UNSUPPORTED("""COMPUTED_VALUE"""),0)</f>
        <v>0</v>
      </c>
      <c r="G2572" s="3" t="str">
        <f ca="1">IFERROR(__xludf.UNSUPPORTED("""COMPUTED_VALUE"""),"Normalidade")</f>
        <v>Normalidade</v>
      </c>
      <c r="H2572" s="4">
        <f ca="1">IFERROR(__xludf.UNSUPPORTED("""COMPUTED_VALUE"""),44954.4107638888)</f>
        <v>44954.410763888802</v>
      </c>
      <c r="I2572" s="3">
        <f ca="1">IFERROR(__xludf.UNSUPPORTED("""COMPUTED_VALUE"""),24)</f>
        <v>24</v>
      </c>
      <c r="J2572" s="4">
        <f ca="1">IFERROR(__xludf.UNSUPPORTED("""COMPUTED_VALUE"""),44955.4107638888)</f>
        <v>44955.410763888802</v>
      </c>
      <c r="L2572" s="3" t="str">
        <f ca="1">IFERROR(__xludf.UNSUPPORTED("""COMPUTED_VALUE"""),"Normalidade")</f>
        <v>Normalidade</v>
      </c>
    </row>
    <row r="2573" spans="1:12" ht="12.75">
      <c r="A2573" s="3" t="str">
        <f ca="1">IFERROR(__xludf.UNSUPPORTED("""COMPUTED_VALUE"""),"dac26959")</f>
        <v>dac26959</v>
      </c>
      <c r="B2573" s="4">
        <f ca="1">IFERROR(__xludf.UNSUPPORTED("""COMPUTED_VALUE"""),44955.3900925925)</f>
        <v>44955.390092592497</v>
      </c>
      <c r="C2573" s="8" t="str">
        <f ca="1">IFERROR(__xludf.UNSUPPORTED("""COMPUTED_VALUE"""),"Suape")</f>
        <v>Suape</v>
      </c>
      <c r="D2573" s="3" t="str">
        <f ca="1">IFERROR(__xludf.UNSUPPORTED("""COMPUTED_VALUE"""),"🚢 REGULAR")</f>
        <v>🚢 REGULAR</v>
      </c>
      <c r="E2573" s="3" t="str">
        <f ca="1">IFERROR(__xludf.UNSUPPORTED("""COMPUTED_VALUE"""),"🚛 LIBERADO")</f>
        <v>🚛 LIBERADO</v>
      </c>
      <c r="F2573" s="5">
        <f ca="1">IFERROR(__xludf.UNSUPPORTED("""COMPUTED_VALUE"""),0)</f>
        <v>0</v>
      </c>
      <c r="G2573" s="3" t="str">
        <f ca="1">IFERROR(__xludf.UNSUPPORTED("""COMPUTED_VALUE"""),"Normalidade")</f>
        <v>Normalidade</v>
      </c>
      <c r="H2573" s="4">
        <f ca="1">IFERROR(__xludf.UNSUPPORTED("""COMPUTED_VALUE"""),44955.3900925925)</f>
        <v>44955.390092592497</v>
      </c>
      <c r="I2573" s="3">
        <f ca="1">IFERROR(__xludf.UNSUPPORTED("""COMPUTED_VALUE"""),24)</f>
        <v>24</v>
      </c>
      <c r="J2573" s="4">
        <f ca="1">IFERROR(__xludf.UNSUPPORTED("""COMPUTED_VALUE"""),44956.3900925925)</f>
        <v>44956.390092592497</v>
      </c>
      <c r="L2573" s="3" t="str">
        <f ca="1">IFERROR(__xludf.UNSUPPORTED("""COMPUTED_VALUE"""),"Normalidade")</f>
        <v>Normalidade</v>
      </c>
    </row>
    <row r="2574" spans="1:12" ht="12.75">
      <c r="A2574" s="3" t="str">
        <f ca="1">IFERROR(__xludf.UNSUPPORTED("""COMPUTED_VALUE"""),"c5223e34")</f>
        <v>c5223e34</v>
      </c>
      <c r="B2574" s="4">
        <f ca="1">IFERROR(__xludf.UNSUPPORTED("""COMPUTED_VALUE"""),44956.363125)</f>
        <v>44956.363125000003</v>
      </c>
      <c r="C2574" s="8" t="str">
        <f ca="1">IFERROR(__xludf.UNSUPPORTED("""COMPUTED_VALUE"""),"Suape")</f>
        <v>Suape</v>
      </c>
      <c r="D2574" s="3" t="str">
        <f ca="1">IFERROR(__xludf.UNSUPPORTED("""COMPUTED_VALUE"""),"🚢 REGULAR")</f>
        <v>🚢 REGULAR</v>
      </c>
      <c r="E2574" s="3" t="str">
        <f ca="1">IFERROR(__xludf.UNSUPPORTED("""COMPUTED_VALUE"""),"🚛 LIBERADO")</f>
        <v>🚛 LIBERADO</v>
      </c>
      <c r="F2574" s="5">
        <f ca="1">IFERROR(__xludf.UNSUPPORTED("""COMPUTED_VALUE"""),0)</f>
        <v>0</v>
      </c>
      <c r="G2574" s="3" t="str">
        <f ca="1">IFERROR(__xludf.UNSUPPORTED("""COMPUTED_VALUE"""),"Normalidade")</f>
        <v>Normalidade</v>
      </c>
      <c r="H2574" s="4">
        <f ca="1">IFERROR(__xludf.UNSUPPORTED("""COMPUTED_VALUE"""),44956.363125)</f>
        <v>44956.363125000003</v>
      </c>
      <c r="I2574" s="3">
        <f ca="1">IFERROR(__xludf.UNSUPPORTED("""COMPUTED_VALUE"""),24)</f>
        <v>24</v>
      </c>
      <c r="J2574" s="4">
        <f ca="1">IFERROR(__xludf.UNSUPPORTED("""COMPUTED_VALUE"""),44957.363125)</f>
        <v>44957.363125000003</v>
      </c>
      <c r="L2574" s="3" t="str">
        <f ca="1">IFERROR(__xludf.UNSUPPORTED("""COMPUTED_VALUE"""),"Normalidade")</f>
        <v>Normalidade</v>
      </c>
    </row>
    <row r="2575" spans="1:12" ht="12.75">
      <c r="A2575" s="3" t="str">
        <f ca="1">IFERROR(__xludf.UNSUPPORTED("""COMPUTED_VALUE"""),"a3cde916")</f>
        <v>a3cde916</v>
      </c>
      <c r="B2575" s="4">
        <f ca="1">IFERROR(__xludf.UNSUPPORTED("""COMPUTED_VALUE"""),44957.4159143518)</f>
        <v>44957.415914351797</v>
      </c>
      <c r="C2575" s="8" t="str">
        <f ca="1">IFERROR(__xludf.UNSUPPORTED("""COMPUTED_VALUE"""),"Suape")</f>
        <v>Suape</v>
      </c>
      <c r="D2575" s="3" t="str">
        <f ca="1">IFERROR(__xludf.UNSUPPORTED("""COMPUTED_VALUE"""),"🚢 REGULAR")</f>
        <v>🚢 REGULAR</v>
      </c>
      <c r="E2575" s="3" t="str">
        <f ca="1">IFERROR(__xludf.UNSUPPORTED("""COMPUTED_VALUE"""),"🚛 LIBERADO")</f>
        <v>🚛 LIBERADO</v>
      </c>
      <c r="F2575" s="5">
        <f ca="1">IFERROR(__xludf.UNSUPPORTED("""COMPUTED_VALUE"""),0)</f>
        <v>0</v>
      </c>
      <c r="G2575" s="3" t="str">
        <f ca="1">IFERROR(__xludf.UNSUPPORTED("""COMPUTED_VALUE"""),"Normalidade")</f>
        <v>Normalidade</v>
      </c>
      <c r="H2575" s="4">
        <f ca="1">IFERROR(__xludf.UNSUPPORTED("""COMPUTED_VALUE"""),44957.4159143518)</f>
        <v>44957.415914351797</v>
      </c>
      <c r="I2575" s="3">
        <f ca="1">IFERROR(__xludf.UNSUPPORTED("""COMPUTED_VALUE"""),24)</f>
        <v>24</v>
      </c>
      <c r="J2575" s="4">
        <f ca="1">IFERROR(__xludf.UNSUPPORTED("""COMPUTED_VALUE"""),44958.4159143518)</f>
        <v>44958.415914351797</v>
      </c>
      <c r="L2575" s="3" t="str">
        <f ca="1">IFERROR(__xludf.UNSUPPORTED("""COMPUTED_VALUE"""),"Normalidade")</f>
        <v>Normalidade</v>
      </c>
    </row>
    <row r="2576" spans="1:12" ht="12.75">
      <c r="A2576" s="3" t="str">
        <f ca="1">IFERROR(__xludf.UNSUPPORTED("""COMPUTED_VALUE"""),"3b267c53")</f>
        <v>3b267c53</v>
      </c>
      <c r="B2576" s="4">
        <f ca="1">IFERROR(__xludf.UNSUPPORTED("""COMPUTED_VALUE"""),44958.4782523148)</f>
        <v>44958.478252314802</v>
      </c>
      <c r="C2576" s="8" t="str">
        <f ca="1">IFERROR(__xludf.UNSUPPORTED("""COMPUTED_VALUE"""),"Suape")</f>
        <v>Suape</v>
      </c>
      <c r="D2576" s="3" t="str">
        <f ca="1">IFERROR(__xludf.UNSUPPORTED("""COMPUTED_VALUE"""),"🚢 REGULAR")</f>
        <v>🚢 REGULAR</v>
      </c>
      <c r="E2576" s="3" t="str">
        <f ca="1">IFERROR(__xludf.UNSUPPORTED("""COMPUTED_VALUE"""),"🚛 LIBERADO")</f>
        <v>🚛 LIBERADO</v>
      </c>
      <c r="F2576" s="5">
        <f ca="1">IFERROR(__xludf.UNSUPPORTED("""COMPUTED_VALUE"""),0)</f>
        <v>0</v>
      </c>
      <c r="G2576" s="3" t="str">
        <f ca="1">IFERROR(__xludf.UNSUPPORTED("""COMPUTED_VALUE"""),"Normalidade")</f>
        <v>Normalidade</v>
      </c>
      <c r="H2576" s="4">
        <f ca="1">IFERROR(__xludf.UNSUPPORTED("""COMPUTED_VALUE"""),44958.4782523148)</f>
        <v>44958.478252314802</v>
      </c>
      <c r="I2576" s="3">
        <f ca="1">IFERROR(__xludf.UNSUPPORTED("""COMPUTED_VALUE"""),24)</f>
        <v>24</v>
      </c>
      <c r="J2576" s="4">
        <f ca="1">IFERROR(__xludf.UNSUPPORTED("""COMPUTED_VALUE"""),44959.4782523148)</f>
        <v>44959.478252314802</v>
      </c>
      <c r="L2576" s="3" t="str">
        <f ca="1">IFERROR(__xludf.UNSUPPORTED("""COMPUTED_VALUE"""),"Normalidade")</f>
        <v>Normalidade</v>
      </c>
    </row>
    <row r="2577" spans="1:12" ht="12.75">
      <c r="A2577" s="3" t="str">
        <f ca="1">IFERROR(__xludf.UNSUPPORTED("""COMPUTED_VALUE"""),"16767738")</f>
        <v>16767738</v>
      </c>
      <c r="B2577" s="4">
        <f ca="1">IFERROR(__xludf.UNSUPPORTED("""COMPUTED_VALUE"""),44959.4463773148)</f>
        <v>44959.446377314802</v>
      </c>
      <c r="C2577" s="8" t="str">
        <f ca="1">IFERROR(__xludf.UNSUPPORTED("""COMPUTED_VALUE"""),"Suape")</f>
        <v>Suape</v>
      </c>
      <c r="D2577" s="3" t="str">
        <f ca="1">IFERROR(__xludf.UNSUPPORTED("""COMPUTED_VALUE"""),"🚢 REGULAR")</f>
        <v>🚢 REGULAR</v>
      </c>
      <c r="E2577" s="3" t="str">
        <f ca="1">IFERROR(__xludf.UNSUPPORTED("""COMPUTED_VALUE"""),"🚛 LIBERADO")</f>
        <v>🚛 LIBERADO</v>
      </c>
      <c r="F2577" s="5">
        <f ca="1">IFERROR(__xludf.UNSUPPORTED("""COMPUTED_VALUE"""),0)</f>
        <v>0</v>
      </c>
      <c r="G2577" s="3" t="str">
        <f ca="1">IFERROR(__xludf.UNSUPPORTED("""COMPUTED_VALUE"""),"Normalidade")</f>
        <v>Normalidade</v>
      </c>
      <c r="H2577" s="4">
        <f ca="1">IFERROR(__xludf.UNSUPPORTED("""COMPUTED_VALUE"""),44959.4463773148)</f>
        <v>44959.446377314802</v>
      </c>
      <c r="I2577" s="3">
        <f ca="1">IFERROR(__xludf.UNSUPPORTED("""COMPUTED_VALUE"""),24)</f>
        <v>24</v>
      </c>
      <c r="J2577" s="4">
        <f ca="1">IFERROR(__xludf.UNSUPPORTED("""COMPUTED_VALUE"""),44960.4463773148)</f>
        <v>44960.446377314802</v>
      </c>
      <c r="L2577" s="3" t="str">
        <f ca="1">IFERROR(__xludf.UNSUPPORTED("""COMPUTED_VALUE"""),"Normalidade")</f>
        <v>Normalidade</v>
      </c>
    </row>
    <row r="2578" spans="1:12" ht="12.75">
      <c r="A2578" s="3" t="str">
        <f ca="1">IFERROR(__xludf.UNSUPPORTED("""COMPUTED_VALUE"""),"ea87d52c")</f>
        <v>ea87d52c</v>
      </c>
      <c r="B2578" s="4">
        <f ca="1">IFERROR(__xludf.UNSUPPORTED("""COMPUTED_VALUE"""),44960.4957175925)</f>
        <v>44960.495717592501</v>
      </c>
      <c r="C2578" s="8" t="str">
        <f ca="1">IFERROR(__xludf.UNSUPPORTED("""COMPUTED_VALUE"""),"Suape")</f>
        <v>Suape</v>
      </c>
      <c r="D2578" s="3" t="str">
        <f ca="1">IFERROR(__xludf.UNSUPPORTED("""COMPUTED_VALUE"""),"🚢 REGULAR")</f>
        <v>🚢 REGULAR</v>
      </c>
      <c r="E2578" s="3" t="str">
        <f ca="1">IFERROR(__xludf.UNSUPPORTED("""COMPUTED_VALUE"""),"🚛 LIBERADO")</f>
        <v>🚛 LIBERADO</v>
      </c>
      <c r="F2578" s="5">
        <f ca="1">IFERROR(__xludf.UNSUPPORTED("""COMPUTED_VALUE"""),0)</f>
        <v>0</v>
      </c>
      <c r="G2578" s="3" t="str">
        <f ca="1">IFERROR(__xludf.UNSUPPORTED("""COMPUTED_VALUE"""),"Normalidade")</f>
        <v>Normalidade</v>
      </c>
      <c r="H2578" s="4">
        <f ca="1">IFERROR(__xludf.UNSUPPORTED("""COMPUTED_VALUE"""),44960.4957175925)</f>
        <v>44960.495717592501</v>
      </c>
      <c r="I2578" s="3">
        <f ca="1">IFERROR(__xludf.UNSUPPORTED("""COMPUTED_VALUE"""),24)</f>
        <v>24</v>
      </c>
      <c r="J2578" s="4">
        <f ca="1">IFERROR(__xludf.UNSUPPORTED("""COMPUTED_VALUE"""),44961.4957175925)</f>
        <v>44961.495717592501</v>
      </c>
      <c r="L2578" s="3" t="str">
        <f ca="1">IFERROR(__xludf.UNSUPPORTED("""COMPUTED_VALUE"""),"Normalidade")</f>
        <v>Normalidade</v>
      </c>
    </row>
    <row r="2579" spans="1:12" ht="12.75">
      <c r="A2579" s="3" t="str">
        <f ca="1">IFERROR(__xludf.UNSUPPORTED("""COMPUTED_VALUE"""),"2700ce47")</f>
        <v>2700ce47</v>
      </c>
      <c r="B2579" s="4">
        <f ca="1">IFERROR(__xludf.UNSUPPORTED("""COMPUTED_VALUE"""),44961.3899305555)</f>
        <v>44961.389930555502</v>
      </c>
      <c r="C2579" s="8" t="str">
        <f ca="1">IFERROR(__xludf.UNSUPPORTED("""COMPUTED_VALUE"""),"Suape")</f>
        <v>Suape</v>
      </c>
      <c r="D2579" s="3" t="str">
        <f ca="1">IFERROR(__xludf.UNSUPPORTED("""COMPUTED_VALUE"""),"🚢 REGULAR")</f>
        <v>🚢 REGULAR</v>
      </c>
      <c r="E2579" s="3" t="str">
        <f ca="1">IFERROR(__xludf.UNSUPPORTED("""COMPUTED_VALUE"""),"🚛 LIBERADO")</f>
        <v>🚛 LIBERADO</v>
      </c>
      <c r="F2579" s="5">
        <f ca="1">IFERROR(__xludf.UNSUPPORTED("""COMPUTED_VALUE"""),0)</f>
        <v>0</v>
      </c>
      <c r="G2579" s="3" t="str">
        <f ca="1">IFERROR(__xludf.UNSUPPORTED("""COMPUTED_VALUE"""),"Normalidade")</f>
        <v>Normalidade</v>
      </c>
      <c r="H2579" s="4">
        <f ca="1">IFERROR(__xludf.UNSUPPORTED("""COMPUTED_VALUE"""),44961.3899305555)</f>
        <v>44961.389930555502</v>
      </c>
      <c r="I2579" s="3">
        <f ca="1">IFERROR(__xludf.UNSUPPORTED("""COMPUTED_VALUE"""),24)</f>
        <v>24</v>
      </c>
      <c r="J2579" s="4">
        <f ca="1">IFERROR(__xludf.UNSUPPORTED("""COMPUTED_VALUE"""),44962.3899305555)</f>
        <v>44962.389930555502</v>
      </c>
      <c r="L2579" s="3" t="str">
        <f ca="1">IFERROR(__xludf.UNSUPPORTED("""COMPUTED_VALUE"""),"Normalidade")</f>
        <v>Normalidade</v>
      </c>
    </row>
    <row r="2580" spans="1:12" ht="12.75">
      <c r="A2580" s="3" t="str">
        <f ca="1">IFERROR(__xludf.UNSUPPORTED("""COMPUTED_VALUE"""),"23a8ee21")</f>
        <v>23a8ee21</v>
      </c>
      <c r="B2580" s="4">
        <f ca="1">IFERROR(__xludf.UNSUPPORTED("""COMPUTED_VALUE"""),44962.4314699074)</f>
        <v>44962.431469907402</v>
      </c>
      <c r="C2580" s="7" t="str">
        <f ca="1">IFERROR(__xludf.UNSUPPORTED("""COMPUTED_VALUE"""),"Suape")</f>
        <v>Suape</v>
      </c>
      <c r="D2580" s="3" t="str">
        <f ca="1">IFERROR(__xludf.UNSUPPORTED("""COMPUTED_VALUE"""),"🚢 REGULAR")</f>
        <v>🚢 REGULAR</v>
      </c>
      <c r="E2580" s="3" t="str">
        <f ca="1">IFERROR(__xludf.UNSUPPORTED("""COMPUTED_VALUE"""),"🚛 LIBERADO")</f>
        <v>🚛 LIBERADO</v>
      </c>
      <c r="F2580" s="5">
        <f ca="1">IFERROR(__xludf.UNSUPPORTED("""COMPUTED_VALUE"""),0)</f>
        <v>0</v>
      </c>
      <c r="G2580" s="3" t="str">
        <f ca="1">IFERROR(__xludf.UNSUPPORTED("""COMPUTED_VALUE"""),"Normalidade")</f>
        <v>Normalidade</v>
      </c>
      <c r="H2580" s="4">
        <f ca="1">IFERROR(__xludf.UNSUPPORTED("""COMPUTED_VALUE"""),44962.4314699074)</f>
        <v>44962.431469907402</v>
      </c>
      <c r="I2580" s="3">
        <f ca="1">IFERROR(__xludf.UNSUPPORTED("""COMPUTED_VALUE"""),24)</f>
        <v>24</v>
      </c>
      <c r="J2580" s="4">
        <f ca="1">IFERROR(__xludf.UNSUPPORTED("""COMPUTED_VALUE"""),44963.4314699074)</f>
        <v>44963.431469907402</v>
      </c>
      <c r="L2580" s="3" t="str">
        <f ca="1">IFERROR(__xludf.UNSUPPORTED("""COMPUTED_VALUE"""),"Normalidade")</f>
        <v>Normalidade</v>
      </c>
    </row>
    <row r="2581" spans="1:12" ht="12.75">
      <c r="A2581" s="3" t="str">
        <f ca="1">IFERROR(__xludf.UNSUPPORTED("""COMPUTED_VALUE"""),"77c2a871")</f>
        <v>77c2a871</v>
      </c>
      <c r="B2581" s="4">
        <f ca="1">IFERROR(__xludf.UNSUPPORTED("""COMPUTED_VALUE"""),44963.3665856481)</f>
        <v>44963.366585648102</v>
      </c>
      <c r="C2581" s="8" t="str">
        <f ca="1">IFERROR(__xludf.UNSUPPORTED("""COMPUTED_VALUE"""),"Suape")</f>
        <v>Suape</v>
      </c>
      <c r="D2581" s="3" t="str">
        <f ca="1">IFERROR(__xludf.UNSUPPORTED("""COMPUTED_VALUE"""),"🚢 REGULAR")</f>
        <v>🚢 REGULAR</v>
      </c>
      <c r="E2581" s="3" t="str">
        <f ca="1">IFERROR(__xludf.UNSUPPORTED("""COMPUTED_VALUE"""),"🚛 LIBERADO")</f>
        <v>🚛 LIBERADO</v>
      </c>
      <c r="F2581" s="5">
        <f ca="1">IFERROR(__xludf.UNSUPPORTED("""COMPUTED_VALUE"""),0)</f>
        <v>0</v>
      </c>
      <c r="G2581" s="3" t="str">
        <f ca="1">IFERROR(__xludf.UNSUPPORTED("""COMPUTED_VALUE"""),"Normalidade")</f>
        <v>Normalidade</v>
      </c>
      <c r="H2581" s="4">
        <f ca="1">IFERROR(__xludf.UNSUPPORTED("""COMPUTED_VALUE"""),44963.3665856481)</f>
        <v>44963.366585648102</v>
      </c>
      <c r="I2581" s="3">
        <f ca="1">IFERROR(__xludf.UNSUPPORTED("""COMPUTED_VALUE"""),24)</f>
        <v>24</v>
      </c>
      <c r="J2581" s="4">
        <f ca="1">IFERROR(__xludf.UNSUPPORTED("""COMPUTED_VALUE"""),44964.3665856481)</f>
        <v>44964.366585648102</v>
      </c>
      <c r="L2581" s="3" t="str">
        <f ca="1">IFERROR(__xludf.UNSUPPORTED("""COMPUTED_VALUE"""),"Normalidade")</f>
        <v>Normalidade</v>
      </c>
    </row>
    <row r="2582" spans="1:12" ht="12.75">
      <c r="A2582" s="3" t="str">
        <f ca="1">IFERROR(__xludf.UNSUPPORTED("""COMPUTED_VALUE"""),"06a3713a")</f>
        <v>06a3713a</v>
      </c>
      <c r="B2582" s="4">
        <f ca="1">IFERROR(__xludf.UNSUPPORTED("""COMPUTED_VALUE"""),44964.3783680555)</f>
        <v>44964.378368055499</v>
      </c>
      <c r="C2582" s="8" t="str">
        <f ca="1">IFERROR(__xludf.UNSUPPORTED("""COMPUTED_VALUE"""),"Suape")</f>
        <v>Suape</v>
      </c>
      <c r="D2582" s="3" t="str">
        <f ca="1">IFERROR(__xludf.UNSUPPORTED("""COMPUTED_VALUE"""),"🚢 REGULAR")</f>
        <v>🚢 REGULAR</v>
      </c>
      <c r="E2582" s="3" t="str">
        <f ca="1">IFERROR(__xludf.UNSUPPORTED("""COMPUTED_VALUE"""),"🚛 LIBERADO")</f>
        <v>🚛 LIBERADO</v>
      </c>
      <c r="F2582" s="5">
        <f ca="1">IFERROR(__xludf.UNSUPPORTED("""COMPUTED_VALUE"""),0)</f>
        <v>0</v>
      </c>
      <c r="G2582" s="3" t="str">
        <f ca="1">IFERROR(__xludf.UNSUPPORTED("""COMPUTED_VALUE"""),"Normalidade")</f>
        <v>Normalidade</v>
      </c>
      <c r="H2582" s="4">
        <f ca="1">IFERROR(__xludf.UNSUPPORTED("""COMPUTED_VALUE"""),44964.3783680555)</f>
        <v>44964.378368055499</v>
      </c>
      <c r="I2582" s="3">
        <f ca="1">IFERROR(__xludf.UNSUPPORTED("""COMPUTED_VALUE"""),24)</f>
        <v>24</v>
      </c>
      <c r="J2582" s="4">
        <f ca="1">IFERROR(__xludf.UNSUPPORTED("""COMPUTED_VALUE"""),44965.3783680555)</f>
        <v>44965.378368055499</v>
      </c>
      <c r="L2582" s="3" t="str">
        <f ca="1">IFERROR(__xludf.UNSUPPORTED("""COMPUTED_VALUE"""),"Normalidade")</f>
        <v>Normalidade</v>
      </c>
    </row>
    <row r="2583" spans="1:12" ht="12.75">
      <c r="A2583" s="3" t="str">
        <f ca="1">IFERROR(__xludf.UNSUPPORTED("""COMPUTED_VALUE"""),"2499dd01")</f>
        <v>2499dd01</v>
      </c>
      <c r="B2583" s="4">
        <f ca="1">IFERROR(__xludf.UNSUPPORTED("""COMPUTED_VALUE"""),44964.4349421296)</f>
        <v>44964.434942129599</v>
      </c>
      <c r="C2583" s="7" t="str">
        <f ca="1">IFERROR(__xludf.UNSUPPORTED("""COMPUTED_VALUE"""),"Suape")</f>
        <v>Suape</v>
      </c>
      <c r="D2583" s="3" t="str">
        <f ca="1">IFERROR(__xludf.UNSUPPORTED("""COMPUTED_VALUE"""),"🚢 REGULAR")</f>
        <v>🚢 REGULAR</v>
      </c>
      <c r="E2583" s="3" t="str">
        <f ca="1">IFERROR(__xludf.UNSUPPORTED("""COMPUTED_VALUE"""),"🚛 LIBERADO")</f>
        <v>🚛 LIBERADO</v>
      </c>
      <c r="F2583" s="5">
        <f ca="1">IFERROR(__xludf.UNSUPPORTED("""COMPUTED_VALUE"""),0)</f>
        <v>0</v>
      </c>
      <c r="G2583" s="3" t="str">
        <f ca="1">IFERROR(__xludf.UNSUPPORTED("""COMPUTED_VALUE"""),"Normalidade")</f>
        <v>Normalidade</v>
      </c>
      <c r="H2583" s="4">
        <f ca="1">IFERROR(__xludf.UNSUPPORTED("""COMPUTED_VALUE"""),44964.4349421296)</f>
        <v>44964.434942129599</v>
      </c>
      <c r="I2583" s="3">
        <f ca="1">IFERROR(__xludf.UNSUPPORTED("""COMPUTED_VALUE"""),24)</f>
        <v>24</v>
      </c>
      <c r="J2583" s="4">
        <f ca="1">IFERROR(__xludf.UNSUPPORTED("""COMPUTED_VALUE"""),44965.4349421296)</f>
        <v>44965.434942129599</v>
      </c>
      <c r="L2583" s="3" t="str">
        <f ca="1">IFERROR(__xludf.UNSUPPORTED("""COMPUTED_VALUE"""),"Normalidade")</f>
        <v>Normalidade</v>
      </c>
    </row>
    <row r="2584" spans="1:12" ht="12.75">
      <c r="A2584" s="3" t="str">
        <f ca="1">IFERROR(__xludf.UNSUPPORTED("""COMPUTED_VALUE"""),"1916d48d")</f>
        <v>1916d48d</v>
      </c>
      <c r="B2584" s="4">
        <f ca="1">IFERROR(__xludf.UNSUPPORTED("""COMPUTED_VALUE"""),44965.3899421296)</f>
        <v>44965.389942129601</v>
      </c>
      <c r="C2584" s="7" t="str">
        <f ca="1">IFERROR(__xludf.UNSUPPORTED("""COMPUTED_VALUE"""),"Suape")</f>
        <v>Suape</v>
      </c>
      <c r="D2584" s="3" t="str">
        <f ca="1">IFERROR(__xludf.UNSUPPORTED("""COMPUTED_VALUE"""),"🚢 REGULAR")</f>
        <v>🚢 REGULAR</v>
      </c>
      <c r="E2584" s="3" t="str">
        <f ca="1">IFERROR(__xludf.UNSUPPORTED("""COMPUTED_VALUE"""),"🚛 LIBERADO")</f>
        <v>🚛 LIBERADO</v>
      </c>
      <c r="F2584" s="5">
        <f ca="1">IFERROR(__xludf.UNSUPPORTED("""COMPUTED_VALUE"""),0)</f>
        <v>0</v>
      </c>
      <c r="G2584" s="3" t="str">
        <f ca="1">IFERROR(__xludf.UNSUPPORTED("""COMPUTED_VALUE"""),"Normalidade")</f>
        <v>Normalidade</v>
      </c>
      <c r="H2584" s="4">
        <f ca="1">IFERROR(__xludf.UNSUPPORTED("""COMPUTED_VALUE"""),44965.3899421296)</f>
        <v>44965.389942129601</v>
      </c>
      <c r="I2584" s="3">
        <f ca="1">IFERROR(__xludf.UNSUPPORTED("""COMPUTED_VALUE"""),24)</f>
        <v>24</v>
      </c>
      <c r="J2584" s="4">
        <f ca="1">IFERROR(__xludf.UNSUPPORTED("""COMPUTED_VALUE"""),44966.3899421296)</f>
        <v>44966.389942129601</v>
      </c>
      <c r="L2584" s="3" t="str">
        <f ca="1">IFERROR(__xludf.UNSUPPORTED("""COMPUTED_VALUE"""),"Normalidade")</f>
        <v>Normalidade</v>
      </c>
    </row>
    <row r="2585" spans="1:12" ht="12.75">
      <c r="A2585" s="3" t="str">
        <f ca="1">IFERROR(__xludf.UNSUPPORTED("""COMPUTED_VALUE"""),"60aa9d72")</f>
        <v>60aa9d72</v>
      </c>
      <c r="B2585" s="4">
        <f ca="1">IFERROR(__xludf.UNSUPPORTED("""COMPUTED_VALUE"""),44966.4033449074)</f>
        <v>44966.403344907398</v>
      </c>
      <c r="C2585" s="7" t="str">
        <f ca="1">IFERROR(__xludf.UNSUPPORTED("""COMPUTED_VALUE"""),"Suape")</f>
        <v>Suape</v>
      </c>
      <c r="D2585" s="3" t="str">
        <f ca="1">IFERROR(__xludf.UNSUPPORTED("""COMPUTED_VALUE"""),"🚢 REGULAR")</f>
        <v>🚢 REGULAR</v>
      </c>
      <c r="E2585" s="3" t="str">
        <f ca="1">IFERROR(__xludf.UNSUPPORTED("""COMPUTED_VALUE"""),"🚛 LIBERADO")</f>
        <v>🚛 LIBERADO</v>
      </c>
      <c r="F2585" s="5">
        <f ca="1">IFERROR(__xludf.UNSUPPORTED("""COMPUTED_VALUE"""),0)</f>
        <v>0</v>
      </c>
      <c r="G2585" s="3" t="str">
        <f ca="1">IFERROR(__xludf.UNSUPPORTED("""COMPUTED_VALUE"""),"Normalidade")</f>
        <v>Normalidade</v>
      </c>
      <c r="H2585" s="4">
        <f ca="1">IFERROR(__xludf.UNSUPPORTED("""COMPUTED_VALUE"""),44966.4033449074)</f>
        <v>44966.403344907398</v>
      </c>
      <c r="I2585" s="3">
        <f ca="1">IFERROR(__xludf.UNSUPPORTED("""COMPUTED_VALUE"""),24)</f>
        <v>24</v>
      </c>
      <c r="J2585" s="4">
        <f ca="1">IFERROR(__xludf.UNSUPPORTED("""COMPUTED_VALUE"""),44967.4033449074)</f>
        <v>44967.403344907398</v>
      </c>
      <c r="L2585" s="3" t="str">
        <f ca="1">IFERROR(__xludf.UNSUPPORTED("""COMPUTED_VALUE"""),"Normalidade")</f>
        <v>Normalidade</v>
      </c>
    </row>
    <row r="2586" spans="1:12" ht="12.75">
      <c r="A2586" s="3" t="str">
        <f ca="1">IFERROR(__xludf.UNSUPPORTED("""COMPUTED_VALUE"""),"6a80bf42")</f>
        <v>6a80bf42</v>
      </c>
      <c r="B2586" s="4">
        <f ca="1">IFERROR(__xludf.UNSUPPORTED("""COMPUTED_VALUE"""),44968.4131712963)</f>
        <v>44968.413171296299</v>
      </c>
      <c r="C2586" s="8" t="str">
        <f ca="1">IFERROR(__xludf.UNSUPPORTED("""COMPUTED_VALUE"""),"Suape")</f>
        <v>Suape</v>
      </c>
      <c r="D2586" s="3" t="str">
        <f ca="1">IFERROR(__xludf.UNSUPPORTED("""COMPUTED_VALUE"""),"🚢 REGULAR")</f>
        <v>🚢 REGULAR</v>
      </c>
      <c r="E2586" s="3" t="str">
        <f ca="1">IFERROR(__xludf.UNSUPPORTED("""COMPUTED_VALUE"""),"🚛 LIBERADO")</f>
        <v>🚛 LIBERADO</v>
      </c>
      <c r="F2586" s="5">
        <f ca="1">IFERROR(__xludf.UNSUPPORTED("""COMPUTED_VALUE"""),0)</f>
        <v>0</v>
      </c>
      <c r="G2586" s="3" t="str">
        <f ca="1">IFERROR(__xludf.UNSUPPORTED("""COMPUTED_VALUE"""),"Normalidade")</f>
        <v>Normalidade</v>
      </c>
      <c r="H2586" s="4">
        <f ca="1">IFERROR(__xludf.UNSUPPORTED("""COMPUTED_VALUE"""),44968.4131712963)</f>
        <v>44968.413171296299</v>
      </c>
      <c r="I2586" s="3">
        <f ca="1">IFERROR(__xludf.UNSUPPORTED("""COMPUTED_VALUE"""),24)</f>
        <v>24</v>
      </c>
      <c r="J2586" s="4">
        <f ca="1">IFERROR(__xludf.UNSUPPORTED("""COMPUTED_VALUE"""),44969.4131712963)</f>
        <v>44969.413171296299</v>
      </c>
      <c r="L2586" s="3" t="str">
        <f ca="1">IFERROR(__xludf.UNSUPPORTED("""COMPUTED_VALUE"""),"Normalidade")</f>
        <v>Normalidade</v>
      </c>
    </row>
    <row r="2587" spans="1:12" ht="12.75">
      <c r="A2587" s="3" t="str">
        <f ca="1">IFERROR(__xludf.UNSUPPORTED("""COMPUTED_VALUE"""),"607cc116")</f>
        <v>607cc116</v>
      </c>
      <c r="B2587" s="4">
        <f ca="1">IFERROR(__xludf.UNSUPPORTED("""COMPUTED_VALUE"""),44969.4157523148)</f>
        <v>44969.415752314802</v>
      </c>
      <c r="C2587" s="8" t="str">
        <f ca="1">IFERROR(__xludf.UNSUPPORTED("""COMPUTED_VALUE"""),"Suape")</f>
        <v>Suape</v>
      </c>
      <c r="D2587" s="3" t="str">
        <f ca="1">IFERROR(__xludf.UNSUPPORTED("""COMPUTED_VALUE"""),"🚢 REGULAR")</f>
        <v>🚢 REGULAR</v>
      </c>
      <c r="E2587" s="3" t="str">
        <f ca="1">IFERROR(__xludf.UNSUPPORTED("""COMPUTED_VALUE"""),"🚛 LIBERADO")</f>
        <v>🚛 LIBERADO</v>
      </c>
      <c r="F2587" s="5">
        <f ca="1">IFERROR(__xludf.UNSUPPORTED("""COMPUTED_VALUE"""),0)</f>
        <v>0</v>
      </c>
      <c r="G2587" s="3" t="str">
        <f ca="1">IFERROR(__xludf.UNSUPPORTED("""COMPUTED_VALUE"""),"Normalidade")</f>
        <v>Normalidade</v>
      </c>
      <c r="H2587" s="4">
        <f ca="1">IFERROR(__xludf.UNSUPPORTED("""COMPUTED_VALUE"""),44969.4157523148)</f>
        <v>44969.415752314802</v>
      </c>
      <c r="I2587" s="3">
        <f ca="1">IFERROR(__xludf.UNSUPPORTED("""COMPUTED_VALUE"""),24)</f>
        <v>24</v>
      </c>
      <c r="J2587" s="4">
        <f ca="1">IFERROR(__xludf.UNSUPPORTED("""COMPUTED_VALUE"""),44970.4157523148)</f>
        <v>44970.415752314802</v>
      </c>
      <c r="L2587" s="3" t="str">
        <f ca="1">IFERROR(__xludf.UNSUPPORTED("""COMPUTED_VALUE"""),"Normalidade")</f>
        <v>Normalidade</v>
      </c>
    </row>
    <row r="2588" spans="1:12" ht="12.75">
      <c r="A2588" s="3" t="str">
        <f ca="1">IFERROR(__xludf.UNSUPPORTED("""COMPUTED_VALUE"""),"7ea848db")</f>
        <v>7ea848db</v>
      </c>
      <c r="B2588" s="4">
        <f ca="1">IFERROR(__xludf.UNSUPPORTED("""COMPUTED_VALUE"""),44970.3821296296)</f>
        <v>44970.382129629601</v>
      </c>
      <c r="C2588" s="8" t="str">
        <f ca="1">IFERROR(__xludf.UNSUPPORTED("""COMPUTED_VALUE"""),"Suape")</f>
        <v>Suape</v>
      </c>
      <c r="D2588" s="3" t="str">
        <f ca="1">IFERROR(__xludf.UNSUPPORTED("""COMPUTED_VALUE"""),"🚢 REGULAR")</f>
        <v>🚢 REGULAR</v>
      </c>
      <c r="E2588" s="3" t="str">
        <f ca="1">IFERROR(__xludf.UNSUPPORTED("""COMPUTED_VALUE"""),"🚛 LIBERADO")</f>
        <v>🚛 LIBERADO</v>
      </c>
      <c r="F2588" s="5">
        <f ca="1">IFERROR(__xludf.UNSUPPORTED("""COMPUTED_VALUE"""),0)</f>
        <v>0</v>
      </c>
      <c r="G2588" s="3" t="str">
        <f ca="1">IFERROR(__xludf.UNSUPPORTED("""COMPUTED_VALUE"""),"Normalidade")</f>
        <v>Normalidade</v>
      </c>
      <c r="H2588" s="4">
        <f ca="1">IFERROR(__xludf.UNSUPPORTED("""COMPUTED_VALUE"""),44970.3821296296)</f>
        <v>44970.382129629601</v>
      </c>
      <c r="I2588" s="3">
        <f ca="1">IFERROR(__xludf.UNSUPPORTED("""COMPUTED_VALUE"""),24)</f>
        <v>24</v>
      </c>
      <c r="J2588" s="4">
        <f ca="1">IFERROR(__xludf.UNSUPPORTED("""COMPUTED_VALUE"""),44971.3821296296)</f>
        <v>44971.382129629601</v>
      </c>
      <c r="L2588" s="3" t="str">
        <f ca="1">IFERROR(__xludf.UNSUPPORTED("""COMPUTED_VALUE"""),"Normalidade")</f>
        <v>Normalidade</v>
      </c>
    </row>
    <row r="2589" spans="1:12" ht="12.75">
      <c r="A2589" s="3" t="str">
        <f ca="1">IFERROR(__xludf.UNSUPPORTED("""COMPUTED_VALUE"""),"64ef9172")</f>
        <v>64ef9172</v>
      </c>
      <c r="B2589" s="4">
        <f ca="1">IFERROR(__xludf.UNSUPPORTED("""COMPUTED_VALUE"""),44971.3953125)</f>
        <v>44971.395312499997</v>
      </c>
      <c r="C2589" s="8" t="str">
        <f ca="1">IFERROR(__xludf.UNSUPPORTED("""COMPUTED_VALUE"""),"Suape")</f>
        <v>Suape</v>
      </c>
      <c r="D2589" s="3" t="str">
        <f ca="1">IFERROR(__xludf.UNSUPPORTED("""COMPUTED_VALUE"""),"🚢 REGULAR")</f>
        <v>🚢 REGULAR</v>
      </c>
      <c r="E2589" s="3" t="str">
        <f ca="1">IFERROR(__xludf.UNSUPPORTED("""COMPUTED_VALUE"""),"🚛 LIBERADO")</f>
        <v>🚛 LIBERADO</v>
      </c>
      <c r="F2589" s="5">
        <f ca="1">IFERROR(__xludf.UNSUPPORTED("""COMPUTED_VALUE"""),0)</f>
        <v>0</v>
      </c>
      <c r="G2589" s="3" t="str">
        <f ca="1">IFERROR(__xludf.UNSUPPORTED("""COMPUTED_VALUE"""),"Normalidade")</f>
        <v>Normalidade</v>
      </c>
      <c r="H2589" s="4">
        <f ca="1">IFERROR(__xludf.UNSUPPORTED("""COMPUTED_VALUE"""),44971.3953125)</f>
        <v>44971.395312499997</v>
      </c>
      <c r="I2589" s="3">
        <f ca="1">IFERROR(__xludf.UNSUPPORTED("""COMPUTED_VALUE"""),24)</f>
        <v>24</v>
      </c>
      <c r="J2589" s="4">
        <f ca="1">IFERROR(__xludf.UNSUPPORTED("""COMPUTED_VALUE"""),44972.3953125)</f>
        <v>44972.395312499997</v>
      </c>
      <c r="L2589" s="3" t="str">
        <f ca="1">IFERROR(__xludf.UNSUPPORTED("""COMPUTED_VALUE"""),"Normalidade")</f>
        <v>Normalidade</v>
      </c>
    </row>
    <row r="2590" spans="1:12" ht="12.75">
      <c r="A2590" s="3" t="str">
        <f ca="1">IFERROR(__xludf.UNSUPPORTED("""COMPUTED_VALUE"""),"bbf9e472")</f>
        <v>bbf9e472</v>
      </c>
      <c r="B2590" s="4">
        <f ca="1">IFERROR(__xludf.UNSUPPORTED("""COMPUTED_VALUE"""),44972.4870717592)</f>
        <v>44972.487071759198</v>
      </c>
      <c r="C2590" s="7" t="str">
        <f ca="1">IFERROR(__xludf.UNSUPPORTED("""COMPUTED_VALUE"""),"Suape")</f>
        <v>Suape</v>
      </c>
      <c r="D2590" s="3" t="str">
        <f ca="1">IFERROR(__xludf.UNSUPPORTED("""COMPUTED_VALUE"""),"🚢 REGULAR")</f>
        <v>🚢 REGULAR</v>
      </c>
      <c r="E2590" s="3" t="str">
        <f ca="1">IFERROR(__xludf.UNSUPPORTED("""COMPUTED_VALUE"""),"🚛 LIBERADO")</f>
        <v>🚛 LIBERADO</v>
      </c>
      <c r="F2590" s="5">
        <f ca="1">IFERROR(__xludf.UNSUPPORTED("""COMPUTED_VALUE"""),0)</f>
        <v>0</v>
      </c>
      <c r="G2590" s="3" t="str">
        <f ca="1">IFERROR(__xludf.UNSUPPORTED("""COMPUTED_VALUE"""),"Normalidade")</f>
        <v>Normalidade</v>
      </c>
      <c r="H2590" s="4">
        <f ca="1">IFERROR(__xludf.UNSUPPORTED("""COMPUTED_VALUE"""),44972.4870717592)</f>
        <v>44972.487071759198</v>
      </c>
      <c r="I2590" s="3">
        <f ca="1">IFERROR(__xludf.UNSUPPORTED("""COMPUTED_VALUE"""),24)</f>
        <v>24</v>
      </c>
      <c r="J2590" s="4">
        <f ca="1">IFERROR(__xludf.UNSUPPORTED("""COMPUTED_VALUE"""),44973.4870717592)</f>
        <v>44973.487071759198</v>
      </c>
      <c r="L2590" s="3" t="str">
        <f ca="1">IFERROR(__xludf.UNSUPPORTED("""COMPUTED_VALUE"""),"Normalidade")</f>
        <v>Normalidade</v>
      </c>
    </row>
    <row r="2591" spans="1:12" ht="12.75">
      <c r="A2591" s="3" t="str">
        <f ca="1">IFERROR(__xludf.UNSUPPORTED("""COMPUTED_VALUE"""),"021e9efc")</f>
        <v>021e9efc</v>
      </c>
      <c r="B2591" s="4">
        <f ca="1">IFERROR(__xludf.UNSUPPORTED("""COMPUTED_VALUE"""),44973.57625)</f>
        <v>44973.576249999998</v>
      </c>
      <c r="C2591" s="7" t="str">
        <f ca="1">IFERROR(__xludf.UNSUPPORTED("""COMPUTED_VALUE"""),"Suape")</f>
        <v>Suape</v>
      </c>
      <c r="D2591" s="3" t="str">
        <f ca="1">IFERROR(__xludf.UNSUPPORTED("""COMPUTED_VALUE"""),"🚢 REGULAR")</f>
        <v>🚢 REGULAR</v>
      </c>
      <c r="E2591" s="3" t="str">
        <f ca="1">IFERROR(__xludf.UNSUPPORTED("""COMPUTED_VALUE"""),"🚛 LIBERADO")</f>
        <v>🚛 LIBERADO</v>
      </c>
      <c r="F2591" s="5">
        <f ca="1">IFERROR(__xludf.UNSUPPORTED("""COMPUTED_VALUE"""),0)</f>
        <v>0</v>
      </c>
      <c r="G2591" s="3" t="str">
        <f ca="1">IFERROR(__xludf.UNSUPPORTED("""COMPUTED_VALUE"""),"Normalidade")</f>
        <v>Normalidade</v>
      </c>
      <c r="H2591" s="4">
        <f ca="1">IFERROR(__xludf.UNSUPPORTED("""COMPUTED_VALUE"""),44973.57625)</f>
        <v>44973.576249999998</v>
      </c>
      <c r="I2591" s="3">
        <f ca="1">IFERROR(__xludf.UNSUPPORTED("""COMPUTED_VALUE"""),24)</f>
        <v>24</v>
      </c>
      <c r="J2591" s="4">
        <f ca="1">IFERROR(__xludf.UNSUPPORTED("""COMPUTED_VALUE"""),44974.57625)</f>
        <v>44974.576249999998</v>
      </c>
      <c r="L2591" s="3" t="str">
        <f ca="1">IFERROR(__xludf.UNSUPPORTED("""COMPUTED_VALUE"""),"Normalidade")</f>
        <v>Normalidade</v>
      </c>
    </row>
    <row r="2592" spans="1:12" ht="12.75">
      <c r="A2592" s="3" t="str">
        <f ca="1">IFERROR(__xludf.UNSUPPORTED("""COMPUTED_VALUE"""),"c0fa7243")</f>
        <v>c0fa7243</v>
      </c>
      <c r="B2592" s="4">
        <f ca="1">IFERROR(__xludf.UNSUPPORTED("""COMPUTED_VALUE"""),44975.4151851851)</f>
        <v>44975.415185185098</v>
      </c>
      <c r="C2592" s="8" t="str">
        <f ca="1">IFERROR(__xludf.UNSUPPORTED("""COMPUTED_VALUE"""),"Suape")</f>
        <v>Suape</v>
      </c>
      <c r="D2592" s="3" t="str">
        <f ca="1">IFERROR(__xludf.UNSUPPORTED("""COMPUTED_VALUE"""),"🚢 REGULAR")</f>
        <v>🚢 REGULAR</v>
      </c>
      <c r="E2592" s="3" t="str">
        <f ca="1">IFERROR(__xludf.UNSUPPORTED("""COMPUTED_VALUE"""),"🚛 LIBERADO")</f>
        <v>🚛 LIBERADO</v>
      </c>
      <c r="F2592" s="5">
        <f ca="1">IFERROR(__xludf.UNSUPPORTED("""COMPUTED_VALUE"""),0)</f>
        <v>0</v>
      </c>
      <c r="G2592" s="3" t="str">
        <f ca="1">IFERROR(__xludf.UNSUPPORTED("""COMPUTED_VALUE"""),"Normalidade")</f>
        <v>Normalidade</v>
      </c>
      <c r="H2592" s="4">
        <f ca="1">IFERROR(__xludf.UNSUPPORTED("""COMPUTED_VALUE"""),44975.4151851851)</f>
        <v>44975.415185185098</v>
      </c>
      <c r="I2592" s="3">
        <f ca="1">IFERROR(__xludf.UNSUPPORTED("""COMPUTED_VALUE"""),24)</f>
        <v>24</v>
      </c>
      <c r="J2592" s="4">
        <f ca="1">IFERROR(__xludf.UNSUPPORTED("""COMPUTED_VALUE"""),44976.4151851851)</f>
        <v>44976.415185185098</v>
      </c>
      <c r="L2592" s="3" t="str">
        <f ca="1">IFERROR(__xludf.UNSUPPORTED("""COMPUTED_VALUE"""),"Normalidade")</f>
        <v>Normalidade</v>
      </c>
    </row>
    <row r="2593" spans="1:12" ht="12.75">
      <c r="A2593" s="3" t="str">
        <f ca="1">IFERROR(__xludf.UNSUPPORTED("""COMPUTED_VALUE"""),"4cd81c2f")</f>
        <v>4cd81c2f</v>
      </c>
      <c r="B2593" s="4">
        <f ca="1">IFERROR(__xludf.UNSUPPORTED("""COMPUTED_VALUE"""),44976.4121180555)</f>
        <v>44976.412118055501</v>
      </c>
      <c r="C2593" s="7" t="str">
        <f ca="1">IFERROR(__xludf.UNSUPPORTED("""COMPUTED_VALUE"""),"Suape")</f>
        <v>Suape</v>
      </c>
      <c r="D2593" s="3" t="str">
        <f ca="1">IFERROR(__xludf.UNSUPPORTED("""COMPUTED_VALUE"""),"🚢 REGULAR")</f>
        <v>🚢 REGULAR</v>
      </c>
      <c r="E2593" s="3" t="str">
        <f ca="1">IFERROR(__xludf.UNSUPPORTED("""COMPUTED_VALUE"""),"🚛 LIBERADO")</f>
        <v>🚛 LIBERADO</v>
      </c>
      <c r="F2593" s="5">
        <f ca="1">IFERROR(__xludf.UNSUPPORTED("""COMPUTED_VALUE"""),0)</f>
        <v>0</v>
      </c>
      <c r="G2593" s="3" t="str">
        <f ca="1">IFERROR(__xludf.UNSUPPORTED("""COMPUTED_VALUE"""),"Normalidade")</f>
        <v>Normalidade</v>
      </c>
      <c r="H2593" s="4">
        <f ca="1">IFERROR(__xludf.UNSUPPORTED("""COMPUTED_VALUE"""),44976.4121180555)</f>
        <v>44976.412118055501</v>
      </c>
      <c r="I2593" s="3">
        <f ca="1">IFERROR(__xludf.UNSUPPORTED("""COMPUTED_VALUE"""),24)</f>
        <v>24</v>
      </c>
      <c r="J2593" s="4">
        <f ca="1">IFERROR(__xludf.UNSUPPORTED("""COMPUTED_VALUE"""),44977.4121180555)</f>
        <v>44977.412118055501</v>
      </c>
      <c r="L2593" s="3" t="str">
        <f ca="1">IFERROR(__xludf.UNSUPPORTED("""COMPUTED_VALUE"""),"Normalidade")</f>
        <v>Normalidade</v>
      </c>
    </row>
    <row r="2594" spans="1:12" ht="12.75">
      <c r="A2594" s="3" t="str">
        <f ca="1">IFERROR(__xludf.UNSUPPORTED("""COMPUTED_VALUE"""),"bd2cc60b")</f>
        <v>bd2cc60b</v>
      </c>
      <c r="B2594" s="4">
        <f ca="1">IFERROR(__xludf.UNSUPPORTED("""COMPUTED_VALUE"""),44977.3816435185)</f>
        <v>44977.3816435185</v>
      </c>
      <c r="C2594" s="7" t="str">
        <f ca="1">IFERROR(__xludf.UNSUPPORTED("""COMPUTED_VALUE"""),"Suape")</f>
        <v>Suape</v>
      </c>
      <c r="D2594" s="3" t="str">
        <f ca="1">IFERROR(__xludf.UNSUPPORTED("""COMPUTED_VALUE"""),"🚢 REGULAR")</f>
        <v>🚢 REGULAR</v>
      </c>
      <c r="E2594" s="3" t="str">
        <f ca="1">IFERROR(__xludf.UNSUPPORTED("""COMPUTED_VALUE"""),"🚛 LIBERADO")</f>
        <v>🚛 LIBERADO</v>
      </c>
      <c r="F2594" s="5">
        <f ca="1">IFERROR(__xludf.UNSUPPORTED("""COMPUTED_VALUE"""),0)</f>
        <v>0</v>
      </c>
      <c r="G2594" s="3" t="str">
        <f ca="1">IFERROR(__xludf.UNSUPPORTED("""COMPUTED_VALUE"""),"Normalidade")</f>
        <v>Normalidade</v>
      </c>
      <c r="H2594" s="4">
        <f ca="1">IFERROR(__xludf.UNSUPPORTED("""COMPUTED_VALUE"""),44977.3816435185)</f>
        <v>44977.3816435185</v>
      </c>
      <c r="I2594" s="3">
        <f ca="1">IFERROR(__xludf.UNSUPPORTED("""COMPUTED_VALUE"""),24)</f>
        <v>24</v>
      </c>
      <c r="J2594" s="4">
        <f ca="1">IFERROR(__xludf.UNSUPPORTED("""COMPUTED_VALUE"""),44978.3816435185)</f>
        <v>44978.3816435185</v>
      </c>
      <c r="L2594" s="3" t="str">
        <f ca="1">IFERROR(__xludf.UNSUPPORTED("""COMPUTED_VALUE"""),"Normalidade")</f>
        <v>Normalidade</v>
      </c>
    </row>
    <row r="2595" spans="1:12" ht="12.75">
      <c r="A2595" s="3" t="str">
        <f ca="1">IFERROR(__xludf.UNSUPPORTED("""COMPUTED_VALUE"""),"8bc0f333")</f>
        <v>8bc0f333</v>
      </c>
      <c r="B2595" s="4">
        <f ca="1">IFERROR(__xludf.UNSUPPORTED("""COMPUTED_VALUE"""),44978.3991203703)</f>
        <v>44978.399120370297</v>
      </c>
      <c r="C2595" s="8" t="str">
        <f ca="1">IFERROR(__xludf.UNSUPPORTED("""COMPUTED_VALUE"""),"Suape")</f>
        <v>Suape</v>
      </c>
      <c r="D2595" s="3" t="str">
        <f ca="1">IFERROR(__xludf.UNSUPPORTED("""COMPUTED_VALUE"""),"🚢 REGULAR")</f>
        <v>🚢 REGULAR</v>
      </c>
      <c r="E2595" s="3" t="str">
        <f ca="1">IFERROR(__xludf.UNSUPPORTED("""COMPUTED_VALUE"""),"🚛 LIBERADO")</f>
        <v>🚛 LIBERADO</v>
      </c>
      <c r="F2595" s="5">
        <f ca="1">IFERROR(__xludf.UNSUPPORTED("""COMPUTED_VALUE"""),0)</f>
        <v>0</v>
      </c>
      <c r="G2595" s="3" t="str">
        <f ca="1">IFERROR(__xludf.UNSUPPORTED("""COMPUTED_VALUE"""),"Normalidade")</f>
        <v>Normalidade</v>
      </c>
      <c r="H2595" s="4">
        <f ca="1">IFERROR(__xludf.UNSUPPORTED("""COMPUTED_VALUE"""),44978.3991203703)</f>
        <v>44978.399120370297</v>
      </c>
      <c r="I2595" s="3">
        <f ca="1">IFERROR(__xludf.UNSUPPORTED("""COMPUTED_VALUE"""),24)</f>
        <v>24</v>
      </c>
      <c r="J2595" s="4">
        <f ca="1">IFERROR(__xludf.UNSUPPORTED("""COMPUTED_VALUE"""),44979.3991203703)</f>
        <v>44979.399120370297</v>
      </c>
      <c r="L2595" s="3" t="str">
        <f ca="1">IFERROR(__xludf.UNSUPPORTED("""COMPUTED_VALUE"""),"Normalidade")</f>
        <v>Normalidade</v>
      </c>
    </row>
    <row r="2596" spans="1:12" ht="12.75">
      <c r="A2596" s="3" t="str">
        <f ca="1">IFERROR(__xludf.UNSUPPORTED("""COMPUTED_VALUE"""),"4527bdfc")</f>
        <v>4527bdfc</v>
      </c>
      <c r="B2596" s="4">
        <f ca="1">IFERROR(__xludf.UNSUPPORTED("""COMPUTED_VALUE"""),44978.5695138887)</f>
        <v>44978.569513888702</v>
      </c>
      <c r="C2596" s="8" t="str">
        <f ca="1">IFERROR(__xludf.UNSUPPORTED("""COMPUTED_VALUE"""),"Suape")</f>
        <v>Suape</v>
      </c>
      <c r="D2596" s="3" t="str">
        <f ca="1">IFERROR(__xludf.UNSUPPORTED("""COMPUTED_VALUE"""),"🚢 REGULAR")</f>
        <v>🚢 REGULAR</v>
      </c>
      <c r="E2596" s="3" t="str">
        <f ca="1">IFERROR(__xludf.UNSUPPORTED("""COMPUTED_VALUE"""),"🚛 LIBERADO")</f>
        <v>🚛 LIBERADO</v>
      </c>
      <c r="F2596" s="5">
        <f ca="1">IFERROR(__xludf.UNSUPPORTED("""COMPUTED_VALUE"""),0)</f>
        <v>0</v>
      </c>
      <c r="G2596" s="3" t="str">
        <f ca="1">IFERROR(__xludf.UNSUPPORTED("""COMPUTED_VALUE"""),"Normalidade")</f>
        <v>Normalidade</v>
      </c>
      <c r="H2596" s="4">
        <f ca="1">IFERROR(__xludf.UNSUPPORTED("""COMPUTED_VALUE"""),44978.5695138887)</f>
        <v>44978.569513888702</v>
      </c>
      <c r="I2596" s="3">
        <f ca="1">IFERROR(__xludf.UNSUPPORTED("""COMPUTED_VALUE"""),24)</f>
        <v>24</v>
      </c>
      <c r="J2596" s="4">
        <f ca="1">IFERROR(__xludf.UNSUPPORTED("""COMPUTED_VALUE"""),44979.5695138887)</f>
        <v>44979.569513888702</v>
      </c>
      <c r="L2596" s="3" t="str">
        <f ca="1">IFERROR(__xludf.UNSUPPORTED("""COMPUTED_VALUE"""),"Normalidade")</f>
        <v>Normalidade</v>
      </c>
    </row>
    <row r="2597" spans="1:12" ht="12.75">
      <c r="A2597" s="3" t="str">
        <f ca="1">IFERROR(__xludf.UNSUPPORTED("""COMPUTED_VALUE"""),"24fb3be8")</f>
        <v>24fb3be8</v>
      </c>
      <c r="B2597" s="4">
        <f ca="1">IFERROR(__xludf.UNSUPPORTED("""COMPUTED_VALUE"""),44979.9557291666)</f>
        <v>44979.955729166599</v>
      </c>
      <c r="C2597" s="8" t="str">
        <f ca="1">IFERROR(__xludf.UNSUPPORTED("""COMPUTED_VALUE"""),"Suape")</f>
        <v>Suape</v>
      </c>
      <c r="D2597" s="3" t="str">
        <f ca="1">IFERROR(__xludf.UNSUPPORTED("""COMPUTED_VALUE"""),"🚢 REGULAR")</f>
        <v>🚢 REGULAR</v>
      </c>
      <c r="E2597" s="3" t="str">
        <f ca="1">IFERROR(__xludf.UNSUPPORTED("""COMPUTED_VALUE"""),"🚛 LIBERADO")</f>
        <v>🚛 LIBERADO</v>
      </c>
      <c r="F2597" s="5">
        <f ca="1">IFERROR(__xludf.UNSUPPORTED("""COMPUTED_VALUE"""),0)</f>
        <v>0</v>
      </c>
      <c r="G2597" s="3" t="str">
        <f ca="1">IFERROR(__xludf.UNSUPPORTED("""COMPUTED_VALUE"""),"Normalidade")</f>
        <v>Normalidade</v>
      </c>
      <c r="H2597" s="4">
        <f ca="1">IFERROR(__xludf.UNSUPPORTED("""COMPUTED_VALUE"""),44979.9557291666)</f>
        <v>44979.955729166599</v>
      </c>
      <c r="I2597" s="3">
        <f ca="1">IFERROR(__xludf.UNSUPPORTED("""COMPUTED_VALUE"""),24)</f>
        <v>24</v>
      </c>
      <c r="J2597" s="4">
        <f ca="1">IFERROR(__xludf.UNSUPPORTED("""COMPUTED_VALUE"""),44980.9557291666)</f>
        <v>44980.955729166599</v>
      </c>
      <c r="L2597" s="3" t="str">
        <f ca="1">IFERROR(__xludf.UNSUPPORTED("""COMPUTED_VALUE"""),"Normalidade")</f>
        <v>Normalidade</v>
      </c>
    </row>
    <row r="2598" spans="1:12" ht="12.75">
      <c r="A2598" s="3" t="str">
        <f ca="1">IFERROR(__xludf.UNSUPPORTED("""COMPUTED_VALUE"""),"c265b2c5")</f>
        <v>c265b2c5</v>
      </c>
      <c r="B2598" s="4">
        <f ca="1">IFERROR(__xludf.UNSUPPORTED("""COMPUTED_VALUE"""),44982.3986805555)</f>
        <v>44982.398680555503</v>
      </c>
      <c r="C2598" s="7" t="str">
        <f ca="1">IFERROR(__xludf.UNSUPPORTED("""COMPUTED_VALUE"""),"Suape")</f>
        <v>Suape</v>
      </c>
      <c r="D2598" s="3" t="str">
        <f ca="1">IFERROR(__xludf.UNSUPPORTED("""COMPUTED_VALUE"""),"🚢 REGULAR")</f>
        <v>🚢 REGULAR</v>
      </c>
      <c r="E2598" s="3" t="str">
        <f ca="1">IFERROR(__xludf.UNSUPPORTED("""COMPUTED_VALUE"""),"🚛 LIBERADO")</f>
        <v>🚛 LIBERADO</v>
      </c>
      <c r="F2598" s="5">
        <f ca="1">IFERROR(__xludf.UNSUPPORTED("""COMPUTED_VALUE"""),0)</f>
        <v>0</v>
      </c>
      <c r="G2598" s="3" t="str">
        <f ca="1">IFERROR(__xludf.UNSUPPORTED("""COMPUTED_VALUE"""),"Normalidade")</f>
        <v>Normalidade</v>
      </c>
      <c r="H2598" s="4">
        <f ca="1">IFERROR(__xludf.UNSUPPORTED("""COMPUTED_VALUE"""),44982.3986805555)</f>
        <v>44982.398680555503</v>
      </c>
      <c r="I2598" s="3">
        <f ca="1">IFERROR(__xludf.UNSUPPORTED("""COMPUTED_VALUE"""),24)</f>
        <v>24</v>
      </c>
      <c r="J2598" s="4">
        <f ca="1">IFERROR(__xludf.UNSUPPORTED("""COMPUTED_VALUE"""),44983.3986805555)</f>
        <v>44983.398680555503</v>
      </c>
      <c r="L2598" s="3" t="str">
        <f ca="1">IFERROR(__xludf.UNSUPPORTED("""COMPUTED_VALUE"""),"Normalidade")</f>
        <v>Normalidade</v>
      </c>
    </row>
    <row r="2599" spans="1:12" ht="12.75">
      <c r="A2599" s="3" t="str">
        <f ca="1">IFERROR(__xludf.UNSUPPORTED("""COMPUTED_VALUE"""),"fa8bce7b")</f>
        <v>fa8bce7b</v>
      </c>
      <c r="B2599" s="4">
        <f ca="1">IFERROR(__xludf.UNSUPPORTED("""COMPUTED_VALUE"""),44983.4240509259)</f>
        <v>44983.424050925903</v>
      </c>
      <c r="C2599" s="7" t="str">
        <f ca="1">IFERROR(__xludf.UNSUPPORTED("""COMPUTED_VALUE"""),"Suape")</f>
        <v>Suape</v>
      </c>
      <c r="D2599" s="3" t="str">
        <f ca="1">IFERROR(__xludf.UNSUPPORTED("""COMPUTED_VALUE"""),"🚢 REGULAR")</f>
        <v>🚢 REGULAR</v>
      </c>
      <c r="E2599" s="3" t="str">
        <f ca="1">IFERROR(__xludf.UNSUPPORTED("""COMPUTED_VALUE"""),"🚛 LIBERADO")</f>
        <v>🚛 LIBERADO</v>
      </c>
      <c r="F2599" s="5">
        <f ca="1">IFERROR(__xludf.UNSUPPORTED("""COMPUTED_VALUE"""),0)</f>
        <v>0</v>
      </c>
      <c r="G2599" s="3" t="str">
        <f ca="1">IFERROR(__xludf.UNSUPPORTED("""COMPUTED_VALUE"""),"Normalidade")</f>
        <v>Normalidade</v>
      </c>
      <c r="H2599" s="4">
        <f ca="1">IFERROR(__xludf.UNSUPPORTED("""COMPUTED_VALUE"""),44983.4240509259)</f>
        <v>44983.424050925903</v>
      </c>
      <c r="I2599" s="3">
        <f ca="1">IFERROR(__xludf.UNSUPPORTED("""COMPUTED_VALUE"""),24)</f>
        <v>24</v>
      </c>
      <c r="J2599" s="4">
        <f ca="1">IFERROR(__xludf.UNSUPPORTED("""COMPUTED_VALUE"""),44984.4240509259)</f>
        <v>44984.424050925903</v>
      </c>
      <c r="L2599" s="3" t="str">
        <f ca="1">IFERROR(__xludf.UNSUPPORTED("""COMPUTED_VALUE"""),"Normalidade")</f>
        <v>Normalidade</v>
      </c>
    </row>
    <row r="2600" spans="1:12" ht="12.75">
      <c r="A2600" s="3" t="str">
        <f ca="1">IFERROR(__xludf.UNSUPPORTED("""COMPUTED_VALUE"""),"44001cb5")</f>
        <v>44001cb5</v>
      </c>
      <c r="B2600" s="4">
        <f ca="1">IFERROR(__xludf.UNSUPPORTED("""COMPUTED_VALUE"""),44984.4386805555)</f>
        <v>44984.438680555497</v>
      </c>
      <c r="C2600" s="7" t="str">
        <f ca="1">IFERROR(__xludf.UNSUPPORTED("""COMPUTED_VALUE"""),"Suape")</f>
        <v>Suape</v>
      </c>
      <c r="D2600" s="3" t="str">
        <f ca="1">IFERROR(__xludf.UNSUPPORTED("""COMPUTED_VALUE"""),"🚢 REGULAR")</f>
        <v>🚢 REGULAR</v>
      </c>
      <c r="E2600" s="3" t="str">
        <f ca="1">IFERROR(__xludf.UNSUPPORTED("""COMPUTED_VALUE"""),"🚛 LIBERADO")</f>
        <v>🚛 LIBERADO</v>
      </c>
      <c r="F2600" s="5">
        <f ca="1">IFERROR(__xludf.UNSUPPORTED("""COMPUTED_VALUE"""),0)</f>
        <v>0</v>
      </c>
      <c r="G2600" s="3" t="str">
        <f ca="1">IFERROR(__xludf.UNSUPPORTED("""COMPUTED_VALUE"""),"Normalidade")</f>
        <v>Normalidade</v>
      </c>
      <c r="H2600" s="4">
        <f ca="1">IFERROR(__xludf.UNSUPPORTED("""COMPUTED_VALUE"""),44984.4386805555)</f>
        <v>44984.438680555497</v>
      </c>
      <c r="I2600" s="3">
        <f ca="1">IFERROR(__xludf.UNSUPPORTED("""COMPUTED_VALUE"""),24)</f>
        <v>24</v>
      </c>
      <c r="J2600" s="4">
        <f ca="1">IFERROR(__xludf.UNSUPPORTED("""COMPUTED_VALUE"""),44985.4386805555)</f>
        <v>44985.438680555497</v>
      </c>
      <c r="L2600" s="3" t="str">
        <f ca="1">IFERROR(__xludf.UNSUPPORTED("""COMPUTED_VALUE"""),"Normalidade")</f>
        <v>Normalidade</v>
      </c>
    </row>
    <row r="2601" spans="1:12" ht="12.75">
      <c r="A2601" s="3" t="str">
        <f ca="1">IFERROR(__xludf.UNSUPPORTED("""COMPUTED_VALUE"""),"54cb2088")</f>
        <v>54cb2088</v>
      </c>
      <c r="B2601" s="4">
        <f ca="1">IFERROR(__xludf.UNSUPPORTED("""COMPUTED_VALUE"""),44985.3731134259)</f>
        <v>44985.3731134259</v>
      </c>
      <c r="C2601" s="8" t="str">
        <f ca="1">IFERROR(__xludf.UNSUPPORTED("""COMPUTED_VALUE"""),"Suape")</f>
        <v>Suape</v>
      </c>
      <c r="D2601" s="3" t="str">
        <f ca="1">IFERROR(__xludf.UNSUPPORTED("""COMPUTED_VALUE"""),"🚢 REGULAR")</f>
        <v>🚢 REGULAR</v>
      </c>
      <c r="E2601" s="3" t="str">
        <f ca="1">IFERROR(__xludf.UNSUPPORTED("""COMPUTED_VALUE"""),"🚛 LIBERADO")</f>
        <v>🚛 LIBERADO</v>
      </c>
      <c r="F2601" s="5">
        <f ca="1">IFERROR(__xludf.UNSUPPORTED("""COMPUTED_VALUE"""),0)</f>
        <v>0</v>
      </c>
      <c r="G2601" s="3" t="str">
        <f ca="1">IFERROR(__xludf.UNSUPPORTED("""COMPUTED_VALUE"""),"Normalidade")</f>
        <v>Normalidade</v>
      </c>
      <c r="H2601" s="4">
        <f ca="1">IFERROR(__xludf.UNSUPPORTED("""COMPUTED_VALUE"""),44985.3731134259)</f>
        <v>44985.3731134259</v>
      </c>
      <c r="I2601" s="3">
        <f ca="1">IFERROR(__xludf.UNSUPPORTED("""COMPUTED_VALUE"""),24)</f>
        <v>24</v>
      </c>
      <c r="J2601" s="4">
        <f ca="1">IFERROR(__xludf.UNSUPPORTED("""COMPUTED_VALUE"""),44986.3731134259)</f>
        <v>44986.3731134259</v>
      </c>
      <c r="L2601" s="3" t="str">
        <f ca="1">IFERROR(__xludf.UNSUPPORTED("""COMPUTED_VALUE"""),"Normalidade")</f>
        <v>Normalidade</v>
      </c>
    </row>
    <row r="2602" spans="1:12" ht="12.75">
      <c r="A2602" s="3" t="str">
        <f ca="1">IFERROR(__xludf.UNSUPPORTED("""COMPUTED_VALUE"""),"5eb517a0")</f>
        <v>5eb517a0</v>
      </c>
      <c r="B2602" s="4">
        <f ca="1">IFERROR(__xludf.UNSUPPORTED("""COMPUTED_VALUE"""),44986.4523611111)</f>
        <v>44986.4523611111</v>
      </c>
      <c r="C2602" s="7" t="str">
        <f ca="1">IFERROR(__xludf.UNSUPPORTED("""COMPUTED_VALUE"""),"Suape")</f>
        <v>Suape</v>
      </c>
      <c r="D2602" s="3" t="str">
        <f ca="1">IFERROR(__xludf.UNSUPPORTED("""COMPUTED_VALUE"""),"🚢 REGULAR")</f>
        <v>🚢 REGULAR</v>
      </c>
      <c r="E2602" s="3" t="str">
        <f ca="1">IFERROR(__xludf.UNSUPPORTED("""COMPUTED_VALUE"""),"🚛 LIBERADO")</f>
        <v>🚛 LIBERADO</v>
      </c>
      <c r="F2602" s="5">
        <f ca="1">IFERROR(__xludf.UNSUPPORTED("""COMPUTED_VALUE"""),0)</f>
        <v>0</v>
      </c>
      <c r="G2602" s="3" t="str">
        <f ca="1">IFERROR(__xludf.UNSUPPORTED("""COMPUTED_VALUE"""),"Normalidade")</f>
        <v>Normalidade</v>
      </c>
      <c r="H2602" s="4">
        <f ca="1">IFERROR(__xludf.UNSUPPORTED("""COMPUTED_VALUE"""),44986.4523611111)</f>
        <v>44986.4523611111</v>
      </c>
      <c r="I2602" s="3">
        <f ca="1">IFERROR(__xludf.UNSUPPORTED("""COMPUTED_VALUE"""),24)</f>
        <v>24</v>
      </c>
      <c r="J2602" s="4">
        <f ca="1">IFERROR(__xludf.UNSUPPORTED("""COMPUTED_VALUE"""),44987.4523611111)</f>
        <v>44987.4523611111</v>
      </c>
      <c r="L2602" s="3" t="str">
        <f ca="1">IFERROR(__xludf.UNSUPPORTED("""COMPUTED_VALUE"""),"Normalidade")</f>
        <v>Normalidade</v>
      </c>
    </row>
    <row r="2603" spans="1:12" ht="12.75">
      <c r="A2603" s="3" t="str">
        <f ca="1">IFERROR(__xludf.UNSUPPORTED("""COMPUTED_VALUE"""),"392a2362")</f>
        <v>392a2362</v>
      </c>
      <c r="B2603" s="4">
        <f ca="1">IFERROR(__xludf.UNSUPPORTED("""COMPUTED_VALUE"""),44987.4800578703)</f>
        <v>44987.4800578703</v>
      </c>
      <c r="C2603" s="8" t="str">
        <f ca="1">IFERROR(__xludf.UNSUPPORTED("""COMPUTED_VALUE"""),"Suape")</f>
        <v>Suape</v>
      </c>
      <c r="D2603" s="3" t="str">
        <f ca="1">IFERROR(__xludf.UNSUPPORTED("""COMPUTED_VALUE"""),"🚢 REGULAR")</f>
        <v>🚢 REGULAR</v>
      </c>
      <c r="E2603" s="3" t="str">
        <f ca="1">IFERROR(__xludf.UNSUPPORTED("""COMPUTED_VALUE"""),"🚛 LIBERADO")</f>
        <v>🚛 LIBERADO</v>
      </c>
      <c r="F2603" s="5">
        <f ca="1">IFERROR(__xludf.UNSUPPORTED("""COMPUTED_VALUE"""),0)</f>
        <v>0</v>
      </c>
      <c r="G2603" s="3" t="str">
        <f ca="1">IFERROR(__xludf.UNSUPPORTED("""COMPUTED_VALUE"""),"Normalidade")</f>
        <v>Normalidade</v>
      </c>
      <c r="H2603" s="4">
        <f ca="1">IFERROR(__xludf.UNSUPPORTED("""COMPUTED_VALUE"""),44987.4800578703)</f>
        <v>44987.4800578703</v>
      </c>
      <c r="I2603" s="3">
        <f ca="1">IFERROR(__xludf.UNSUPPORTED("""COMPUTED_VALUE"""),24)</f>
        <v>24</v>
      </c>
      <c r="J2603" s="4">
        <f ca="1">IFERROR(__xludf.UNSUPPORTED("""COMPUTED_VALUE"""),44988.4800578703)</f>
        <v>44988.4800578703</v>
      </c>
      <c r="L2603" s="3" t="str">
        <f ca="1">IFERROR(__xludf.UNSUPPORTED("""COMPUTED_VALUE"""),"Normalidade")</f>
        <v>Normalidade</v>
      </c>
    </row>
    <row r="2604" spans="1:12" ht="12.75">
      <c r="A2604" s="3" t="str">
        <f ca="1">IFERROR(__xludf.UNSUPPORTED("""COMPUTED_VALUE"""),"5292ac12")</f>
        <v>5292ac12</v>
      </c>
      <c r="B2604" s="4">
        <f ca="1">IFERROR(__xludf.UNSUPPORTED("""COMPUTED_VALUE"""),44988.421412037)</f>
        <v>44988.421412037002</v>
      </c>
      <c r="C2604" s="8" t="str">
        <f ca="1">IFERROR(__xludf.UNSUPPORTED("""COMPUTED_VALUE"""),"Suape")</f>
        <v>Suape</v>
      </c>
      <c r="D2604" s="3" t="str">
        <f ca="1">IFERROR(__xludf.UNSUPPORTED("""COMPUTED_VALUE"""),"🚢 REGULAR")</f>
        <v>🚢 REGULAR</v>
      </c>
      <c r="E2604" s="3" t="str">
        <f ca="1">IFERROR(__xludf.UNSUPPORTED("""COMPUTED_VALUE"""),"🚛 LIBERADO")</f>
        <v>🚛 LIBERADO</v>
      </c>
      <c r="F2604" s="5">
        <f ca="1">IFERROR(__xludf.UNSUPPORTED("""COMPUTED_VALUE"""),0)</f>
        <v>0</v>
      </c>
      <c r="G2604" s="3" t="str">
        <f ca="1">IFERROR(__xludf.UNSUPPORTED("""COMPUTED_VALUE"""),"Normalidade")</f>
        <v>Normalidade</v>
      </c>
      <c r="H2604" s="4">
        <f ca="1">IFERROR(__xludf.UNSUPPORTED("""COMPUTED_VALUE"""),44988.421412037)</f>
        <v>44988.421412037002</v>
      </c>
      <c r="I2604" s="3">
        <f ca="1">IFERROR(__xludf.UNSUPPORTED("""COMPUTED_VALUE"""),24)</f>
        <v>24</v>
      </c>
      <c r="J2604" s="4">
        <f ca="1">IFERROR(__xludf.UNSUPPORTED("""COMPUTED_VALUE"""),44989.421412037)</f>
        <v>44989.421412037002</v>
      </c>
      <c r="L2604" s="3" t="str">
        <f ca="1">IFERROR(__xludf.UNSUPPORTED("""COMPUTED_VALUE"""),"Normalidade")</f>
        <v>Normalidade</v>
      </c>
    </row>
    <row r="2605" spans="1:12" ht="12.75">
      <c r="A2605" s="3" t="str">
        <f ca="1">IFERROR(__xludf.UNSUPPORTED("""COMPUTED_VALUE"""),"2db87edd")</f>
        <v>2db87edd</v>
      </c>
      <c r="B2605" s="4">
        <f ca="1">IFERROR(__xludf.UNSUPPORTED("""COMPUTED_VALUE"""),44989.4142708333)</f>
        <v>44989.414270833302</v>
      </c>
      <c r="C2605" s="7" t="str">
        <f ca="1">IFERROR(__xludf.UNSUPPORTED("""COMPUTED_VALUE"""),"Suape")</f>
        <v>Suape</v>
      </c>
      <c r="D2605" s="3" t="str">
        <f ca="1">IFERROR(__xludf.UNSUPPORTED("""COMPUTED_VALUE"""),"🚢 REGULAR")</f>
        <v>🚢 REGULAR</v>
      </c>
      <c r="E2605" s="3" t="str">
        <f ca="1">IFERROR(__xludf.UNSUPPORTED("""COMPUTED_VALUE"""),"🚛 LIBERADO")</f>
        <v>🚛 LIBERADO</v>
      </c>
      <c r="F2605" s="5">
        <f ca="1">IFERROR(__xludf.UNSUPPORTED("""COMPUTED_VALUE"""),0)</f>
        <v>0</v>
      </c>
      <c r="G2605" s="3" t="str">
        <f ca="1">IFERROR(__xludf.UNSUPPORTED("""COMPUTED_VALUE"""),"Normalidade")</f>
        <v>Normalidade</v>
      </c>
      <c r="H2605" s="4">
        <f ca="1">IFERROR(__xludf.UNSUPPORTED("""COMPUTED_VALUE"""),44989.4142708333)</f>
        <v>44989.414270833302</v>
      </c>
      <c r="I2605" s="3">
        <f ca="1">IFERROR(__xludf.UNSUPPORTED("""COMPUTED_VALUE"""),24)</f>
        <v>24</v>
      </c>
      <c r="J2605" s="4">
        <f ca="1">IFERROR(__xludf.UNSUPPORTED("""COMPUTED_VALUE"""),44990.4142708333)</f>
        <v>44990.414270833302</v>
      </c>
      <c r="L2605" s="3" t="str">
        <f ca="1">IFERROR(__xludf.UNSUPPORTED("""COMPUTED_VALUE"""),"Normalidade")</f>
        <v>Normalidade</v>
      </c>
    </row>
    <row r="2606" spans="1:12" ht="12.75">
      <c r="A2606" s="3" t="str">
        <f ca="1">IFERROR(__xludf.UNSUPPORTED("""COMPUTED_VALUE"""),"d7de6219")</f>
        <v>d7de6219</v>
      </c>
      <c r="B2606" s="4">
        <f ca="1">IFERROR(__xludf.UNSUPPORTED("""COMPUTED_VALUE"""),44990.4568634259)</f>
        <v>44990.456863425898</v>
      </c>
      <c r="C2606" s="8" t="str">
        <f ca="1">IFERROR(__xludf.UNSUPPORTED("""COMPUTED_VALUE"""),"Suape")</f>
        <v>Suape</v>
      </c>
      <c r="D2606" s="3" t="str">
        <f ca="1">IFERROR(__xludf.UNSUPPORTED("""COMPUTED_VALUE"""),"🚢 REGULAR")</f>
        <v>🚢 REGULAR</v>
      </c>
      <c r="E2606" s="3" t="str">
        <f ca="1">IFERROR(__xludf.UNSUPPORTED("""COMPUTED_VALUE"""),"🚛 LIBERADO")</f>
        <v>🚛 LIBERADO</v>
      </c>
      <c r="F2606" s="5">
        <f ca="1">IFERROR(__xludf.UNSUPPORTED("""COMPUTED_VALUE"""),0)</f>
        <v>0</v>
      </c>
      <c r="G2606" s="3" t="str">
        <f ca="1">IFERROR(__xludf.UNSUPPORTED("""COMPUTED_VALUE"""),"Normalidade")</f>
        <v>Normalidade</v>
      </c>
      <c r="H2606" s="4">
        <f ca="1">IFERROR(__xludf.UNSUPPORTED("""COMPUTED_VALUE"""),44990.4568634259)</f>
        <v>44990.456863425898</v>
      </c>
      <c r="I2606" s="3">
        <f ca="1">IFERROR(__xludf.UNSUPPORTED("""COMPUTED_VALUE"""),24)</f>
        <v>24</v>
      </c>
      <c r="J2606" s="4">
        <f ca="1">IFERROR(__xludf.UNSUPPORTED("""COMPUTED_VALUE"""),44991.4568634259)</f>
        <v>44991.456863425898</v>
      </c>
      <c r="L2606" s="3" t="str">
        <f ca="1">IFERROR(__xludf.UNSUPPORTED("""COMPUTED_VALUE"""),"Normalidade")</f>
        <v>Normalidade</v>
      </c>
    </row>
    <row r="2607" spans="1:12" ht="12.75">
      <c r="A2607" s="3" t="str">
        <f ca="1">IFERROR(__xludf.UNSUPPORTED("""COMPUTED_VALUE"""),"81f66d10")</f>
        <v>81f66d10</v>
      </c>
      <c r="B2607" s="4">
        <f ca="1">IFERROR(__xludf.UNSUPPORTED("""COMPUTED_VALUE"""),44991.4362152777)</f>
        <v>44991.436215277703</v>
      </c>
      <c r="C2607" s="8" t="str">
        <f ca="1">IFERROR(__xludf.UNSUPPORTED("""COMPUTED_VALUE"""),"Suape")</f>
        <v>Suape</v>
      </c>
      <c r="D2607" s="3" t="str">
        <f ca="1">IFERROR(__xludf.UNSUPPORTED("""COMPUTED_VALUE"""),"🚢 REGULAR")</f>
        <v>🚢 REGULAR</v>
      </c>
      <c r="E2607" s="3" t="str">
        <f ca="1">IFERROR(__xludf.UNSUPPORTED("""COMPUTED_VALUE"""),"🚛 LIBERADO")</f>
        <v>🚛 LIBERADO</v>
      </c>
      <c r="F2607" s="5">
        <f ca="1">IFERROR(__xludf.UNSUPPORTED("""COMPUTED_VALUE"""),0)</f>
        <v>0</v>
      </c>
      <c r="G2607" s="3" t="str">
        <f ca="1">IFERROR(__xludf.UNSUPPORTED("""COMPUTED_VALUE"""),"Normalidade")</f>
        <v>Normalidade</v>
      </c>
      <c r="H2607" s="4">
        <f ca="1">IFERROR(__xludf.UNSUPPORTED("""COMPUTED_VALUE"""),44991.4362152777)</f>
        <v>44991.436215277703</v>
      </c>
      <c r="I2607" s="3">
        <f ca="1">IFERROR(__xludf.UNSUPPORTED("""COMPUTED_VALUE"""),24)</f>
        <v>24</v>
      </c>
      <c r="J2607" s="4">
        <f ca="1">IFERROR(__xludf.UNSUPPORTED("""COMPUTED_VALUE"""),44992.4362152777)</f>
        <v>44992.436215277703</v>
      </c>
      <c r="L2607" s="3" t="str">
        <f ca="1">IFERROR(__xludf.UNSUPPORTED("""COMPUTED_VALUE"""),"Normalidade")</f>
        <v>Normalidade</v>
      </c>
    </row>
    <row r="2608" spans="1:12" ht="12.75">
      <c r="A2608" s="3" t="str">
        <f ca="1">IFERROR(__xludf.UNSUPPORTED("""COMPUTED_VALUE"""),"7218e77e")</f>
        <v>7218e77e</v>
      </c>
      <c r="B2608" s="4">
        <f ca="1">IFERROR(__xludf.UNSUPPORTED("""COMPUTED_VALUE"""),44992.4147106481)</f>
        <v>44992.414710648103</v>
      </c>
      <c r="C2608" s="8" t="str">
        <f ca="1">IFERROR(__xludf.UNSUPPORTED("""COMPUTED_VALUE"""),"Suape")</f>
        <v>Suape</v>
      </c>
      <c r="D2608" s="3" t="str">
        <f ca="1">IFERROR(__xludf.UNSUPPORTED("""COMPUTED_VALUE"""),"🚢 REGULAR")</f>
        <v>🚢 REGULAR</v>
      </c>
      <c r="E2608" s="3" t="str">
        <f ca="1">IFERROR(__xludf.UNSUPPORTED("""COMPUTED_VALUE"""),"🚛 LIBERADO")</f>
        <v>🚛 LIBERADO</v>
      </c>
      <c r="F2608" s="5">
        <f ca="1">IFERROR(__xludf.UNSUPPORTED("""COMPUTED_VALUE"""),0)</f>
        <v>0</v>
      </c>
      <c r="G2608" s="3" t="str">
        <f ca="1">IFERROR(__xludf.UNSUPPORTED("""COMPUTED_VALUE"""),"Normalidade")</f>
        <v>Normalidade</v>
      </c>
      <c r="H2608" s="4">
        <f ca="1">IFERROR(__xludf.UNSUPPORTED("""COMPUTED_VALUE"""),44992.4147106481)</f>
        <v>44992.414710648103</v>
      </c>
      <c r="I2608" s="3">
        <f ca="1">IFERROR(__xludf.UNSUPPORTED("""COMPUTED_VALUE"""),24)</f>
        <v>24</v>
      </c>
      <c r="J2608" s="4">
        <f ca="1">IFERROR(__xludf.UNSUPPORTED("""COMPUTED_VALUE"""),44993.4147106481)</f>
        <v>44993.414710648103</v>
      </c>
      <c r="L2608" s="3" t="str">
        <f ca="1">IFERROR(__xludf.UNSUPPORTED("""COMPUTED_VALUE"""),"Normalidade")</f>
        <v>Normalidade</v>
      </c>
    </row>
    <row r="2609" spans="1:12" ht="12.75">
      <c r="A2609" s="3" t="str">
        <f ca="1">IFERROR(__xludf.UNSUPPORTED("""COMPUTED_VALUE"""),"c6d023f5")</f>
        <v>c6d023f5</v>
      </c>
      <c r="B2609" s="4">
        <f ca="1">IFERROR(__xludf.UNSUPPORTED("""COMPUTED_VALUE"""),44993.4959953703)</f>
        <v>44993.4959953703</v>
      </c>
      <c r="C2609" s="8" t="str">
        <f ca="1">IFERROR(__xludf.UNSUPPORTED("""COMPUTED_VALUE"""),"Suape")</f>
        <v>Suape</v>
      </c>
      <c r="D2609" s="3" t="str">
        <f ca="1">IFERROR(__xludf.UNSUPPORTED("""COMPUTED_VALUE"""),"🚢 REGULAR")</f>
        <v>🚢 REGULAR</v>
      </c>
      <c r="E2609" s="3" t="str">
        <f ca="1">IFERROR(__xludf.UNSUPPORTED("""COMPUTED_VALUE"""),"🚛 LIBERADO")</f>
        <v>🚛 LIBERADO</v>
      </c>
      <c r="F2609" s="5">
        <f ca="1">IFERROR(__xludf.UNSUPPORTED("""COMPUTED_VALUE"""),0)</f>
        <v>0</v>
      </c>
      <c r="G2609" s="3" t="str">
        <f ca="1">IFERROR(__xludf.UNSUPPORTED("""COMPUTED_VALUE"""),"Normalidade")</f>
        <v>Normalidade</v>
      </c>
      <c r="H2609" s="4">
        <f ca="1">IFERROR(__xludf.UNSUPPORTED("""COMPUTED_VALUE"""),44993.4959953703)</f>
        <v>44993.4959953703</v>
      </c>
      <c r="I2609" s="3">
        <f ca="1">IFERROR(__xludf.UNSUPPORTED("""COMPUTED_VALUE"""),24)</f>
        <v>24</v>
      </c>
      <c r="J2609" s="4">
        <f ca="1">IFERROR(__xludf.UNSUPPORTED("""COMPUTED_VALUE"""),44994.4959953703)</f>
        <v>44994.4959953703</v>
      </c>
      <c r="L2609" s="3" t="str">
        <f ca="1">IFERROR(__xludf.UNSUPPORTED("""COMPUTED_VALUE"""),"Normalidade")</f>
        <v>Normalidade</v>
      </c>
    </row>
    <row r="2610" spans="1:12" ht="12.75">
      <c r="A2610" s="3" t="str">
        <f ca="1">IFERROR(__xludf.UNSUPPORTED("""COMPUTED_VALUE"""),"d3dbbe0b")</f>
        <v>d3dbbe0b</v>
      </c>
      <c r="B2610" s="4">
        <f ca="1">IFERROR(__xludf.UNSUPPORTED("""COMPUTED_VALUE"""),44995.4804166666)</f>
        <v>44995.4804166666</v>
      </c>
      <c r="C2610" s="7" t="str">
        <f ca="1">IFERROR(__xludf.UNSUPPORTED("""COMPUTED_VALUE"""),"Suape")</f>
        <v>Suape</v>
      </c>
      <c r="D2610" s="3" t="str">
        <f ca="1">IFERROR(__xludf.UNSUPPORTED("""COMPUTED_VALUE"""),"🚢 REGULAR")</f>
        <v>🚢 REGULAR</v>
      </c>
      <c r="E2610" s="3" t="str">
        <f ca="1">IFERROR(__xludf.UNSUPPORTED("""COMPUTED_VALUE"""),"🚛 LIBERADO")</f>
        <v>🚛 LIBERADO</v>
      </c>
      <c r="F2610" s="5">
        <f ca="1">IFERROR(__xludf.UNSUPPORTED("""COMPUTED_VALUE"""),0)</f>
        <v>0</v>
      </c>
      <c r="G2610" s="3" t="str">
        <f ca="1">IFERROR(__xludf.UNSUPPORTED("""COMPUTED_VALUE"""),"Normalidade")</f>
        <v>Normalidade</v>
      </c>
      <c r="H2610" s="4">
        <f ca="1">IFERROR(__xludf.UNSUPPORTED("""COMPUTED_VALUE"""),44995.4804166666)</f>
        <v>44995.4804166666</v>
      </c>
      <c r="I2610" s="3">
        <f ca="1">IFERROR(__xludf.UNSUPPORTED("""COMPUTED_VALUE"""),24)</f>
        <v>24</v>
      </c>
      <c r="J2610" s="4">
        <f ca="1">IFERROR(__xludf.UNSUPPORTED("""COMPUTED_VALUE"""),44996.4804166666)</f>
        <v>44996.4804166666</v>
      </c>
      <c r="L2610" s="3" t="str">
        <f ca="1">IFERROR(__xludf.UNSUPPORTED("""COMPUTED_VALUE"""),"Normalidade")</f>
        <v>Normalidade</v>
      </c>
    </row>
    <row r="2611" spans="1:12" ht="12.75">
      <c r="A2611" s="3" t="str">
        <f ca="1">IFERROR(__xludf.UNSUPPORTED("""COMPUTED_VALUE"""),"6a5a76a5")</f>
        <v>6a5a76a5</v>
      </c>
      <c r="B2611" s="4">
        <f ca="1">IFERROR(__xludf.UNSUPPORTED("""COMPUTED_VALUE"""),44996.4060300925)</f>
        <v>44996.406030092498</v>
      </c>
      <c r="C2611" s="8" t="str">
        <f ca="1">IFERROR(__xludf.UNSUPPORTED("""COMPUTED_VALUE"""),"Suape")</f>
        <v>Suape</v>
      </c>
      <c r="D2611" s="3" t="str">
        <f ca="1">IFERROR(__xludf.UNSUPPORTED("""COMPUTED_VALUE"""),"🚢 REGULAR")</f>
        <v>🚢 REGULAR</v>
      </c>
      <c r="E2611" s="3" t="str">
        <f ca="1">IFERROR(__xludf.UNSUPPORTED("""COMPUTED_VALUE"""),"🚛 LIBERADO")</f>
        <v>🚛 LIBERADO</v>
      </c>
      <c r="F2611" s="5">
        <f ca="1">IFERROR(__xludf.UNSUPPORTED("""COMPUTED_VALUE"""),0)</f>
        <v>0</v>
      </c>
      <c r="G2611" s="3" t="str">
        <f ca="1">IFERROR(__xludf.UNSUPPORTED("""COMPUTED_VALUE"""),"Normalidade")</f>
        <v>Normalidade</v>
      </c>
      <c r="H2611" s="4">
        <f ca="1">IFERROR(__xludf.UNSUPPORTED("""COMPUTED_VALUE"""),44996.4060300925)</f>
        <v>44996.406030092498</v>
      </c>
      <c r="I2611" s="3">
        <f ca="1">IFERROR(__xludf.UNSUPPORTED("""COMPUTED_VALUE"""),24)</f>
        <v>24</v>
      </c>
      <c r="J2611" s="4">
        <f ca="1">IFERROR(__xludf.UNSUPPORTED("""COMPUTED_VALUE"""),44997.4060300925)</f>
        <v>44997.406030092498</v>
      </c>
      <c r="L2611" s="3" t="str">
        <f ca="1">IFERROR(__xludf.UNSUPPORTED("""COMPUTED_VALUE"""),"Normalidade")</f>
        <v>Normalidade</v>
      </c>
    </row>
    <row r="2612" spans="1:12" ht="12.75">
      <c r="A2612" s="3" t="str">
        <f ca="1">IFERROR(__xludf.UNSUPPORTED("""COMPUTED_VALUE"""),"447fa4cd")</f>
        <v>447fa4cd</v>
      </c>
      <c r="B2612" s="4">
        <f ca="1">IFERROR(__xludf.UNSUPPORTED("""COMPUTED_VALUE"""),44997.4386805555)</f>
        <v>44997.438680555497</v>
      </c>
      <c r="C2612" s="8" t="str">
        <f ca="1">IFERROR(__xludf.UNSUPPORTED("""COMPUTED_VALUE"""),"Suape")</f>
        <v>Suape</v>
      </c>
      <c r="D2612" s="3" t="str">
        <f ca="1">IFERROR(__xludf.UNSUPPORTED("""COMPUTED_VALUE"""),"🚢 REGULAR")</f>
        <v>🚢 REGULAR</v>
      </c>
      <c r="E2612" s="3" t="str">
        <f ca="1">IFERROR(__xludf.UNSUPPORTED("""COMPUTED_VALUE"""),"🚛 LIBERADO")</f>
        <v>🚛 LIBERADO</v>
      </c>
      <c r="F2612" s="5">
        <f ca="1">IFERROR(__xludf.UNSUPPORTED("""COMPUTED_VALUE"""),0)</f>
        <v>0</v>
      </c>
      <c r="G2612" s="3" t="str">
        <f ca="1">IFERROR(__xludf.UNSUPPORTED("""COMPUTED_VALUE"""),"Normalidade")</f>
        <v>Normalidade</v>
      </c>
      <c r="H2612" s="4">
        <f ca="1">IFERROR(__xludf.UNSUPPORTED("""COMPUTED_VALUE"""),44997.4386805555)</f>
        <v>44997.438680555497</v>
      </c>
      <c r="I2612" s="3">
        <f ca="1">IFERROR(__xludf.UNSUPPORTED("""COMPUTED_VALUE"""),24)</f>
        <v>24</v>
      </c>
      <c r="J2612" s="4">
        <f ca="1">IFERROR(__xludf.UNSUPPORTED("""COMPUTED_VALUE"""),44998.4386805555)</f>
        <v>44998.438680555497</v>
      </c>
      <c r="L2612" s="3" t="str">
        <f ca="1">IFERROR(__xludf.UNSUPPORTED("""COMPUTED_VALUE"""),"Normalidade")</f>
        <v>Normalidade</v>
      </c>
    </row>
    <row r="2613" spans="1:12" ht="12.75">
      <c r="A2613" s="3" t="str">
        <f ca="1">IFERROR(__xludf.UNSUPPORTED("""COMPUTED_VALUE"""),"a73f79e4")</f>
        <v>a73f79e4</v>
      </c>
      <c r="B2613" s="4">
        <f ca="1">IFERROR(__xludf.UNSUPPORTED("""COMPUTED_VALUE"""),44998.3570138888)</f>
        <v>44998.357013888803</v>
      </c>
      <c r="C2613" s="8" t="str">
        <f ca="1">IFERROR(__xludf.UNSUPPORTED("""COMPUTED_VALUE"""),"Suape")</f>
        <v>Suape</v>
      </c>
      <c r="D2613" s="3" t="str">
        <f ca="1">IFERROR(__xludf.UNSUPPORTED("""COMPUTED_VALUE"""),"🚢 REGULAR")</f>
        <v>🚢 REGULAR</v>
      </c>
      <c r="E2613" s="3" t="str">
        <f ca="1">IFERROR(__xludf.UNSUPPORTED("""COMPUTED_VALUE"""),"🚛 LIBERADO")</f>
        <v>🚛 LIBERADO</v>
      </c>
      <c r="F2613" s="5">
        <f ca="1">IFERROR(__xludf.UNSUPPORTED("""COMPUTED_VALUE"""),0)</f>
        <v>0</v>
      </c>
      <c r="G2613" s="3" t="str">
        <f ca="1">IFERROR(__xludf.UNSUPPORTED("""COMPUTED_VALUE"""),"Normalidade")</f>
        <v>Normalidade</v>
      </c>
      <c r="H2613" s="4">
        <f ca="1">IFERROR(__xludf.UNSUPPORTED("""COMPUTED_VALUE"""),44998.3570138888)</f>
        <v>44998.357013888803</v>
      </c>
      <c r="I2613" s="3">
        <f ca="1">IFERROR(__xludf.UNSUPPORTED("""COMPUTED_VALUE"""),24)</f>
        <v>24</v>
      </c>
      <c r="J2613" s="4">
        <f ca="1">IFERROR(__xludf.UNSUPPORTED("""COMPUTED_VALUE"""),44999.3570138888)</f>
        <v>44999.357013888803</v>
      </c>
      <c r="L2613" s="3" t="str">
        <f ca="1">IFERROR(__xludf.UNSUPPORTED("""COMPUTED_VALUE"""),"Normalidade")</f>
        <v>Normalidade</v>
      </c>
    </row>
    <row r="2614" spans="1:12" ht="12.75">
      <c r="A2614" s="3" t="str">
        <f ca="1">IFERROR(__xludf.UNSUPPORTED("""COMPUTED_VALUE"""),"12686749")</f>
        <v>12686749</v>
      </c>
      <c r="B2614" s="4">
        <f ca="1">IFERROR(__xludf.UNSUPPORTED("""COMPUTED_VALUE"""),44999.3731481481)</f>
        <v>44999.373148148101</v>
      </c>
      <c r="C2614" s="7" t="str">
        <f ca="1">IFERROR(__xludf.UNSUPPORTED("""COMPUTED_VALUE"""),"Suape")</f>
        <v>Suape</v>
      </c>
      <c r="D2614" s="3" t="str">
        <f ca="1">IFERROR(__xludf.UNSUPPORTED("""COMPUTED_VALUE"""),"🚢 REGULAR")</f>
        <v>🚢 REGULAR</v>
      </c>
      <c r="E2614" s="3" t="str">
        <f ca="1">IFERROR(__xludf.UNSUPPORTED("""COMPUTED_VALUE"""),"🚛 LIBERADO")</f>
        <v>🚛 LIBERADO</v>
      </c>
      <c r="F2614" s="5">
        <f ca="1">IFERROR(__xludf.UNSUPPORTED("""COMPUTED_VALUE"""),0)</f>
        <v>0</v>
      </c>
      <c r="G2614" s="3" t="str">
        <f ca="1">IFERROR(__xludf.UNSUPPORTED("""COMPUTED_VALUE"""),"Normalidade")</f>
        <v>Normalidade</v>
      </c>
      <c r="H2614" s="4">
        <f ca="1">IFERROR(__xludf.UNSUPPORTED("""COMPUTED_VALUE"""),44999.3731481481)</f>
        <v>44999.373148148101</v>
      </c>
      <c r="I2614" s="3">
        <f ca="1">IFERROR(__xludf.UNSUPPORTED("""COMPUTED_VALUE"""),24)</f>
        <v>24</v>
      </c>
      <c r="J2614" s="4">
        <f ca="1">IFERROR(__xludf.UNSUPPORTED("""COMPUTED_VALUE"""),45000.3731481481)</f>
        <v>45000.373148148101</v>
      </c>
      <c r="L2614" s="3" t="str">
        <f ca="1">IFERROR(__xludf.UNSUPPORTED("""COMPUTED_VALUE"""),"Normalidade")</f>
        <v>Normalidade</v>
      </c>
    </row>
    <row r="2615" spans="1:12" ht="12.75">
      <c r="A2615" s="3" t="str">
        <f ca="1">IFERROR(__xludf.UNSUPPORTED("""COMPUTED_VALUE"""),"0bbf4e88")</f>
        <v>0bbf4e88</v>
      </c>
      <c r="B2615" s="4">
        <f ca="1">IFERROR(__xludf.UNSUPPORTED("""COMPUTED_VALUE"""),45000.6538078703)</f>
        <v>45000.653807870302</v>
      </c>
      <c r="C2615" s="8" t="str">
        <f ca="1">IFERROR(__xludf.UNSUPPORTED("""COMPUTED_VALUE"""),"Suape")</f>
        <v>Suape</v>
      </c>
      <c r="D2615" s="3" t="str">
        <f ca="1">IFERROR(__xludf.UNSUPPORTED("""COMPUTED_VALUE"""),"🚢 REGULAR")</f>
        <v>🚢 REGULAR</v>
      </c>
      <c r="E2615" s="3" t="str">
        <f ca="1">IFERROR(__xludf.UNSUPPORTED("""COMPUTED_VALUE"""),"🚛 LIBERADO")</f>
        <v>🚛 LIBERADO</v>
      </c>
      <c r="F2615" s="5">
        <f ca="1">IFERROR(__xludf.UNSUPPORTED("""COMPUTED_VALUE"""),0)</f>
        <v>0</v>
      </c>
      <c r="G2615" s="3" t="str">
        <f ca="1">IFERROR(__xludf.UNSUPPORTED("""COMPUTED_VALUE"""),"Normalidade")</f>
        <v>Normalidade</v>
      </c>
      <c r="H2615" s="4">
        <f ca="1">IFERROR(__xludf.UNSUPPORTED("""COMPUTED_VALUE"""),45000.6538078703)</f>
        <v>45000.653807870302</v>
      </c>
      <c r="I2615" s="3">
        <f ca="1">IFERROR(__xludf.UNSUPPORTED("""COMPUTED_VALUE"""),24)</f>
        <v>24</v>
      </c>
      <c r="J2615" s="4">
        <f ca="1">IFERROR(__xludf.UNSUPPORTED("""COMPUTED_VALUE"""),45001.6538078703)</f>
        <v>45001.653807870302</v>
      </c>
      <c r="L2615" s="3" t="str">
        <f ca="1">IFERROR(__xludf.UNSUPPORTED("""COMPUTED_VALUE"""),"Normalidade")</f>
        <v>Normalidade</v>
      </c>
    </row>
    <row r="2616" spans="1:12" ht="12.75">
      <c r="A2616" s="3" t="str">
        <f ca="1">IFERROR(__xludf.UNSUPPORTED("""COMPUTED_VALUE"""),"a1664ad8")</f>
        <v>a1664ad8</v>
      </c>
      <c r="B2616" s="4">
        <f ca="1">IFERROR(__xludf.UNSUPPORTED("""COMPUTED_VALUE"""),45001.595636574)</f>
        <v>45001.595636573998</v>
      </c>
      <c r="C2616" s="8" t="str">
        <f ca="1">IFERROR(__xludf.UNSUPPORTED("""COMPUTED_VALUE"""),"Suape")</f>
        <v>Suape</v>
      </c>
      <c r="D2616" s="3" t="str">
        <f ca="1">IFERROR(__xludf.UNSUPPORTED("""COMPUTED_VALUE"""),"🚢 REGULAR")</f>
        <v>🚢 REGULAR</v>
      </c>
      <c r="E2616" s="3" t="str">
        <f ca="1">IFERROR(__xludf.UNSUPPORTED("""COMPUTED_VALUE"""),"🚛 LIBERADO")</f>
        <v>🚛 LIBERADO</v>
      </c>
      <c r="F2616" s="5">
        <f ca="1">IFERROR(__xludf.UNSUPPORTED("""COMPUTED_VALUE"""),0)</f>
        <v>0</v>
      </c>
      <c r="G2616" s="3" t="str">
        <f ca="1">IFERROR(__xludf.UNSUPPORTED("""COMPUTED_VALUE"""),"Normalidade")</f>
        <v>Normalidade</v>
      </c>
      <c r="H2616" s="4">
        <f ca="1">IFERROR(__xludf.UNSUPPORTED("""COMPUTED_VALUE"""),45001.595636574)</f>
        <v>45001.595636573998</v>
      </c>
      <c r="I2616" s="3">
        <f ca="1">IFERROR(__xludf.UNSUPPORTED("""COMPUTED_VALUE"""),24)</f>
        <v>24</v>
      </c>
      <c r="J2616" s="4">
        <f ca="1">IFERROR(__xludf.UNSUPPORTED("""COMPUTED_VALUE"""),45002.595636574)</f>
        <v>45002.595636573998</v>
      </c>
      <c r="L2616" s="3" t="str">
        <f ca="1">IFERROR(__xludf.UNSUPPORTED("""COMPUTED_VALUE"""),"Normalidade")</f>
        <v>Normalidade</v>
      </c>
    </row>
    <row r="2617" spans="1:12" ht="12.75">
      <c r="A2617" s="3" t="str">
        <f ca="1">IFERROR(__xludf.UNSUPPORTED("""COMPUTED_VALUE"""),"0b7c06fa")</f>
        <v>0b7c06fa</v>
      </c>
      <c r="B2617" s="4">
        <f ca="1">IFERROR(__xludf.UNSUPPORTED("""COMPUTED_VALUE"""),45002.6160879629)</f>
        <v>45002.616087962902</v>
      </c>
      <c r="C2617" s="8" t="str">
        <f ca="1">IFERROR(__xludf.UNSUPPORTED("""COMPUTED_VALUE"""),"Suape")</f>
        <v>Suape</v>
      </c>
      <c r="D2617" s="3" t="str">
        <f ca="1">IFERROR(__xludf.UNSUPPORTED("""COMPUTED_VALUE"""),"🚢 REGULAR")</f>
        <v>🚢 REGULAR</v>
      </c>
      <c r="E2617" s="3" t="str">
        <f ca="1">IFERROR(__xludf.UNSUPPORTED("""COMPUTED_VALUE"""),"🚛 LIBERADO")</f>
        <v>🚛 LIBERADO</v>
      </c>
      <c r="F2617" s="5">
        <f ca="1">IFERROR(__xludf.UNSUPPORTED("""COMPUTED_VALUE"""),0)</f>
        <v>0</v>
      </c>
      <c r="G2617" s="3" t="str">
        <f ca="1">IFERROR(__xludf.UNSUPPORTED("""COMPUTED_VALUE"""),"Normalidade")</f>
        <v>Normalidade</v>
      </c>
      <c r="H2617" s="4">
        <f ca="1">IFERROR(__xludf.UNSUPPORTED("""COMPUTED_VALUE"""),45002.6160879629)</f>
        <v>45002.616087962902</v>
      </c>
      <c r="I2617" s="3">
        <f ca="1">IFERROR(__xludf.UNSUPPORTED("""COMPUTED_VALUE"""),24)</f>
        <v>24</v>
      </c>
      <c r="J2617" s="4">
        <f ca="1">IFERROR(__xludf.UNSUPPORTED("""COMPUTED_VALUE"""),45003.6160879629)</f>
        <v>45003.616087962902</v>
      </c>
      <c r="L2617" s="3" t="str">
        <f ca="1">IFERROR(__xludf.UNSUPPORTED("""COMPUTED_VALUE"""),"Normalidade")</f>
        <v>Normalidade</v>
      </c>
    </row>
    <row r="2618" spans="1:12" ht="12.75">
      <c r="A2618" s="3" t="str">
        <f ca="1">IFERROR(__xludf.UNSUPPORTED("""COMPUTED_VALUE"""),"5caad40b")</f>
        <v>5caad40b</v>
      </c>
      <c r="B2618" s="4">
        <f ca="1">IFERROR(__xludf.UNSUPPORTED("""COMPUTED_VALUE"""),45003.4035416666)</f>
        <v>45003.403541666601</v>
      </c>
      <c r="C2618" s="7" t="str">
        <f ca="1">IFERROR(__xludf.UNSUPPORTED("""COMPUTED_VALUE"""),"Suape")</f>
        <v>Suape</v>
      </c>
      <c r="D2618" s="3" t="str">
        <f ca="1">IFERROR(__xludf.UNSUPPORTED("""COMPUTED_VALUE"""),"🚢 REGULAR")</f>
        <v>🚢 REGULAR</v>
      </c>
      <c r="E2618" s="3" t="str">
        <f ca="1">IFERROR(__xludf.UNSUPPORTED("""COMPUTED_VALUE"""),"🚛 LIBERADO")</f>
        <v>🚛 LIBERADO</v>
      </c>
      <c r="F2618" s="5">
        <f ca="1">IFERROR(__xludf.UNSUPPORTED("""COMPUTED_VALUE"""),0)</f>
        <v>0</v>
      </c>
      <c r="G2618" s="3" t="str">
        <f ca="1">IFERROR(__xludf.UNSUPPORTED("""COMPUTED_VALUE"""),"Normalidade")</f>
        <v>Normalidade</v>
      </c>
      <c r="H2618" s="4">
        <f ca="1">IFERROR(__xludf.UNSUPPORTED("""COMPUTED_VALUE"""),45003.4035416666)</f>
        <v>45003.403541666601</v>
      </c>
      <c r="I2618" s="3">
        <f ca="1">IFERROR(__xludf.UNSUPPORTED("""COMPUTED_VALUE"""),24)</f>
        <v>24</v>
      </c>
      <c r="J2618" s="4">
        <f ca="1">IFERROR(__xludf.UNSUPPORTED("""COMPUTED_VALUE"""),45004.4035416666)</f>
        <v>45004.403541666601</v>
      </c>
      <c r="L2618" s="3" t="str">
        <f ca="1">IFERROR(__xludf.UNSUPPORTED("""COMPUTED_VALUE"""),"Normalidade")</f>
        <v>Normalidade</v>
      </c>
    </row>
    <row r="2619" spans="1:12" ht="12.75">
      <c r="A2619" s="3" t="str">
        <f ca="1">IFERROR(__xludf.UNSUPPORTED("""COMPUTED_VALUE"""),"faccdb45")</f>
        <v>faccdb45</v>
      </c>
      <c r="B2619" s="4">
        <f ca="1">IFERROR(__xludf.UNSUPPORTED("""COMPUTED_VALUE"""),45004.4236574074)</f>
        <v>45004.423657407402</v>
      </c>
      <c r="C2619" s="7" t="str">
        <f ca="1">IFERROR(__xludf.UNSUPPORTED("""COMPUTED_VALUE"""),"Suape")</f>
        <v>Suape</v>
      </c>
      <c r="D2619" s="3" t="str">
        <f ca="1">IFERROR(__xludf.UNSUPPORTED("""COMPUTED_VALUE"""),"🚢 REGULAR")</f>
        <v>🚢 REGULAR</v>
      </c>
      <c r="E2619" s="3" t="str">
        <f ca="1">IFERROR(__xludf.UNSUPPORTED("""COMPUTED_VALUE"""),"🚛 LIBERADO")</f>
        <v>🚛 LIBERADO</v>
      </c>
      <c r="F2619" s="5">
        <f ca="1">IFERROR(__xludf.UNSUPPORTED("""COMPUTED_VALUE"""),0)</f>
        <v>0</v>
      </c>
      <c r="G2619" s="3" t="str">
        <f ca="1">IFERROR(__xludf.UNSUPPORTED("""COMPUTED_VALUE"""),"Normalidade")</f>
        <v>Normalidade</v>
      </c>
      <c r="H2619" s="4">
        <f ca="1">IFERROR(__xludf.UNSUPPORTED("""COMPUTED_VALUE"""),45004.4236574074)</f>
        <v>45004.423657407402</v>
      </c>
      <c r="I2619" s="3">
        <f ca="1">IFERROR(__xludf.UNSUPPORTED("""COMPUTED_VALUE"""),24)</f>
        <v>24</v>
      </c>
      <c r="J2619" s="4">
        <f ca="1">IFERROR(__xludf.UNSUPPORTED("""COMPUTED_VALUE"""),45005.4236574074)</f>
        <v>45005.423657407402</v>
      </c>
      <c r="L2619" s="3" t="str">
        <f ca="1">IFERROR(__xludf.UNSUPPORTED("""COMPUTED_VALUE"""),"Normalidade")</f>
        <v>Normalidade</v>
      </c>
    </row>
    <row r="2620" spans="1:12" ht="12.75">
      <c r="A2620" s="3" t="str">
        <f ca="1">IFERROR(__xludf.UNSUPPORTED("""COMPUTED_VALUE"""),"c50616f9")</f>
        <v>c50616f9</v>
      </c>
      <c r="B2620" s="4">
        <f ca="1">IFERROR(__xludf.UNSUPPORTED("""COMPUTED_VALUE"""),45005.3420833333)</f>
        <v>45005.3420833333</v>
      </c>
      <c r="C2620" s="7" t="str">
        <f ca="1">IFERROR(__xludf.UNSUPPORTED("""COMPUTED_VALUE"""),"Suape")</f>
        <v>Suape</v>
      </c>
      <c r="D2620" s="3" t="str">
        <f ca="1">IFERROR(__xludf.UNSUPPORTED("""COMPUTED_VALUE"""),"🚢 REGULAR")</f>
        <v>🚢 REGULAR</v>
      </c>
      <c r="E2620" s="3" t="str">
        <f ca="1">IFERROR(__xludf.UNSUPPORTED("""COMPUTED_VALUE"""),"🚛 LIBERADO")</f>
        <v>🚛 LIBERADO</v>
      </c>
      <c r="F2620" s="5">
        <f ca="1">IFERROR(__xludf.UNSUPPORTED("""COMPUTED_VALUE"""),0)</f>
        <v>0</v>
      </c>
      <c r="G2620" s="3" t="str">
        <f ca="1">IFERROR(__xludf.UNSUPPORTED("""COMPUTED_VALUE"""),"Normalidade")</f>
        <v>Normalidade</v>
      </c>
      <c r="H2620" s="4">
        <f ca="1">IFERROR(__xludf.UNSUPPORTED("""COMPUTED_VALUE"""),45005.3420833333)</f>
        <v>45005.3420833333</v>
      </c>
      <c r="I2620" s="3">
        <f ca="1">IFERROR(__xludf.UNSUPPORTED("""COMPUTED_VALUE"""),24)</f>
        <v>24</v>
      </c>
      <c r="J2620" s="4">
        <f ca="1">IFERROR(__xludf.UNSUPPORTED("""COMPUTED_VALUE"""),45006.3420833333)</f>
        <v>45006.3420833333</v>
      </c>
      <c r="L2620" s="3" t="str">
        <f ca="1">IFERROR(__xludf.UNSUPPORTED("""COMPUTED_VALUE"""),"Normalidade")</f>
        <v>Normalidade</v>
      </c>
    </row>
    <row r="2621" spans="1:12" ht="12.75">
      <c r="A2621" s="3" t="str">
        <f ca="1">IFERROR(__xludf.UNSUPPORTED("""COMPUTED_VALUE"""),"44f770cd")</f>
        <v>44f770cd</v>
      </c>
      <c r="B2621" s="4">
        <f ca="1">IFERROR(__xludf.UNSUPPORTED("""COMPUTED_VALUE"""),45006.3955902777)</f>
        <v>45006.395590277702</v>
      </c>
      <c r="C2621" s="7" t="str">
        <f ca="1">IFERROR(__xludf.UNSUPPORTED("""COMPUTED_VALUE"""),"Suape")</f>
        <v>Suape</v>
      </c>
      <c r="D2621" s="3" t="str">
        <f ca="1">IFERROR(__xludf.UNSUPPORTED("""COMPUTED_VALUE"""),"🚢 REGULAR")</f>
        <v>🚢 REGULAR</v>
      </c>
      <c r="E2621" s="3" t="str">
        <f ca="1">IFERROR(__xludf.UNSUPPORTED("""COMPUTED_VALUE"""),"🚛 LIBERADO")</f>
        <v>🚛 LIBERADO</v>
      </c>
      <c r="F2621" s="5">
        <f ca="1">IFERROR(__xludf.UNSUPPORTED("""COMPUTED_VALUE"""),0)</f>
        <v>0</v>
      </c>
      <c r="G2621" s="3" t="str">
        <f ca="1">IFERROR(__xludf.UNSUPPORTED("""COMPUTED_VALUE"""),"Normalidade")</f>
        <v>Normalidade</v>
      </c>
      <c r="H2621" s="4">
        <f ca="1">IFERROR(__xludf.UNSUPPORTED("""COMPUTED_VALUE"""),45006.3955902777)</f>
        <v>45006.395590277702</v>
      </c>
      <c r="I2621" s="3">
        <f ca="1">IFERROR(__xludf.UNSUPPORTED("""COMPUTED_VALUE"""),24)</f>
        <v>24</v>
      </c>
      <c r="J2621" s="4">
        <f ca="1">IFERROR(__xludf.UNSUPPORTED("""COMPUTED_VALUE"""),45007.3955902777)</f>
        <v>45007.395590277702</v>
      </c>
      <c r="L2621" s="3" t="str">
        <f ca="1">IFERROR(__xludf.UNSUPPORTED("""COMPUTED_VALUE"""),"Normalidade")</f>
        <v>Normalidade</v>
      </c>
    </row>
    <row r="2622" spans="1:12" ht="12.75">
      <c r="A2622" s="3" t="str">
        <f ca="1">IFERROR(__xludf.UNSUPPORTED("""COMPUTED_VALUE"""),"a8b5f21e")</f>
        <v>a8b5f21e</v>
      </c>
      <c r="B2622" s="4">
        <f ca="1">IFERROR(__xludf.UNSUPPORTED("""COMPUTED_VALUE"""),45007.5884375)</f>
        <v>45007.588437500002</v>
      </c>
      <c r="C2622" s="7" t="str">
        <f ca="1">IFERROR(__xludf.UNSUPPORTED("""COMPUTED_VALUE"""),"Suape")</f>
        <v>Suape</v>
      </c>
      <c r="D2622" s="3" t="str">
        <f ca="1">IFERROR(__xludf.UNSUPPORTED("""COMPUTED_VALUE"""),"🚢 REGULAR")</f>
        <v>🚢 REGULAR</v>
      </c>
      <c r="E2622" s="3" t="str">
        <f ca="1">IFERROR(__xludf.UNSUPPORTED("""COMPUTED_VALUE"""),"🚛 LIBERADO")</f>
        <v>🚛 LIBERADO</v>
      </c>
      <c r="F2622" s="5">
        <f ca="1">IFERROR(__xludf.UNSUPPORTED("""COMPUTED_VALUE"""),0)</f>
        <v>0</v>
      </c>
      <c r="G2622" s="3" t="str">
        <f ca="1">IFERROR(__xludf.UNSUPPORTED("""COMPUTED_VALUE"""),"Normalidade")</f>
        <v>Normalidade</v>
      </c>
      <c r="H2622" s="4">
        <f ca="1">IFERROR(__xludf.UNSUPPORTED("""COMPUTED_VALUE"""),45007.5884375)</f>
        <v>45007.588437500002</v>
      </c>
      <c r="I2622" s="3">
        <f ca="1">IFERROR(__xludf.UNSUPPORTED("""COMPUTED_VALUE"""),24)</f>
        <v>24</v>
      </c>
      <c r="J2622" s="4">
        <f ca="1">IFERROR(__xludf.UNSUPPORTED("""COMPUTED_VALUE"""),45008.5884375)</f>
        <v>45008.588437500002</v>
      </c>
      <c r="L2622" s="3" t="str">
        <f ca="1">IFERROR(__xludf.UNSUPPORTED("""COMPUTED_VALUE"""),"Normalidade")</f>
        <v>Normalidade</v>
      </c>
    </row>
    <row r="2623" spans="1:12" ht="12.75">
      <c r="A2623" s="3" t="str">
        <f ca="1">IFERROR(__xludf.UNSUPPORTED("""COMPUTED_VALUE"""),"e2328533")</f>
        <v>e2328533</v>
      </c>
      <c r="B2623" s="4">
        <f ca="1">IFERROR(__xludf.UNSUPPORTED("""COMPUTED_VALUE"""),45008.5611574074)</f>
        <v>45008.561157407399</v>
      </c>
      <c r="C2623" s="7" t="str">
        <f ca="1">IFERROR(__xludf.UNSUPPORTED("""COMPUTED_VALUE"""),"Suape")</f>
        <v>Suape</v>
      </c>
      <c r="D2623" s="3" t="str">
        <f ca="1">IFERROR(__xludf.UNSUPPORTED("""COMPUTED_VALUE"""),"🚢 REGULAR")</f>
        <v>🚢 REGULAR</v>
      </c>
      <c r="E2623" s="3" t="str">
        <f ca="1">IFERROR(__xludf.UNSUPPORTED("""COMPUTED_VALUE"""),"🚛 LIBERADO")</f>
        <v>🚛 LIBERADO</v>
      </c>
      <c r="F2623" s="5">
        <f ca="1">IFERROR(__xludf.UNSUPPORTED("""COMPUTED_VALUE"""),0)</f>
        <v>0</v>
      </c>
      <c r="G2623" s="3" t="str">
        <f ca="1">IFERROR(__xludf.UNSUPPORTED("""COMPUTED_VALUE"""),"Normalidade")</f>
        <v>Normalidade</v>
      </c>
      <c r="H2623" s="4">
        <f ca="1">IFERROR(__xludf.UNSUPPORTED("""COMPUTED_VALUE"""),45008.5611574074)</f>
        <v>45008.561157407399</v>
      </c>
      <c r="I2623" s="3">
        <f ca="1">IFERROR(__xludf.UNSUPPORTED("""COMPUTED_VALUE"""),24)</f>
        <v>24</v>
      </c>
      <c r="J2623" s="4">
        <f ca="1">IFERROR(__xludf.UNSUPPORTED("""COMPUTED_VALUE"""),45009.5611574074)</f>
        <v>45009.561157407399</v>
      </c>
      <c r="L2623" s="3" t="str">
        <f ca="1">IFERROR(__xludf.UNSUPPORTED("""COMPUTED_VALUE"""),"Normalidade")</f>
        <v>Normalidade</v>
      </c>
    </row>
    <row r="2624" spans="1:12" ht="12.75">
      <c r="A2624" s="3" t="str">
        <f ca="1">IFERROR(__xludf.UNSUPPORTED("""COMPUTED_VALUE"""),"52af8768")</f>
        <v>52af8768</v>
      </c>
      <c r="B2624" s="4">
        <f ca="1">IFERROR(__xludf.UNSUPPORTED("""COMPUTED_VALUE"""),45009.5677777777)</f>
        <v>45009.567777777702</v>
      </c>
      <c r="C2624" s="7" t="str">
        <f ca="1">IFERROR(__xludf.UNSUPPORTED("""COMPUTED_VALUE"""),"Suape")</f>
        <v>Suape</v>
      </c>
      <c r="D2624" s="3" t="str">
        <f ca="1">IFERROR(__xludf.UNSUPPORTED("""COMPUTED_VALUE"""),"🚢 REGULAR")</f>
        <v>🚢 REGULAR</v>
      </c>
      <c r="E2624" s="3" t="str">
        <f ca="1">IFERROR(__xludf.UNSUPPORTED("""COMPUTED_VALUE"""),"🚛 LIBERADO")</f>
        <v>🚛 LIBERADO</v>
      </c>
      <c r="F2624" s="5">
        <f ca="1">IFERROR(__xludf.UNSUPPORTED("""COMPUTED_VALUE"""),0)</f>
        <v>0</v>
      </c>
      <c r="G2624" s="3" t="str">
        <f ca="1">IFERROR(__xludf.UNSUPPORTED("""COMPUTED_VALUE"""),"Normalidade")</f>
        <v>Normalidade</v>
      </c>
      <c r="H2624" s="4">
        <f ca="1">IFERROR(__xludf.UNSUPPORTED("""COMPUTED_VALUE"""),45009.5677777777)</f>
        <v>45009.567777777702</v>
      </c>
      <c r="I2624" s="3">
        <f ca="1">IFERROR(__xludf.UNSUPPORTED("""COMPUTED_VALUE"""),24)</f>
        <v>24</v>
      </c>
      <c r="J2624" s="4">
        <f ca="1">IFERROR(__xludf.UNSUPPORTED("""COMPUTED_VALUE"""),45010.5677777777)</f>
        <v>45010.567777777702</v>
      </c>
      <c r="L2624" s="3" t="str">
        <f ca="1">IFERROR(__xludf.UNSUPPORTED("""COMPUTED_VALUE"""),"Normalidade")</f>
        <v>Normalidade</v>
      </c>
    </row>
    <row r="2625" spans="1:12" ht="12.75">
      <c r="A2625" s="3" t="str">
        <f ca="1">IFERROR(__xludf.UNSUPPORTED("""COMPUTED_VALUE"""),"e5cea4e0")</f>
        <v>e5cea4e0</v>
      </c>
      <c r="B2625" s="4">
        <f ca="1">IFERROR(__xludf.UNSUPPORTED("""COMPUTED_VALUE"""),45010.4756712963)</f>
        <v>45010.475671296299</v>
      </c>
      <c r="C2625" s="8" t="str">
        <f ca="1">IFERROR(__xludf.UNSUPPORTED("""COMPUTED_VALUE"""),"Suape")</f>
        <v>Suape</v>
      </c>
      <c r="D2625" s="3" t="str">
        <f ca="1">IFERROR(__xludf.UNSUPPORTED("""COMPUTED_VALUE"""),"🚢 REGULAR")</f>
        <v>🚢 REGULAR</v>
      </c>
      <c r="E2625" s="3" t="str">
        <f ca="1">IFERROR(__xludf.UNSUPPORTED("""COMPUTED_VALUE"""),"🚛 LIBERADO")</f>
        <v>🚛 LIBERADO</v>
      </c>
      <c r="F2625" s="5">
        <f ca="1">IFERROR(__xludf.UNSUPPORTED("""COMPUTED_VALUE"""),0)</f>
        <v>0</v>
      </c>
      <c r="G2625" s="3" t="str">
        <f ca="1">IFERROR(__xludf.UNSUPPORTED("""COMPUTED_VALUE"""),"Normalidade")</f>
        <v>Normalidade</v>
      </c>
      <c r="H2625" s="4">
        <f ca="1">IFERROR(__xludf.UNSUPPORTED("""COMPUTED_VALUE"""),45010.4756712963)</f>
        <v>45010.475671296299</v>
      </c>
      <c r="I2625" s="3">
        <f ca="1">IFERROR(__xludf.UNSUPPORTED("""COMPUTED_VALUE"""),24)</f>
        <v>24</v>
      </c>
      <c r="J2625" s="4">
        <f ca="1">IFERROR(__xludf.UNSUPPORTED("""COMPUTED_VALUE"""),45011.4756712963)</f>
        <v>45011.475671296299</v>
      </c>
      <c r="L2625" s="3" t="str">
        <f ca="1">IFERROR(__xludf.UNSUPPORTED("""COMPUTED_VALUE"""),"Normalidade")</f>
        <v>Normalidade</v>
      </c>
    </row>
    <row r="2626" spans="1:12" ht="12.75">
      <c r="A2626" s="3" t="str">
        <f ca="1">IFERROR(__xludf.UNSUPPORTED("""COMPUTED_VALUE"""),"93bde162")</f>
        <v>93bde162</v>
      </c>
      <c r="B2626" s="4">
        <f ca="1">IFERROR(__xludf.UNSUPPORTED("""COMPUTED_VALUE"""),45011.4904513888)</f>
        <v>45011.490451388803</v>
      </c>
      <c r="C2626" s="8" t="str">
        <f ca="1">IFERROR(__xludf.UNSUPPORTED("""COMPUTED_VALUE"""),"Suape")</f>
        <v>Suape</v>
      </c>
      <c r="D2626" s="3" t="str">
        <f ca="1">IFERROR(__xludf.UNSUPPORTED("""COMPUTED_VALUE"""),"🚢 REGULAR")</f>
        <v>🚢 REGULAR</v>
      </c>
      <c r="E2626" s="3" t="str">
        <f ca="1">IFERROR(__xludf.UNSUPPORTED("""COMPUTED_VALUE"""),"🚛 LIBERADO")</f>
        <v>🚛 LIBERADO</v>
      </c>
      <c r="F2626" s="5">
        <f ca="1">IFERROR(__xludf.UNSUPPORTED("""COMPUTED_VALUE"""),0)</f>
        <v>0</v>
      </c>
      <c r="G2626" s="3" t="str">
        <f ca="1">IFERROR(__xludf.UNSUPPORTED("""COMPUTED_VALUE"""),"Normalidade")</f>
        <v>Normalidade</v>
      </c>
      <c r="H2626" s="4">
        <f ca="1">IFERROR(__xludf.UNSUPPORTED("""COMPUTED_VALUE"""),45011.4904513888)</f>
        <v>45011.490451388803</v>
      </c>
      <c r="I2626" s="3">
        <f ca="1">IFERROR(__xludf.UNSUPPORTED("""COMPUTED_VALUE"""),24)</f>
        <v>24</v>
      </c>
      <c r="J2626" s="4">
        <f ca="1">IFERROR(__xludf.UNSUPPORTED("""COMPUTED_VALUE"""),45012.4904513888)</f>
        <v>45012.490451388803</v>
      </c>
      <c r="L2626" s="3" t="str">
        <f ca="1">IFERROR(__xludf.UNSUPPORTED("""COMPUTED_VALUE"""),"Normalidade")</f>
        <v>Normalidade</v>
      </c>
    </row>
    <row r="2627" spans="1:12" ht="12.75">
      <c r="A2627" s="3" t="str">
        <f ca="1">IFERROR(__xludf.UNSUPPORTED("""COMPUTED_VALUE"""),"41d3bc5d")</f>
        <v>41d3bc5d</v>
      </c>
      <c r="B2627" s="4">
        <f ca="1">IFERROR(__xludf.UNSUPPORTED("""COMPUTED_VALUE"""),45012.4105324074)</f>
        <v>45012.410532407397</v>
      </c>
      <c r="C2627" s="8" t="str">
        <f ca="1">IFERROR(__xludf.UNSUPPORTED("""COMPUTED_VALUE"""),"Suape")</f>
        <v>Suape</v>
      </c>
      <c r="D2627" s="3" t="str">
        <f ca="1">IFERROR(__xludf.UNSUPPORTED("""COMPUTED_VALUE"""),"🚢 REGULAR")</f>
        <v>🚢 REGULAR</v>
      </c>
      <c r="E2627" s="3" t="str">
        <f ca="1">IFERROR(__xludf.UNSUPPORTED("""COMPUTED_VALUE"""),"🚛 LIBERADO")</f>
        <v>🚛 LIBERADO</v>
      </c>
      <c r="F2627" s="5">
        <f ca="1">IFERROR(__xludf.UNSUPPORTED("""COMPUTED_VALUE"""),0)</f>
        <v>0</v>
      </c>
      <c r="G2627" s="3" t="str">
        <f ca="1">IFERROR(__xludf.UNSUPPORTED("""COMPUTED_VALUE"""),"Normalidade")</f>
        <v>Normalidade</v>
      </c>
      <c r="H2627" s="4">
        <f ca="1">IFERROR(__xludf.UNSUPPORTED("""COMPUTED_VALUE"""),45012.4105324074)</f>
        <v>45012.410532407397</v>
      </c>
      <c r="I2627" s="3">
        <f ca="1">IFERROR(__xludf.UNSUPPORTED("""COMPUTED_VALUE"""),24)</f>
        <v>24</v>
      </c>
      <c r="J2627" s="4">
        <f ca="1">IFERROR(__xludf.UNSUPPORTED("""COMPUTED_VALUE"""),45013.4105324074)</f>
        <v>45013.410532407397</v>
      </c>
      <c r="L2627" s="3" t="str">
        <f ca="1">IFERROR(__xludf.UNSUPPORTED("""COMPUTED_VALUE"""),"Normalidade")</f>
        <v>Normalidade</v>
      </c>
    </row>
    <row r="2628" spans="1:12" ht="12.75">
      <c r="A2628" s="3" t="str">
        <f ca="1">IFERROR(__xludf.UNSUPPORTED("""COMPUTED_VALUE"""),"8bf028cb")</f>
        <v>8bf028cb</v>
      </c>
      <c r="B2628" s="4">
        <f ca="1">IFERROR(__xludf.UNSUPPORTED("""COMPUTED_VALUE"""),45013.4157986111)</f>
        <v>45013.415798611102</v>
      </c>
      <c r="C2628" s="7" t="str">
        <f ca="1">IFERROR(__xludf.UNSUPPORTED("""COMPUTED_VALUE"""),"Suape")</f>
        <v>Suape</v>
      </c>
      <c r="D2628" s="3" t="str">
        <f ca="1">IFERROR(__xludf.UNSUPPORTED("""COMPUTED_VALUE"""),"🚢 REGULAR")</f>
        <v>🚢 REGULAR</v>
      </c>
      <c r="E2628" s="3" t="str">
        <f ca="1">IFERROR(__xludf.UNSUPPORTED("""COMPUTED_VALUE"""),"🚛 LIBERADO")</f>
        <v>🚛 LIBERADO</v>
      </c>
      <c r="F2628" s="5">
        <f ca="1">IFERROR(__xludf.UNSUPPORTED("""COMPUTED_VALUE"""),0)</f>
        <v>0</v>
      </c>
      <c r="G2628" s="3" t="str">
        <f ca="1">IFERROR(__xludf.UNSUPPORTED("""COMPUTED_VALUE"""),"Normalidade")</f>
        <v>Normalidade</v>
      </c>
      <c r="H2628" s="4">
        <f ca="1">IFERROR(__xludf.UNSUPPORTED("""COMPUTED_VALUE"""),45013.4157986111)</f>
        <v>45013.415798611102</v>
      </c>
      <c r="I2628" s="3">
        <f ca="1">IFERROR(__xludf.UNSUPPORTED("""COMPUTED_VALUE"""),24)</f>
        <v>24</v>
      </c>
      <c r="J2628" s="4">
        <f ca="1">IFERROR(__xludf.UNSUPPORTED("""COMPUTED_VALUE"""),45014.4157986111)</f>
        <v>45014.415798611102</v>
      </c>
      <c r="L2628" s="3" t="str">
        <f ca="1">IFERROR(__xludf.UNSUPPORTED("""COMPUTED_VALUE"""),"Normalidade")</f>
        <v>Normalidade</v>
      </c>
    </row>
    <row r="2629" spans="1:12" ht="12.75">
      <c r="A2629" s="3" t="str">
        <f ca="1">IFERROR(__xludf.UNSUPPORTED("""COMPUTED_VALUE"""),"0f033898")</f>
        <v>0f033898</v>
      </c>
      <c r="B2629" s="4">
        <f ca="1">IFERROR(__xludf.UNSUPPORTED("""COMPUTED_VALUE"""),45019.4431712963)</f>
        <v>45019.443171296298</v>
      </c>
      <c r="C2629" s="7" t="str">
        <f ca="1">IFERROR(__xludf.UNSUPPORTED("""COMPUTED_VALUE"""),"Suape")</f>
        <v>Suape</v>
      </c>
      <c r="D2629" s="3" t="str">
        <f ca="1">IFERROR(__xludf.UNSUPPORTED("""COMPUTED_VALUE"""),"🚢 REGULAR")</f>
        <v>🚢 REGULAR</v>
      </c>
      <c r="E2629" s="3" t="str">
        <f ca="1">IFERROR(__xludf.UNSUPPORTED("""COMPUTED_VALUE"""),"🚛 LIBERADO")</f>
        <v>🚛 LIBERADO</v>
      </c>
      <c r="F2629" s="5">
        <f ca="1">IFERROR(__xludf.UNSUPPORTED("""COMPUTED_VALUE"""),0)</f>
        <v>0</v>
      </c>
      <c r="G2629" s="3" t="str">
        <f ca="1">IFERROR(__xludf.UNSUPPORTED("""COMPUTED_VALUE"""),"Normalidade")</f>
        <v>Normalidade</v>
      </c>
      <c r="H2629" s="4">
        <f ca="1">IFERROR(__xludf.UNSUPPORTED("""COMPUTED_VALUE"""),45019.4431712963)</f>
        <v>45019.443171296298</v>
      </c>
      <c r="I2629" s="3">
        <f ca="1">IFERROR(__xludf.UNSUPPORTED("""COMPUTED_VALUE"""),24)</f>
        <v>24</v>
      </c>
      <c r="J2629" s="4">
        <f ca="1">IFERROR(__xludf.UNSUPPORTED("""COMPUTED_VALUE"""),45020.4431712963)</f>
        <v>45020.443171296298</v>
      </c>
      <c r="L2629" s="3" t="str">
        <f ca="1">IFERROR(__xludf.UNSUPPORTED("""COMPUTED_VALUE"""),"Normalidade")</f>
        <v>Normalidade</v>
      </c>
    </row>
    <row r="2630" spans="1:12" ht="12.75">
      <c r="A2630" s="3" t="str">
        <f ca="1">IFERROR(__xludf.UNSUPPORTED("""COMPUTED_VALUE"""),"428eefb8")</f>
        <v>428eefb8</v>
      </c>
      <c r="B2630" s="4">
        <f ca="1">IFERROR(__xludf.UNSUPPORTED("""COMPUTED_VALUE"""),45020.3230787037)</f>
        <v>45020.323078703703</v>
      </c>
      <c r="C2630" s="7" t="str">
        <f ca="1">IFERROR(__xludf.UNSUPPORTED("""COMPUTED_VALUE"""),"Suape")</f>
        <v>Suape</v>
      </c>
      <c r="D2630" s="3" t="str">
        <f ca="1">IFERROR(__xludf.UNSUPPORTED("""COMPUTED_VALUE"""),"🚢 REGULAR")</f>
        <v>🚢 REGULAR</v>
      </c>
      <c r="E2630" s="3" t="str">
        <f ca="1">IFERROR(__xludf.UNSUPPORTED("""COMPUTED_VALUE"""),"🚛 LIBERADO")</f>
        <v>🚛 LIBERADO</v>
      </c>
      <c r="F2630" s="5">
        <f ca="1">IFERROR(__xludf.UNSUPPORTED("""COMPUTED_VALUE"""),0)</f>
        <v>0</v>
      </c>
      <c r="G2630" s="3" t="str">
        <f ca="1">IFERROR(__xludf.UNSUPPORTED("""COMPUTED_VALUE"""),"Normalidade")</f>
        <v>Normalidade</v>
      </c>
      <c r="H2630" s="4">
        <f ca="1">IFERROR(__xludf.UNSUPPORTED("""COMPUTED_VALUE"""),45020.3230787037)</f>
        <v>45020.323078703703</v>
      </c>
      <c r="I2630" s="3">
        <f ca="1">IFERROR(__xludf.UNSUPPORTED("""COMPUTED_VALUE"""),24)</f>
        <v>24</v>
      </c>
      <c r="J2630" s="4">
        <f ca="1">IFERROR(__xludf.UNSUPPORTED("""COMPUTED_VALUE"""),45021.3230787037)</f>
        <v>45021.323078703703</v>
      </c>
      <c r="L2630" s="3" t="str">
        <f ca="1">IFERROR(__xludf.UNSUPPORTED("""COMPUTED_VALUE"""),"Normalidade")</f>
        <v>Normalidade</v>
      </c>
    </row>
    <row r="2631" spans="1:12" ht="12.75">
      <c r="A2631" s="3" t="str">
        <f ca="1">IFERROR(__xludf.UNSUPPORTED("""COMPUTED_VALUE"""),"c446e8f6")</f>
        <v>c446e8f6</v>
      </c>
      <c r="B2631" s="4">
        <f ca="1">IFERROR(__xludf.UNSUPPORTED("""COMPUTED_VALUE"""),45040.3504976851)</f>
        <v>45040.350497685104</v>
      </c>
      <c r="C2631" s="7" t="str">
        <f ca="1">IFERROR(__xludf.UNSUPPORTED("""COMPUTED_VALUE"""),"Suape")</f>
        <v>Suape</v>
      </c>
      <c r="D2631" s="3" t="str">
        <f ca="1">IFERROR(__xludf.UNSUPPORTED("""COMPUTED_VALUE"""),"🚢 REGULAR")</f>
        <v>🚢 REGULAR</v>
      </c>
      <c r="E2631" s="3" t="str">
        <f ca="1">IFERROR(__xludf.UNSUPPORTED("""COMPUTED_VALUE"""),"🚛 LIBERADO")</f>
        <v>🚛 LIBERADO</v>
      </c>
      <c r="F2631" s="5">
        <f ca="1">IFERROR(__xludf.UNSUPPORTED("""COMPUTED_VALUE"""),0)</f>
        <v>0</v>
      </c>
      <c r="G2631" s="3" t="str">
        <f ca="1">IFERROR(__xludf.UNSUPPORTED("""COMPUTED_VALUE"""),"Normalidade")</f>
        <v>Normalidade</v>
      </c>
      <c r="H2631" s="4">
        <f ca="1">IFERROR(__xludf.UNSUPPORTED("""COMPUTED_VALUE"""),45040.3504976851)</f>
        <v>45040.350497685104</v>
      </c>
      <c r="I2631" s="3">
        <f ca="1">IFERROR(__xludf.UNSUPPORTED("""COMPUTED_VALUE"""),24)</f>
        <v>24</v>
      </c>
      <c r="J2631" s="4">
        <f ca="1">IFERROR(__xludf.UNSUPPORTED("""COMPUTED_VALUE"""),45041.3504976851)</f>
        <v>45041.350497685104</v>
      </c>
      <c r="L2631" s="3" t="str">
        <f ca="1">IFERROR(__xludf.UNSUPPORTED("""COMPUTED_VALUE"""),"Normalidade")</f>
        <v>Normalidade</v>
      </c>
    </row>
    <row r="2632" spans="1:12" ht="12.75">
      <c r="A2632" s="3" t="str">
        <f ca="1">IFERROR(__xludf.UNSUPPORTED("""COMPUTED_VALUE"""),"f2ae3df0")</f>
        <v>f2ae3df0</v>
      </c>
      <c r="B2632" s="4">
        <f ca="1">IFERROR(__xludf.UNSUPPORTED("""COMPUTED_VALUE"""),45041.3594212962)</f>
        <v>45041.359421296198</v>
      </c>
      <c r="C2632" s="8" t="str">
        <f ca="1">IFERROR(__xludf.UNSUPPORTED("""COMPUTED_VALUE"""),"Suape")</f>
        <v>Suape</v>
      </c>
      <c r="D2632" s="3" t="str">
        <f ca="1">IFERROR(__xludf.UNSUPPORTED("""COMPUTED_VALUE"""),"🚢 REGULAR")</f>
        <v>🚢 REGULAR</v>
      </c>
      <c r="E2632" s="3" t="str">
        <f ca="1">IFERROR(__xludf.UNSUPPORTED("""COMPUTED_VALUE"""),"🚛 LIBERADO")</f>
        <v>🚛 LIBERADO</v>
      </c>
      <c r="F2632" s="5">
        <f ca="1">IFERROR(__xludf.UNSUPPORTED("""COMPUTED_VALUE"""),0)</f>
        <v>0</v>
      </c>
      <c r="G2632" s="3" t="str">
        <f ca="1">IFERROR(__xludf.UNSUPPORTED("""COMPUTED_VALUE"""),"Normalidade")</f>
        <v>Normalidade</v>
      </c>
      <c r="H2632" s="4">
        <f ca="1">IFERROR(__xludf.UNSUPPORTED("""COMPUTED_VALUE"""),45041.3594212962)</f>
        <v>45041.359421296198</v>
      </c>
      <c r="I2632" s="3">
        <f ca="1">IFERROR(__xludf.UNSUPPORTED("""COMPUTED_VALUE"""),24)</f>
        <v>24</v>
      </c>
      <c r="J2632" s="4">
        <f ca="1">IFERROR(__xludf.UNSUPPORTED("""COMPUTED_VALUE"""),45042.3594212962)</f>
        <v>45042.359421296198</v>
      </c>
      <c r="L2632" s="3" t="str">
        <f ca="1">IFERROR(__xludf.UNSUPPORTED("""COMPUTED_VALUE"""),"Normalidade")</f>
        <v>Normalidade</v>
      </c>
    </row>
    <row r="2633" spans="1:12" ht="12.75">
      <c r="A2633" s="3" t="str">
        <f ca="1">IFERROR(__xludf.UNSUPPORTED("""COMPUTED_VALUE"""),"01ba118d")</f>
        <v>01ba118d</v>
      </c>
      <c r="B2633" s="4">
        <f ca="1">IFERROR(__xludf.UNSUPPORTED("""COMPUTED_VALUE"""),45054.3687731481)</f>
        <v>45054.368773148097</v>
      </c>
      <c r="C2633" s="7" t="str">
        <f ca="1">IFERROR(__xludf.UNSUPPORTED("""COMPUTED_VALUE"""),"Suape")</f>
        <v>Suape</v>
      </c>
      <c r="D2633" s="3" t="str">
        <f ca="1">IFERROR(__xludf.UNSUPPORTED("""COMPUTED_VALUE"""),"🚢 REGULAR")</f>
        <v>🚢 REGULAR</v>
      </c>
      <c r="E2633" s="3" t="str">
        <f ca="1">IFERROR(__xludf.UNSUPPORTED("""COMPUTED_VALUE"""),"🚛 LIBERADO")</f>
        <v>🚛 LIBERADO</v>
      </c>
      <c r="F2633" s="5">
        <f ca="1">IFERROR(__xludf.UNSUPPORTED("""COMPUTED_VALUE"""),0)</f>
        <v>0</v>
      </c>
      <c r="G2633" s="3" t="str">
        <f ca="1">IFERROR(__xludf.UNSUPPORTED("""COMPUTED_VALUE"""),"Normalidade")</f>
        <v>Normalidade</v>
      </c>
      <c r="H2633" s="4">
        <f ca="1">IFERROR(__xludf.UNSUPPORTED("""COMPUTED_VALUE"""),45054.3687731481)</f>
        <v>45054.368773148097</v>
      </c>
      <c r="I2633" s="3">
        <f ca="1">IFERROR(__xludf.UNSUPPORTED("""COMPUTED_VALUE"""),24)</f>
        <v>24</v>
      </c>
      <c r="J2633" s="4">
        <f ca="1">IFERROR(__xludf.UNSUPPORTED("""COMPUTED_VALUE"""),45055.3687731481)</f>
        <v>45055.368773148097</v>
      </c>
      <c r="L2633" s="3" t="str">
        <f ca="1">IFERROR(__xludf.UNSUPPORTED("""COMPUTED_VALUE"""),"Normalidade")</f>
        <v>Normalidade</v>
      </c>
    </row>
    <row r="2634" spans="1:12" ht="12.75">
      <c r="A2634" s="3" t="str">
        <f ca="1">IFERROR(__xludf.UNSUPPORTED("""COMPUTED_VALUE"""),"eeca4d8b")</f>
        <v>eeca4d8b</v>
      </c>
      <c r="B2634" s="4">
        <f ca="1">IFERROR(__xludf.UNSUPPORTED("""COMPUTED_VALUE"""),45055.4325810185)</f>
        <v>45055.432581018496</v>
      </c>
      <c r="C2634" s="8" t="str">
        <f ca="1">IFERROR(__xludf.UNSUPPORTED("""COMPUTED_VALUE"""),"Suape")</f>
        <v>Suape</v>
      </c>
      <c r="D2634" s="3" t="str">
        <f ca="1">IFERROR(__xludf.UNSUPPORTED("""COMPUTED_VALUE"""),"🚢 REGULAR")</f>
        <v>🚢 REGULAR</v>
      </c>
      <c r="E2634" s="3" t="str">
        <f ca="1">IFERROR(__xludf.UNSUPPORTED("""COMPUTED_VALUE"""),"🚛 LIBERADO")</f>
        <v>🚛 LIBERADO</v>
      </c>
      <c r="F2634" s="5">
        <f ca="1">IFERROR(__xludf.UNSUPPORTED("""COMPUTED_VALUE"""),0)</f>
        <v>0</v>
      </c>
      <c r="G2634" s="3" t="str">
        <f ca="1">IFERROR(__xludf.UNSUPPORTED("""COMPUTED_VALUE"""),"Normalidade")</f>
        <v>Normalidade</v>
      </c>
      <c r="H2634" s="4">
        <f ca="1">IFERROR(__xludf.UNSUPPORTED("""COMPUTED_VALUE"""),45055.4325810185)</f>
        <v>45055.432581018496</v>
      </c>
      <c r="I2634" s="3">
        <f ca="1">IFERROR(__xludf.UNSUPPORTED("""COMPUTED_VALUE"""),24)</f>
        <v>24</v>
      </c>
      <c r="J2634" s="4">
        <f ca="1">IFERROR(__xludf.UNSUPPORTED("""COMPUTED_VALUE"""),45056.4325810185)</f>
        <v>45056.432581018496</v>
      </c>
      <c r="L2634" s="3" t="str">
        <f ca="1">IFERROR(__xludf.UNSUPPORTED("""COMPUTED_VALUE"""),"Normalidade")</f>
        <v>Normalidade</v>
      </c>
    </row>
    <row r="2635" spans="1:12" ht="12.75">
      <c r="A2635" s="3" t="str">
        <f ca="1">IFERROR(__xludf.UNSUPPORTED("""COMPUTED_VALUE"""),"351f01a3")</f>
        <v>351f01a3</v>
      </c>
      <c r="B2635" s="4">
        <f ca="1">IFERROR(__xludf.UNSUPPORTED("""COMPUTED_VALUE"""),45062.3676388888)</f>
        <v>45062.367638888798</v>
      </c>
      <c r="C2635" s="7" t="str">
        <f ca="1">IFERROR(__xludf.UNSUPPORTED("""COMPUTED_VALUE"""),"Suape")</f>
        <v>Suape</v>
      </c>
      <c r="D2635" s="3" t="str">
        <f ca="1">IFERROR(__xludf.UNSUPPORTED("""COMPUTED_VALUE"""),"🚢 REGULAR")</f>
        <v>🚢 REGULAR</v>
      </c>
      <c r="E2635" s="3" t="str">
        <f ca="1">IFERROR(__xludf.UNSUPPORTED("""COMPUTED_VALUE"""),"🚛 LIBERADO")</f>
        <v>🚛 LIBERADO</v>
      </c>
      <c r="F2635" s="5">
        <f ca="1">IFERROR(__xludf.UNSUPPORTED("""COMPUTED_VALUE"""),0)</f>
        <v>0</v>
      </c>
      <c r="G2635" s="3" t="str">
        <f ca="1">IFERROR(__xludf.UNSUPPORTED("""COMPUTED_VALUE"""),"Normalidade")</f>
        <v>Normalidade</v>
      </c>
      <c r="H2635" s="4">
        <f ca="1">IFERROR(__xludf.UNSUPPORTED("""COMPUTED_VALUE"""),45062.3676388888)</f>
        <v>45062.367638888798</v>
      </c>
      <c r="I2635" s="3">
        <f ca="1">IFERROR(__xludf.UNSUPPORTED("""COMPUTED_VALUE"""),24)</f>
        <v>24</v>
      </c>
      <c r="J2635" s="4">
        <f ca="1">IFERROR(__xludf.UNSUPPORTED("""COMPUTED_VALUE"""),45063.3676388888)</f>
        <v>45063.367638888798</v>
      </c>
      <c r="L2635" s="3" t="str">
        <f ca="1">IFERROR(__xludf.UNSUPPORTED("""COMPUTED_VALUE"""),"Normalidade")</f>
        <v>Normalidade</v>
      </c>
    </row>
    <row r="2636" spans="1:12" ht="12.75">
      <c r="A2636" s="3" t="str">
        <f ca="1">IFERROR(__xludf.UNSUPPORTED("""COMPUTED_VALUE"""),"9d6fb11e")</f>
        <v>9d6fb11e</v>
      </c>
      <c r="B2636" s="4">
        <f ca="1">IFERROR(__xludf.UNSUPPORTED("""COMPUTED_VALUE"""),45068.5304398148)</f>
        <v>45068.5304398148</v>
      </c>
      <c r="C2636" s="7" t="str">
        <f ca="1">IFERROR(__xludf.UNSUPPORTED("""COMPUTED_VALUE"""),"Suape")</f>
        <v>Suape</v>
      </c>
      <c r="D2636" s="3" t="str">
        <f ca="1">IFERROR(__xludf.UNSUPPORTED("""COMPUTED_VALUE"""),"🚢 REGULAR")</f>
        <v>🚢 REGULAR</v>
      </c>
      <c r="E2636" s="3" t="str">
        <f ca="1">IFERROR(__xludf.UNSUPPORTED("""COMPUTED_VALUE"""),"🚛 LIBERADO")</f>
        <v>🚛 LIBERADO</v>
      </c>
      <c r="F2636" s="5">
        <f ca="1">IFERROR(__xludf.UNSUPPORTED("""COMPUTED_VALUE"""),0)</f>
        <v>0</v>
      </c>
      <c r="G2636" s="3" t="str">
        <f ca="1">IFERROR(__xludf.UNSUPPORTED("""COMPUTED_VALUE"""),"Normalidade")</f>
        <v>Normalidade</v>
      </c>
      <c r="H2636" s="4">
        <f ca="1">IFERROR(__xludf.UNSUPPORTED("""COMPUTED_VALUE"""),45068.5304398148)</f>
        <v>45068.5304398148</v>
      </c>
      <c r="I2636" s="3">
        <f ca="1">IFERROR(__xludf.UNSUPPORTED("""COMPUTED_VALUE"""),24)</f>
        <v>24</v>
      </c>
      <c r="J2636" s="4">
        <f ca="1">IFERROR(__xludf.UNSUPPORTED("""COMPUTED_VALUE"""),45069.5304398148)</f>
        <v>45069.5304398148</v>
      </c>
      <c r="L2636" s="3" t="str">
        <f ca="1">IFERROR(__xludf.UNSUPPORTED("""COMPUTED_VALUE"""),"Normalidade")</f>
        <v>Normalidade</v>
      </c>
    </row>
    <row r="2637" spans="1:12" ht="12.75">
      <c r="A2637" s="3" t="str">
        <f ca="1">IFERROR(__xludf.UNSUPPORTED("""COMPUTED_VALUE"""),"dbb9102c")</f>
        <v>dbb9102c</v>
      </c>
      <c r="B2637" s="4">
        <f ca="1">IFERROR(__xludf.UNSUPPORTED("""COMPUTED_VALUE"""),45075.4590625)</f>
        <v>45075.459062499998</v>
      </c>
      <c r="C2637" s="7" t="str">
        <f ca="1">IFERROR(__xludf.UNSUPPORTED("""COMPUTED_VALUE"""),"Suape")</f>
        <v>Suape</v>
      </c>
      <c r="D2637" s="3" t="str">
        <f ca="1">IFERROR(__xludf.UNSUPPORTED("""COMPUTED_VALUE"""),"🚢 REGULAR")</f>
        <v>🚢 REGULAR</v>
      </c>
      <c r="E2637" s="3" t="str">
        <f ca="1">IFERROR(__xludf.UNSUPPORTED("""COMPUTED_VALUE"""),"🚛 LIBERADO")</f>
        <v>🚛 LIBERADO</v>
      </c>
      <c r="F2637" s="5">
        <f ca="1">IFERROR(__xludf.UNSUPPORTED("""COMPUTED_VALUE"""),0)</f>
        <v>0</v>
      </c>
      <c r="G2637" s="3" t="str">
        <f ca="1">IFERROR(__xludf.UNSUPPORTED("""COMPUTED_VALUE"""),"Normalidade")</f>
        <v>Normalidade</v>
      </c>
      <c r="H2637" s="4">
        <f ca="1">IFERROR(__xludf.UNSUPPORTED("""COMPUTED_VALUE"""),45075.4590625)</f>
        <v>45075.459062499998</v>
      </c>
      <c r="I2637" s="3">
        <f ca="1">IFERROR(__xludf.UNSUPPORTED("""COMPUTED_VALUE"""),24)</f>
        <v>24</v>
      </c>
      <c r="J2637" s="4">
        <f ca="1">IFERROR(__xludf.UNSUPPORTED("""COMPUTED_VALUE"""),45076.4590625)</f>
        <v>45076.459062499998</v>
      </c>
      <c r="L2637" s="3" t="str">
        <f ca="1">IFERROR(__xludf.UNSUPPORTED("""COMPUTED_VALUE"""),"Normalidade")</f>
        <v>Normalidade</v>
      </c>
    </row>
    <row r="2638" spans="1:12" ht="12.75">
      <c r="A2638" s="3" t="str">
        <f ca="1">IFERROR(__xludf.UNSUPPORTED("""COMPUTED_VALUE"""),"64f55847")</f>
        <v>64f55847</v>
      </c>
      <c r="B2638" s="4">
        <f ca="1">IFERROR(__xludf.UNSUPPORTED("""COMPUTED_VALUE"""),45082.3750694444)</f>
        <v>45082.375069444402</v>
      </c>
      <c r="C2638" s="7" t="str">
        <f ca="1">IFERROR(__xludf.UNSUPPORTED("""COMPUTED_VALUE"""),"Suape")</f>
        <v>Suape</v>
      </c>
      <c r="D2638" s="3" t="str">
        <f ca="1">IFERROR(__xludf.UNSUPPORTED("""COMPUTED_VALUE"""),"🚢 REGULAR")</f>
        <v>🚢 REGULAR</v>
      </c>
      <c r="E2638" s="3" t="str">
        <f ca="1">IFERROR(__xludf.UNSUPPORTED("""COMPUTED_VALUE"""),"🚛 LIBERADO")</f>
        <v>🚛 LIBERADO</v>
      </c>
      <c r="F2638" s="5">
        <f ca="1">IFERROR(__xludf.UNSUPPORTED("""COMPUTED_VALUE"""),0)</f>
        <v>0</v>
      </c>
      <c r="G2638" s="3" t="str">
        <f ca="1">IFERROR(__xludf.UNSUPPORTED("""COMPUTED_VALUE"""),"Normalidade")</f>
        <v>Normalidade</v>
      </c>
      <c r="H2638" s="4">
        <f ca="1">IFERROR(__xludf.UNSUPPORTED("""COMPUTED_VALUE"""),45082.3750694444)</f>
        <v>45082.375069444402</v>
      </c>
      <c r="I2638" s="3">
        <f ca="1">IFERROR(__xludf.UNSUPPORTED("""COMPUTED_VALUE"""),24)</f>
        <v>24</v>
      </c>
      <c r="J2638" s="4">
        <f ca="1">IFERROR(__xludf.UNSUPPORTED("""COMPUTED_VALUE"""),45083.3750694444)</f>
        <v>45083.375069444402</v>
      </c>
      <c r="L2638" s="3" t="str">
        <f ca="1">IFERROR(__xludf.UNSUPPORTED("""COMPUTED_VALUE"""),"Normalidade")</f>
        <v>Normalidade</v>
      </c>
    </row>
    <row r="2639" spans="1:12" ht="12.75">
      <c r="A2639" s="3" t="str">
        <f ca="1">IFERROR(__xludf.UNSUPPORTED("""COMPUTED_VALUE"""),"692071d7")</f>
        <v>692071d7</v>
      </c>
      <c r="B2639" s="4">
        <f ca="1">IFERROR(__xludf.UNSUPPORTED("""COMPUTED_VALUE"""),45083.488912037)</f>
        <v>45083.488912036999</v>
      </c>
      <c r="C2639" s="8" t="str">
        <f ca="1">IFERROR(__xludf.UNSUPPORTED("""COMPUTED_VALUE"""),"Suape")</f>
        <v>Suape</v>
      </c>
      <c r="D2639" s="3" t="str">
        <f ca="1">IFERROR(__xludf.UNSUPPORTED("""COMPUTED_VALUE"""),"🚢 REGULAR")</f>
        <v>🚢 REGULAR</v>
      </c>
      <c r="E2639" s="3" t="str">
        <f ca="1">IFERROR(__xludf.UNSUPPORTED("""COMPUTED_VALUE"""),"🚛 LIBERADO")</f>
        <v>🚛 LIBERADO</v>
      </c>
      <c r="F2639" s="5">
        <f ca="1">IFERROR(__xludf.UNSUPPORTED("""COMPUTED_VALUE"""),0)</f>
        <v>0</v>
      </c>
      <c r="G2639" s="3" t="str">
        <f ca="1">IFERROR(__xludf.UNSUPPORTED("""COMPUTED_VALUE"""),"Normalidade")</f>
        <v>Normalidade</v>
      </c>
      <c r="H2639" s="4">
        <f ca="1">IFERROR(__xludf.UNSUPPORTED("""COMPUTED_VALUE"""),45083.488912037)</f>
        <v>45083.488912036999</v>
      </c>
      <c r="I2639" s="3">
        <f ca="1">IFERROR(__xludf.UNSUPPORTED("""COMPUTED_VALUE"""),24)</f>
        <v>24</v>
      </c>
      <c r="J2639" s="4">
        <f ca="1">IFERROR(__xludf.UNSUPPORTED("""COMPUTED_VALUE"""),45084.488912037)</f>
        <v>45084.488912036999</v>
      </c>
      <c r="L2639" s="3" t="str">
        <f ca="1">IFERROR(__xludf.UNSUPPORTED("""COMPUTED_VALUE"""),"Normalidade")</f>
        <v>Normalidade</v>
      </c>
    </row>
    <row r="2640" spans="1:12" ht="12.75">
      <c r="A2640" s="3" t="str">
        <f ca="1">IFERROR(__xludf.UNSUPPORTED("""COMPUTED_VALUE"""),"d3b2e4b2")</f>
        <v>d3b2e4b2</v>
      </c>
      <c r="B2640" s="4">
        <f ca="1">IFERROR(__xludf.UNSUPPORTED("""COMPUTED_VALUE"""),45089.361875)</f>
        <v>45089.361875000002</v>
      </c>
      <c r="C2640" s="7" t="str">
        <f ca="1">IFERROR(__xludf.UNSUPPORTED("""COMPUTED_VALUE"""),"Suape")</f>
        <v>Suape</v>
      </c>
      <c r="D2640" s="3" t="str">
        <f ca="1">IFERROR(__xludf.UNSUPPORTED("""COMPUTED_VALUE"""),"🚢 REGULAR")</f>
        <v>🚢 REGULAR</v>
      </c>
      <c r="E2640" s="3" t="str">
        <f ca="1">IFERROR(__xludf.UNSUPPORTED("""COMPUTED_VALUE"""),"🚛 LIBERADO")</f>
        <v>🚛 LIBERADO</v>
      </c>
      <c r="F2640" s="5">
        <f ca="1">IFERROR(__xludf.UNSUPPORTED("""COMPUTED_VALUE"""),0)</f>
        <v>0</v>
      </c>
      <c r="G2640" s="3" t="str">
        <f ca="1">IFERROR(__xludf.UNSUPPORTED("""COMPUTED_VALUE"""),"Normalidade")</f>
        <v>Normalidade</v>
      </c>
      <c r="H2640" s="4">
        <f ca="1">IFERROR(__xludf.UNSUPPORTED("""COMPUTED_VALUE"""),45089.361875)</f>
        <v>45089.361875000002</v>
      </c>
      <c r="I2640" s="3">
        <f ca="1">IFERROR(__xludf.UNSUPPORTED("""COMPUTED_VALUE"""),24)</f>
        <v>24</v>
      </c>
      <c r="J2640" s="4">
        <f ca="1">IFERROR(__xludf.UNSUPPORTED("""COMPUTED_VALUE"""),45090.361875)</f>
        <v>45090.361875000002</v>
      </c>
      <c r="L2640" s="3" t="str">
        <f ca="1">IFERROR(__xludf.UNSUPPORTED("""COMPUTED_VALUE"""),"Normalidade")</f>
        <v>Normalidade</v>
      </c>
    </row>
    <row r="2641" spans="1:12" ht="12.75">
      <c r="A2641" s="3" t="str">
        <f ca="1">IFERROR(__xludf.UNSUPPORTED("""COMPUTED_VALUE"""),"3e77931f")</f>
        <v>3e77931f</v>
      </c>
      <c r="B2641" s="4">
        <f ca="1">IFERROR(__xludf.UNSUPPORTED("""COMPUTED_VALUE"""),45090.5790393518)</f>
        <v>45090.579039351796</v>
      </c>
      <c r="C2641" s="7" t="str">
        <f ca="1">IFERROR(__xludf.UNSUPPORTED("""COMPUTED_VALUE"""),"Suape")</f>
        <v>Suape</v>
      </c>
      <c r="D2641" s="3" t="str">
        <f ca="1">IFERROR(__xludf.UNSUPPORTED("""COMPUTED_VALUE"""),"🚢 REGULAR")</f>
        <v>🚢 REGULAR</v>
      </c>
      <c r="E2641" s="3" t="str">
        <f ca="1">IFERROR(__xludf.UNSUPPORTED("""COMPUTED_VALUE"""),"🚛 LIBERADO")</f>
        <v>🚛 LIBERADO</v>
      </c>
      <c r="F2641" s="5">
        <f ca="1">IFERROR(__xludf.UNSUPPORTED("""COMPUTED_VALUE"""),0)</f>
        <v>0</v>
      </c>
      <c r="G2641" s="3" t="str">
        <f ca="1">IFERROR(__xludf.UNSUPPORTED("""COMPUTED_VALUE"""),"Normalidade")</f>
        <v>Normalidade</v>
      </c>
      <c r="H2641" s="4">
        <f ca="1">IFERROR(__xludf.UNSUPPORTED("""COMPUTED_VALUE"""),45090.5790393518)</f>
        <v>45090.579039351796</v>
      </c>
      <c r="I2641" s="3">
        <f ca="1">IFERROR(__xludf.UNSUPPORTED("""COMPUTED_VALUE"""),24)</f>
        <v>24</v>
      </c>
      <c r="J2641" s="4">
        <f ca="1">IFERROR(__xludf.UNSUPPORTED("""COMPUTED_VALUE"""),45091.5790393518)</f>
        <v>45091.579039351796</v>
      </c>
      <c r="L2641" s="3" t="str">
        <f ca="1">IFERROR(__xludf.UNSUPPORTED("""COMPUTED_VALUE"""),"Normalidade")</f>
        <v>Normalidade</v>
      </c>
    </row>
    <row r="2642" spans="1:12" ht="12.75">
      <c r="A2642" s="3" t="str">
        <f ca="1">IFERROR(__xludf.UNSUPPORTED("""COMPUTED_VALUE"""),"9ff54850")</f>
        <v>9ff54850</v>
      </c>
      <c r="B2642" s="4">
        <f ca="1">IFERROR(__xludf.UNSUPPORTED("""COMPUTED_VALUE"""),45096.3718634259)</f>
        <v>45096.371863425898</v>
      </c>
      <c r="C2642" s="8" t="str">
        <f ca="1">IFERROR(__xludf.UNSUPPORTED("""COMPUTED_VALUE"""),"Suape")</f>
        <v>Suape</v>
      </c>
      <c r="D2642" s="3" t="str">
        <f ca="1">IFERROR(__xludf.UNSUPPORTED("""COMPUTED_VALUE"""),"🚢 REGULAR")</f>
        <v>🚢 REGULAR</v>
      </c>
      <c r="E2642" s="3" t="str">
        <f ca="1">IFERROR(__xludf.UNSUPPORTED("""COMPUTED_VALUE"""),"🚛 LIBERADO")</f>
        <v>🚛 LIBERADO</v>
      </c>
      <c r="F2642" s="5">
        <f ca="1">IFERROR(__xludf.UNSUPPORTED("""COMPUTED_VALUE"""),0)</f>
        <v>0</v>
      </c>
      <c r="G2642" s="3" t="str">
        <f ca="1">IFERROR(__xludf.UNSUPPORTED("""COMPUTED_VALUE"""),"Normalidade")</f>
        <v>Normalidade</v>
      </c>
      <c r="H2642" s="4">
        <f ca="1">IFERROR(__xludf.UNSUPPORTED("""COMPUTED_VALUE"""),45096.3718634259)</f>
        <v>45096.371863425898</v>
      </c>
      <c r="I2642" s="3">
        <f ca="1">IFERROR(__xludf.UNSUPPORTED("""COMPUTED_VALUE"""),24)</f>
        <v>24</v>
      </c>
      <c r="J2642" s="4">
        <f ca="1">IFERROR(__xludf.UNSUPPORTED("""COMPUTED_VALUE"""),45097.3718634259)</f>
        <v>45097.371863425898</v>
      </c>
      <c r="L2642" s="3" t="str">
        <f ca="1">IFERROR(__xludf.UNSUPPORTED("""COMPUTED_VALUE"""),"Normalidade")</f>
        <v>Normalidade</v>
      </c>
    </row>
    <row r="2643" spans="1:12" ht="12.75">
      <c r="A2643" s="3" t="str">
        <f ca="1">IFERROR(__xludf.UNSUPPORTED("""COMPUTED_VALUE"""),"e2b103b1")</f>
        <v>e2b103b1</v>
      </c>
      <c r="B2643" s="4">
        <f ca="1">IFERROR(__xludf.UNSUPPORTED("""COMPUTED_VALUE"""),45097.4640509259)</f>
        <v>45097.464050925897</v>
      </c>
      <c r="C2643" s="8" t="str">
        <f ca="1">IFERROR(__xludf.UNSUPPORTED("""COMPUTED_VALUE"""),"Suape")</f>
        <v>Suape</v>
      </c>
      <c r="D2643" s="3" t="str">
        <f ca="1">IFERROR(__xludf.UNSUPPORTED("""COMPUTED_VALUE"""),"🚢 REGULAR")</f>
        <v>🚢 REGULAR</v>
      </c>
      <c r="E2643" s="3" t="str">
        <f ca="1">IFERROR(__xludf.UNSUPPORTED("""COMPUTED_VALUE"""),"🚛 LIBERADO")</f>
        <v>🚛 LIBERADO</v>
      </c>
      <c r="F2643" s="5">
        <f ca="1">IFERROR(__xludf.UNSUPPORTED("""COMPUTED_VALUE"""),0)</f>
        <v>0</v>
      </c>
      <c r="G2643" s="3" t="str">
        <f ca="1">IFERROR(__xludf.UNSUPPORTED("""COMPUTED_VALUE"""),"Normalidade")</f>
        <v>Normalidade</v>
      </c>
      <c r="H2643" s="4">
        <f ca="1">IFERROR(__xludf.UNSUPPORTED("""COMPUTED_VALUE"""),45097.4640509259)</f>
        <v>45097.464050925897</v>
      </c>
      <c r="I2643" s="3">
        <f ca="1">IFERROR(__xludf.UNSUPPORTED("""COMPUTED_VALUE"""),24)</f>
        <v>24</v>
      </c>
      <c r="J2643" s="4">
        <f ca="1">IFERROR(__xludf.UNSUPPORTED("""COMPUTED_VALUE"""),45098.4640509259)</f>
        <v>45098.464050925897</v>
      </c>
      <c r="L2643" s="3" t="str">
        <f ca="1">IFERROR(__xludf.UNSUPPORTED("""COMPUTED_VALUE"""),"Normalidade")</f>
        <v>Normalidade</v>
      </c>
    </row>
    <row r="2644" spans="1:12" ht="12.75">
      <c r="A2644" s="3" t="str">
        <f ca="1">IFERROR(__xludf.UNSUPPORTED("""COMPUTED_VALUE"""),"7756b142")</f>
        <v>7756b142</v>
      </c>
      <c r="B2644" s="4">
        <f ca="1">IFERROR(__xludf.UNSUPPORTED("""COMPUTED_VALUE"""),45098.4449884259)</f>
        <v>45098.444988425901</v>
      </c>
      <c r="C2644" s="8" t="str">
        <f ca="1">IFERROR(__xludf.UNSUPPORTED("""COMPUTED_VALUE"""),"Suape")</f>
        <v>Suape</v>
      </c>
      <c r="D2644" s="3" t="str">
        <f ca="1">IFERROR(__xludf.UNSUPPORTED("""COMPUTED_VALUE"""),"🚢 REGULAR")</f>
        <v>🚢 REGULAR</v>
      </c>
      <c r="E2644" s="3" t="str">
        <f ca="1">IFERROR(__xludf.UNSUPPORTED("""COMPUTED_VALUE"""),"🚛 LIBERADO")</f>
        <v>🚛 LIBERADO</v>
      </c>
      <c r="F2644" s="5">
        <f ca="1">IFERROR(__xludf.UNSUPPORTED("""COMPUTED_VALUE"""),0)</f>
        <v>0</v>
      </c>
      <c r="G2644" s="3" t="str">
        <f ca="1">IFERROR(__xludf.UNSUPPORTED("""COMPUTED_VALUE"""),"Normalidade")</f>
        <v>Normalidade</v>
      </c>
      <c r="H2644" s="4">
        <f ca="1">IFERROR(__xludf.UNSUPPORTED("""COMPUTED_VALUE"""),45098.4449884259)</f>
        <v>45098.444988425901</v>
      </c>
      <c r="I2644" s="3">
        <f ca="1">IFERROR(__xludf.UNSUPPORTED("""COMPUTED_VALUE"""),24)</f>
        <v>24</v>
      </c>
      <c r="J2644" s="4">
        <f ca="1">IFERROR(__xludf.UNSUPPORTED("""COMPUTED_VALUE"""),45099.4449884259)</f>
        <v>45099.444988425901</v>
      </c>
      <c r="L2644" s="3" t="str">
        <f ca="1">IFERROR(__xludf.UNSUPPORTED("""COMPUTED_VALUE"""),"Normalidade")</f>
        <v>Normalidade</v>
      </c>
    </row>
    <row r="2645" spans="1:12" ht="12.75">
      <c r="A2645" s="3" t="str">
        <f ca="1">IFERROR(__xludf.UNSUPPORTED("""COMPUTED_VALUE"""),"9a281810")</f>
        <v>9a281810</v>
      </c>
      <c r="B2645" s="4">
        <f ca="1">IFERROR(__xludf.UNSUPPORTED("""COMPUTED_VALUE"""),45103.4189351851)</f>
        <v>45103.418935185102</v>
      </c>
      <c r="C2645" s="8" t="str">
        <f ca="1">IFERROR(__xludf.UNSUPPORTED("""COMPUTED_VALUE"""),"Suape")</f>
        <v>Suape</v>
      </c>
      <c r="D2645" s="3" t="str">
        <f ca="1">IFERROR(__xludf.UNSUPPORTED("""COMPUTED_VALUE"""),"🚢 REGULAR")</f>
        <v>🚢 REGULAR</v>
      </c>
      <c r="E2645" s="3" t="str">
        <f ca="1">IFERROR(__xludf.UNSUPPORTED("""COMPUTED_VALUE"""),"🚛 LIBERADO")</f>
        <v>🚛 LIBERADO</v>
      </c>
      <c r="F2645" s="5">
        <f ca="1">IFERROR(__xludf.UNSUPPORTED("""COMPUTED_VALUE"""),0)</f>
        <v>0</v>
      </c>
      <c r="G2645" s="3" t="str">
        <f ca="1">IFERROR(__xludf.UNSUPPORTED("""COMPUTED_VALUE"""),"Normalidade")</f>
        <v>Normalidade</v>
      </c>
      <c r="H2645" s="4">
        <f ca="1">IFERROR(__xludf.UNSUPPORTED("""COMPUTED_VALUE"""),45103.4189351851)</f>
        <v>45103.418935185102</v>
      </c>
      <c r="I2645" s="3">
        <f ca="1">IFERROR(__xludf.UNSUPPORTED("""COMPUTED_VALUE"""),24)</f>
        <v>24</v>
      </c>
      <c r="J2645" s="4">
        <f ca="1">IFERROR(__xludf.UNSUPPORTED("""COMPUTED_VALUE"""),45104.4189351851)</f>
        <v>45104.418935185102</v>
      </c>
      <c r="L2645" s="3" t="str">
        <f ca="1">IFERROR(__xludf.UNSUPPORTED("""COMPUTED_VALUE"""),"Normalidade")</f>
        <v>Normalidade</v>
      </c>
    </row>
    <row r="2646" spans="1:12" ht="12.75">
      <c r="A2646" s="3" t="str">
        <f ca="1">IFERROR(__xludf.UNSUPPORTED("""COMPUTED_VALUE"""),"d6ff4ca9")</f>
        <v>d6ff4ca9</v>
      </c>
      <c r="B2646" s="4">
        <f ca="1">IFERROR(__xludf.UNSUPPORTED("""COMPUTED_VALUE"""),45104.4120833333)</f>
        <v>45104.4120833333</v>
      </c>
      <c r="C2646" s="7" t="str">
        <f ca="1">IFERROR(__xludf.UNSUPPORTED("""COMPUTED_VALUE"""),"Suape")</f>
        <v>Suape</v>
      </c>
      <c r="D2646" s="3" t="str">
        <f ca="1">IFERROR(__xludf.UNSUPPORTED("""COMPUTED_VALUE"""),"🚢 REGULAR")</f>
        <v>🚢 REGULAR</v>
      </c>
      <c r="E2646" s="3" t="str">
        <f ca="1">IFERROR(__xludf.UNSUPPORTED("""COMPUTED_VALUE"""),"🚛 LIBERADO")</f>
        <v>🚛 LIBERADO</v>
      </c>
      <c r="F2646" s="5">
        <f ca="1">IFERROR(__xludf.UNSUPPORTED("""COMPUTED_VALUE"""),0)</f>
        <v>0</v>
      </c>
      <c r="G2646" s="3" t="str">
        <f ca="1">IFERROR(__xludf.UNSUPPORTED("""COMPUTED_VALUE"""),"Normalidade")</f>
        <v>Normalidade</v>
      </c>
      <c r="H2646" s="4">
        <f ca="1">IFERROR(__xludf.UNSUPPORTED("""COMPUTED_VALUE"""),45104.4120833333)</f>
        <v>45104.4120833333</v>
      </c>
      <c r="I2646" s="3">
        <f ca="1">IFERROR(__xludf.UNSUPPORTED("""COMPUTED_VALUE"""),24)</f>
        <v>24</v>
      </c>
      <c r="J2646" s="4">
        <f ca="1">IFERROR(__xludf.UNSUPPORTED("""COMPUTED_VALUE"""),45105.4120833333)</f>
        <v>45105.4120833333</v>
      </c>
      <c r="L2646" s="3" t="str">
        <f ca="1">IFERROR(__xludf.UNSUPPORTED("""COMPUTED_VALUE"""),"Normalidade")</f>
        <v>Normalidade</v>
      </c>
    </row>
    <row r="2647" spans="1:12" ht="12.75">
      <c r="A2647" s="3" t="str">
        <f ca="1">IFERROR(__xludf.UNSUPPORTED("""COMPUTED_VALUE"""),"afc4e44e")</f>
        <v>afc4e44e</v>
      </c>
      <c r="B2647" s="4">
        <f ca="1">IFERROR(__xludf.UNSUPPORTED("""COMPUTED_VALUE"""),45110.4162962962)</f>
        <v>45110.4162962962</v>
      </c>
      <c r="C2647" s="7" t="str">
        <f ca="1">IFERROR(__xludf.UNSUPPORTED("""COMPUTED_VALUE"""),"Suape")</f>
        <v>Suape</v>
      </c>
      <c r="D2647" s="3" t="str">
        <f ca="1">IFERROR(__xludf.UNSUPPORTED("""COMPUTED_VALUE"""),"🚢 REGULAR")</f>
        <v>🚢 REGULAR</v>
      </c>
      <c r="E2647" s="3" t="str">
        <f ca="1">IFERROR(__xludf.UNSUPPORTED("""COMPUTED_VALUE"""),"🚛 LIBERADO")</f>
        <v>🚛 LIBERADO</v>
      </c>
      <c r="F2647" s="5">
        <f ca="1">IFERROR(__xludf.UNSUPPORTED("""COMPUTED_VALUE"""),0)</f>
        <v>0</v>
      </c>
      <c r="G2647" s="3" t="str">
        <f ca="1">IFERROR(__xludf.UNSUPPORTED("""COMPUTED_VALUE"""),"Normalidade")</f>
        <v>Normalidade</v>
      </c>
      <c r="H2647" s="4">
        <f ca="1">IFERROR(__xludf.UNSUPPORTED("""COMPUTED_VALUE"""),45110.4162962962)</f>
        <v>45110.4162962962</v>
      </c>
      <c r="I2647" s="3">
        <f ca="1">IFERROR(__xludf.UNSUPPORTED("""COMPUTED_VALUE"""),24)</f>
        <v>24</v>
      </c>
      <c r="J2647" s="4">
        <f ca="1">IFERROR(__xludf.UNSUPPORTED("""COMPUTED_VALUE"""),45111.4162962962)</f>
        <v>45111.4162962962</v>
      </c>
      <c r="L2647" s="3" t="str">
        <f ca="1">IFERROR(__xludf.UNSUPPORTED("""COMPUTED_VALUE"""),"Normalidade")</f>
        <v>Normalidade</v>
      </c>
    </row>
    <row r="2648" spans="1:12" ht="12.75">
      <c r="A2648" s="3" t="str">
        <f ca="1">IFERROR(__xludf.UNSUPPORTED("""COMPUTED_VALUE"""),"81845d38")</f>
        <v>81845d38</v>
      </c>
      <c r="B2648" s="4">
        <f ca="1">IFERROR(__xludf.UNSUPPORTED("""COMPUTED_VALUE"""),45111.4651504629)</f>
        <v>45111.4651504629</v>
      </c>
      <c r="C2648" s="7" t="str">
        <f ca="1">IFERROR(__xludf.UNSUPPORTED("""COMPUTED_VALUE"""),"Suape")</f>
        <v>Suape</v>
      </c>
      <c r="D2648" s="3" t="str">
        <f ca="1">IFERROR(__xludf.UNSUPPORTED("""COMPUTED_VALUE"""),"🚢 REGULAR")</f>
        <v>🚢 REGULAR</v>
      </c>
      <c r="E2648" s="3" t="str">
        <f ca="1">IFERROR(__xludf.UNSUPPORTED("""COMPUTED_VALUE"""),"🚛 LIBERADO")</f>
        <v>🚛 LIBERADO</v>
      </c>
      <c r="F2648" s="5">
        <f ca="1">IFERROR(__xludf.UNSUPPORTED("""COMPUTED_VALUE"""),0)</f>
        <v>0</v>
      </c>
      <c r="G2648" s="3" t="str">
        <f ca="1">IFERROR(__xludf.UNSUPPORTED("""COMPUTED_VALUE"""),"Normalidade")</f>
        <v>Normalidade</v>
      </c>
      <c r="H2648" s="4">
        <f ca="1">IFERROR(__xludf.UNSUPPORTED("""COMPUTED_VALUE"""),45111.4651504629)</f>
        <v>45111.4651504629</v>
      </c>
      <c r="I2648" s="3">
        <f ca="1">IFERROR(__xludf.UNSUPPORTED("""COMPUTED_VALUE"""),24)</f>
        <v>24</v>
      </c>
      <c r="J2648" s="4">
        <f ca="1">IFERROR(__xludf.UNSUPPORTED("""COMPUTED_VALUE"""),45112.4651504629)</f>
        <v>45112.4651504629</v>
      </c>
      <c r="L2648" s="3" t="str">
        <f ca="1">IFERROR(__xludf.UNSUPPORTED("""COMPUTED_VALUE"""),"Normalidade")</f>
        <v>Normalidade</v>
      </c>
    </row>
    <row r="2649" spans="1:12" ht="12.75">
      <c r="A2649" s="3" t="str">
        <f ca="1">IFERROR(__xludf.UNSUPPORTED("""COMPUTED_VALUE"""),"648ec403")</f>
        <v>648ec403</v>
      </c>
      <c r="B2649" s="4">
        <f ca="1">IFERROR(__xludf.UNSUPPORTED("""COMPUTED_VALUE"""),45112.357199074)</f>
        <v>45112.357199074002</v>
      </c>
      <c r="C2649" s="7" t="str">
        <f ca="1">IFERROR(__xludf.UNSUPPORTED("""COMPUTED_VALUE"""),"Suape")</f>
        <v>Suape</v>
      </c>
      <c r="D2649" s="3" t="str">
        <f ca="1">IFERROR(__xludf.UNSUPPORTED("""COMPUTED_VALUE"""),"🚢 REGULAR")</f>
        <v>🚢 REGULAR</v>
      </c>
      <c r="E2649" s="3" t="str">
        <f ca="1">IFERROR(__xludf.UNSUPPORTED("""COMPUTED_VALUE"""),"🚛 LIBERADO")</f>
        <v>🚛 LIBERADO</v>
      </c>
      <c r="F2649" s="5">
        <f ca="1">IFERROR(__xludf.UNSUPPORTED("""COMPUTED_VALUE"""),0)</f>
        <v>0</v>
      </c>
      <c r="G2649" s="3" t="str">
        <f ca="1">IFERROR(__xludf.UNSUPPORTED("""COMPUTED_VALUE"""),"Normalidade")</f>
        <v>Normalidade</v>
      </c>
      <c r="H2649" s="4">
        <f ca="1">IFERROR(__xludf.UNSUPPORTED("""COMPUTED_VALUE"""),45112.357199074)</f>
        <v>45112.357199074002</v>
      </c>
      <c r="I2649" s="3">
        <f ca="1">IFERROR(__xludf.UNSUPPORTED("""COMPUTED_VALUE"""),24)</f>
        <v>24</v>
      </c>
      <c r="J2649" s="4">
        <f ca="1">IFERROR(__xludf.UNSUPPORTED("""COMPUTED_VALUE"""),45113.357199074)</f>
        <v>45113.357199074002</v>
      </c>
      <c r="L2649" s="3" t="str">
        <f ca="1">IFERROR(__xludf.UNSUPPORTED("""COMPUTED_VALUE"""),"Normalidade")</f>
        <v>Normalidade</v>
      </c>
    </row>
    <row r="2650" spans="1:12" ht="12.75">
      <c r="A2650" s="3" t="str">
        <f ca="1">IFERROR(__xludf.UNSUPPORTED("""COMPUTED_VALUE"""),"69e18a85")</f>
        <v>69e18a85</v>
      </c>
      <c r="B2650" s="4">
        <f ca="1">IFERROR(__xludf.UNSUPPORTED("""COMPUTED_VALUE"""),45117.4813657407)</f>
        <v>45117.481365740699</v>
      </c>
      <c r="C2650" s="8" t="str">
        <f ca="1">IFERROR(__xludf.UNSUPPORTED("""COMPUTED_VALUE"""),"Suape")</f>
        <v>Suape</v>
      </c>
      <c r="D2650" s="3" t="str">
        <f ca="1">IFERROR(__xludf.UNSUPPORTED("""COMPUTED_VALUE"""),"🚢 REGULAR")</f>
        <v>🚢 REGULAR</v>
      </c>
      <c r="E2650" s="3" t="str">
        <f ca="1">IFERROR(__xludf.UNSUPPORTED("""COMPUTED_VALUE"""),"🚛 LIBERADO")</f>
        <v>🚛 LIBERADO</v>
      </c>
      <c r="F2650" s="5">
        <f ca="1">IFERROR(__xludf.UNSUPPORTED("""COMPUTED_VALUE"""),0)</f>
        <v>0</v>
      </c>
      <c r="G2650" s="3" t="str">
        <f ca="1">IFERROR(__xludf.UNSUPPORTED("""COMPUTED_VALUE"""),"Normalidade")</f>
        <v>Normalidade</v>
      </c>
      <c r="H2650" s="4">
        <f ca="1">IFERROR(__xludf.UNSUPPORTED("""COMPUTED_VALUE"""),45117.4813657407)</f>
        <v>45117.481365740699</v>
      </c>
      <c r="I2650" s="3">
        <f ca="1">IFERROR(__xludf.UNSUPPORTED("""COMPUTED_VALUE"""),24)</f>
        <v>24</v>
      </c>
      <c r="J2650" s="4">
        <f ca="1">IFERROR(__xludf.UNSUPPORTED("""COMPUTED_VALUE"""),45118.4813657407)</f>
        <v>45118.481365740699</v>
      </c>
      <c r="L2650" s="3" t="str">
        <f ca="1">IFERROR(__xludf.UNSUPPORTED("""COMPUTED_VALUE"""),"Normalidade")</f>
        <v>Normalidade</v>
      </c>
    </row>
    <row r="2651" spans="1:12" ht="12.75">
      <c r="A2651" s="3" t="str">
        <f ca="1">IFERROR(__xludf.UNSUPPORTED("""COMPUTED_VALUE"""),"e26d901a")</f>
        <v>e26d901a</v>
      </c>
      <c r="B2651" s="4">
        <f ca="1">IFERROR(__xludf.UNSUPPORTED("""COMPUTED_VALUE"""),45118.4826273148)</f>
        <v>45118.482627314799</v>
      </c>
      <c r="C2651" s="8" t="str">
        <f ca="1">IFERROR(__xludf.UNSUPPORTED("""COMPUTED_VALUE"""),"Suape")</f>
        <v>Suape</v>
      </c>
      <c r="D2651" s="3" t="str">
        <f ca="1">IFERROR(__xludf.UNSUPPORTED("""COMPUTED_VALUE"""),"🚢 REGULAR")</f>
        <v>🚢 REGULAR</v>
      </c>
      <c r="E2651" s="3" t="str">
        <f ca="1">IFERROR(__xludf.UNSUPPORTED("""COMPUTED_VALUE"""),"🚛 LIBERADO")</f>
        <v>🚛 LIBERADO</v>
      </c>
      <c r="F2651" s="5">
        <f ca="1">IFERROR(__xludf.UNSUPPORTED("""COMPUTED_VALUE"""),0)</f>
        <v>0</v>
      </c>
      <c r="G2651" s="3" t="str">
        <f ca="1">IFERROR(__xludf.UNSUPPORTED("""COMPUTED_VALUE"""),"Normalidade")</f>
        <v>Normalidade</v>
      </c>
      <c r="H2651" s="4">
        <f ca="1">IFERROR(__xludf.UNSUPPORTED("""COMPUTED_VALUE"""),45118.4826273148)</f>
        <v>45118.482627314799</v>
      </c>
      <c r="I2651" s="3">
        <f ca="1">IFERROR(__xludf.UNSUPPORTED("""COMPUTED_VALUE"""),24)</f>
        <v>24</v>
      </c>
      <c r="J2651" s="4">
        <f ca="1">IFERROR(__xludf.UNSUPPORTED("""COMPUTED_VALUE"""),45119.4826273148)</f>
        <v>45119.482627314799</v>
      </c>
      <c r="L2651" s="3" t="str">
        <f ca="1">IFERROR(__xludf.UNSUPPORTED("""COMPUTED_VALUE"""),"Normalidade")</f>
        <v>Normalidade</v>
      </c>
    </row>
    <row r="2652" spans="1:12" ht="12.75">
      <c r="A2652" s="3" t="str">
        <f ca="1">IFERROR(__xludf.UNSUPPORTED("""COMPUTED_VALUE"""),"a0f4eafb")</f>
        <v>a0f4eafb</v>
      </c>
      <c r="B2652" s="4">
        <f ca="1">IFERROR(__xludf.UNSUPPORTED("""COMPUTED_VALUE"""),45120.4348263888)</f>
        <v>45120.434826388802</v>
      </c>
      <c r="C2652" s="7" t="str">
        <f ca="1">IFERROR(__xludf.UNSUPPORTED("""COMPUTED_VALUE"""),"Suape")</f>
        <v>Suape</v>
      </c>
      <c r="D2652" s="3" t="str">
        <f ca="1">IFERROR(__xludf.UNSUPPORTED("""COMPUTED_VALUE"""),"🚢 REGULAR")</f>
        <v>🚢 REGULAR</v>
      </c>
      <c r="E2652" s="3" t="str">
        <f ca="1">IFERROR(__xludf.UNSUPPORTED("""COMPUTED_VALUE"""),"🚛 LIBERADO")</f>
        <v>🚛 LIBERADO</v>
      </c>
      <c r="F2652" s="5">
        <f ca="1">IFERROR(__xludf.UNSUPPORTED("""COMPUTED_VALUE"""),0)</f>
        <v>0</v>
      </c>
      <c r="G2652" s="3" t="str">
        <f ca="1">IFERROR(__xludf.UNSUPPORTED("""COMPUTED_VALUE"""),"Normalidade")</f>
        <v>Normalidade</v>
      </c>
      <c r="H2652" s="4">
        <f ca="1">IFERROR(__xludf.UNSUPPORTED("""COMPUTED_VALUE"""),45120.4348263888)</f>
        <v>45120.434826388802</v>
      </c>
      <c r="I2652" s="3">
        <f ca="1">IFERROR(__xludf.UNSUPPORTED("""COMPUTED_VALUE"""),24)</f>
        <v>24</v>
      </c>
      <c r="J2652" s="4">
        <f ca="1">IFERROR(__xludf.UNSUPPORTED("""COMPUTED_VALUE"""),45121.4348263888)</f>
        <v>45121.434826388802</v>
      </c>
      <c r="L2652" s="3" t="str">
        <f ca="1">IFERROR(__xludf.UNSUPPORTED("""COMPUTED_VALUE"""),"Normalidade")</f>
        <v>Normalidade</v>
      </c>
    </row>
    <row r="2653" spans="1:12" ht="12.75">
      <c r="A2653" s="3" t="str">
        <f ca="1">IFERROR(__xludf.UNSUPPORTED("""COMPUTED_VALUE"""),"ec9062f2")</f>
        <v>ec9062f2</v>
      </c>
      <c r="B2653" s="4">
        <f ca="1">IFERROR(__xludf.UNSUPPORTED("""COMPUTED_VALUE"""),45124.455787037)</f>
        <v>45124.455787036997</v>
      </c>
      <c r="C2653" s="7" t="str">
        <f ca="1">IFERROR(__xludf.UNSUPPORTED("""COMPUTED_VALUE"""),"Suape")</f>
        <v>Suape</v>
      </c>
      <c r="D2653" s="3" t="str">
        <f ca="1">IFERROR(__xludf.UNSUPPORTED("""COMPUTED_VALUE"""),"🚢 REGULAR")</f>
        <v>🚢 REGULAR</v>
      </c>
      <c r="E2653" s="3" t="str">
        <f ca="1">IFERROR(__xludf.UNSUPPORTED("""COMPUTED_VALUE"""),"🚛 LIBERADO")</f>
        <v>🚛 LIBERADO</v>
      </c>
      <c r="F2653" s="5">
        <f ca="1">IFERROR(__xludf.UNSUPPORTED("""COMPUTED_VALUE"""),0)</f>
        <v>0</v>
      </c>
      <c r="G2653" s="3" t="str">
        <f ca="1">IFERROR(__xludf.UNSUPPORTED("""COMPUTED_VALUE"""),"Normalidade")</f>
        <v>Normalidade</v>
      </c>
      <c r="H2653" s="4">
        <f ca="1">IFERROR(__xludf.UNSUPPORTED("""COMPUTED_VALUE"""),45124.455787037)</f>
        <v>45124.455787036997</v>
      </c>
      <c r="I2653" s="3">
        <f ca="1">IFERROR(__xludf.UNSUPPORTED("""COMPUTED_VALUE"""),24)</f>
        <v>24</v>
      </c>
      <c r="J2653" s="4">
        <f ca="1">IFERROR(__xludf.UNSUPPORTED("""COMPUTED_VALUE"""),45125.455787037)</f>
        <v>45125.455787036997</v>
      </c>
      <c r="L2653" s="3" t="str">
        <f ca="1">IFERROR(__xludf.UNSUPPORTED("""COMPUTED_VALUE"""),"Normalidade")</f>
        <v>Normalidade</v>
      </c>
    </row>
    <row r="2654" spans="1:12" ht="12.75">
      <c r="A2654" s="3" t="str">
        <f ca="1">IFERROR(__xludf.UNSUPPORTED("""COMPUTED_VALUE"""),"d69fcaf6")</f>
        <v>d69fcaf6</v>
      </c>
      <c r="B2654" s="4">
        <f ca="1">IFERROR(__xludf.UNSUPPORTED("""COMPUTED_VALUE"""),45125.3452777777)</f>
        <v>45125.345277777698</v>
      </c>
      <c r="C2654" s="8" t="str">
        <f ca="1">IFERROR(__xludf.UNSUPPORTED("""COMPUTED_VALUE"""),"Suape")</f>
        <v>Suape</v>
      </c>
      <c r="D2654" s="3" t="str">
        <f ca="1">IFERROR(__xludf.UNSUPPORTED("""COMPUTED_VALUE"""),"🚢 REGULAR")</f>
        <v>🚢 REGULAR</v>
      </c>
      <c r="E2654" s="3" t="str">
        <f ca="1">IFERROR(__xludf.UNSUPPORTED("""COMPUTED_VALUE"""),"🚛 LIBERADO")</f>
        <v>🚛 LIBERADO</v>
      </c>
      <c r="F2654" s="5">
        <f ca="1">IFERROR(__xludf.UNSUPPORTED("""COMPUTED_VALUE"""),0)</f>
        <v>0</v>
      </c>
      <c r="G2654" s="3" t="str">
        <f ca="1">IFERROR(__xludf.UNSUPPORTED("""COMPUTED_VALUE"""),"Normalidade")</f>
        <v>Normalidade</v>
      </c>
      <c r="H2654" s="4">
        <f ca="1">IFERROR(__xludf.UNSUPPORTED("""COMPUTED_VALUE"""),45125.3452777777)</f>
        <v>45125.345277777698</v>
      </c>
      <c r="I2654" s="3">
        <f ca="1">IFERROR(__xludf.UNSUPPORTED("""COMPUTED_VALUE"""),24)</f>
        <v>24</v>
      </c>
      <c r="J2654" s="4">
        <f ca="1">IFERROR(__xludf.UNSUPPORTED("""COMPUTED_VALUE"""),45126.3452777777)</f>
        <v>45126.345277777698</v>
      </c>
      <c r="L2654" s="3" t="str">
        <f ca="1">IFERROR(__xludf.UNSUPPORTED("""COMPUTED_VALUE"""),"Normalidade")</f>
        <v>Normalidade</v>
      </c>
    </row>
    <row r="2655" spans="1:12" ht="12.75">
      <c r="A2655" s="3" t="str">
        <f ca="1">IFERROR(__xludf.UNSUPPORTED("""COMPUTED_VALUE"""),"d9e8ab98")</f>
        <v>d9e8ab98</v>
      </c>
      <c r="B2655" s="4">
        <f ca="1">IFERROR(__xludf.UNSUPPORTED("""COMPUTED_VALUE"""),45145.3658449074)</f>
        <v>45145.365844907399</v>
      </c>
      <c r="C2655" s="8" t="str">
        <f ca="1">IFERROR(__xludf.UNSUPPORTED("""COMPUTED_VALUE"""),"Suape")</f>
        <v>Suape</v>
      </c>
      <c r="D2655" s="3" t="str">
        <f ca="1">IFERROR(__xludf.UNSUPPORTED("""COMPUTED_VALUE"""),"🚢 REGULAR")</f>
        <v>🚢 REGULAR</v>
      </c>
      <c r="E2655" s="3" t="str">
        <f ca="1">IFERROR(__xludf.UNSUPPORTED("""COMPUTED_VALUE"""),"🚛 LIBERADO")</f>
        <v>🚛 LIBERADO</v>
      </c>
      <c r="F2655" s="5">
        <f ca="1">IFERROR(__xludf.UNSUPPORTED("""COMPUTED_VALUE"""),0)</f>
        <v>0</v>
      </c>
      <c r="G2655" s="3" t="str">
        <f ca="1">IFERROR(__xludf.UNSUPPORTED("""COMPUTED_VALUE"""),"Normalidade")</f>
        <v>Normalidade</v>
      </c>
      <c r="H2655" s="4">
        <f ca="1">IFERROR(__xludf.UNSUPPORTED("""COMPUTED_VALUE"""),45145.3658449074)</f>
        <v>45145.365844907399</v>
      </c>
      <c r="I2655" s="3">
        <f ca="1">IFERROR(__xludf.UNSUPPORTED("""COMPUTED_VALUE"""),24)</f>
        <v>24</v>
      </c>
      <c r="J2655" s="4">
        <f ca="1">IFERROR(__xludf.UNSUPPORTED("""COMPUTED_VALUE"""),45146.3658449074)</f>
        <v>45146.365844907399</v>
      </c>
      <c r="L2655" s="3" t="str">
        <f ca="1">IFERROR(__xludf.UNSUPPORTED("""COMPUTED_VALUE"""),"Normalidade")</f>
        <v>Normalidade</v>
      </c>
    </row>
    <row r="2656" spans="1:12" ht="12.75">
      <c r="A2656" s="3" t="str">
        <f ca="1">IFERROR(__xludf.UNSUPPORTED("""COMPUTED_VALUE"""),"045d24ac")</f>
        <v>045d24ac</v>
      </c>
      <c r="B2656" s="4">
        <f ca="1">IFERROR(__xludf.UNSUPPORTED("""COMPUTED_VALUE"""),45146.5063773148)</f>
        <v>45146.506377314799</v>
      </c>
      <c r="C2656" s="8" t="str">
        <f ca="1">IFERROR(__xludf.UNSUPPORTED("""COMPUTED_VALUE"""),"Suape")</f>
        <v>Suape</v>
      </c>
      <c r="D2656" s="3" t="str">
        <f ca="1">IFERROR(__xludf.UNSUPPORTED("""COMPUTED_VALUE"""),"🚢 REGULAR")</f>
        <v>🚢 REGULAR</v>
      </c>
      <c r="E2656" s="3" t="str">
        <f ca="1">IFERROR(__xludf.UNSUPPORTED("""COMPUTED_VALUE"""),"🚛 LIBERADO")</f>
        <v>🚛 LIBERADO</v>
      </c>
      <c r="F2656" s="5">
        <f ca="1">IFERROR(__xludf.UNSUPPORTED("""COMPUTED_VALUE"""),0)</f>
        <v>0</v>
      </c>
      <c r="G2656" s="3" t="str">
        <f ca="1">IFERROR(__xludf.UNSUPPORTED("""COMPUTED_VALUE"""),"Normalidade")</f>
        <v>Normalidade</v>
      </c>
      <c r="H2656" s="4">
        <f ca="1">IFERROR(__xludf.UNSUPPORTED("""COMPUTED_VALUE"""),45146.5063773148)</f>
        <v>45146.506377314799</v>
      </c>
      <c r="I2656" s="3">
        <f ca="1">IFERROR(__xludf.UNSUPPORTED("""COMPUTED_VALUE"""),24)</f>
        <v>24</v>
      </c>
      <c r="J2656" s="4">
        <f ca="1">IFERROR(__xludf.UNSUPPORTED("""COMPUTED_VALUE"""),45147.5063773148)</f>
        <v>45147.506377314799</v>
      </c>
      <c r="L2656" s="3" t="str">
        <f ca="1">IFERROR(__xludf.UNSUPPORTED("""COMPUTED_VALUE"""),"Normalidade")</f>
        <v>Normalidade</v>
      </c>
    </row>
    <row r="2657" spans="1:12" ht="12.75">
      <c r="A2657" s="3" t="str">
        <f ca="1">IFERROR(__xludf.UNSUPPORTED("""COMPUTED_VALUE"""),"e1c730d4")</f>
        <v>e1c730d4</v>
      </c>
      <c r="B2657" s="4">
        <f ca="1">IFERROR(__xludf.UNSUPPORTED("""COMPUTED_VALUE"""),45147.3431944444)</f>
        <v>45147.343194444402</v>
      </c>
      <c r="C2657" s="7" t="str">
        <f ca="1">IFERROR(__xludf.UNSUPPORTED("""COMPUTED_VALUE"""),"Suape")</f>
        <v>Suape</v>
      </c>
      <c r="D2657" s="3" t="str">
        <f ca="1">IFERROR(__xludf.UNSUPPORTED("""COMPUTED_VALUE"""),"🚢 REGULAR")</f>
        <v>🚢 REGULAR</v>
      </c>
      <c r="E2657" s="3" t="str">
        <f ca="1">IFERROR(__xludf.UNSUPPORTED("""COMPUTED_VALUE"""),"🚛 LIBERADO")</f>
        <v>🚛 LIBERADO</v>
      </c>
      <c r="F2657" s="5">
        <f ca="1">IFERROR(__xludf.UNSUPPORTED("""COMPUTED_VALUE"""),0)</f>
        <v>0</v>
      </c>
      <c r="G2657" s="3" t="str">
        <f ca="1">IFERROR(__xludf.UNSUPPORTED("""COMPUTED_VALUE"""),"Normalidade")</f>
        <v>Normalidade</v>
      </c>
      <c r="H2657" s="4">
        <f ca="1">IFERROR(__xludf.UNSUPPORTED("""COMPUTED_VALUE"""),45147.3431944444)</f>
        <v>45147.343194444402</v>
      </c>
      <c r="I2657" s="3">
        <f ca="1">IFERROR(__xludf.UNSUPPORTED("""COMPUTED_VALUE"""),24)</f>
        <v>24</v>
      </c>
      <c r="J2657" s="4">
        <f ca="1">IFERROR(__xludf.UNSUPPORTED("""COMPUTED_VALUE"""),45148.3431944444)</f>
        <v>45148.343194444402</v>
      </c>
      <c r="L2657" s="3" t="str">
        <f ca="1">IFERROR(__xludf.UNSUPPORTED("""COMPUTED_VALUE"""),"Normalidade")</f>
        <v>Normalidade</v>
      </c>
    </row>
    <row r="2658" spans="1:12" ht="12.75">
      <c r="A2658" s="3" t="str">
        <f ca="1">IFERROR(__xludf.UNSUPPORTED("""COMPUTED_VALUE"""),"bad378d3")</f>
        <v>bad378d3</v>
      </c>
      <c r="B2658" s="4">
        <f ca="1">IFERROR(__xludf.UNSUPPORTED("""COMPUTED_VALUE"""),45152.4910648148)</f>
        <v>45152.4910648148</v>
      </c>
      <c r="C2658" s="8" t="str">
        <f ca="1">IFERROR(__xludf.UNSUPPORTED("""COMPUTED_VALUE"""),"Suape")</f>
        <v>Suape</v>
      </c>
      <c r="D2658" s="3" t="str">
        <f ca="1">IFERROR(__xludf.UNSUPPORTED("""COMPUTED_VALUE"""),"🚢 REGULAR")</f>
        <v>🚢 REGULAR</v>
      </c>
      <c r="E2658" s="3" t="str">
        <f ca="1">IFERROR(__xludf.UNSUPPORTED("""COMPUTED_VALUE"""),"🚛 LIBERADO")</f>
        <v>🚛 LIBERADO</v>
      </c>
      <c r="F2658" s="5">
        <f ca="1">IFERROR(__xludf.UNSUPPORTED("""COMPUTED_VALUE"""),0)</f>
        <v>0</v>
      </c>
      <c r="G2658" s="3" t="str">
        <f ca="1">IFERROR(__xludf.UNSUPPORTED("""COMPUTED_VALUE"""),"Normalidade")</f>
        <v>Normalidade</v>
      </c>
      <c r="H2658" s="4">
        <f ca="1">IFERROR(__xludf.UNSUPPORTED("""COMPUTED_VALUE"""),45152.4910648148)</f>
        <v>45152.4910648148</v>
      </c>
      <c r="I2658" s="3">
        <f ca="1">IFERROR(__xludf.UNSUPPORTED("""COMPUTED_VALUE"""),24)</f>
        <v>24</v>
      </c>
      <c r="J2658" s="4">
        <f ca="1">IFERROR(__xludf.UNSUPPORTED("""COMPUTED_VALUE"""),45153.4910648148)</f>
        <v>45153.4910648148</v>
      </c>
      <c r="L2658" s="3" t="str">
        <f ca="1">IFERROR(__xludf.UNSUPPORTED("""COMPUTED_VALUE"""),"Normalidade")</f>
        <v>Normalidade</v>
      </c>
    </row>
    <row r="2659" spans="1:12" ht="12.75">
      <c r="A2659" s="3" t="str">
        <f ca="1">IFERROR(__xludf.UNSUPPORTED("""COMPUTED_VALUE"""),"b41d2a1c")</f>
        <v>b41d2a1c</v>
      </c>
      <c r="B2659" s="4">
        <f ca="1">IFERROR(__xludf.UNSUPPORTED("""COMPUTED_VALUE"""),45168.4112384259)</f>
        <v>45168.411238425899</v>
      </c>
      <c r="C2659" s="7" t="str">
        <f ca="1">IFERROR(__xludf.UNSUPPORTED("""COMPUTED_VALUE"""),"Suape")</f>
        <v>Suape</v>
      </c>
      <c r="D2659" s="3" t="str">
        <f ca="1">IFERROR(__xludf.UNSUPPORTED("""COMPUTED_VALUE"""),"🚢 REGULAR")</f>
        <v>🚢 REGULAR</v>
      </c>
      <c r="E2659" s="3" t="str">
        <f ca="1">IFERROR(__xludf.UNSUPPORTED("""COMPUTED_VALUE"""),"🚛 LIBERADO")</f>
        <v>🚛 LIBERADO</v>
      </c>
      <c r="F2659" s="5">
        <f ca="1">IFERROR(__xludf.UNSUPPORTED("""COMPUTED_VALUE"""),0)</f>
        <v>0</v>
      </c>
      <c r="G2659" s="3" t="str">
        <f ca="1">IFERROR(__xludf.UNSUPPORTED("""COMPUTED_VALUE"""),"Normalidade")</f>
        <v>Normalidade</v>
      </c>
      <c r="H2659" s="4">
        <f ca="1">IFERROR(__xludf.UNSUPPORTED("""COMPUTED_VALUE"""),45168.4112384259)</f>
        <v>45168.411238425899</v>
      </c>
      <c r="I2659" s="3">
        <f ca="1">IFERROR(__xludf.UNSUPPORTED("""COMPUTED_VALUE"""),24)</f>
        <v>24</v>
      </c>
      <c r="J2659" s="4">
        <f ca="1">IFERROR(__xludf.UNSUPPORTED("""COMPUTED_VALUE"""),45169.4112384259)</f>
        <v>45169.411238425899</v>
      </c>
      <c r="L2659" s="3" t="str">
        <f ca="1">IFERROR(__xludf.UNSUPPORTED("""COMPUTED_VALUE"""),"Normalidade")</f>
        <v>Normalidade</v>
      </c>
    </row>
    <row r="2660" spans="1:12" ht="12.75">
      <c r="A2660" s="3" t="str">
        <f ca="1">IFERROR(__xludf.UNSUPPORTED("""COMPUTED_VALUE"""),"d1d9b7ee")</f>
        <v>d1d9b7ee</v>
      </c>
      <c r="B2660" s="4">
        <f ca="1">IFERROR(__xludf.UNSUPPORTED("""COMPUTED_VALUE"""),45170.5010532407)</f>
        <v>45170.501053240703</v>
      </c>
      <c r="C2660" s="7" t="str">
        <f ca="1">IFERROR(__xludf.UNSUPPORTED("""COMPUTED_VALUE"""),"Suape")</f>
        <v>Suape</v>
      </c>
      <c r="D2660" s="3" t="str">
        <f ca="1">IFERROR(__xludf.UNSUPPORTED("""COMPUTED_VALUE"""),"🚢 REGULAR")</f>
        <v>🚢 REGULAR</v>
      </c>
      <c r="E2660" s="3" t="str">
        <f ca="1">IFERROR(__xludf.UNSUPPORTED("""COMPUTED_VALUE"""),"🚛 LIBERADO")</f>
        <v>🚛 LIBERADO</v>
      </c>
      <c r="F2660" s="5">
        <f ca="1">IFERROR(__xludf.UNSUPPORTED("""COMPUTED_VALUE"""),0)</f>
        <v>0</v>
      </c>
      <c r="G2660" s="3" t="str">
        <f ca="1">IFERROR(__xludf.UNSUPPORTED("""COMPUTED_VALUE"""),"Normalidade")</f>
        <v>Normalidade</v>
      </c>
      <c r="H2660" s="4">
        <f ca="1">IFERROR(__xludf.UNSUPPORTED("""COMPUTED_VALUE"""),45170.5010532407)</f>
        <v>45170.501053240703</v>
      </c>
      <c r="I2660" s="3">
        <f ca="1">IFERROR(__xludf.UNSUPPORTED("""COMPUTED_VALUE"""),24)</f>
        <v>24</v>
      </c>
      <c r="J2660" s="4">
        <f ca="1">IFERROR(__xludf.UNSUPPORTED("""COMPUTED_VALUE"""),45171.5010532407)</f>
        <v>45171.501053240703</v>
      </c>
      <c r="L2660" s="3" t="str">
        <f ca="1">IFERROR(__xludf.UNSUPPORTED("""COMPUTED_VALUE"""),"Normalidade")</f>
        <v>Normalidade</v>
      </c>
    </row>
    <row r="2661" spans="1:12" ht="12.75">
      <c r="A2661" s="3" t="str">
        <f ca="1">IFERROR(__xludf.UNSUPPORTED("""COMPUTED_VALUE"""),"0466db3b")</f>
        <v>0466db3b</v>
      </c>
      <c r="B2661" s="4">
        <f ca="1">IFERROR(__xludf.UNSUPPORTED("""COMPUTED_VALUE"""),45175.4682986111)</f>
        <v>45175.4682986111</v>
      </c>
      <c r="C2661" s="7" t="str">
        <f ca="1">IFERROR(__xludf.UNSUPPORTED("""COMPUTED_VALUE"""),"Suape")</f>
        <v>Suape</v>
      </c>
      <c r="D2661" s="3" t="str">
        <f ca="1">IFERROR(__xludf.UNSUPPORTED("""COMPUTED_VALUE"""),"🚢 REGULAR")</f>
        <v>🚢 REGULAR</v>
      </c>
      <c r="E2661" s="3" t="str">
        <f ca="1">IFERROR(__xludf.UNSUPPORTED("""COMPUTED_VALUE"""),"🚛 LIBERADO")</f>
        <v>🚛 LIBERADO</v>
      </c>
      <c r="F2661" s="5">
        <f ca="1">IFERROR(__xludf.UNSUPPORTED("""COMPUTED_VALUE"""),0)</f>
        <v>0</v>
      </c>
      <c r="G2661" s="3" t="str">
        <f ca="1">IFERROR(__xludf.UNSUPPORTED("""COMPUTED_VALUE"""),"Normalidade")</f>
        <v>Normalidade</v>
      </c>
      <c r="H2661" s="4">
        <f ca="1">IFERROR(__xludf.UNSUPPORTED("""COMPUTED_VALUE"""),45175.4682986111)</f>
        <v>45175.4682986111</v>
      </c>
      <c r="I2661" s="3">
        <f ca="1">IFERROR(__xludf.UNSUPPORTED("""COMPUTED_VALUE"""),24)</f>
        <v>24</v>
      </c>
      <c r="J2661" s="4">
        <f ca="1">IFERROR(__xludf.UNSUPPORTED("""COMPUTED_VALUE"""),45176.4682986111)</f>
        <v>45176.4682986111</v>
      </c>
      <c r="L2661" s="3" t="str">
        <f ca="1">IFERROR(__xludf.UNSUPPORTED("""COMPUTED_VALUE"""),"Normalidade")</f>
        <v>Normalidade</v>
      </c>
    </row>
    <row r="2662" spans="1:12" ht="12.75">
      <c r="A2662" s="3" t="str">
        <f ca="1">IFERROR(__xludf.UNSUPPORTED("""COMPUTED_VALUE"""),"661b1ef6")</f>
        <v>661b1ef6</v>
      </c>
      <c r="B2662" s="4">
        <f ca="1">IFERROR(__xludf.UNSUPPORTED("""COMPUTED_VALUE"""),45181.4436226851)</f>
        <v>45181.443622685103</v>
      </c>
      <c r="C2662" s="8" t="str">
        <f ca="1">IFERROR(__xludf.UNSUPPORTED("""COMPUTED_VALUE"""),"Suape")</f>
        <v>Suape</v>
      </c>
      <c r="D2662" s="3" t="str">
        <f ca="1">IFERROR(__xludf.UNSUPPORTED("""COMPUTED_VALUE"""),"🚢 REGULAR")</f>
        <v>🚢 REGULAR</v>
      </c>
      <c r="E2662" s="3" t="str">
        <f ca="1">IFERROR(__xludf.UNSUPPORTED("""COMPUTED_VALUE"""),"🚛 LIBERADO")</f>
        <v>🚛 LIBERADO</v>
      </c>
      <c r="F2662" s="5">
        <f ca="1">IFERROR(__xludf.UNSUPPORTED("""COMPUTED_VALUE"""),0)</f>
        <v>0</v>
      </c>
      <c r="G2662" s="3" t="str">
        <f ca="1">IFERROR(__xludf.UNSUPPORTED("""COMPUTED_VALUE"""),"Normalidade")</f>
        <v>Normalidade</v>
      </c>
      <c r="H2662" s="4">
        <f ca="1">IFERROR(__xludf.UNSUPPORTED("""COMPUTED_VALUE"""),45181.4436226851)</f>
        <v>45181.443622685103</v>
      </c>
      <c r="I2662" s="3">
        <f ca="1">IFERROR(__xludf.UNSUPPORTED("""COMPUTED_VALUE"""),24)</f>
        <v>24</v>
      </c>
      <c r="J2662" s="4">
        <f ca="1">IFERROR(__xludf.UNSUPPORTED("""COMPUTED_VALUE"""),45182.4436226851)</f>
        <v>45182.443622685103</v>
      </c>
      <c r="L2662" s="3" t="str">
        <f ca="1">IFERROR(__xludf.UNSUPPORTED("""COMPUTED_VALUE"""),"Normalidade")</f>
        <v>Normalidade</v>
      </c>
    </row>
    <row r="2663" spans="1:12" ht="12.75">
      <c r="A2663" s="3" t="str">
        <f ca="1">IFERROR(__xludf.UNSUPPORTED("""COMPUTED_VALUE"""),"d33cf07b")</f>
        <v>d33cf07b</v>
      </c>
      <c r="B2663" s="4">
        <f ca="1">IFERROR(__xludf.UNSUPPORTED("""COMPUTED_VALUE"""),45182.4579513888)</f>
        <v>45182.457951388802</v>
      </c>
      <c r="C2663" s="7" t="str">
        <f ca="1">IFERROR(__xludf.UNSUPPORTED("""COMPUTED_VALUE"""),"Suape")</f>
        <v>Suape</v>
      </c>
      <c r="D2663" s="3" t="str">
        <f ca="1">IFERROR(__xludf.UNSUPPORTED("""COMPUTED_VALUE"""),"🚢 REGULAR")</f>
        <v>🚢 REGULAR</v>
      </c>
      <c r="E2663" s="3" t="str">
        <f ca="1">IFERROR(__xludf.UNSUPPORTED("""COMPUTED_VALUE"""),"🚛 LIBERADO")</f>
        <v>🚛 LIBERADO</v>
      </c>
      <c r="F2663" s="5">
        <f ca="1">IFERROR(__xludf.UNSUPPORTED("""COMPUTED_VALUE"""),0)</f>
        <v>0</v>
      </c>
      <c r="G2663" s="3" t="str">
        <f ca="1">IFERROR(__xludf.UNSUPPORTED("""COMPUTED_VALUE"""),"Normalidade")</f>
        <v>Normalidade</v>
      </c>
      <c r="H2663" s="4">
        <f ca="1">IFERROR(__xludf.UNSUPPORTED("""COMPUTED_VALUE"""),45182.4579513888)</f>
        <v>45182.457951388802</v>
      </c>
      <c r="I2663" s="3">
        <f ca="1">IFERROR(__xludf.UNSUPPORTED("""COMPUTED_VALUE"""),24)</f>
        <v>24</v>
      </c>
      <c r="J2663" s="4">
        <f ca="1">IFERROR(__xludf.UNSUPPORTED("""COMPUTED_VALUE"""),45183.4579513888)</f>
        <v>45183.457951388802</v>
      </c>
      <c r="L2663" s="3" t="str">
        <f ca="1">IFERROR(__xludf.UNSUPPORTED("""COMPUTED_VALUE"""),"Normalidade")</f>
        <v>Normalidade</v>
      </c>
    </row>
    <row r="2664" spans="1:12" ht="12.75">
      <c r="A2664" s="3" t="str">
        <f ca="1">IFERROR(__xludf.UNSUPPORTED("""COMPUTED_VALUE"""),"ed5ae168")</f>
        <v>ed5ae168</v>
      </c>
      <c r="B2664" s="4">
        <f ca="1">IFERROR(__xludf.UNSUPPORTED("""COMPUTED_VALUE"""),45183.4627546296)</f>
        <v>45183.462754629603</v>
      </c>
      <c r="C2664" s="7" t="str">
        <f ca="1">IFERROR(__xludf.UNSUPPORTED("""COMPUTED_VALUE"""),"Suape")</f>
        <v>Suape</v>
      </c>
      <c r="D2664" s="3" t="str">
        <f ca="1">IFERROR(__xludf.UNSUPPORTED("""COMPUTED_VALUE"""),"🚢 REGULAR")</f>
        <v>🚢 REGULAR</v>
      </c>
      <c r="E2664" s="3" t="str">
        <f ca="1">IFERROR(__xludf.UNSUPPORTED("""COMPUTED_VALUE"""),"🚛 LIBERADO")</f>
        <v>🚛 LIBERADO</v>
      </c>
      <c r="F2664" s="5">
        <f ca="1">IFERROR(__xludf.UNSUPPORTED("""COMPUTED_VALUE"""),0)</f>
        <v>0</v>
      </c>
      <c r="G2664" s="3" t="str">
        <f ca="1">IFERROR(__xludf.UNSUPPORTED("""COMPUTED_VALUE"""),"Normalidade")</f>
        <v>Normalidade</v>
      </c>
      <c r="H2664" s="4">
        <f ca="1">IFERROR(__xludf.UNSUPPORTED("""COMPUTED_VALUE"""),45183.4627546296)</f>
        <v>45183.462754629603</v>
      </c>
      <c r="I2664" s="3">
        <f ca="1">IFERROR(__xludf.UNSUPPORTED("""COMPUTED_VALUE"""),24)</f>
        <v>24</v>
      </c>
      <c r="J2664" s="4">
        <f ca="1">IFERROR(__xludf.UNSUPPORTED("""COMPUTED_VALUE"""),45184.4627546296)</f>
        <v>45184.462754629603</v>
      </c>
      <c r="L2664" s="3" t="str">
        <f ca="1">IFERROR(__xludf.UNSUPPORTED("""COMPUTED_VALUE"""),"Normalidade")</f>
        <v>Normalidade</v>
      </c>
    </row>
    <row r="2665" spans="1:12" ht="12.75">
      <c r="A2665" s="3" t="str">
        <f ca="1">IFERROR(__xludf.UNSUPPORTED("""COMPUTED_VALUE"""),"c1e73545")</f>
        <v>c1e73545</v>
      </c>
      <c r="B2665" s="4">
        <f ca="1">IFERROR(__xludf.UNSUPPORTED("""COMPUTED_VALUE"""),45194.4731712962)</f>
        <v>45194.473171296202</v>
      </c>
      <c r="C2665" s="8" t="str">
        <f ca="1">IFERROR(__xludf.UNSUPPORTED("""COMPUTED_VALUE"""),"Suape")</f>
        <v>Suape</v>
      </c>
      <c r="D2665" s="3" t="str">
        <f ca="1">IFERROR(__xludf.UNSUPPORTED("""COMPUTED_VALUE"""),"🚢 REGULAR")</f>
        <v>🚢 REGULAR</v>
      </c>
      <c r="E2665" s="3" t="str">
        <f ca="1">IFERROR(__xludf.UNSUPPORTED("""COMPUTED_VALUE"""),"🚛 LIBERADO")</f>
        <v>🚛 LIBERADO</v>
      </c>
      <c r="F2665" s="5">
        <f ca="1">IFERROR(__xludf.UNSUPPORTED("""COMPUTED_VALUE"""),0)</f>
        <v>0</v>
      </c>
      <c r="G2665" s="3" t="str">
        <f ca="1">IFERROR(__xludf.UNSUPPORTED("""COMPUTED_VALUE"""),"Normalidade")</f>
        <v>Normalidade</v>
      </c>
      <c r="H2665" s="4">
        <f ca="1">IFERROR(__xludf.UNSUPPORTED("""COMPUTED_VALUE"""),45194.4731712962)</f>
        <v>45194.473171296202</v>
      </c>
      <c r="I2665" s="3">
        <f ca="1">IFERROR(__xludf.UNSUPPORTED("""COMPUTED_VALUE"""),24)</f>
        <v>24</v>
      </c>
      <c r="J2665" s="4">
        <f ca="1">IFERROR(__xludf.UNSUPPORTED("""COMPUTED_VALUE"""),45195.4731712962)</f>
        <v>45195.473171296202</v>
      </c>
      <c r="L2665" s="3" t="str">
        <f ca="1">IFERROR(__xludf.UNSUPPORTED("""COMPUTED_VALUE"""),"Normalidade")</f>
        <v>Normalidade</v>
      </c>
    </row>
    <row r="2666" spans="1:12" ht="12.75">
      <c r="A2666" s="3" t="str">
        <f ca="1">IFERROR(__xludf.UNSUPPORTED("""COMPUTED_VALUE"""),"8f488128")</f>
        <v>8f488128</v>
      </c>
      <c r="B2666" s="4">
        <f ca="1">IFERROR(__xludf.UNSUPPORTED("""COMPUTED_VALUE"""),45195.4857638888)</f>
        <v>45195.485763888799</v>
      </c>
      <c r="C2666" s="7" t="str">
        <f ca="1">IFERROR(__xludf.UNSUPPORTED("""COMPUTED_VALUE"""),"Suape")</f>
        <v>Suape</v>
      </c>
      <c r="D2666" s="3" t="str">
        <f ca="1">IFERROR(__xludf.UNSUPPORTED("""COMPUTED_VALUE"""),"🚢 REGULAR")</f>
        <v>🚢 REGULAR</v>
      </c>
      <c r="E2666" s="3" t="str">
        <f ca="1">IFERROR(__xludf.UNSUPPORTED("""COMPUTED_VALUE"""),"🚛 LIBERADO")</f>
        <v>🚛 LIBERADO</v>
      </c>
      <c r="F2666" s="5">
        <f ca="1">IFERROR(__xludf.UNSUPPORTED("""COMPUTED_VALUE"""),0)</f>
        <v>0</v>
      </c>
      <c r="G2666" s="3" t="str">
        <f ca="1">IFERROR(__xludf.UNSUPPORTED("""COMPUTED_VALUE"""),"Normalidade")</f>
        <v>Normalidade</v>
      </c>
      <c r="H2666" s="4">
        <f ca="1">IFERROR(__xludf.UNSUPPORTED("""COMPUTED_VALUE"""),45195.4857638888)</f>
        <v>45195.485763888799</v>
      </c>
      <c r="I2666" s="3">
        <f ca="1">IFERROR(__xludf.UNSUPPORTED("""COMPUTED_VALUE"""),24)</f>
        <v>24</v>
      </c>
      <c r="J2666" s="4">
        <f ca="1">IFERROR(__xludf.UNSUPPORTED("""COMPUTED_VALUE"""),45196.4857638888)</f>
        <v>45196.485763888799</v>
      </c>
      <c r="L2666" s="3" t="str">
        <f ca="1">IFERROR(__xludf.UNSUPPORTED("""COMPUTED_VALUE"""),"Normalidade")</f>
        <v>Normalidade</v>
      </c>
    </row>
    <row r="2667" spans="1:12" ht="12.75">
      <c r="A2667" s="3" t="str">
        <f ca="1">IFERROR(__xludf.UNSUPPORTED("""COMPUTED_VALUE"""),"66a4ce2f")</f>
        <v>66a4ce2f</v>
      </c>
      <c r="B2667" s="4">
        <f ca="1">IFERROR(__xludf.UNSUPPORTED("""COMPUTED_VALUE"""),45196.3617476851)</f>
        <v>45196.3617476851</v>
      </c>
      <c r="C2667" s="7" t="str">
        <f ca="1">IFERROR(__xludf.UNSUPPORTED("""COMPUTED_VALUE"""),"Suape")</f>
        <v>Suape</v>
      </c>
      <c r="D2667" s="3" t="str">
        <f ca="1">IFERROR(__xludf.UNSUPPORTED("""COMPUTED_VALUE"""),"🚢 REGULAR")</f>
        <v>🚢 REGULAR</v>
      </c>
      <c r="E2667" s="3" t="str">
        <f ca="1">IFERROR(__xludf.UNSUPPORTED("""COMPUTED_VALUE"""),"🚛 LIBERADO")</f>
        <v>🚛 LIBERADO</v>
      </c>
      <c r="F2667" s="5">
        <f ca="1">IFERROR(__xludf.UNSUPPORTED("""COMPUTED_VALUE"""),0)</f>
        <v>0</v>
      </c>
      <c r="G2667" s="3" t="str">
        <f ca="1">IFERROR(__xludf.UNSUPPORTED("""COMPUTED_VALUE"""),"Normalidade")</f>
        <v>Normalidade</v>
      </c>
      <c r="H2667" s="4">
        <f ca="1">IFERROR(__xludf.UNSUPPORTED("""COMPUTED_VALUE"""),45196.3617476851)</f>
        <v>45196.3617476851</v>
      </c>
      <c r="I2667" s="3">
        <f ca="1">IFERROR(__xludf.UNSUPPORTED("""COMPUTED_VALUE"""),24)</f>
        <v>24</v>
      </c>
      <c r="J2667" s="4">
        <f ca="1">IFERROR(__xludf.UNSUPPORTED("""COMPUTED_VALUE"""),45197.3617476851)</f>
        <v>45197.3617476851</v>
      </c>
      <c r="L2667" s="3" t="str">
        <f ca="1">IFERROR(__xludf.UNSUPPORTED("""COMPUTED_VALUE"""),"Normalidade")</f>
        <v>Normalidade</v>
      </c>
    </row>
    <row r="2668" spans="1:12" ht="12.75">
      <c r="A2668" s="3" t="str">
        <f ca="1">IFERROR(__xludf.UNSUPPORTED("""COMPUTED_VALUE"""),"34736b38")</f>
        <v>34736b38</v>
      </c>
      <c r="B2668" s="4">
        <f ca="1">IFERROR(__xludf.UNSUPPORTED("""COMPUTED_VALUE"""),45201.4115393518)</f>
        <v>45201.4115393518</v>
      </c>
      <c r="C2668" s="8" t="str">
        <f ca="1">IFERROR(__xludf.UNSUPPORTED("""COMPUTED_VALUE"""),"Suape")</f>
        <v>Suape</v>
      </c>
      <c r="D2668" s="3" t="str">
        <f ca="1">IFERROR(__xludf.UNSUPPORTED("""COMPUTED_VALUE"""),"🚢 REGULAR")</f>
        <v>🚢 REGULAR</v>
      </c>
      <c r="E2668" s="3" t="str">
        <f ca="1">IFERROR(__xludf.UNSUPPORTED("""COMPUTED_VALUE"""),"🚛 LIBERADO")</f>
        <v>🚛 LIBERADO</v>
      </c>
      <c r="F2668" s="5">
        <f ca="1">IFERROR(__xludf.UNSUPPORTED("""COMPUTED_VALUE"""),0)</f>
        <v>0</v>
      </c>
      <c r="G2668" s="3" t="str">
        <f ca="1">IFERROR(__xludf.UNSUPPORTED("""COMPUTED_VALUE"""),"Normalidade")</f>
        <v>Normalidade</v>
      </c>
      <c r="H2668" s="4">
        <f ca="1">IFERROR(__xludf.UNSUPPORTED("""COMPUTED_VALUE"""),45201.4115393518)</f>
        <v>45201.4115393518</v>
      </c>
      <c r="I2668" s="3">
        <f ca="1">IFERROR(__xludf.UNSUPPORTED("""COMPUTED_VALUE"""),24)</f>
        <v>24</v>
      </c>
      <c r="J2668" s="4">
        <f ca="1">IFERROR(__xludf.UNSUPPORTED("""COMPUTED_VALUE"""),45202.4115393518)</f>
        <v>45202.4115393518</v>
      </c>
      <c r="L2668" s="3" t="str">
        <f ca="1">IFERROR(__xludf.UNSUPPORTED("""COMPUTED_VALUE"""),"Normalidade")</f>
        <v>Normalidade</v>
      </c>
    </row>
    <row r="2669" spans="1:12" ht="12.75">
      <c r="A2669" s="3" t="str">
        <f ca="1">IFERROR(__xludf.UNSUPPORTED("""COMPUTED_VALUE"""),"f6c8abe4")</f>
        <v>f6c8abe4</v>
      </c>
      <c r="B2669" s="4">
        <f ca="1">IFERROR(__xludf.UNSUPPORTED("""COMPUTED_VALUE"""),45203.523125)</f>
        <v>45203.523125</v>
      </c>
      <c r="C2669" s="7" t="str">
        <f ca="1">IFERROR(__xludf.UNSUPPORTED("""COMPUTED_VALUE"""),"Suape")</f>
        <v>Suape</v>
      </c>
      <c r="D2669" s="3" t="str">
        <f ca="1">IFERROR(__xludf.UNSUPPORTED("""COMPUTED_VALUE"""),"🚢 REGULAR")</f>
        <v>🚢 REGULAR</v>
      </c>
      <c r="E2669" s="3" t="str">
        <f ca="1">IFERROR(__xludf.UNSUPPORTED("""COMPUTED_VALUE"""),"🚛 LIBERADO")</f>
        <v>🚛 LIBERADO</v>
      </c>
      <c r="F2669" s="5">
        <f ca="1">IFERROR(__xludf.UNSUPPORTED("""COMPUTED_VALUE"""),0)</f>
        <v>0</v>
      </c>
      <c r="G2669" s="3" t="str">
        <f ca="1">IFERROR(__xludf.UNSUPPORTED("""COMPUTED_VALUE"""),"Normalidade")</f>
        <v>Normalidade</v>
      </c>
      <c r="H2669" s="4">
        <f ca="1">IFERROR(__xludf.UNSUPPORTED("""COMPUTED_VALUE"""),45203.523125)</f>
        <v>45203.523125</v>
      </c>
      <c r="I2669" s="3">
        <f ca="1">IFERROR(__xludf.UNSUPPORTED("""COMPUTED_VALUE"""),24)</f>
        <v>24</v>
      </c>
      <c r="J2669" s="4">
        <f ca="1">IFERROR(__xludf.UNSUPPORTED("""COMPUTED_VALUE"""),45204.523125)</f>
        <v>45204.523125</v>
      </c>
      <c r="L2669" s="3" t="str">
        <f ca="1">IFERROR(__xludf.UNSUPPORTED("""COMPUTED_VALUE"""),"Normalidade")</f>
        <v>Normalidade</v>
      </c>
    </row>
    <row r="2670" spans="1:12" ht="12.75">
      <c r="A2670" s="3" t="str">
        <f ca="1">IFERROR(__xludf.UNSUPPORTED("""COMPUTED_VALUE"""),"127f8a55")</f>
        <v>127f8a55</v>
      </c>
      <c r="B2670" s="4">
        <f ca="1">IFERROR(__xludf.UNSUPPORTED("""COMPUTED_VALUE"""),45208.4028472222)</f>
        <v>45208.402847222198</v>
      </c>
      <c r="C2670" s="7" t="str">
        <f ca="1">IFERROR(__xludf.UNSUPPORTED("""COMPUTED_VALUE"""),"Suape")</f>
        <v>Suape</v>
      </c>
      <c r="D2670" s="3" t="str">
        <f ca="1">IFERROR(__xludf.UNSUPPORTED("""COMPUTED_VALUE"""),"🚢 REGULAR")</f>
        <v>🚢 REGULAR</v>
      </c>
      <c r="E2670" s="3" t="str">
        <f ca="1">IFERROR(__xludf.UNSUPPORTED("""COMPUTED_VALUE"""),"🚛 LIBERADO")</f>
        <v>🚛 LIBERADO</v>
      </c>
      <c r="F2670" s="5">
        <f ca="1">IFERROR(__xludf.UNSUPPORTED("""COMPUTED_VALUE"""),0)</f>
        <v>0</v>
      </c>
      <c r="G2670" s="3" t="str">
        <f ca="1">IFERROR(__xludf.UNSUPPORTED("""COMPUTED_VALUE"""),"Normalidade")</f>
        <v>Normalidade</v>
      </c>
      <c r="H2670" s="4">
        <f ca="1">IFERROR(__xludf.UNSUPPORTED("""COMPUTED_VALUE"""),45208.4028472222)</f>
        <v>45208.402847222198</v>
      </c>
      <c r="I2670" s="3">
        <f ca="1">IFERROR(__xludf.UNSUPPORTED("""COMPUTED_VALUE"""),24)</f>
        <v>24</v>
      </c>
      <c r="J2670" s="4">
        <f ca="1">IFERROR(__xludf.UNSUPPORTED("""COMPUTED_VALUE"""),45209.4028472222)</f>
        <v>45209.402847222198</v>
      </c>
      <c r="L2670" s="3" t="str">
        <f ca="1">IFERROR(__xludf.UNSUPPORTED("""COMPUTED_VALUE"""),"Normalidade")</f>
        <v>Normalidade</v>
      </c>
    </row>
    <row r="2671" spans="1:12" ht="12.75">
      <c r="A2671" s="3" t="str">
        <f ca="1">IFERROR(__xludf.UNSUPPORTED("""COMPUTED_VALUE"""),"0bd4c694")</f>
        <v>0bd4c694</v>
      </c>
      <c r="B2671" s="4">
        <f ca="1">IFERROR(__xludf.UNSUPPORTED("""COMPUTED_VALUE"""),45209.405)</f>
        <v>45209.404999999999</v>
      </c>
      <c r="C2671" s="8" t="str">
        <f ca="1">IFERROR(__xludf.UNSUPPORTED("""COMPUTED_VALUE"""),"Suape")</f>
        <v>Suape</v>
      </c>
      <c r="D2671" s="3" t="str">
        <f ca="1">IFERROR(__xludf.UNSUPPORTED("""COMPUTED_VALUE"""),"🚢 REGULAR")</f>
        <v>🚢 REGULAR</v>
      </c>
      <c r="E2671" s="3" t="str">
        <f ca="1">IFERROR(__xludf.UNSUPPORTED("""COMPUTED_VALUE"""),"🚛 LIBERADO")</f>
        <v>🚛 LIBERADO</v>
      </c>
      <c r="F2671" s="5">
        <f ca="1">IFERROR(__xludf.UNSUPPORTED("""COMPUTED_VALUE"""),0)</f>
        <v>0</v>
      </c>
      <c r="G2671" s="3" t="str">
        <f ca="1">IFERROR(__xludf.UNSUPPORTED("""COMPUTED_VALUE"""),"Normalidade")</f>
        <v>Normalidade</v>
      </c>
      <c r="H2671" s="4">
        <f ca="1">IFERROR(__xludf.UNSUPPORTED("""COMPUTED_VALUE"""),45209.405)</f>
        <v>45209.404999999999</v>
      </c>
      <c r="I2671" s="3">
        <f ca="1">IFERROR(__xludf.UNSUPPORTED("""COMPUTED_VALUE"""),24)</f>
        <v>24</v>
      </c>
      <c r="J2671" s="4">
        <f ca="1">IFERROR(__xludf.UNSUPPORTED("""COMPUTED_VALUE"""),45210.405)</f>
        <v>45210.404999999999</v>
      </c>
      <c r="L2671" s="3" t="str">
        <f ca="1">IFERROR(__xludf.UNSUPPORTED("""COMPUTED_VALUE"""),"Normalidade")</f>
        <v>Normalidade</v>
      </c>
    </row>
    <row r="2672" spans="1:12" ht="12.75">
      <c r="A2672" s="3" t="str">
        <f ca="1">IFERROR(__xludf.UNSUPPORTED("""COMPUTED_VALUE"""),"c3d54ddb")</f>
        <v>c3d54ddb</v>
      </c>
      <c r="B2672" s="4">
        <f ca="1">IFERROR(__xludf.UNSUPPORTED("""COMPUTED_VALUE"""),45215.3791550925)</f>
        <v>45215.379155092502</v>
      </c>
      <c r="C2672" s="8" t="str">
        <f ca="1">IFERROR(__xludf.UNSUPPORTED("""COMPUTED_VALUE"""),"Suape")</f>
        <v>Suape</v>
      </c>
      <c r="D2672" s="3" t="str">
        <f ca="1">IFERROR(__xludf.UNSUPPORTED("""COMPUTED_VALUE"""),"🚢 REGULAR")</f>
        <v>🚢 REGULAR</v>
      </c>
      <c r="E2672" s="3" t="str">
        <f ca="1">IFERROR(__xludf.UNSUPPORTED("""COMPUTED_VALUE"""),"🚛 LIBERADO")</f>
        <v>🚛 LIBERADO</v>
      </c>
      <c r="F2672" s="5">
        <f ca="1">IFERROR(__xludf.UNSUPPORTED("""COMPUTED_VALUE"""),0)</f>
        <v>0</v>
      </c>
      <c r="G2672" s="3" t="str">
        <f ca="1">IFERROR(__xludf.UNSUPPORTED("""COMPUTED_VALUE"""),"Normalidade")</f>
        <v>Normalidade</v>
      </c>
      <c r="H2672" s="4">
        <f ca="1">IFERROR(__xludf.UNSUPPORTED("""COMPUTED_VALUE"""),45215.3791550925)</f>
        <v>45215.379155092502</v>
      </c>
      <c r="I2672" s="3">
        <f ca="1">IFERROR(__xludf.UNSUPPORTED("""COMPUTED_VALUE"""),24)</f>
        <v>24</v>
      </c>
      <c r="J2672" s="4">
        <f ca="1">IFERROR(__xludf.UNSUPPORTED("""COMPUTED_VALUE"""),45216.3791550925)</f>
        <v>45216.379155092502</v>
      </c>
      <c r="L2672" s="3" t="str">
        <f ca="1">IFERROR(__xludf.UNSUPPORTED("""COMPUTED_VALUE"""),"Normalidade")</f>
        <v>Normalidade</v>
      </c>
    </row>
    <row r="2673" spans="1:12" ht="12.75">
      <c r="A2673" s="3" t="str">
        <f ca="1">IFERROR(__xludf.UNSUPPORTED("""COMPUTED_VALUE"""),"a1ae9390")</f>
        <v>a1ae9390</v>
      </c>
      <c r="B2673" s="4">
        <f ca="1">IFERROR(__xludf.UNSUPPORTED("""COMPUTED_VALUE"""),45216.4792939814)</f>
        <v>45216.4792939814</v>
      </c>
      <c r="C2673" s="7" t="str">
        <f ca="1">IFERROR(__xludf.UNSUPPORTED("""COMPUTED_VALUE"""),"Suape")</f>
        <v>Suape</v>
      </c>
      <c r="D2673" s="3" t="str">
        <f ca="1">IFERROR(__xludf.UNSUPPORTED("""COMPUTED_VALUE"""),"🚢 REGULAR")</f>
        <v>🚢 REGULAR</v>
      </c>
      <c r="E2673" s="3" t="str">
        <f ca="1">IFERROR(__xludf.UNSUPPORTED("""COMPUTED_VALUE"""),"🚛 LIBERADO")</f>
        <v>🚛 LIBERADO</v>
      </c>
      <c r="F2673" s="5">
        <f ca="1">IFERROR(__xludf.UNSUPPORTED("""COMPUTED_VALUE"""),0)</f>
        <v>0</v>
      </c>
      <c r="G2673" s="3" t="str">
        <f ca="1">IFERROR(__xludf.UNSUPPORTED("""COMPUTED_VALUE"""),"Normalidade")</f>
        <v>Normalidade</v>
      </c>
      <c r="H2673" s="4">
        <f ca="1">IFERROR(__xludf.UNSUPPORTED("""COMPUTED_VALUE"""),45216.4792939814)</f>
        <v>45216.4792939814</v>
      </c>
      <c r="I2673" s="3">
        <f ca="1">IFERROR(__xludf.UNSUPPORTED("""COMPUTED_VALUE"""),24)</f>
        <v>24</v>
      </c>
      <c r="J2673" s="4">
        <f ca="1">IFERROR(__xludf.UNSUPPORTED("""COMPUTED_VALUE"""),45217.4792939814)</f>
        <v>45217.4792939814</v>
      </c>
      <c r="L2673" s="3" t="str">
        <f ca="1">IFERROR(__xludf.UNSUPPORTED("""COMPUTED_VALUE"""),"Normalidade")</f>
        <v>Normalidade</v>
      </c>
    </row>
    <row r="2674" spans="1:12" ht="12.75">
      <c r="A2674" s="3" t="str">
        <f ca="1">IFERROR(__xludf.UNSUPPORTED("""COMPUTED_VALUE"""),"ef6acd3f")</f>
        <v>ef6acd3f</v>
      </c>
      <c r="B2674" s="4">
        <f ca="1">IFERROR(__xludf.UNSUPPORTED("""COMPUTED_VALUE"""),45218.3892361111)</f>
        <v>45218.389236111099</v>
      </c>
      <c r="C2674" s="8" t="str">
        <f ca="1">IFERROR(__xludf.UNSUPPORTED("""COMPUTED_VALUE"""),"Suape")</f>
        <v>Suape</v>
      </c>
      <c r="D2674" s="3" t="str">
        <f ca="1">IFERROR(__xludf.UNSUPPORTED("""COMPUTED_VALUE"""),"🚢 REGULAR")</f>
        <v>🚢 REGULAR</v>
      </c>
      <c r="E2674" s="3" t="str">
        <f ca="1">IFERROR(__xludf.UNSUPPORTED("""COMPUTED_VALUE"""),"🚛 LIBERADO")</f>
        <v>🚛 LIBERADO</v>
      </c>
      <c r="F2674" s="5">
        <f ca="1">IFERROR(__xludf.UNSUPPORTED("""COMPUTED_VALUE"""),0)</f>
        <v>0</v>
      </c>
      <c r="G2674" s="3" t="str">
        <f ca="1">IFERROR(__xludf.UNSUPPORTED("""COMPUTED_VALUE"""),"Normalidade")</f>
        <v>Normalidade</v>
      </c>
      <c r="H2674" s="4">
        <f ca="1">IFERROR(__xludf.UNSUPPORTED("""COMPUTED_VALUE"""),45218.3892361111)</f>
        <v>45218.389236111099</v>
      </c>
      <c r="I2674" s="3">
        <f ca="1">IFERROR(__xludf.UNSUPPORTED("""COMPUTED_VALUE"""),24)</f>
        <v>24</v>
      </c>
      <c r="J2674" s="4">
        <f ca="1">IFERROR(__xludf.UNSUPPORTED("""COMPUTED_VALUE"""),45219.3892361111)</f>
        <v>45219.389236111099</v>
      </c>
      <c r="L2674" s="3" t="str">
        <f ca="1">IFERROR(__xludf.UNSUPPORTED("""COMPUTED_VALUE"""),"Normalidade")</f>
        <v>Normalidade</v>
      </c>
    </row>
    <row r="2675" spans="1:12" ht="12.75">
      <c r="A2675" s="3" t="str">
        <f ca="1">IFERROR(__xludf.UNSUPPORTED("""COMPUTED_VALUE"""),"17b03941")</f>
        <v>17b03941</v>
      </c>
      <c r="B2675" s="4">
        <f ca="1">IFERROR(__xludf.UNSUPPORTED("""COMPUTED_VALUE"""),45229.4164814813)</f>
        <v>45229.416481481298</v>
      </c>
      <c r="C2675" s="7" t="str">
        <f ca="1">IFERROR(__xludf.UNSUPPORTED("""COMPUTED_VALUE"""),"Suape")</f>
        <v>Suape</v>
      </c>
      <c r="D2675" s="3" t="str">
        <f ca="1">IFERROR(__xludf.UNSUPPORTED("""COMPUTED_VALUE"""),"🚢 REGULAR")</f>
        <v>🚢 REGULAR</v>
      </c>
      <c r="E2675" s="3" t="str">
        <f ca="1">IFERROR(__xludf.UNSUPPORTED("""COMPUTED_VALUE"""),"🚛 LIBERADO")</f>
        <v>🚛 LIBERADO</v>
      </c>
      <c r="F2675" s="5">
        <f ca="1">IFERROR(__xludf.UNSUPPORTED("""COMPUTED_VALUE"""),0)</f>
        <v>0</v>
      </c>
      <c r="G2675" s="3" t="str">
        <f ca="1">IFERROR(__xludf.UNSUPPORTED("""COMPUTED_VALUE"""),"Normalidade")</f>
        <v>Normalidade</v>
      </c>
      <c r="H2675" s="4">
        <f ca="1">IFERROR(__xludf.UNSUPPORTED("""COMPUTED_VALUE"""),45229.4164814813)</f>
        <v>45229.416481481298</v>
      </c>
      <c r="I2675" s="3">
        <f ca="1">IFERROR(__xludf.UNSUPPORTED("""COMPUTED_VALUE"""),24)</f>
        <v>24</v>
      </c>
      <c r="J2675" s="4">
        <f ca="1">IFERROR(__xludf.UNSUPPORTED("""COMPUTED_VALUE"""),45230.4164814813)</f>
        <v>45230.416481481298</v>
      </c>
      <c r="L2675" s="3" t="str">
        <f ca="1">IFERROR(__xludf.UNSUPPORTED("""COMPUTED_VALUE"""),"Normalidade")</f>
        <v>Normalidade</v>
      </c>
    </row>
    <row r="2676" spans="1:12" ht="12.75">
      <c r="A2676" s="3" t="str">
        <f ca="1">IFERROR(__xludf.UNSUPPORTED("""COMPUTED_VALUE"""),"94f54ffd")</f>
        <v>94f54ffd</v>
      </c>
      <c r="B2676" s="4">
        <f ca="1">IFERROR(__xludf.UNSUPPORTED("""COMPUTED_VALUE"""),45230.5526504629)</f>
        <v>45230.552650462902</v>
      </c>
      <c r="C2676" s="8" t="str">
        <f ca="1">IFERROR(__xludf.UNSUPPORTED("""COMPUTED_VALUE"""),"Suape")</f>
        <v>Suape</v>
      </c>
      <c r="D2676" s="3" t="str">
        <f ca="1">IFERROR(__xludf.UNSUPPORTED("""COMPUTED_VALUE"""),"🚢 REGULAR")</f>
        <v>🚢 REGULAR</v>
      </c>
      <c r="E2676" s="3" t="str">
        <f ca="1">IFERROR(__xludf.UNSUPPORTED("""COMPUTED_VALUE"""),"🚛 LIBERADO")</f>
        <v>🚛 LIBERADO</v>
      </c>
      <c r="F2676" s="5">
        <f ca="1">IFERROR(__xludf.UNSUPPORTED("""COMPUTED_VALUE"""),0)</f>
        <v>0</v>
      </c>
      <c r="G2676" s="3" t="str">
        <f ca="1">IFERROR(__xludf.UNSUPPORTED("""COMPUTED_VALUE"""),"Normalidade")</f>
        <v>Normalidade</v>
      </c>
      <c r="H2676" s="4">
        <f ca="1">IFERROR(__xludf.UNSUPPORTED("""COMPUTED_VALUE"""),45230.5526504629)</f>
        <v>45230.552650462902</v>
      </c>
      <c r="I2676" s="3">
        <f ca="1">IFERROR(__xludf.UNSUPPORTED("""COMPUTED_VALUE"""),24)</f>
        <v>24</v>
      </c>
      <c r="J2676" s="4">
        <f ca="1">IFERROR(__xludf.UNSUPPORTED("""COMPUTED_VALUE"""),45231.5526504629)</f>
        <v>45231.552650462902</v>
      </c>
      <c r="L2676" s="3" t="str">
        <f ca="1">IFERROR(__xludf.UNSUPPORTED("""COMPUTED_VALUE"""),"Normalidade")</f>
        <v>Normalidade</v>
      </c>
    </row>
    <row r="2677" spans="1:12" ht="12.75">
      <c r="A2677" s="3" t="str">
        <f ca="1">IFERROR(__xludf.UNSUPPORTED("""COMPUTED_VALUE"""),"89f8a2c9")</f>
        <v>89f8a2c9</v>
      </c>
      <c r="B2677" s="4">
        <f ca="1">IFERROR(__xludf.UNSUPPORTED("""COMPUTED_VALUE"""),45231.5265162037)</f>
        <v>45231.526516203703</v>
      </c>
      <c r="C2677" s="8" t="str">
        <f ca="1">IFERROR(__xludf.UNSUPPORTED("""COMPUTED_VALUE"""),"Suape")</f>
        <v>Suape</v>
      </c>
      <c r="D2677" s="3" t="str">
        <f ca="1">IFERROR(__xludf.UNSUPPORTED("""COMPUTED_VALUE"""),"🚢 REGULAR")</f>
        <v>🚢 REGULAR</v>
      </c>
      <c r="E2677" s="3" t="str">
        <f ca="1">IFERROR(__xludf.UNSUPPORTED("""COMPUTED_VALUE"""),"🚛 LIBERADO")</f>
        <v>🚛 LIBERADO</v>
      </c>
      <c r="F2677" s="5">
        <f ca="1">IFERROR(__xludf.UNSUPPORTED("""COMPUTED_VALUE"""),0)</f>
        <v>0</v>
      </c>
      <c r="G2677" s="3" t="str">
        <f ca="1">IFERROR(__xludf.UNSUPPORTED("""COMPUTED_VALUE"""),"Normalidade")</f>
        <v>Normalidade</v>
      </c>
      <c r="H2677" s="4">
        <f ca="1">IFERROR(__xludf.UNSUPPORTED("""COMPUTED_VALUE"""),45231.5265162037)</f>
        <v>45231.526516203703</v>
      </c>
      <c r="I2677" s="3">
        <f ca="1">IFERROR(__xludf.UNSUPPORTED("""COMPUTED_VALUE"""),24)</f>
        <v>24</v>
      </c>
      <c r="J2677" s="4">
        <f ca="1">IFERROR(__xludf.UNSUPPORTED("""COMPUTED_VALUE"""),45232.5265162037)</f>
        <v>45232.526516203703</v>
      </c>
      <c r="L2677" s="3" t="str">
        <f ca="1">IFERROR(__xludf.UNSUPPORTED("""COMPUTED_VALUE"""),"Normalidade")</f>
        <v>Normalidade</v>
      </c>
    </row>
    <row r="2678" spans="1:12" ht="12.75">
      <c r="A2678" s="3" t="str">
        <f ca="1">IFERROR(__xludf.UNSUPPORTED("""COMPUTED_VALUE"""),"c6b01cf4")</f>
        <v>c6b01cf4</v>
      </c>
      <c r="B2678" s="4">
        <f ca="1">IFERROR(__xludf.UNSUPPORTED("""COMPUTED_VALUE"""),45244.4122800926)</f>
        <v>45244.412280092598</v>
      </c>
      <c r="C2678" s="8" t="str">
        <f ca="1">IFERROR(__xludf.UNSUPPORTED("""COMPUTED_VALUE"""),"Suape")</f>
        <v>Suape</v>
      </c>
      <c r="D2678" s="3" t="str">
        <f ca="1">IFERROR(__xludf.UNSUPPORTED("""COMPUTED_VALUE"""),"🚢 REGULAR")</f>
        <v>🚢 REGULAR</v>
      </c>
      <c r="E2678" s="3" t="str">
        <f ca="1">IFERROR(__xludf.UNSUPPORTED("""COMPUTED_VALUE"""),"🚛 LIBERADO")</f>
        <v>🚛 LIBERADO</v>
      </c>
      <c r="F2678" s="5">
        <f ca="1">IFERROR(__xludf.UNSUPPORTED("""COMPUTED_VALUE"""),0)</f>
        <v>0</v>
      </c>
      <c r="G2678" s="3" t="str">
        <f ca="1">IFERROR(__xludf.UNSUPPORTED("""COMPUTED_VALUE"""),"Normalidade")</f>
        <v>Normalidade</v>
      </c>
      <c r="H2678" s="4">
        <f ca="1">IFERROR(__xludf.UNSUPPORTED("""COMPUTED_VALUE"""),45244.4122800926)</f>
        <v>45244.412280092598</v>
      </c>
      <c r="I2678" s="3">
        <f ca="1">IFERROR(__xludf.UNSUPPORTED("""COMPUTED_VALUE"""),24)</f>
        <v>24</v>
      </c>
      <c r="J2678" s="4">
        <f ca="1">IFERROR(__xludf.UNSUPPORTED("""COMPUTED_VALUE"""),45245.4122800926)</f>
        <v>45245.412280092598</v>
      </c>
      <c r="L2678" s="3" t="str">
        <f ca="1">IFERROR(__xludf.UNSUPPORTED("""COMPUTED_VALUE"""),"Normalidade")</f>
        <v>Normalidade</v>
      </c>
    </row>
    <row r="2679" spans="1:12" ht="12.75">
      <c r="A2679" s="3" t="str">
        <f ca="1">IFERROR(__xludf.UNSUPPORTED("""COMPUTED_VALUE"""),"81f1c739")</f>
        <v>81f1c739</v>
      </c>
      <c r="B2679" s="4">
        <f ca="1">IFERROR(__xludf.UNSUPPORTED("""COMPUTED_VALUE"""),45258.5166435185)</f>
        <v>45258.516643518502</v>
      </c>
      <c r="C2679" s="8" t="str">
        <f ca="1">IFERROR(__xludf.UNSUPPORTED("""COMPUTED_VALUE"""),"Suape")</f>
        <v>Suape</v>
      </c>
      <c r="D2679" s="3" t="str">
        <f ca="1">IFERROR(__xludf.UNSUPPORTED("""COMPUTED_VALUE"""),"🚢 REGULAR")</f>
        <v>🚢 REGULAR</v>
      </c>
      <c r="E2679" s="3" t="str">
        <f ca="1">IFERROR(__xludf.UNSUPPORTED("""COMPUTED_VALUE"""),"🚛 LIBERADO")</f>
        <v>🚛 LIBERADO</v>
      </c>
      <c r="F2679" s="5">
        <f ca="1">IFERROR(__xludf.UNSUPPORTED("""COMPUTED_VALUE"""),0)</f>
        <v>0</v>
      </c>
      <c r="G2679" s="3" t="str">
        <f ca="1">IFERROR(__xludf.UNSUPPORTED("""COMPUTED_VALUE"""),"Normalidade")</f>
        <v>Normalidade</v>
      </c>
      <c r="H2679" s="4">
        <f ca="1">IFERROR(__xludf.UNSUPPORTED("""COMPUTED_VALUE"""),45258.5166435185)</f>
        <v>45258.516643518502</v>
      </c>
      <c r="I2679" s="3">
        <f ca="1">IFERROR(__xludf.UNSUPPORTED("""COMPUTED_VALUE"""),24)</f>
        <v>24</v>
      </c>
      <c r="J2679" s="4">
        <f ca="1">IFERROR(__xludf.UNSUPPORTED("""COMPUTED_VALUE"""),45259.5166435185)</f>
        <v>45259.516643518502</v>
      </c>
      <c r="L2679" s="3" t="str">
        <f ca="1">IFERROR(__xludf.UNSUPPORTED("""COMPUTED_VALUE"""),"Normalidade")</f>
        <v>Normalidade</v>
      </c>
    </row>
    <row r="2680" spans="1:12" ht="12.75">
      <c r="A2680" s="3" t="str">
        <f ca="1">IFERROR(__xludf.UNSUPPORTED("""COMPUTED_VALUE"""),"95c08a33")</f>
        <v>95c08a33</v>
      </c>
      <c r="B2680" s="4">
        <f ca="1">IFERROR(__xludf.UNSUPPORTED("""COMPUTED_VALUE"""),45259.3808101851)</f>
        <v>45259.380810185103</v>
      </c>
      <c r="C2680" s="8" t="str">
        <f ca="1">IFERROR(__xludf.UNSUPPORTED("""COMPUTED_VALUE"""),"Suape")</f>
        <v>Suape</v>
      </c>
      <c r="D2680" s="3" t="str">
        <f ca="1">IFERROR(__xludf.UNSUPPORTED("""COMPUTED_VALUE"""),"🚢 REGULAR")</f>
        <v>🚢 REGULAR</v>
      </c>
      <c r="E2680" s="3" t="str">
        <f ca="1">IFERROR(__xludf.UNSUPPORTED("""COMPUTED_VALUE"""),"🚛 LIBERADO")</f>
        <v>🚛 LIBERADO</v>
      </c>
      <c r="F2680" s="5">
        <f ca="1">IFERROR(__xludf.UNSUPPORTED("""COMPUTED_VALUE"""),0)</f>
        <v>0</v>
      </c>
      <c r="G2680" s="3" t="str">
        <f ca="1">IFERROR(__xludf.UNSUPPORTED("""COMPUTED_VALUE"""),"Normalidade")</f>
        <v>Normalidade</v>
      </c>
      <c r="H2680" s="4">
        <f ca="1">IFERROR(__xludf.UNSUPPORTED("""COMPUTED_VALUE"""),45259.3808101851)</f>
        <v>45259.380810185103</v>
      </c>
      <c r="I2680" s="3">
        <f ca="1">IFERROR(__xludf.UNSUPPORTED("""COMPUTED_VALUE"""),24)</f>
        <v>24</v>
      </c>
      <c r="J2680" s="4">
        <f ca="1">IFERROR(__xludf.UNSUPPORTED("""COMPUTED_VALUE"""),45260.3808101851)</f>
        <v>45260.380810185103</v>
      </c>
      <c r="L2680" s="3" t="str">
        <f ca="1">IFERROR(__xludf.UNSUPPORTED("""COMPUTED_VALUE"""),"Normalidade")</f>
        <v>Normalidade</v>
      </c>
    </row>
    <row r="2681" spans="1:12" ht="12.75">
      <c r="A2681" s="3" t="str">
        <f ca="1">IFERROR(__xludf.UNSUPPORTED("""COMPUTED_VALUE"""),"c5fcacdf")</f>
        <v>c5fcacdf</v>
      </c>
      <c r="B2681" s="4">
        <f ca="1">IFERROR(__xludf.UNSUPPORTED("""COMPUTED_VALUE"""),45271.4361805555)</f>
        <v>45271.436180555502</v>
      </c>
      <c r="C2681" s="8" t="str">
        <f ca="1">IFERROR(__xludf.UNSUPPORTED("""COMPUTED_VALUE"""),"Suape")</f>
        <v>Suape</v>
      </c>
      <c r="D2681" s="3" t="str">
        <f ca="1">IFERROR(__xludf.UNSUPPORTED("""COMPUTED_VALUE"""),"🚢 REGULAR")</f>
        <v>🚢 REGULAR</v>
      </c>
      <c r="E2681" s="3" t="str">
        <f ca="1">IFERROR(__xludf.UNSUPPORTED("""COMPUTED_VALUE"""),"🚛 LIBERADO")</f>
        <v>🚛 LIBERADO</v>
      </c>
      <c r="F2681" s="5">
        <f ca="1">IFERROR(__xludf.UNSUPPORTED("""COMPUTED_VALUE"""),0)</f>
        <v>0</v>
      </c>
      <c r="G2681" s="3" t="str">
        <f ca="1">IFERROR(__xludf.UNSUPPORTED("""COMPUTED_VALUE"""),"Normalidade")</f>
        <v>Normalidade</v>
      </c>
      <c r="H2681" s="4">
        <f ca="1">IFERROR(__xludf.UNSUPPORTED("""COMPUTED_VALUE"""),45271.4361805555)</f>
        <v>45271.436180555502</v>
      </c>
      <c r="I2681" s="3">
        <f ca="1">IFERROR(__xludf.UNSUPPORTED("""COMPUTED_VALUE"""),24)</f>
        <v>24</v>
      </c>
      <c r="J2681" s="4">
        <f ca="1">IFERROR(__xludf.UNSUPPORTED("""COMPUTED_VALUE"""),45272.4361805555)</f>
        <v>45272.436180555502</v>
      </c>
      <c r="L2681" s="3" t="str">
        <f ca="1">IFERROR(__xludf.UNSUPPORTED("""COMPUTED_VALUE"""),"Normalidade")</f>
        <v>Normalidade</v>
      </c>
    </row>
    <row r="2682" spans="1:12" ht="12.75">
      <c r="A2682" s="3" t="str">
        <f ca="1">IFERROR(__xludf.UNSUPPORTED("""COMPUTED_VALUE"""),"308c6d6a")</f>
        <v>308c6d6a</v>
      </c>
      <c r="B2682" s="4">
        <f ca="1">IFERROR(__xludf.UNSUPPORTED("""COMPUTED_VALUE"""),45272.5420254629)</f>
        <v>45272.542025462899</v>
      </c>
      <c r="C2682" s="8" t="str">
        <f ca="1">IFERROR(__xludf.UNSUPPORTED("""COMPUTED_VALUE"""),"Suape")</f>
        <v>Suape</v>
      </c>
      <c r="D2682" s="3" t="str">
        <f ca="1">IFERROR(__xludf.UNSUPPORTED("""COMPUTED_VALUE"""),"🚢 REGULAR")</f>
        <v>🚢 REGULAR</v>
      </c>
      <c r="E2682" s="3" t="str">
        <f ca="1">IFERROR(__xludf.UNSUPPORTED("""COMPUTED_VALUE"""),"🚛 LIBERADO")</f>
        <v>🚛 LIBERADO</v>
      </c>
      <c r="F2682" s="5">
        <f ca="1">IFERROR(__xludf.UNSUPPORTED("""COMPUTED_VALUE"""),0)</f>
        <v>0</v>
      </c>
      <c r="G2682" s="3" t="str">
        <f ca="1">IFERROR(__xludf.UNSUPPORTED("""COMPUTED_VALUE"""),"Normalidade")</f>
        <v>Normalidade</v>
      </c>
      <c r="H2682" s="4">
        <f ca="1">IFERROR(__xludf.UNSUPPORTED("""COMPUTED_VALUE"""),45272.5420254629)</f>
        <v>45272.542025462899</v>
      </c>
      <c r="I2682" s="3">
        <f ca="1">IFERROR(__xludf.UNSUPPORTED("""COMPUTED_VALUE"""),24)</f>
        <v>24</v>
      </c>
      <c r="J2682" s="4">
        <f ca="1">IFERROR(__xludf.UNSUPPORTED("""COMPUTED_VALUE"""),45273.5420254629)</f>
        <v>45273.542025462899</v>
      </c>
      <c r="L2682" s="3" t="str">
        <f ca="1">IFERROR(__xludf.UNSUPPORTED("""COMPUTED_VALUE"""),"Normalidade")</f>
        <v>Normalidade</v>
      </c>
    </row>
    <row r="2683" spans="1:12" ht="12.75">
      <c r="A2683" s="3" t="str">
        <f ca="1">IFERROR(__xludf.UNSUPPORTED("""COMPUTED_VALUE"""),"359028c1")</f>
        <v>359028c1</v>
      </c>
      <c r="B2683" s="4">
        <f ca="1">IFERROR(__xludf.UNSUPPORTED("""COMPUTED_VALUE"""),45273.5935763888)</f>
        <v>45273.593576388797</v>
      </c>
      <c r="C2683" s="8" t="str">
        <f ca="1">IFERROR(__xludf.UNSUPPORTED("""COMPUTED_VALUE"""),"Suape")</f>
        <v>Suape</v>
      </c>
      <c r="D2683" s="3" t="str">
        <f ca="1">IFERROR(__xludf.UNSUPPORTED("""COMPUTED_VALUE"""),"🚢 REGULAR")</f>
        <v>🚢 REGULAR</v>
      </c>
      <c r="E2683" s="3" t="str">
        <f ca="1">IFERROR(__xludf.UNSUPPORTED("""COMPUTED_VALUE"""),"🚛 LIBERADO")</f>
        <v>🚛 LIBERADO</v>
      </c>
      <c r="F2683" s="5">
        <f ca="1">IFERROR(__xludf.UNSUPPORTED("""COMPUTED_VALUE"""),0)</f>
        <v>0</v>
      </c>
      <c r="G2683" s="3" t="str">
        <f ca="1">IFERROR(__xludf.UNSUPPORTED("""COMPUTED_VALUE"""),"Normalidade")</f>
        <v>Normalidade</v>
      </c>
      <c r="H2683" s="4">
        <f ca="1">IFERROR(__xludf.UNSUPPORTED("""COMPUTED_VALUE"""),45273.5935763888)</f>
        <v>45273.593576388797</v>
      </c>
      <c r="I2683" s="3">
        <f ca="1">IFERROR(__xludf.UNSUPPORTED("""COMPUTED_VALUE"""),24)</f>
        <v>24</v>
      </c>
      <c r="J2683" s="4">
        <f ca="1">IFERROR(__xludf.UNSUPPORTED("""COMPUTED_VALUE"""),45274.5935763888)</f>
        <v>45274.593576388797</v>
      </c>
      <c r="L2683" s="3" t="str">
        <f ca="1">IFERROR(__xludf.UNSUPPORTED("""COMPUTED_VALUE"""),"Normalidade")</f>
        <v>Normalidade</v>
      </c>
    </row>
    <row r="2684" spans="1:12" ht="12.75">
      <c r="A2684" s="3" t="str">
        <f ca="1">IFERROR(__xludf.UNSUPPORTED("""COMPUTED_VALUE"""),"c8e45a81")</f>
        <v>c8e45a81</v>
      </c>
      <c r="B2684" s="4">
        <f ca="1">IFERROR(__xludf.UNSUPPORTED("""COMPUTED_VALUE"""),45282.8785532407)</f>
        <v>45282.878553240698</v>
      </c>
      <c r="C2684" s="7" t="str">
        <f ca="1">IFERROR(__xludf.UNSUPPORTED("""COMPUTED_VALUE"""),"Suape")</f>
        <v>Suape</v>
      </c>
      <c r="D2684" s="3" t="str">
        <f ca="1">IFERROR(__xludf.UNSUPPORTED("""COMPUTED_VALUE"""),"🚢 REGULAR")</f>
        <v>🚢 REGULAR</v>
      </c>
      <c r="E2684" s="3" t="str">
        <f ca="1">IFERROR(__xludf.UNSUPPORTED("""COMPUTED_VALUE"""),"🚛 LIBERADO")</f>
        <v>🚛 LIBERADO</v>
      </c>
      <c r="F2684" s="5">
        <f ca="1">IFERROR(__xludf.UNSUPPORTED("""COMPUTED_VALUE"""),0)</f>
        <v>0</v>
      </c>
      <c r="G2684" s="3" t="str">
        <f ca="1">IFERROR(__xludf.UNSUPPORTED("""COMPUTED_VALUE"""),"Normalidade")</f>
        <v>Normalidade</v>
      </c>
      <c r="H2684" s="4">
        <f ca="1">IFERROR(__xludf.UNSUPPORTED("""COMPUTED_VALUE"""),45282.8785532407)</f>
        <v>45282.878553240698</v>
      </c>
      <c r="I2684" s="3">
        <f ca="1">IFERROR(__xludf.UNSUPPORTED("""COMPUTED_VALUE"""),24)</f>
        <v>24</v>
      </c>
      <c r="J2684" s="4">
        <f ca="1">IFERROR(__xludf.UNSUPPORTED("""COMPUTED_VALUE"""),45283.8785532407)</f>
        <v>45283.878553240698</v>
      </c>
      <c r="L2684" s="3" t="str">
        <f ca="1">IFERROR(__xludf.UNSUPPORTED("""COMPUTED_VALUE"""),"Normalidade")</f>
        <v>Normalidade</v>
      </c>
    </row>
    <row r="2685" spans="1:12" ht="12.75">
      <c r="A2685" s="3" t="str">
        <f ca="1">IFERROR(__xludf.UNSUPPORTED("""COMPUTED_VALUE"""),"510185b4")</f>
        <v>510185b4</v>
      </c>
      <c r="B2685" s="4">
        <f ca="1">IFERROR(__xludf.UNSUPPORTED("""COMPUTED_VALUE"""),45299.4246874999)</f>
        <v>45299.424687499901</v>
      </c>
      <c r="C2685" s="7" t="str">
        <f ca="1">IFERROR(__xludf.UNSUPPORTED("""COMPUTED_VALUE"""),"Suape")</f>
        <v>Suape</v>
      </c>
      <c r="D2685" s="3" t="str">
        <f ca="1">IFERROR(__xludf.UNSUPPORTED("""COMPUTED_VALUE"""),"🚢 REGULAR")</f>
        <v>🚢 REGULAR</v>
      </c>
      <c r="E2685" s="3" t="str">
        <f ca="1">IFERROR(__xludf.UNSUPPORTED("""COMPUTED_VALUE"""),"🚛 LIBERADO")</f>
        <v>🚛 LIBERADO</v>
      </c>
      <c r="F2685" s="5">
        <f ca="1">IFERROR(__xludf.UNSUPPORTED("""COMPUTED_VALUE"""),0)</f>
        <v>0</v>
      </c>
      <c r="G2685" s="3" t="str">
        <f ca="1">IFERROR(__xludf.UNSUPPORTED("""COMPUTED_VALUE"""),"Normalidade")</f>
        <v>Normalidade</v>
      </c>
      <c r="H2685" s="4">
        <f ca="1">IFERROR(__xludf.UNSUPPORTED("""COMPUTED_VALUE"""),45299.4246874999)</f>
        <v>45299.424687499901</v>
      </c>
      <c r="I2685" s="3">
        <f ca="1">IFERROR(__xludf.UNSUPPORTED("""COMPUTED_VALUE"""),24)</f>
        <v>24</v>
      </c>
      <c r="J2685" s="4">
        <f ca="1">IFERROR(__xludf.UNSUPPORTED("""COMPUTED_VALUE"""),45300.4246874999)</f>
        <v>45300.424687499901</v>
      </c>
      <c r="L2685" s="3" t="str">
        <f ca="1">IFERROR(__xludf.UNSUPPORTED("""COMPUTED_VALUE"""),"Normalidade")</f>
        <v>Normalidade</v>
      </c>
    </row>
    <row r="2686" spans="1:12" ht="12.75">
      <c r="A2686" s="3" t="str">
        <f ca="1">IFERROR(__xludf.UNSUPPORTED("""COMPUTED_VALUE"""),"0e1765a8")</f>
        <v>0e1765a8</v>
      </c>
      <c r="B2686" s="4">
        <f ca="1">IFERROR(__xludf.UNSUPPORTED("""COMPUTED_VALUE"""),45300.3938310185)</f>
        <v>45300.393831018497</v>
      </c>
      <c r="C2686" s="8" t="str">
        <f ca="1">IFERROR(__xludf.UNSUPPORTED("""COMPUTED_VALUE"""),"Suape")</f>
        <v>Suape</v>
      </c>
      <c r="D2686" s="3" t="str">
        <f ca="1">IFERROR(__xludf.UNSUPPORTED("""COMPUTED_VALUE"""),"🚢 REGULAR")</f>
        <v>🚢 REGULAR</v>
      </c>
      <c r="E2686" s="3" t="str">
        <f ca="1">IFERROR(__xludf.UNSUPPORTED("""COMPUTED_VALUE"""),"🚛 LIBERADO")</f>
        <v>🚛 LIBERADO</v>
      </c>
      <c r="F2686" s="5">
        <f ca="1">IFERROR(__xludf.UNSUPPORTED("""COMPUTED_VALUE"""),0)</f>
        <v>0</v>
      </c>
      <c r="G2686" s="3" t="str">
        <f ca="1">IFERROR(__xludf.UNSUPPORTED("""COMPUTED_VALUE"""),"Normalidade")</f>
        <v>Normalidade</v>
      </c>
      <c r="H2686" s="4">
        <f ca="1">IFERROR(__xludf.UNSUPPORTED("""COMPUTED_VALUE"""),45300.3938310185)</f>
        <v>45300.393831018497</v>
      </c>
      <c r="I2686" s="3">
        <f ca="1">IFERROR(__xludf.UNSUPPORTED("""COMPUTED_VALUE"""),24)</f>
        <v>24</v>
      </c>
      <c r="J2686" s="4">
        <f ca="1">IFERROR(__xludf.UNSUPPORTED("""COMPUTED_VALUE"""),45301.3938310185)</f>
        <v>45301.393831018497</v>
      </c>
      <c r="L2686" s="3" t="str">
        <f ca="1">IFERROR(__xludf.UNSUPPORTED("""COMPUTED_VALUE"""),"Normalidade")</f>
        <v>Normalidade</v>
      </c>
    </row>
    <row r="2687" spans="1:12" ht="12.75">
      <c r="A2687" s="3" t="str">
        <f ca="1">IFERROR(__xludf.UNSUPPORTED("""COMPUTED_VALUE"""),"ca79f922")</f>
        <v>ca79f922</v>
      </c>
      <c r="B2687" s="4">
        <f ca="1">IFERROR(__xludf.UNSUPPORTED("""COMPUTED_VALUE"""),45301.6530902777)</f>
        <v>45301.653090277701</v>
      </c>
      <c r="C2687" s="8" t="str">
        <f ca="1">IFERROR(__xludf.UNSUPPORTED("""COMPUTED_VALUE"""),"Suape")</f>
        <v>Suape</v>
      </c>
      <c r="D2687" s="3" t="str">
        <f ca="1">IFERROR(__xludf.UNSUPPORTED("""COMPUTED_VALUE"""),"🚢 REGULAR")</f>
        <v>🚢 REGULAR</v>
      </c>
      <c r="E2687" s="3" t="str">
        <f ca="1">IFERROR(__xludf.UNSUPPORTED("""COMPUTED_VALUE"""),"🚛 LIBERADO")</f>
        <v>🚛 LIBERADO</v>
      </c>
      <c r="F2687" s="5">
        <f ca="1">IFERROR(__xludf.UNSUPPORTED("""COMPUTED_VALUE"""),0)</f>
        <v>0</v>
      </c>
      <c r="G2687" s="3" t="str">
        <f ca="1">IFERROR(__xludf.UNSUPPORTED("""COMPUTED_VALUE"""),"Normalidade")</f>
        <v>Normalidade</v>
      </c>
      <c r="H2687" s="4">
        <f ca="1">IFERROR(__xludf.UNSUPPORTED("""COMPUTED_VALUE"""),45301.6530902777)</f>
        <v>45301.653090277701</v>
      </c>
      <c r="I2687" s="3">
        <f ca="1">IFERROR(__xludf.UNSUPPORTED("""COMPUTED_VALUE"""),24)</f>
        <v>24</v>
      </c>
      <c r="J2687" s="4">
        <f ca="1">IFERROR(__xludf.UNSUPPORTED("""COMPUTED_VALUE"""),45302.6530902777)</f>
        <v>45302.653090277701</v>
      </c>
      <c r="L2687" s="3" t="str">
        <f ca="1">IFERROR(__xludf.UNSUPPORTED("""COMPUTED_VALUE"""),"Normalidade")</f>
        <v>Normalidade</v>
      </c>
    </row>
    <row r="2688" spans="1:12" ht="12.75">
      <c r="A2688" s="3" t="str">
        <f ca="1">IFERROR(__xludf.UNSUPPORTED("""COMPUTED_VALUE"""),"ee51ff94")</f>
        <v>ee51ff94</v>
      </c>
      <c r="B2688" s="4">
        <f ca="1">IFERROR(__xludf.UNSUPPORTED("""COMPUTED_VALUE"""),45302.5292592592)</f>
        <v>45302.529259259201</v>
      </c>
      <c r="C2688" s="7" t="str">
        <f ca="1">IFERROR(__xludf.UNSUPPORTED("""COMPUTED_VALUE"""),"Suape")</f>
        <v>Suape</v>
      </c>
      <c r="D2688" s="3" t="str">
        <f ca="1">IFERROR(__xludf.UNSUPPORTED("""COMPUTED_VALUE"""),"🚢 REGULAR")</f>
        <v>🚢 REGULAR</v>
      </c>
      <c r="E2688" s="3" t="str">
        <f ca="1">IFERROR(__xludf.UNSUPPORTED("""COMPUTED_VALUE"""),"🚛 LIBERADO")</f>
        <v>🚛 LIBERADO</v>
      </c>
      <c r="F2688" s="5">
        <f ca="1">IFERROR(__xludf.UNSUPPORTED("""COMPUTED_VALUE"""),0)</f>
        <v>0</v>
      </c>
      <c r="G2688" s="3" t="str">
        <f ca="1">IFERROR(__xludf.UNSUPPORTED("""COMPUTED_VALUE"""),"Normalidade")</f>
        <v>Normalidade</v>
      </c>
      <c r="H2688" s="4">
        <f ca="1">IFERROR(__xludf.UNSUPPORTED("""COMPUTED_VALUE"""),45302.5292592592)</f>
        <v>45302.529259259201</v>
      </c>
      <c r="I2688" s="3">
        <f ca="1">IFERROR(__xludf.UNSUPPORTED("""COMPUTED_VALUE"""),24)</f>
        <v>24</v>
      </c>
      <c r="J2688" s="4">
        <f ca="1">IFERROR(__xludf.UNSUPPORTED("""COMPUTED_VALUE"""),45303.5292592592)</f>
        <v>45303.529259259201</v>
      </c>
      <c r="L2688" s="3" t="str">
        <f ca="1">IFERROR(__xludf.UNSUPPORTED("""COMPUTED_VALUE"""),"Normalidade")</f>
        <v>Normalidade</v>
      </c>
    </row>
    <row r="2689" spans="1:12" ht="12.75">
      <c r="A2689" s="3" t="str">
        <f ca="1">IFERROR(__xludf.UNSUPPORTED("""COMPUTED_VALUE"""),"2c28a0ab")</f>
        <v>2c28a0ab</v>
      </c>
      <c r="B2689" s="4">
        <f ca="1">IFERROR(__xludf.UNSUPPORTED("""COMPUTED_VALUE"""),45309.4776504629)</f>
        <v>45309.477650462897</v>
      </c>
      <c r="C2689" s="7" t="str">
        <f ca="1">IFERROR(__xludf.UNSUPPORTED("""COMPUTED_VALUE"""),"Suape")</f>
        <v>Suape</v>
      </c>
      <c r="D2689" s="3" t="str">
        <f ca="1">IFERROR(__xludf.UNSUPPORTED("""COMPUTED_VALUE"""),"🚢 REGULAR")</f>
        <v>🚢 REGULAR</v>
      </c>
      <c r="E2689" s="3" t="str">
        <f ca="1">IFERROR(__xludf.UNSUPPORTED("""COMPUTED_VALUE"""),"🚛 LIBERADO")</f>
        <v>🚛 LIBERADO</v>
      </c>
      <c r="F2689" s="5">
        <f ca="1">IFERROR(__xludf.UNSUPPORTED("""COMPUTED_VALUE"""),0)</f>
        <v>0</v>
      </c>
      <c r="G2689" s="3" t="str">
        <f ca="1">IFERROR(__xludf.UNSUPPORTED("""COMPUTED_VALUE"""),"Normalidade")</f>
        <v>Normalidade</v>
      </c>
      <c r="H2689" s="4">
        <f ca="1">IFERROR(__xludf.UNSUPPORTED("""COMPUTED_VALUE"""),45309.4776504629)</f>
        <v>45309.477650462897</v>
      </c>
      <c r="I2689" s="3">
        <f ca="1">IFERROR(__xludf.UNSUPPORTED("""COMPUTED_VALUE"""),24)</f>
        <v>24</v>
      </c>
      <c r="J2689" s="4">
        <f ca="1">IFERROR(__xludf.UNSUPPORTED("""COMPUTED_VALUE"""),45310.4776504629)</f>
        <v>45310.477650462897</v>
      </c>
      <c r="L2689" s="3" t="str">
        <f ca="1">IFERROR(__xludf.UNSUPPORTED("""COMPUTED_VALUE"""),"Normalidade")</f>
        <v>Normalidade</v>
      </c>
    </row>
    <row r="2690" spans="1:12" ht="12.75">
      <c r="A2690" s="3" t="str">
        <f ca="1">IFERROR(__xludf.UNSUPPORTED("""COMPUTED_VALUE"""),"e786e94f")</f>
        <v>e786e94f</v>
      </c>
      <c r="B2690" s="4">
        <f ca="1">IFERROR(__xludf.UNSUPPORTED("""COMPUTED_VALUE"""),45313.4941550925)</f>
        <v>45313.4941550925</v>
      </c>
      <c r="C2690" s="7" t="str">
        <f ca="1">IFERROR(__xludf.UNSUPPORTED("""COMPUTED_VALUE"""),"Suape")</f>
        <v>Suape</v>
      </c>
      <c r="D2690" s="3" t="str">
        <f ca="1">IFERROR(__xludf.UNSUPPORTED("""COMPUTED_VALUE"""),"🚢 REGULAR")</f>
        <v>🚢 REGULAR</v>
      </c>
      <c r="E2690" s="3" t="str">
        <f ca="1">IFERROR(__xludf.UNSUPPORTED("""COMPUTED_VALUE"""),"🚛 LIBERADO")</f>
        <v>🚛 LIBERADO</v>
      </c>
      <c r="F2690" s="5">
        <f ca="1">IFERROR(__xludf.UNSUPPORTED("""COMPUTED_VALUE"""),0)</f>
        <v>0</v>
      </c>
      <c r="G2690" s="3" t="str">
        <f ca="1">IFERROR(__xludf.UNSUPPORTED("""COMPUTED_VALUE"""),"Normalidade")</f>
        <v>Normalidade</v>
      </c>
      <c r="H2690" s="4">
        <f ca="1">IFERROR(__xludf.UNSUPPORTED("""COMPUTED_VALUE"""),45313.4941550925)</f>
        <v>45313.4941550925</v>
      </c>
      <c r="I2690" s="3">
        <f ca="1">IFERROR(__xludf.UNSUPPORTED("""COMPUTED_VALUE"""),24)</f>
        <v>24</v>
      </c>
      <c r="J2690" s="4">
        <f ca="1">IFERROR(__xludf.UNSUPPORTED("""COMPUTED_VALUE"""),45314.4941550925)</f>
        <v>45314.4941550925</v>
      </c>
      <c r="L2690" s="3" t="str">
        <f ca="1">IFERROR(__xludf.UNSUPPORTED("""COMPUTED_VALUE"""),"Normalidade")</f>
        <v>Normalidade</v>
      </c>
    </row>
    <row r="2691" spans="1:12" ht="12.75">
      <c r="A2691" s="3" t="str">
        <f ca="1">IFERROR(__xludf.UNSUPPORTED("""COMPUTED_VALUE"""),"14929acb")</f>
        <v>14929acb</v>
      </c>
      <c r="B2691" s="4">
        <f ca="1">IFERROR(__xludf.UNSUPPORTED("""COMPUTED_VALUE"""),45314.352511574)</f>
        <v>45314.352511573998</v>
      </c>
      <c r="C2691" s="7" t="str">
        <f ca="1">IFERROR(__xludf.UNSUPPORTED("""COMPUTED_VALUE"""),"Suape")</f>
        <v>Suape</v>
      </c>
      <c r="D2691" s="3" t="str">
        <f ca="1">IFERROR(__xludf.UNSUPPORTED("""COMPUTED_VALUE"""),"🚢 REGULAR")</f>
        <v>🚢 REGULAR</v>
      </c>
      <c r="E2691" s="3" t="str">
        <f ca="1">IFERROR(__xludf.UNSUPPORTED("""COMPUTED_VALUE"""),"🚛 LIBERADO")</f>
        <v>🚛 LIBERADO</v>
      </c>
      <c r="F2691" s="5">
        <f ca="1">IFERROR(__xludf.UNSUPPORTED("""COMPUTED_VALUE"""),0)</f>
        <v>0</v>
      </c>
      <c r="G2691" s="3" t="str">
        <f ca="1">IFERROR(__xludf.UNSUPPORTED("""COMPUTED_VALUE"""),"Normalidade")</f>
        <v>Normalidade</v>
      </c>
      <c r="H2691" s="4">
        <f ca="1">IFERROR(__xludf.UNSUPPORTED("""COMPUTED_VALUE"""),45314.352511574)</f>
        <v>45314.352511573998</v>
      </c>
      <c r="I2691" s="3">
        <f ca="1">IFERROR(__xludf.UNSUPPORTED("""COMPUTED_VALUE"""),24)</f>
        <v>24</v>
      </c>
      <c r="J2691" s="4">
        <f ca="1">IFERROR(__xludf.UNSUPPORTED("""COMPUTED_VALUE"""),45315.352511574)</f>
        <v>45315.352511573998</v>
      </c>
      <c r="L2691" s="3" t="str">
        <f ca="1">IFERROR(__xludf.UNSUPPORTED("""COMPUTED_VALUE"""),"Normalidade")</f>
        <v>Normalidade</v>
      </c>
    </row>
    <row r="2692" spans="1:12" ht="12.75">
      <c r="A2692" s="3" t="str">
        <f ca="1">IFERROR(__xludf.UNSUPPORTED("""COMPUTED_VALUE"""),"1857a373")</f>
        <v>1857a373</v>
      </c>
      <c r="B2692" s="4">
        <f ca="1">IFERROR(__xludf.UNSUPPORTED("""COMPUTED_VALUE"""),45315.4407638888)</f>
        <v>45315.440763888801</v>
      </c>
      <c r="C2692" s="8" t="str">
        <f ca="1">IFERROR(__xludf.UNSUPPORTED("""COMPUTED_VALUE"""),"Suape")</f>
        <v>Suape</v>
      </c>
      <c r="D2692" s="3" t="str">
        <f ca="1">IFERROR(__xludf.UNSUPPORTED("""COMPUTED_VALUE"""),"🚢 REGULAR")</f>
        <v>🚢 REGULAR</v>
      </c>
      <c r="E2692" s="3" t="str">
        <f ca="1">IFERROR(__xludf.UNSUPPORTED("""COMPUTED_VALUE"""),"🚛 LIBERADO")</f>
        <v>🚛 LIBERADO</v>
      </c>
      <c r="F2692" s="5">
        <f ca="1">IFERROR(__xludf.UNSUPPORTED("""COMPUTED_VALUE"""),0)</f>
        <v>0</v>
      </c>
      <c r="G2692" s="3" t="str">
        <f ca="1">IFERROR(__xludf.UNSUPPORTED("""COMPUTED_VALUE"""),"Normalidade")</f>
        <v>Normalidade</v>
      </c>
      <c r="H2692" s="4">
        <f ca="1">IFERROR(__xludf.UNSUPPORTED("""COMPUTED_VALUE"""),45315.4407638888)</f>
        <v>45315.440763888801</v>
      </c>
      <c r="I2692" s="3">
        <f ca="1">IFERROR(__xludf.UNSUPPORTED("""COMPUTED_VALUE"""),24)</f>
        <v>24</v>
      </c>
      <c r="J2692" s="4">
        <f ca="1">IFERROR(__xludf.UNSUPPORTED("""COMPUTED_VALUE"""),45316.4407638888)</f>
        <v>45316.440763888801</v>
      </c>
      <c r="L2692" s="3" t="str">
        <f ca="1">IFERROR(__xludf.UNSUPPORTED("""COMPUTED_VALUE"""),"Normalidade")</f>
        <v>Normalidade</v>
      </c>
    </row>
    <row r="2693" spans="1:12" ht="12.75">
      <c r="A2693" s="3" t="str">
        <f ca="1">IFERROR(__xludf.UNSUPPORTED("""COMPUTED_VALUE"""),"c3f26a5a")</f>
        <v>c3f26a5a</v>
      </c>
      <c r="B2693" s="4">
        <f ca="1">IFERROR(__xludf.UNSUPPORTED("""COMPUTED_VALUE"""),45316.3744675925)</f>
        <v>45316.374467592497</v>
      </c>
      <c r="C2693" s="7" t="str">
        <f ca="1">IFERROR(__xludf.UNSUPPORTED("""COMPUTED_VALUE"""),"Suape")</f>
        <v>Suape</v>
      </c>
      <c r="D2693" s="3" t="str">
        <f ca="1">IFERROR(__xludf.UNSUPPORTED("""COMPUTED_VALUE"""),"🚢 REGULAR")</f>
        <v>🚢 REGULAR</v>
      </c>
      <c r="E2693" s="3" t="str">
        <f ca="1">IFERROR(__xludf.UNSUPPORTED("""COMPUTED_VALUE"""),"🚛 LIBERADO")</f>
        <v>🚛 LIBERADO</v>
      </c>
      <c r="F2693" s="5">
        <f ca="1">IFERROR(__xludf.UNSUPPORTED("""COMPUTED_VALUE"""),0)</f>
        <v>0</v>
      </c>
      <c r="G2693" s="3" t="str">
        <f ca="1">IFERROR(__xludf.UNSUPPORTED("""COMPUTED_VALUE"""),"Normalidade")</f>
        <v>Normalidade</v>
      </c>
      <c r="H2693" s="4">
        <f ca="1">IFERROR(__xludf.UNSUPPORTED("""COMPUTED_VALUE"""),45316.3744675925)</f>
        <v>45316.374467592497</v>
      </c>
      <c r="I2693" s="3">
        <f ca="1">IFERROR(__xludf.UNSUPPORTED("""COMPUTED_VALUE"""),24)</f>
        <v>24</v>
      </c>
      <c r="J2693" s="4">
        <f ca="1">IFERROR(__xludf.UNSUPPORTED("""COMPUTED_VALUE"""),45317.3744675925)</f>
        <v>45317.374467592497</v>
      </c>
      <c r="L2693" s="3" t="str">
        <f ca="1">IFERROR(__xludf.UNSUPPORTED("""COMPUTED_VALUE"""),"Normalidade")</f>
        <v>Normalidade</v>
      </c>
    </row>
    <row r="2694" spans="1:12" ht="12.75">
      <c r="A2694" s="3" t="str">
        <f ca="1">IFERROR(__xludf.UNSUPPORTED("""COMPUTED_VALUE"""),"0110e3f6")</f>
        <v>0110e3f6</v>
      </c>
      <c r="B2694" s="4">
        <f ca="1">IFERROR(__xludf.UNSUPPORTED("""COMPUTED_VALUE"""),45317.445)</f>
        <v>45317.445</v>
      </c>
      <c r="C2694" s="8" t="str">
        <f ca="1">IFERROR(__xludf.UNSUPPORTED("""COMPUTED_VALUE"""),"Suape")</f>
        <v>Suape</v>
      </c>
      <c r="D2694" s="3" t="str">
        <f ca="1">IFERROR(__xludf.UNSUPPORTED("""COMPUTED_VALUE"""),"🚢 REGULAR")</f>
        <v>🚢 REGULAR</v>
      </c>
      <c r="E2694" s="3" t="str">
        <f ca="1">IFERROR(__xludf.UNSUPPORTED("""COMPUTED_VALUE"""),"🚛 LIBERADO")</f>
        <v>🚛 LIBERADO</v>
      </c>
      <c r="F2694" s="5">
        <f ca="1">IFERROR(__xludf.UNSUPPORTED("""COMPUTED_VALUE"""),0)</f>
        <v>0</v>
      </c>
      <c r="G2694" s="3" t="str">
        <f ca="1">IFERROR(__xludf.UNSUPPORTED("""COMPUTED_VALUE"""),"Normalidade")</f>
        <v>Normalidade</v>
      </c>
      <c r="H2694" s="4">
        <f ca="1">IFERROR(__xludf.UNSUPPORTED("""COMPUTED_VALUE"""),45317.445)</f>
        <v>45317.445</v>
      </c>
      <c r="I2694" s="3">
        <f ca="1">IFERROR(__xludf.UNSUPPORTED("""COMPUTED_VALUE"""),24)</f>
        <v>24</v>
      </c>
      <c r="J2694" s="4">
        <f ca="1">IFERROR(__xludf.UNSUPPORTED("""COMPUTED_VALUE"""),45318.445)</f>
        <v>45318.445</v>
      </c>
      <c r="L2694" s="3" t="str">
        <f ca="1">IFERROR(__xludf.UNSUPPORTED("""COMPUTED_VALUE"""),"Normalidade")</f>
        <v>Normalidade</v>
      </c>
    </row>
    <row r="2695" spans="1:12" ht="12.75">
      <c r="A2695" s="3" t="str">
        <f ca="1">IFERROR(__xludf.UNSUPPORTED("""COMPUTED_VALUE"""),"646c24a2")</f>
        <v>646c24a2</v>
      </c>
      <c r="B2695" s="4">
        <f ca="1">IFERROR(__xludf.UNSUPPORTED("""COMPUTED_VALUE"""),45320.416412037)</f>
        <v>45320.416412036997</v>
      </c>
      <c r="C2695" s="8" t="str">
        <f ca="1">IFERROR(__xludf.UNSUPPORTED("""COMPUTED_VALUE"""),"Suape")</f>
        <v>Suape</v>
      </c>
      <c r="D2695" s="3" t="str">
        <f ca="1">IFERROR(__xludf.UNSUPPORTED("""COMPUTED_VALUE"""),"🚢 REGULAR")</f>
        <v>🚢 REGULAR</v>
      </c>
      <c r="E2695" s="3" t="str">
        <f ca="1">IFERROR(__xludf.UNSUPPORTED("""COMPUTED_VALUE"""),"🚛 LIBERADO")</f>
        <v>🚛 LIBERADO</v>
      </c>
      <c r="F2695" s="5">
        <f ca="1">IFERROR(__xludf.UNSUPPORTED("""COMPUTED_VALUE"""),0)</f>
        <v>0</v>
      </c>
      <c r="G2695" s="3" t="str">
        <f ca="1">IFERROR(__xludf.UNSUPPORTED("""COMPUTED_VALUE"""),"Normalidade")</f>
        <v>Normalidade</v>
      </c>
      <c r="H2695" s="4">
        <f ca="1">IFERROR(__xludf.UNSUPPORTED("""COMPUTED_VALUE"""),45320.416412037)</f>
        <v>45320.416412036997</v>
      </c>
      <c r="I2695" s="3">
        <f ca="1">IFERROR(__xludf.UNSUPPORTED("""COMPUTED_VALUE"""),24)</f>
        <v>24</v>
      </c>
      <c r="J2695" s="4">
        <f ca="1">IFERROR(__xludf.UNSUPPORTED("""COMPUTED_VALUE"""),45321.416412037)</f>
        <v>45321.416412036997</v>
      </c>
      <c r="L2695" s="3" t="str">
        <f ca="1">IFERROR(__xludf.UNSUPPORTED("""COMPUTED_VALUE"""),"Normalidade")</f>
        <v>Normalidade</v>
      </c>
    </row>
    <row r="2696" spans="1:12" ht="12.75">
      <c r="A2696" s="3" t="str">
        <f ca="1">IFERROR(__xludf.UNSUPPORTED("""COMPUTED_VALUE"""),"0f68e201")</f>
        <v>0f68e201</v>
      </c>
      <c r="B2696" s="4">
        <f ca="1">IFERROR(__xludf.UNSUPPORTED("""COMPUTED_VALUE"""),45321.4058796296)</f>
        <v>45321.405879629601</v>
      </c>
      <c r="C2696" s="7" t="str">
        <f ca="1">IFERROR(__xludf.UNSUPPORTED("""COMPUTED_VALUE"""),"Suape")</f>
        <v>Suape</v>
      </c>
      <c r="D2696" s="3" t="str">
        <f ca="1">IFERROR(__xludf.UNSUPPORTED("""COMPUTED_VALUE"""),"🚢 REGULAR")</f>
        <v>🚢 REGULAR</v>
      </c>
      <c r="E2696" s="3" t="str">
        <f ca="1">IFERROR(__xludf.UNSUPPORTED("""COMPUTED_VALUE"""),"🚛 LIBERADO")</f>
        <v>🚛 LIBERADO</v>
      </c>
      <c r="F2696" s="5">
        <f ca="1">IFERROR(__xludf.UNSUPPORTED("""COMPUTED_VALUE"""),0)</f>
        <v>0</v>
      </c>
      <c r="G2696" s="3" t="str">
        <f ca="1">IFERROR(__xludf.UNSUPPORTED("""COMPUTED_VALUE"""),"Normalidade")</f>
        <v>Normalidade</v>
      </c>
      <c r="H2696" s="4">
        <f ca="1">IFERROR(__xludf.UNSUPPORTED("""COMPUTED_VALUE"""),45321.4058796296)</f>
        <v>45321.405879629601</v>
      </c>
      <c r="I2696" s="3">
        <f ca="1">IFERROR(__xludf.UNSUPPORTED("""COMPUTED_VALUE"""),24)</f>
        <v>24</v>
      </c>
      <c r="J2696" s="4">
        <f ca="1">IFERROR(__xludf.UNSUPPORTED("""COMPUTED_VALUE"""),45322.4058796296)</f>
        <v>45322.405879629601</v>
      </c>
      <c r="L2696" s="3" t="str">
        <f ca="1">IFERROR(__xludf.UNSUPPORTED("""COMPUTED_VALUE"""),"Normalidade")</f>
        <v>Normalidade</v>
      </c>
    </row>
    <row r="2697" spans="1:12" ht="12.75">
      <c r="A2697" s="3" t="str">
        <f ca="1">IFERROR(__xludf.UNSUPPORTED("""COMPUTED_VALUE"""),"9e3c894e")</f>
        <v>9e3c894e</v>
      </c>
      <c r="B2697" s="4">
        <f ca="1">IFERROR(__xludf.UNSUPPORTED("""COMPUTED_VALUE"""),45322.3706481481)</f>
        <v>45322.370648148099</v>
      </c>
      <c r="C2697" s="8" t="str">
        <f ca="1">IFERROR(__xludf.UNSUPPORTED("""COMPUTED_VALUE"""),"Suape")</f>
        <v>Suape</v>
      </c>
      <c r="D2697" s="3" t="str">
        <f ca="1">IFERROR(__xludf.UNSUPPORTED("""COMPUTED_VALUE"""),"🚢 REGULAR")</f>
        <v>🚢 REGULAR</v>
      </c>
      <c r="E2697" s="3" t="str">
        <f ca="1">IFERROR(__xludf.UNSUPPORTED("""COMPUTED_VALUE"""),"🚛 LIBERADO")</f>
        <v>🚛 LIBERADO</v>
      </c>
      <c r="F2697" s="5">
        <f ca="1">IFERROR(__xludf.UNSUPPORTED("""COMPUTED_VALUE"""),0)</f>
        <v>0</v>
      </c>
      <c r="G2697" s="3" t="str">
        <f ca="1">IFERROR(__xludf.UNSUPPORTED("""COMPUTED_VALUE"""),"Normalidade")</f>
        <v>Normalidade</v>
      </c>
      <c r="H2697" s="4">
        <f ca="1">IFERROR(__xludf.UNSUPPORTED("""COMPUTED_VALUE"""),45322.3706481481)</f>
        <v>45322.370648148099</v>
      </c>
      <c r="I2697" s="3">
        <f ca="1">IFERROR(__xludf.UNSUPPORTED("""COMPUTED_VALUE"""),24)</f>
        <v>24</v>
      </c>
      <c r="J2697" s="4">
        <f ca="1">IFERROR(__xludf.UNSUPPORTED("""COMPUTED_VALUE"""),45323.3706481481)</f>
        <v>45323.370648148099</v>
      </c>
      <c r="L2697" s="3" t="str">
        <f ca="1">IFERROR(__xludf.UNSUPPORTED("""COMPUTED_VALUE"""),"Normalidade")</f>
        <v>Normalidade</v>
      </c>
    </row>
    <row r="2698" spans="1:12" ht="12.75">
      <c r="A2698" s="3" t="str">
        <f ca="1">IFERROR(__xludf.UNSUPPORTED("""COMPUTED_VALUE"""),"c04f32f9")</f>
        <v>c04f32f9</v>
      </c>
      <c r="B2698" s="4">
        <f ca="1">IFERROR(__xludf.UNSUPPORTED("""COMPUTED_VALUE"""),45324.415011574)</f>
        <v>45324.415011573998</v>
      </c>
      <c r="C2698" s="7" t="str">
        <f ca="1">IFERROR(__xludf.UNSUPPORTED("""COMPUTED_VALUE"""),"Suape")</f>
        <v>Suape</v>
      </c>
      <c r="D2698" s="3" t="str">
        <f ca="1">IFERROR(__xludf.UNSUPPORTED("""COMPUTED_VALUE"""),"🚢 REGULAR")</f>
        <v>🚢 REGULAR</v>
      </c>
      <c r="E2698" s="3" t="str">
        <f ca="1">IFERROR(__xludf.UNSUPPORTED("""COMPUTED_VALUE"""),"🚛 LIBERADO")</f>
        <v>🚛 LIBERADO</v>
      </c>
      <c r="F2698" s="5">
        <f ca="1">IFERROR(__xludf.UNSUPPORTED("""COMPUTED_VALUE"""),0)</f>
        <v>0</v>
      </c>
      <c r="G2698" s="3" t="str">
        <f ca="1">IFERROR(__xludf.UNSUPPORTED("""COMPUTED_VALUE"""),"Normalidade")</f>
        <v>Normalidade</v>
      </c>
      <c r="H2698" s="4">
        <f ca="1">IFERROR(__xludf.UNSUPPORTED("""COMPUTED_VALUE"""),45324.415011574)</f>
        <v>45324.415011573998</v>
      </c>
      <c r="I2698" s="3">
        <f ca="1">IFERROR(__xludf.UNSUPPORTED("""COMPUTED_VALUE"""),24)</f>
        <v>24</v>
      </c>
      <c r="J2698" s="4">
        <f ca="1">IFERROR(__xludf.UNSUPPORTED("""COMPUTED_VALUE"""),45325.415011574)</f>
        <v>45325.415011573998</v>
      </c>
      <c r="L2698" s="3" t="str">
        <f ca="1">IFERROR(__xludf.UNSUPPORTED("""COMPUTED_VALUE"""),"Normalidade")</f>
        <v>Normalidade</v>
      </c>
    </row>
    <row r="2699" spans="1:12" ht="12.75">
      <c r="A2699" s="3" t="str">
        <f ca="1">IFERROR(__xludf.UNSUPPORTED("""COMPUTED_VALUE"""),"04bc94c2")</f>
        <v>04bc94c2</v>
      </c>
      <c r="B2699" s="4">
        <f ca="1">IFERROR(__xludf.UNSUPPORTED("""COMPUTED_VALUE"""),45327.4075578703)</f>
        <v>45327.407557870298</v>
      </c>
      <c r="C2699" s="8" t="str">
        <f ca="1">IFERROR(__xludf.UNSUPPORTED("""COMPUTED_VALUE"""),"Suape")</f>
        <v>Suape</v>
      </c>
      <c r="D2699" s="3" t="str">
        <f ca="1">IFERROR(__xludf.UNSUPPORTED("""COMPUTED_VALUE"""),"🚢 REGULAR")</f>
        <v>🚢 REGULAR</v>
      </c>
      <c r="E2699" s="3" t="str">
        <f ca="1">IFERROR(__xludf.UNSUPPORTED("""COMPUTED_VALUE"""),"🚛 LIBERADO")</f>
        <v>🚛 LIBERADO</v>
      </c>
      <c r="F2699" s="5">
        <f ca="1">IFERROR(__xludf.UNSUPPORTED("""COMPUTED_VALUE"""),0)</f>
        <v>0</v>
      </c>
      <c r="G2699" s="3" t="str">
        <f ca="1">IFERROR(__xludf.UNSUPPORTED("""COMPUTED_VALUE"""),"Normalidade")</f>
        <v>Normalidade</v>
      </c>
      <c r="H2699" s="4">
        <f ca="1">IFERROR(__xludf.UNSUPPORTED("""COMPUTED_VALUE"""),45327.4075578703)</f>
        <v>45327.407557870298</v>
      </c>
      <c r="I2699" s="3">
        <f ca="1">IFERROR(__xludf.UNSUPPORTED("""COMPUTED_VALUE"""),24)</f>
        <v>24</v>
      </c>
      <c r="J2699" s="4">
        <f ca="1">IFERROR(__xludf.UNSUPPORTED("""COMPUTED_VALUE"""),45328.4075578703)</f>
        <v>45328.407557870298</v>
      </c>
      <c r="L2699" s="3" t="str">
        <f ca="1">IFERROR(__xludf.UNSUPPORTED("""COMPUTED_VALUE"""),"Normalidade")</f>
        <v>Normalidade</v>
      </c>
    </row>
    <row r="2700" spans="1:12" ht="12.75">
      <c r="A2700" s="3" t="str">
        <f ca="1">IFERROR(__xludf.UNSUPPORTED("""COMPUTED_VALUE"""),"f34233b1")</f>
        <v>f34233b1</v>
      </c>
      <c r="B2700" s="4">
        <f ca="1">IFERROR(__xludf.UNSUPPORTED("""COMPUTED_VALUE"""),45329.4119328703)</f>
        <v>45329.411932870302</v>
      </c>
      <c r="C2700" s="8" t="str">
        <f ca="1">IFERROR(__xludf.UNSUPPORTED("""COMPUTED_VALUE"""),"Suape")</f>
        <v>Suape</v>
      </c>
      <c r="D2700" s="3" t="str">
        <f ca="1">IFERROR(__xludf.UNSUPPORTED("""COMPUTED_VALUE"""),"🚢 REGULAR")</f>
        <v>🚢 REGULAR</v>
      </c>
      <c r="E2700" s="3" t="str">
        <f ca="1">IFERROR(__xludf.UNSUPPORTED("""COMPUTED_VALUE"""),"🚛 LIBERADO")</f>
        <v>🚛 LIBERADO</v>
      </c>
      <c r="F2700" s="5">
        <f ca="1">IFERROR(__xludf.UNSUPPORTED("""COMPUTED_VALUE"""),0)</f>
        <v>0</v>
      </c>
      <c r="G2700" s="3" t="str">
        <f ca="1">IFERROR(__xludf.UNSUPPORTED("""COMPUTED_VALUE"""),"Normalidade")</f>
        <v>Normalidade</v>
      </c>
      <c r="H2700" s="4">
        <f ca="1">IFERROR(__xludf.UNSUPPORTED("""COMPUTED_VALUE"""),45329.4119328703)</f>
        <v>45329.411932870302</v>
      </c>
      <c r="I2700" s="3">
        <f ca="1">IFERROR(__xludf.UNSUPPORTED("""COMPUTED_VALUE"""),24)</f>
        <v>24</v>
      </c>
      <c r="J2700" s="4">
        <f ca="1">IFERROR(__xludf.UNSUPPORTED("""COMPUTED_VALUE"""),45330.4119328703)</f>
        <v>45330.411932870302</v>
      </c>
      <c r="L2700" s="3" t="str">
        <f ca="1">IFERROR(__xludf.UNSUPPORTED("""COMPUTED_VALUE"""),"Normalidade")</f>
        <v>Normalidade</v>
      </c>
    </row>
    <row r="2701" spans="1:12" ht="12.75">
      <c r="A2701" s="3" t="str">
        <f ca="1">IFERROR(__xludf.UNSUPPORTED("""COMPUTED_VALUE"""),"2fb60db4")</f>
        <v>2fb60db4</v>
      </c>
      <c r="B2701" s="4">
        <f ca="1">IFERROR(__xludf.UNSUPPORTED("""COMPUTED_VALUE"""),45337.4867708333)</f>
        <v>45337.486770833297</v>
      </c>
      <c r="C2701" s="8" t="str">
        <f ca="1">IFERROR(__xludf.UNSUPPORTED("""COMPUTED_VALUE"""),"Suape")</f>
        <v>Suape</v>
      </c>
      <c r="D2701" s="3" t="str">
        <f ca="1">IFERROR(__xludf.UNSUPPORTED("""COMPUTED_VALUE"""),"🚢 REGULAR")</f>
        <v>🚢 REGULAR</v>
      </c>
      <c r="E2701" s="3" t="str">
        <f ca="1">IFERROR(__xludf.UNSUPPORTED("""COMPUTED_VALUE"""),"🚛 LIBERADO")</f>
        <v>🚛 LIBERADO</v>
      </c>
      <c r="F2701" s="5">
        <f ca="1">IFERROR(__xludf.UNSUPPORTED("""COMPUTED_VALUE"""),0)</f>
        <v>0</v>
      </c>
      <c r="G2701" s="3" t="str">
        <f ca="1">IFERROR(__xludf.UNSUPPORTED("""COMPUTED_VALUE"""),"Normalidade")</f>
        <v>Normalidade</v>
      </c>
      <c r="H2701" s="4">
        <f ca="1">IFERROR(__xludf.UNSUPPORTED("""COMPUTED_VALUE"""),45337.4867708333)</f>
        <v>45337.486770833297</v>
      </c>
      <c r="I2701" s="3">
        <f ca="1">IFERROR(__xludf.UNSUPPORTED("""COMPUTED_VALUE"""),24)</f>
        <v>24</v>
      </c>
      <c r="J2701" s="4">
        <f ca="1">IFERROR(__xludf.UNSUPPORTED("""COMPUTED_VALUE"""),45338.4867708333)</f>
        <v>45338.486770833297</v>
      </c>
      <c r="L2701" s="3" t="str">
        <f ca="1">IFERROR(__xludf.UNSUPPORTED("""COMPUTED_VALUE"""),"Normalidade")</f>
        <v>Normalidade</v>
      </c>
    </row>
    <row r="2702" spans="1:12" ht="12.75">
      <c r="A2702" s="3" t="str">
        <f ca="1">IFERROR(__xludf.UNSUPPORTED("""COMPUTED_VALUE"""),"6c7e23f8")</f>
        <v>6c7e23f8</v>
      </c>
      <c r="B2702" s="4">
        <f ca="1">IFERROR(__xludf.UNSUPPORTED("""COMPUTED_VALUE"""),45341.4688657407)</f>
        <v>45341.468865740702</v>
      </c>
      <c r="C2702" s="7" t="str">
        <f ca="1">IFERROR(__xludf.UNSUPPORTED("""COMPUTED_VALUE"""),"Suape")</f>
        <v>Suape</v>
      </c>
      <c r="D2702" s="3" t="str">
        <f ca="1">IFERROR(__xludf.UNSUPPORTED("""COMPUTED_VALUE"""),"🚢 REGULAR")</f>
        <v>🚢 REGULAR</v>
      </c>
      <c r="E2702" s="3" t="str">
        <f ca="1">IFERROR(__xludf.UNSUPPORTED("""COMPUTED_VALUE"""),"🚛 LIBERADO")</f>
        <v>🚛 LIBERADO</v>
      </c>
      <c r="F2702" s="5">
        <f ca="1">IFERROR(__xludf.UNSUPPORTED("""COMPUTED_VALUE"""),0)</f>
        <v>0</v>
      </c>
      <c r="G2702" s="3" t="str">
        <f ca="1">IFERROR(__xludf.UNSUPPORTED("""COMPUTED_VALUE"""),"Normalidade")</f>
        <v>Normalidade</v>
      </c>
      <c r="H2702" s="4">
        <f ca="1">IFERROR(__xludf.UNSUPPORTED("""COMPUTED_VALUE"""),45341.4688657407)</f>
        <v>45341.468865740702</v>
      </c>
      <c r="I2702" s="3">
        <f ca="1">IFERROR(__xludf.UNSUPPORTED("""COMPUTED_VALUE"""),24)</f>
        <v>24</v>
      </c>
      <c r="J2702" s="4">
        <f ca="1">IFERROR(__xludf.UNSUPPORTED("""COMPUTED_VALUE"""),45342.4688657407)</f>
        <v>45342.468865740702</v>
      </c>
      <c r="L2702" s="3" t="str">
        <f ca="1">IFERROR(__xludf.UNSUPPORTED("""COMPUTED_VALUE"""),"Normalidade")</f>
        <v>Normalidade</v>
      </c>
    </row>
    <row r="2703" spans="1:12" ht="12.75">
      <c r="A2703" s="3" t="str">
        <f ca="1">IFERROR(__xludf.UNSUPPORTED("""COMPUTED_VALUE"""),"3866a420")</f>
        <v>3866a420</v>
      </c>
      <c r="B2703" s="4">
        <f ca="1">IFERROR(__xludf.UNSUPPORTED("""COMPUTED_VALUE"""),45342.3571759259)</f>
        <v>45342.357175925899</v>
      </c>
      <c r="C2703" s="7" t="str">
        <f ca="1">IFERROR(__xludf.UNSUPPORTED("""COMPUTED_VALUE"""),"Suape")</f>
        <v>Suape</v>
      </c>
      <c r="D2703" s="3" t="str">
        <f ca="1">IFERROR(__xludf.UNSUPPORTED("""COMPUTED_VALUE"""),"🚢 REGULAR")</f>
        <v>🚢 REGULAR</v>
      </c>
      <c r="E2703" s="3" t="str">
        <f ca="1">IFERROR(__xludf.UNSUPPORTED("""COMPUTED_VALUE"""),"🚛 LIBERADO")</f>
        <v>🚛 LIBERADO</v>
      </c>
      <c r="F2703" s="5">
        <f ca="1">IFERROR(__xludf.UNSUPPORTED("""COMPUTED_VALUE"""),0)</f>
        <v>0</v>
      </c>
      <c r="G2703" s="3" t="str">
        <f ca="1">IFERROR(__xludf.UNSUPPORTED("""COMPUTED_VALUE"""),"Normalidade")</f>
        <v>Normalidade</v>
      </c>
      <c r="H2703" s="4">
        <f ca="1">IFERROR(__xludf.UNSUPPORTED("""COMPUTED_VALUE"""),45342.3571759259)</f>
        <v>45342.357175925899</v>
      </c>
      <c r="I2703" s="3">
        <f ca="1">IFERROR(__xludf.UNSUPPORTED("""COMPUTED_VALUE"""),24)</f>
        <v>24</v>
      </c>
      <c r="J2703" s="4">
        <f ca="1">IFERROR(__xludf.UNSUPPORTED("""COMPUTED_VALUE"""),45343.3571759259)</f>
        <v>45343.357175925899</v>
      </c>
      <c r="L2703" s="3" t="str">
        <f ca="1">IFERROR(__xludf.UNSUPPORTED("""COMPUTED_VALUE"""),"Normalidade")</f>
        <v>Normalidade</v>
      </c>
    </row>
    <row r="2704" spans="1:12" ht="12.75">
      <c r="A2704" s="3" t="str">
        <f ca="1">IFERROR(__xludf.UNSUPPORTED("""COMPUTED_VALUE"""),"80360b8d")</f>
        <v>80360b8d</v>
      </c>
      <c r="B2704" s="4">
        <f ca="1">IFERROR(__xludf.UNSUPPORTED("""COMPUTED_VALUE"""),45345.4123611111)</f>
        <v>45345.412361111099</v>
      </c>
      <c r="C2704" s="7" t="str">
        <f ca="1">IFERROR(__xludf.UNSUPPORTED("""COMPUTED_VALUE"""),"Suape")</f>
        <v>Suape</v>
      </c>
      <c r="D2704" s="3" t="str">
        <f ca="1">IFERROR(__xludf.UNSUPPORTED("""COMPUTED_VALUE"""),"🚢 REGULAR")</f>
        <v>🚢 REGULAR</v>
      </c>
      <c r="E2704" s="3" t="str">
        <f ca="1">IFERROR(__xludf.UNSUPPORTED("""COMPUTED_VALUE"""),"🚛 LIBERADO")</f>
        <v>🚛 LIBERADO</v>
      </c>
      <c r="F2704" s="5">
        <f ca="1">IFERROR(__xludf.UNSUPPORTED("""COMPUTED_VALUE"""),0)</f>
        <v>0</v>
      </c>
      <c r="G2704" s="3" t="str">
        <f ca="1">IFERROR(__xludf.UNSUPPORTED("""COMPUTED_VALUE"""),"Normalidade")</f>
        <v>Normalidade</v>
      </c>
      <c r="H2704" s="4">
        <f ca="1">IFERROR(__xludf.UNSUPPORTED("""COMPUTED_VALUE"""),45345.4123611111)</f>
        <v>45345.412361111099</v>
      </c>
      <c r="I2704" s="3">
        <f ca="1">IFERROR(__xludf.UNSUPPORTED("""COMPUTED_VALUE"""),24)</f>
        <v>24</v>
      </c>
      <c r="J2704" s="4">
        <f ca="1">IFERROR(__xludf.UNSUPPORTED("""COMPUTED_VALUE"""),45346.4123611111)</f>
        <v>45346.412361111099</v>
      </c>
      <c r="L2704" s="3" t="str">
        <f ca="1">IFERROR(__xludf.UNSUPPORTED("""COMPUTED_VALUE"""),"Normalidade")</f>
        <v>Normalidade</v>
      </c>
    </row>
    <row r="2705" spans="1:12" ht="12.75">
      <c r="A2705" s="3" t="str">
        <f ca="1">IFERROR(__xludf.UNSUPPORTED("""COMPUTED_VALUE"""),"45a1f80a")</f>
        <v>45a1f80a</v>
      </c>
      <c r="B2705" s="4">
        <f ca="1">IFERROR(__xludf.UNSUPPORTED("""COMPUTED_VALUE"""),45348.4498379629)</f>
        <v>45348.4498379629</v>
      </c>
      <c r="C2705" s="8" t="str">
        <f ca="1">IFERROR(__xludf.UNSUPPORTED("""COMPUTED_VALUE"""),"Suape")</f>
        <v>Suape</v>
      </c>
      <c r="D2705" s="3" t="str">
        <f ca="1">IFERROR(__xludf.UNSUPPORTED("""COMPUTED_VALUE"""),"🚢 REGULAR")</f>
        <v>🚢 REGULAR</v>
      </c>
      <c r="E2705" s="3" t="str">
        <f ca="1">IFERROR(__xludf.UNSUPPORTED("""COMPUTED_VALUE"""),"🚛 LIBERADO")</f>
        <v>🚛 LIBERADO</v>
      </c>
      <c r="F2705" s="5">
        <f ca="1">IFERROR(__xludf.UNSUPPORTED("""COMPUTED_VALUE"""),0)</f>
        <v>0</v>
      </c>
      <c r="G2705" s="3" t="str">
        <f ca="1">IFERROR(__xludf.UNSUPPORTED("""COMPUTED_VALUE"""),"Normalidade")</f>
        <v>Normalidade</v>
      </c>
      <c r="H2705" s="4">
        <f ca="1">IFERROR(__xludf.UNSUPPORTED("""COMPUTED_VALUE"""),45348.4498379629)</f>
        <v>45348.4498379629</v>
      </c>
      <c r="I2705" s="3">
        <f ca="1">IFERROR(__xludf.UNSUPPORTED("""COMPUTED_VALUE"""),24)</f>
        <v>24</v>
      </c>
      <c r="J2705" s="4">
        <f ca="1">IFERROR(__xludf.UNSUPPORTED("""COMPUTED_VALUE"""),45349.4498379629)</f>
        <v>45349.4498379629</v>
      </c>
      <c r="L2705" s="3" t="str">
        <f ca="1">IFERROR(__xludf.UNSUPPORTED("""COMPUTED_VALUE"""),"Normalidade")</f>
        <v>Normalidade</v>
      </c>
    </row>
    <row r="2706" spans="1:12" ht="12.75">
      <c r="A2706" s="3" t="str">
        <f ca="1">IFERROR(__xludf.UNSUPPORTED("""COMPUTED_VALUE"""),"8fe23997")</f>
        <v>8fe23997</v>
      </c>
      <c r="B2706" s="4">
        <f ca="1">IFERROR(__xludf.UNSUPPORTED("""COMPUTED_VALUE"""),45350.4541319444)</f>
        <v>45350.454131944403</v>
      </c>
      <c r="C2706" s="8" t="str">
        <f ca="1">IFERROR(__xludf.UNSUPPORTED("""COMPUTED_VALUE"""),"Suape")</f>
        <v>Suape</v>
      </c>
      <c r="D2706" s="3" t="str">
        <f ca="1">IFERROR(__xludf.UNSUPPORTED("""COMPUTED_VALUE"""),"🚢 REGULAR")</f>
        <v>🚢 REGULAR</v>
      </c>
      <c r="E2706" s="3" t="str">
        <f ca="1">IFERROR(__xludf.UNSUPPORTED("""COMPUTED_VALUE"""),"🚛 LIBERADO")</f>
        <v>🚛 LIBERADO</v>
      </c>
      <c r="F2706" s="5">
        <f ca="1">IFERROR(__xludf.UNSUPPORTED("""COMPUTED_VALUE"""),0)</f>
        <v>0</v>
      </c>
      <c r="G2706" s="3" t="str">
        <f ca="1">IFERROR(__xludf.UNSUPPORTED("""COMPUTED_VALUE"""),"Normalidade")</f>
        <v>Normalidade</v>
      </c>
      <c r="H2706" s="4">
        <f ca="1">IFERROR(__xludf.UNSUPPORTED("""COMPUTED_VALUE"""),45350.4541319444)</f>
        <v>45350.454131944403</v>
      </c>
      <c r="I2706" s="3">
        <f ca="1">IFERROR(__xludf.UNSUPPORTED("""COMPUTED_VALUE"""),24)</f>
        <v>24</v>
      </c>
      <c r="J2706" s="4">
        <f ca="1">IFERROR(__xludf.UNSUPPORTED("""COMPUTED_VALUE"""),45351.4541319444)</f>
        <v>45351.454131944403</v>
      </c>
      <c r="L2706" s="3" t="str">
        <f ca="1">IFERROR(__xludf.UNSUPPORTED("""COMPUTED_VALUE"""),"Normalidade")</f>
        <v>Normalidade</v>
      </c>
    </row>
    <row r="2707" spans="1:12" ht="12.75">
      <c r="A2707" s="3" t="str">
        <f ca="1">IFERROR(__xludf.UNSUPPORTED("""COMPUTED_VALUE"""),"0d749041")</f>
        <v>0d749041</v>
      </c>
      <c r="B2707" s="4">
        <f ca="1">IFERROR(__xludf.UNSUPPORTED("""COMPUTED_VALUE"""),45352.4060763888)</f>
        <v>45352.406076388797</v>
      </c>
      <c r="C2707" s="8" t="str">
        <f ca="1">IFERROR(__xludf.UNSUPPORTED("""COMPUTED_VALUE"""),"Suape")</f>
        <v>Suape</v>
      </c>
      <c r="D2707" s="3" t="str">
        <f ca="1">IFERROR(__xludf.UNSUPPORTED("""COMPUTED_VALUE"""),"🚢 REGULAR")</f>
        <v>🚢 REGULAR</v>
      </c>
      <c r="E2707" s="3" t="str">
        <f ca="1">IFERROR(__xludf.UNSUPPORTED("""COMPUTED_VALUE"""),"🚛 LIBERADO")</f>
        <v>🚛 LIBERADO</v>
      </c>
      <c r="F2707" s="5">
        <f ca="1">IFERROR(__xludf.UNSUPPORTED("""COMPUTED_VALUE"""),0)</f>
        <v>0</v>
      </c>
      <c r="G2707" s="3" t="str">
        <f ca="1">IFERROR(__xludf.UNSUPPORTED("""COMPUTED_VALUE"""),"Normalidade")</f>
        <v>Normalidade</v>
      </c>
      <c r="H2707" s="4">
        <f ca="1">IFERROR(__xludf.UNSUPPORTED("""COMPUTED_VALUE"""),45352.4060763888)</f>
        <v>45352.406076388797</v>
      </c>
      <c r="I2707" s="3">
        <f ca="1">IFERROR(__xludf.UNSUPPORTED("""COMPUTED_VALUE"""),24)</f>
        <v>24</v>
      </c>
      <c r="J2707" s="4">
        <f ca="1">IFERROR(__xludf.UNSUPPORTED("""COMPUTED_VALUE"""),45353.4060763888)</f>
        <v>45353.406076388797</v>
      </c>
      <c r="L2707" s="3" t="str">
        <f ca="1">IFERROR(__xludf.UNSUPPORTED("""COMPUTED_VALUE"""),"Normalidade")</f>
        <v>Normalidade</v>
      </c>
    </row>
    <row r="2708" spans="1:12" ht="12.75">
      <c r="A2708" s="3" t="str">
        <f ca="1">IFERROR(__xludf.UNSUPPORTED("""COMPUTED_VALUE"""),"47af1e79")</f>
        <v>47af1e79</v>
      </c>
      <c r="B2708" s="4">
        <f ca="1">IFERROR(__xludf.UNSUPPORTED("""COMPUTED_VALUE"""),45355.486099537)</f>
        <v>45355.486099537004</v>
      </c>
      <c r="C2708" s="7" t="str">
        <f ca="1">IFERROR(__xludf.UNSUPPORTED("""COMPUTED_VALUE"""),"Suape")</f>
        <v>Suape</v>
      </c>
      <c r="D2708" s="3" t="str">
        <f ca="1">IFERROR(__xludf.UNSUPPORTED("""COMPUTED_VALUE"""),"🚢 REGULAR")</f>
        <v>🚢 REGULAR</v>
      </c>
      <c r="E2708" s="3" t="str">
        <f ca="1">IFERROR(__xludf.UNSUPPORTED("""COMPUTED_VALUE"""),"🚛 LIBERADO")</f>
        <v>🚛 LIBERADO</v>
      </c>
      <c r="F2708" s="5">
        <f ca="1">IFERROR(__xludf.UNSUPPORTED("""COMPUTED_VALUE"""),0)</f>
        <v>0</v>
      </c>
      <c r="G2708" s="3" t="str">
        <f ca="1">IFERROR(__xludf.UNSUPPORTED("""COMPUTED_VALUE"""),"Normalidade")</f>
        <v>Normalidade</v>
      </c>
      <c r="H2708" s="4">
        <f ca="1">IFERROR(__xludf.UNSUPPORTED("""COMPUTED_VALUE"""),45355.486099537)</f>
        <v>45355.486099537004</v>
      </c>
      <c r="I2708" s="3">
        <f ca="1">IFERROR(__xludf.UNSUPPORTED("""COMPUTED_VALUE"""),24)</f>
        <v>24</v>
      </c>
      <c r="J2708" s="4">
        <f ca="1">IFERROR(__xludf.UNSUPPORTED("""COMPUTED_VALUE"""),45356.486099537)</f>
        <v>45356.486099537004</v>
      </c>
      <c r="L2708" s="3" t="str">
        <f ca="1">IFERROR(__xludf.UNSUPPORTED("""COMPUTED_VALUE"""),"Normalidade")</f>
        <v>Normalidade</v>
      </c>
    </row>
    <row r="2709" spans="1:12" ht="12.75">
      <c r="A2709" s="3" t="str">
        <f ca="1">IFERROR(__xludf.UNSUPPORTED("""COMPUTED_VALUE"""),"d93410a1")</f>
        <v>d93410a1</v>
      </c>
      <c r="B2709" s="4">
        <f ca="1">IFERROR(__xludf.UNSUPPORTED("""COMPUTED_VALUE"""),45356.3999768518)</f>
        <v>45356.399976851797</v>
      </c>
      <c r="C2709" s="8" t="str">
        <f ca="1">IFERROR(__xludf.UNSUPPORTED("""COMPUTED_VALUE"""),"Suape")</f>
        <v>Suape</v>
      </c>
      <c r="D2709" s="3" t="str">
        <f ca="1">IFERROR(__xludf.UNSUPPORTED("""COMPUTED_VALUE"""),"🚢 REGULAR")</f>
        <v>🚢 REGULAR</v>
      </c>
      <c r="E2709" s="3" t="str">
        <f ca="1">IFERROR(__xludf.UNSUPPORTED("""COMPUTED_VALUE"""),"🚛 LIBERADO")</f>
        <v>🚛 LIBERADO</v>
      </c>
      <c r="F2709" s="5">
        <f ca="1">IFERROR(__xludf.UNSUPPORTED("""COMPUTED_VALUE"""),0)</f>
        <v>0</v>
      </c>
      <c r="G2709" s="3" t="str">
        <f ca="1">IFERROR(__xludf.UNSUPPORTED("""COMPUTED_VALUE"""),"Normalidade")</f>
        <v>Normalidade</v>
      </c>
      <c r="H2709" s="4">
        <f ca="1">IFERROR(__xludf.UNSUPPORTED("""COMPUTED_VALUE"""),45356.3999768518)</f>
        <v>45356.399976851797</v>
      </c>
      <c r="I2709" s="3">
        <f ca="1">IFERROR(__xludf.UNSUPPORTED("""COMPUTED_VALUE"""),24)</f>
        <v>24</v>
      </c>
      <c r="J2709" s="4">
        <f ca="1">IFERROR(__xludf.UNSUPPORTED("""COMPUTED_VALUE"""),45357.3999768518)</f>
        <v>45357.399976851797</v>
      </c>
      <c r="L2709" s="3" t="str">
        <f ca="1">IFERROR(__xludf.UNSUPPORTED("""COMPUTED_VALUE"""),"Normalidade")</f>
        <v>Normalidade</v>
      </c>
    </row>
    <row r="2710" spans="1:12" ht="12.75">
      <c r="A2710" s="3" t="str">
        <f ca="1">IFERROR(__xludf.UNSUPPORTED("""COMPUTED_VALUE"""),"5170a533")</f>
        <v>5170a533</v>
      </c>
      <c r="B2710" s="4">
        <f ca="1">IFERROR(__xludf.UNSUPPORTED("""COMPUTED_VALUE"""),45358.4079861111)</f>
        <v>45358.407986111102</v>
      </c>
      <c r="C2710" s="8" t="str">
        <f ca="1">IFERROR(__xludf.UNSUPPORTED("""COMPUTED_VALUE"""),"Suape")</f>
        <v>Suape</v>
      </c>
      <c r="D2710" s="3" t="str">
        <f ca="1">IFERROR(__xludf.UNSUPPORTED("""COMPUTED_VALUE"""),"🚢 REGULAR")</f>
        <v>🚢 REGULAR</v>
      </c>
      <c r="E2710" s="3" t="str">
        <f ca="1">IFERROR(__xludf.UNSUPPORTED("""COMPUTED_VALUE"""),"🚛 LIBERADO")</f>
        <v>🚛 LIBERADO</v>
      </c>
      <c r="F2710" s="5">
        <f ca="1">IFERROR(__xludf.UNSUPPORTED("""COMPUTED_VALUE"""),0)</f>
        <v>0</v>
      </c>
      <c r="G2710" s="3" t="str">
        <f ca="1">IFERROR(__xludf.UNSUPPORTED("""COMPUTED_VALUE"""),"Normalidade")</f>
        <v>Normalidade</v>
      </c>
      <c r="H2710" s="4">
        <f ca="1">IFERROR(__xludf.UNSUPPORTED("""COMPUTED_VALUE"""),45358.4079861111)</f>
        <v>45358.407986111102</v>
      </c>
      <c r="I2710" s="3">
        <f ca="1">IFERROR(__xludf.UNSUPPORTED("""COMPUTED_VALUE"""),24)</f>
        <v>24</v>
      </c>
      <c r="J2710" s="4">
        <f ca="1">IFERROR(__xludf.UNSUPPORTED("""COMPUTED_VALUE"""),45359.4079861111)</f>
        <v>45359.407986111102</v>
      </c>
      <c r="L2710" s="3" t="str">
        <f ca="1">IFERROR(__xludf.UNSUPPORTED("""COMPUTED_VALUE"""),"Normalidade")</f>
        <v>Normalidade</v>
      </c>
    </row>
    <row r="2711" spans="1:12" ht="12.75">
      <c r="A2711" s="3" t="str">
        <f ca="1">IFERROR(__xludf.UNSUPPORTED("""COMPUTED_VALUE"""),"1803696e")</f>
        <v>1803696e</v>
      </c>
      <c r="B2711" s="4">
        <f ca="1">IFERROR(__xludf.UNSUPPORTED("""COMPUTED_VALUE"""),45363.4419791666)</f>
        <v>45363.441979166601</v>
      </c>
      <c r="C2711" s="8" t="str">
        <f ca="1">IFERROR(__xludf.UNSUPPORTED("""COMPUTED_VALUE"""),"Suape")</f>
        <v>Suape</v>
      </c>
      <c r="D2711" s="3" t="str">
        <f ca="1">IFERROR(__xludf.UNSUPPORTED("""COMPUTED_VALUE"""),"🚢 REGULAR")</f>
        <v>🚢 REGULAR</v>
      </c>
      <c r="E2711" s="3" t="str">
        <f ca="1">IFERROR(__xludf.UNSUPPORTED("""COMPUTED_VALUE"""),"🚛 LIBERADO")</f>
        <v>🚛 LIBERADO</v>
      </c>
      <c r="F2711" s="5">
        <f ca="1">IFERROR(__xludf.UNSUPPORTED("""COMPUTED_VALUE"""),0)</f>
        <v>0</v>
      </c>
      <c r="G2711" s="3" t="str">
        <f ca="1">IFERROR(__xludf.UNSUPPORTED("""COMPUTED_VALUE"""),"Normalidade")</f>
        <v>Normalidade</v>
      </c>
      <c r="H2711" s="4">
        <f ca="1">IFERROR(__xludf.UNSUPPORTED("""COMPUTED_VALUE"""),45363.4419791666)</f>
        <v>45363.441979166601</v>
      </c>
      <c r="I2711" s="3">
        <f ca="1">IFERROR(__xludf.UNSUPPORTED("""COMPUTED_VALUE"""),24)</f>
        <v>24</v>
      </c>
      <c r="J2711" s="4">
        <f ca="1">IFERROR(__xludf.UNSUPPORTED("""COMPUTED_VALUE"""),45364.4419791666)</f>
        <v>45364.441979166601</v>
      </c>
      <c r="L2711" s="3" t="str">
        <f ca="1">IFERROR(__xludf.UNSUPPORTED("""COMPUTED_VALUE"""),"Normalidade")</f>
        <v>Normalidade</v>
      </c>
    </row>
    <row r="2712" spans="1:12" ht="12.75">
      <c r="A2712" s="3" t="str">
        <f ca="1">IFERROR(__xludf.UNSUPPORTED("""COMPUTED_VALUE"""),"51bfc52d")</f>
        <v>51bfc52d</v>
      </c>
      <c r="B2712" s="4">
        <f ca="1">IFERROR(__xludf.UNSUPPORTED("""COMPUTED_VALUE"""),45365.5103472222)</f>
        <v>45365.510347222204</v>
      </c>
      <c r="C2712" s="7" t="str">
        <f ca="1">IFERROR(__xludf.UNSUPPORTED("""COMPUTED_VALUE"""),"Suape")</f>
        <v>Suape</v>
      </c>
      <c r="D2712" s="3" t="str">
        <f ca="1">IFERROR(__xludf.UNSUPPORTED("""COMPUTED_VALUE"""),"🚢 REGULAR")</f>
        <v>🚢 REGULAR</v>
      </c>
      <c r="E2712" s="3" t="str">
        <f ca="1">IFERROR(__xludf.UNSUPPORTED("""COMPUTED_VALUE"""),"🚛 LIBERADO")</f>
        <v>🚛 LIBERADO</v>
      </c>
      <c r="F2712" s="5">
        <f ca="1">IFERROR(__xludf.UNSUPPORTED("""COMPUTED_VALUE"""),0)</f>
        <v>0</v>
      </c>
      <c r="G2712" s="3" t="str">
        <f ca="1">IFERROR(__xludf.UNSUPPORTED("""COMPUTED_VALUE"""),"Normalidade")</f>
        <v>Normalidade</v>
      </c>
      <c r="H2712" s="4">
        <f ca="1">IFERROR(__xludf.UNSUPPORTED("""COMPUTED_VALUE"""),45365.5103472222)</f>
        <v>45365.510347222204</v>
      </c>
      <c r="I2712" s="3">
        <f ca="1">IFERROR(__xludf.UNSUPPORTED("""COMPUTED_VALUE"""),24)</f>
        <v>24</v>
      </c>
      <c r="J2712" s="4">
        <f ca="1">IFERROR(__xludf.UNSUPPORTED("""COMPUTED_VALUE"""),45366.5103472222)</f>
        <v>45366.510347222204</v>
      </c>
      <c r="L2712" s="3" t="str">
        <f ca="1">IFERROR(__xludf.UNSUPPORTED("""COMPUTED_VALUE"""),"Normalidade")</f>
        <v>Normalidade</v>
      </c>
    </row>
    <row r="2713" spans="1:12" ht="12.75">
      <c r="A2713" s="3" t="str">
        <f ca="1">IFERROR(__xludf.UNSUPPORTED("""COMPUTED_VALUE"""),"fb5a1604")</f>
        <v>fb5a1604</v>
      </c>
      <c r="B2713" s="4">
        <f ca="1">IFERROR(__xludf.UNSUPPORTED("""COMPUTED_VALUE"""),45369.4160763888)</f>
        <v>45369.416076388799</v>
      </c>
      <c r="C2713" s="7" t="str">
        <f ca="1">IFERROR(__xludf.UNSUPPORTED("""COMPUTED_VALUE"""),"Suape")</f>
        <v>Suape</v>
      </c>
      <c r="D2713" s="3" t="str">
        <f ca="1">IFERROR(__xludf.UNSUPPORTED("""COMPUTED_VALUE"""),"🚢 REGULAR")</f>
        <v>🚢 REGULAR</v>
      </c>
      <c r="E2713" s="3" t="str">
        <f ca="1">IFERROR(__xludf.UNSUPPORTED("""COMPUTED_VALUE"""),"🚛 LIBERADO")</f>
        <v>🚛 LIBERADO</v>
      </c>
      <c r="F2713" s="5">
        <f ca="1">IFERROR(__xludf.UNSUPPORTED("""COMPUTED_VALUE"""),0)</f>
        <v>0</v>
      </c>
      <c r="G2713" s="3" t="str">
        <f ca="1">IFERROR(__xludf.UNSUPPORTED("""COMPUTED_VALUE"""),"Normalidade")</f>
        <v>Normalidade</v>
      </c>
      <c r="H2713" s="4">
        <f ca="1">IFERROR(__xludf.UNSUPPORTED("""COMPUTED_VALUE"""),45369.4160763888)</f>
        <v>45369.416076388799</v>
      </c>
      <c r="I2713" s="3">
        <f ca="1">IFERROR(__xludf.UNSUPPORTED("""COMPUTED_VALUE"""),24)</f>
        <v>24</v>
      </c>
      <c r="J2713" s="4">
        <f ca="1">IFERROR(__xludf.UNSUPPORTED("""COMPUTED_VALUE"""),45370.4160763888)</f>
        <v>45370.416076388799</v>
      </c>
      <c r="L2713" s="3" t="str">
        <f ca="1">IFERROR(__xludf.UNSUPPORTED("""COMPUTED_VALUE"""),"Normalidade")</f>
        <v>Normalidade</v>
      </c>
    </row>
    <row r="2714" spans="1:12" ht="12.75">
      <c r="A2714" s="3" t="str">
        <f ca="1">IFERROR(__xludf.UNSUPPORTED("""COMPUTED_VALUE"""),"bab4c81e")</f>
        <v>bab4c81e</v>
      </c>
      <c r="B2714" s="4">
        <f ca="1">IFERROR(__xludf.UNSUPPORTED("""COMPUTED_VALUE"""),45370.3602777777)</f>
        <v>45370.360277777698</v>
      </c>
      <c r="C2714" s="7" t="str">
        <f ca="1">IFERROR(__xludf.UNSUPPORTED("""COMPUTED_VALUE"""),"Suape")</f>
        <v>Suape</v>
      </c>
      <c r="D2714" s="3" t="str">
        <f ca="1">IFERROR(__xludf.UNSUPPORTED("""COMPUTED_VALUE"""),"🚢 REGULAR")</f>
        <v>🚢 REGULAR</v>
      </c>
      <c r="E2714" s="3" t="str">
        <f ca="1">IFERROR(__xludf.UNSUPPORTED("""COMPUTED_VALUE"""),"🚛 LIBERADO")</f>
        <v>🚛 LIBERADO</v>
      </c>
      <c r="F2714" s="5">
        <f ca="1">IFERROR(__xludf.UNSUPPORTED("""COMPUTED_VALUE"""),0)</f>
        <v>0</v>
      </c>
      <c r="G2714" s="3" t="str">
        <f ca="1">IFERROR(__xludf.UNSUPPORTED("""COMPUTED_VALUE"""),"Normalidade")</f>
        <v>Normalidade</v>
      </c>
      <c r="H2714" s="4">
        <f ca="1">IFERROR(__xludf.UNSUPPORTED("""COMPUTED_VALUE"""),45370.3602777777)</f>
        <v>45370.360277777698</v>
      </c>
      <c r="I2714" s="3">
        <f ca="1">IFERROR(__xludf.UNSUPPORTED("""COMPUTED_VALUE"""),24)</f>
        <v>24</v>
      </c>
      <c r="J2714" s="4">
        <f ca="1">IFERROR(__xludf.UNSUPPORTED("""COMPUTED_VALUE"""),45371.3602777777)</f>
        <v>45371.360277777698</v>
      </c>
      <c r="L2714" s="3" t="str">
        <f ca="1">IFERROR(__xludf.UNSUPPORTED("""COMPUTED_VALUE"""),"Normalidade")</f>
        <v>Normalidade</v>
      </c>
    </row>
    <row r="2715" spans="1:12" ht="12.75">
      <c r="A2715" s="3" t="str">
        <f ca="1">IFERROR(__xludf.UNSUPPORTED("""COMPUTED_VALUE"""),"aa4290ee")</f>
        <v>aa4290ee</v>
      </c>
      <c r="B2715" s="4">
        <f ca="1">IFERROR(__xludf.UNSUPPORTED("""COMPUTED_VALUE"""),45372.5031018518)</f>
        <v>45372.503101851798</v>
      </c>
      <c r="C2715" s="8" t="str">
        <f ca="1">IFERROR(__xludf.UNSUPPORTED("""COMPUTED_VALUE"""),"Suape")</f>
        <v>Suape</v>
      </c>
      <c r="D2715" s="3" t="str">
        <f ca="1">IFERROR(__xludf.UNSUPPORTED("""COMPUTED_VALUE"""),"🚢 REGULAR")</f>
        <v>🚢 REGULAR</v>
      </c>
      <c r="E2715" s="3" t="str">
        <f ca="1">IFERROR(__xludf.UNSUPPORTED("""COMPUTED_VALUE"""),"🚛 LIBERADO")</f>
        <v>🚛 LIBERADO</v>
      </c>
      <c r="F2715" s="5">
        <f ca="1">IFERROR(__xludf.UNSUPPORTED("""COMPUTED_VALUE"""),0)</f>
        <v>0</v>
      </c>
      <c r="G2715" s="3" t="str">
        <f ca="1">IFERROR(__xludf.UNSUPPORTED("""COMPUTED_VALUE"""),"Normalidade")</f>
        <v>Normalidade</v>
      </c>
      <c r="H2715" s="4">
        <f ca="1">IFERROR(__xludf.UNSUPPORTED("""COMPUTED_VALUE"""),45372.5031018518)</f>
        <v>45372.503101851798</v>
      </c>
      <c r="I2715" s="3">
        <f ca="1">IFERROR(__xludf.UNSUPPORTED("""COMPUTED_VALUE"""),24)</f>
        <v>24</v>
      </c>
      <c r="J2715" s="4">
        <f ca="1">IFERROR(__xludf.UNSUPPORTED("""COMPUTED_VALUE"""),45373.5031018518)</f>
        <v>45373.503101851798</v>
      </c>
      <c r="L2715" s="3" t="str">
        <f ca="1">IFERROR(__xludf.UNSUPPORTED("""COMPUTED_VALUE"""),"Normalidade")</f>
        <v>Normalidade</v>
      </c>
    </row>
    <row r="2716" spans="1:12" ht="12.75">
      <c r="A2716" s="3" t="str">
        <f ca="1">IFERROR(__xludf.UNSUPPORTED("""COMPUTED_VALUE"""),"c9004ac3")</f>
        <v>c9004ac3</v>
      </c>
      <c r="B2716" s="4">
        <f ca="1">IFERROR(__xludf.UNSUPPORTED("""COMPUTED_VALUE"""),45376.5153472222)</f>
        <v>45376.515347222201</v>
      </c>
      <c r="C2716" s="8" t="str">
        <f ca="1">IFERROR(__xludf.UNSUPPORTED("""COMPUTED_VALUE"""),"Suape")</f>
        <v>Suape</v>
      </c>
      <c r="D2716" s="3" t="str">
        <f ca="1">IFERROR(__xludf.UNSUPPORTED("""COMPUTED_VALUE"""),"🚢 REGULAR")</f>
        <v>🚢 REGULAR</v>
      </c>
      <c r="E2716" s="3" t="str">
        <f ca="1">IFERROR(__xludf.UNSUPPORTED("""COMPUTED_VALUE"""),"🚛 LIBERADO")</f>
        <v>🚛 LIBERADO</v>
      </c>
      <c r="F2716" s="5">
        <f ca="1">IFERROR(__xludf.UNSUPPORTED("""COMPUTED_VALUE"""),0)</f>
        <v>0</v>
      </c>
      <c r="G2716" s="3" t="str">
        <f ca="1">IFERROR(__xludf.UNSUPPORTED("""COMPUTED_VALUE"""),"Normalidade")</f>
        <v>Normalidade</v>
      </c>
      <c r="H2716" s="4">
        <f ca="1">IFERROR(__xludf.UNSUPPORTED("""COMPUTED_VALUE"""),45376.5153472222)</f>
        <v>45376.515347222201</v>
      </c>
      <c r="I2716" s="3">
        <f ca="1">IFERROR(__xludf.UNSUPPORTED("""COMPUTED_VALUE"""),24)</f>
        <v>24</v>
      </c>
      <c r="J2716" s="4">
        <f ca="1">IFERROR(__xludf.UNSUPPORTED("""COMPUTED_VALUE"""),45377.5153472222)</f>
        <v>45377.515347222201</v>
      </c>
      <c r="L2716" s="3" t="str">
        <f ca="1">IFERROR(__xludf.UNSUPPORTED("""COMPUTED_VALUE"""),"Normalidade")</f>
        <v>Normalidade</v>
      </c>
    </row>
    <row r="2717" spans="1:12" ht="12.75">
      <c r="A2717" s="3" t="str">
        <f ca="1">IFERROR(__xludf.UNSUPPORTED("""COMPUTED_VALUE"""),"ba45489d")</f>
        <v>ba45489d</v>
      </c>
      <c r="B2717" s="4">
        <f ca="1">IFERROR(__xludf.UNSUPPORTED("""COMPUTED_VALUE"""),45399.4507175926)</f>
        <v>45399.450717592597</v>
      </c>
      <c r="C2717" s="7" t="str">
        <f ca="1">IFERROR(__xludf.UNSUPPORTED("""COMPUTED_VALUE"""),"Suape")</f>
        <v>Suape</v>
      </c>
      <c r="D2717" s="3" t="str">
        <f ca="1">IFERROR(__xludf.UNSUPPORTED("""COMPUTED_VALUE"""),"🚢 REGULAR")</f>
        <v>🚢 REGULAR</v>
      </c>
      <c r="E2717" s="3" t="str">
        <f ca="1">IFERROR(__xludf.UNSUPPORTED("""COMPUTED_VALUE"""),"🚛 LIBERADO")</f>
        <v>🚛 LIBERADO</v>
      </c>
      <c r="F2717" s="5">
        <f ca="1">IFERROR(__xludf.UNSUPPORTED("""COMPUTED_VALUE"""),0)</f>
        <v>0</v>
      </c>
      <c r="G2717" s="3" t="str">
        <f ca="1">IFERROR(__xludf.UNSUPPORTED("""COMPUTED_VALUE"""),"Normalidade")</f>
        <v>Normalidade</v>
      </c>
      <c r="H2717" s="4">
        <f ca="1">IFERROR(__xludf.UNSUPPORTED("""COMPUTED_VALUE"""),45399.4507175926)</f>
        <v>45399.450717592597</v>
      </c>
      <c r="I2717" s="3">
        <f ca="1">IFERROR(__xludf.UNSUPPORTED("""COMPUTED_VALUE"""),24)</f>
        <v>24</v>
      </c>
      <c r="J2717" s="4">
        <f ca="1">IFERROR(__xludf.UNSUPPORTED("""COMPUTED_VALUE"""),45400.4507175926)</f>
        <v>45400.450717592597</v>
      </c>
      <c r="L2717" s="3" t="str">
        <f ca="1">IFERROR(__xludf.UNSUPPORTED("""COMPUTED_VALUE"""),"Normalidade")</f>
        <v>Normalidade</v>
      </c>
    </row>
    <row r="2718" spans="1:12" ht="12.75">
      <c r="A2718" s="3" t="str">
        <f ca="1">IFERROR(__xludf.UNSUPPORTED("""COMPUTED_VALUE"""),"ce0cc7cb")</f>
        <v>ce0cc7cb</v>
      </c>
      <c r="B2718" s="4">
        <f ca="1">IFERROR(__xludf.UNSUPPORTED("""COMPUTED_VALUE"""),45400.4404166666)</f>
        <v>45400.440416666599</v>
      </c>
      <c r="C2718" s="7" t="str">
        <f ca="1">IFERROR(__xludf.UNSUPPORTED("""COMPUTED_VALUE"""),"Suape")</f>
        <v>Suape</v>
      </c>
      <c r="D2718" s="3" t="str">
        <f ca="1">IFERROR(__xludf.UNSUPPORTED("""COMPUTED_VALUE"""),"🚢 REGULAR")</f>
        <v>🚢 REGULAR</v>
      </c>
      <c r="E2718" s="3" t="str">
        <f ca="1">IFERROR(__xludf.UNSUPPORTED("""COMPUTED_VALUE"""),"🚛 LIBERADO")</f>
        <v>🚛 LIBERADO</v>
      </c>
      <c r="F2718" s="5">
        <f ca="1">IFERROR(__xludf.UNSUPPORTED("""COMPUTED_VALUE"""),0)</f>
        <v>0</v>
      </c>
      <c r="G2718" s="3" t="str">
        <f ca="1">IFERROR(__xludf.UNSUPPORTED("""COMPUTED_VALUE"""),"Normalidade")</f>
        <v>Normalidade</v>
      </c>
      <c r="H2718" s="4">
        <f ca="1">IFERROR(__xludf.UNSUPPORTED("""COMPUTED_VALUE"""),45400.4404166666)</f>
        <v>45400.440416666599</v>
      </c>
      <c r="I2718" s="3">
        <f ca="1">IFERROR(__xludf.UNSUPPORTED("""COMPUTED_VALUE"""),24)</f>
        <v>24</v>
      </c>
      <c r="J2718" s="4">
        <f ca="1">IFERROR(__xludf.UNSUPPORTED("""COMPUTED_VALUE"""),45401.4404166666)</f>
        <v>45401.440416666599</v>
      </c>
      <c r="L2718" s="3" t="str">
        <f ca="1">IFERROR(__xludf.UNSUPPORTED("""COMPUTED_VALUE"""),"Normalidade")</f>
        <v>Normalidade</v>
      </c>
    </row>
    <row r="2719" spans="1:12" ht="12.75">
      <c r="A2719" s="3" t="str">
        <f ca="1">IFERROR(__xludf.UNSUPPORTED("""COMPUTED_VALUE"""),"ac8f19c4")</f>
        <v>ac8f19c4</v>
      </c>
      <c r="B2719" s="4">
        <f ca="1">IFERROR(__xludf.UNSUPPORTED("""COMPUTED_VALUE"""),45401.5192013888)</f>
        <v>45401.519201388801</v>
      </c>
      <c r="C2719" s="7" t="str">
        <f ca="1">IFERROR(__xludf.UNSUPPORTED("""COMPUTED_VALUE"""),"Suape")</f>
        <v>Suape</v>
      </c>
      <c r="D2719" s="3" t="str">
        <f ca="1">IFERROR(__xludf.UNSUPPORTED("""COMPUTED_VALUE"""),"🚢 REGULAR")</f>
        <v>🚢 REGULAR</v>
      </c>
      <c r="E2719" s="3" t="str">
        <f ca="1">IFERROR(__xludf.UNSUPPORTED("""COMPUTED_VALUE"""),"🚛 LIBERADO")</f>
        <v>🚛 LIBERADO</v>
      </c>
      <c r="F2719" s="5">
        <f ca="1">IFERROR(__xludf.UNSUPPORTED("""COMPUTED_VALUE"""),0)</f>
        <v>0</v>
      </c>
      <c r="G2719" s="3" t="str">
        <f ca="1">IFERROR(__xludf.UNSUPPORTED("""COMPUTED_VALUE"""),"Normalidade")</f>
        <v>Normalidade</v>
      </c>
      <c r="H2719" s="4">
        <f ca="1">IFERROR(__xludf.UNSUPPORTED("""COMPUTED_VALUE"""),45401.5192013888)</f>
        <v>45401.519201388801</v>
      </c>
      <c r="I2719" s="3">
        <f ca="1">IFERROR(__xludf.UNSUPPORTED("""COMPUTED_VALUE"""),24)</f>
        <v>24</v>
      </c>
      <c r="J2719" s="4">
        <f ca="1">IFERROR(__xludf.UNSUPPORTED("""COMPUTED_VALUE"""),45402.5192013888)</f>
        <v>45402.519201388801</v>
      </c>
      <c r="L2719" s="3" t="str">
        <f ca="1">IFERROR(__xludf.UNSUPPORTED("""COMPUTED_VALUE"""),"Normalidade")</f>
        <v>Normalidade</v>
      </c>
    </row>
    <row r="2720" spans="1:12" ht="12.75">
      <c r="A2720" s="3" t="str">
        <f ca="1">IFERROR(__xludf.UNSUPPORTED("""COMPUTED_VALUE"""),"27af8422")</f>
        <v>27af8422</v>
      </c>
      <c r="B2720" s="4">
        <f ca="1">IFERROR(__xludf.UNSUPPORTED("""COMPUTED_VALUE"""),45405.4454861111)</f>
        <v>45405.445486111101</v>
      </c>
      <c r="C2720" s="7" t="str">
        <f ca="1">IFERROR(__xludf.UNSUPPORTED("""COMPUTED_VALUE"""),"Suape")</f>
        <v>Suape</v>
      </c>
      <c r="D2720" s="3" t="str">
        <f ca="1">IFERROR(__xludf.UNSUPPORTED("""COMPUTED_VALUE"""),"🚢 REGULAR")</f>
        <v>🚢 REGULAR</v>
      </c>
      <c r="E2720" s="3" t="str">
        <f ca="1">IFERROR(__xludf.UNSUPPORTED("""COMPUTED_VALUE"""),"🚛 LIBERADO")</f>
        <v>🚛 LIBERADO</v>
      </c>
      <c r="F2720" s="5">
        <f ca="1">IFERROR(__xludf.UNSUPPORTED("""COMPUTED_VALUE"""),0)</f>
        <v>0</v>
      </c>
      <c r="G2720" s="3" t="str">
        <f ca="1">IFERROR(__xludf.UNSUPPORTED("""COMPUTED_VALUE"""),"Normalidade")</f>
        <v>Normalidade</v>
      </c>
      <c r="H2720" s="4">
        <f ca="1">IFERROR(__xludf.UNSUPPORTED("""COMPUTED_VALUE"""),45405.4454861111)</f>
        <v>45405.445486111101</v>
      </c>
      <c r="I2720" s="3">
        <f ca="1">IFERROR(__xludf.UNSUPPORTED("""COMPUTED_VALUE"""),24)</f>
        <v>24</v>
      </c>
      <c r="J2720" s="4">
        <f ca="1">IFERROR(__xludf.UNSUPPORTED("""COMPUTED_VALUE"""),45406.4454861111)</f>
        <v>45406.445486111101</v>
      </c>
      <c r="L2720" s="3" t="str">
        <f ca="1">IFERROR(__xludf.UNSUPPORTED("""COMPUTED_VALUE"""),"Normalidade")</f>
        <v>Normalidade</v>
      </c>
    </row>
    <row r="2721" spans="1:12" ht="12.75">
      <c r="A2721" s="3" t="str">
        <f ca="1">IFERROR(__xludf.UNSUPPORTED("""COMPUTED_VALUE"""),"4cf31425")</f>
        <v>4cf31425</v>
      </c>
      <c r="B2721" s="4">
        <f ca="1">IFERROR(__xludf.UNSUPPORTED("""COMPUTED_VALUE"""),45408.4034259259)</f>
        <v>45408.403425925899</v>
      </c>
      <c r="C2721" s="8" t="str">
        <f ca="1">IFERROR(__xludf.UNSUPPORTED("""COMPUTED_VALUE"""),"Suape")</f>
        <v>Suape</v>
      </c>
      <c r="D2721" s="3" t="str">
        <f ca="1">IFERROR(__xludf.UNSUPPORTED("""COMPUTED_VALUE"""),"🚢 REGULAR")</f>
        <v>🚢 REGULAR</v>
      </c>
      <c r="E2721" s="3" t="str">
        <f ca="1">IFERROR(__xludf.UNSUPPORTED("""COMPUTED_VALUE"""),"🚛 LIBERADO")</f>
        <v>🚛 LIBERADO</v>
      </c>
      <c r="F2721" s="5">
        <f ca="1">IFERROR(__xludf.UNSUPPORTED("""COMPUTED_VALUE"""),0)</f>
        <v>0</v>
      </c>
      <c r="G2721" s="3" t="str">
        <f ca="1">IFERROR(__xludf.UNSUPPORTED("""COMPUTED_VALUE"""),"Normalidade")</f>
        <v>Normalidade</v>
      </c>
      <c r="H2721" s="4">
        <f ca="1">IFERROR(__xludf.UNSUPPORTED("""COMPUTED_VALUE"""),45408.4034259259)</f>
        <v>45408.403425925899</v>
      </c>
      <c r="I2721" s="3">
        <f ca="1">IFERROR(__xludf.UNSUPPORTED("""COMPUTED_VALUE"""),24)</f>
        <v>24</v>
      </c>
      <c r="J2721" s="4">
        <f ca="1">IFERROR(__xludf.UNSUPPORTED("""COMPUTED_VALUE"""),45409.4034259259)</f>
        <v>45409.403425925899</v>
      </c>
      <c r="L2721" s="3" t="str">
        <f ca="1">IFERROR(__xludf.UNSUPPORTED("""COMPUTED_VALUE"""),"Normalidade")</f>
        <v>Normalidade</v>
      </c>
    </row>
    <row r="2722" spans="1:12" ht="12.75">
      <c r="A2722" s="3" t="str">
        <f ca="1">IFERROR(__xludf.UNSUPPORTED("""COMPUTED_VALUE"""),"fca3c778")</f>
        <v>fca3c778</v>
      </c>
      <c r="B2722" s="4">
        <f ca="1">IFERROR(__xludf.UNSUPPORTED("""COMPUTED_VALUE"""),45412.4242361111)</f>
        <v>45412.424236111103</v>
      </c>
      <c r="C2722" s="7" t="str">
        <f ca="1">IFERROR(__xludf.UNSUPPORTED("""COMPUTED_VALUE"""),"Suape")</f>
        <v>Suape</v>
      </c>
      <c r="D2722" s="3" t="str">
        <f ca="1">IFERROR(__xludf.UNSUPPORTED("""COMPUTED_VALUE"""),"🚢 REGULAR")</f>
        <v>🚢 REGULAR</v>
      </c>
      <c r="E2722" s="3" t="str">
        <f ca="1">IFERROR(__xludf.UNSUPPORTED("""COMPUTED_VALUE"""),"🚛 LIBERADO")</f>
        <v>🚛 LIBERADO</v>
      </c>
      <c r="F2722" s="5">
        <f ca="1">IFERROR(__xludf.UNSUPPORTED("""COMPUTED_VALUE"""),0)</f>
        <v>0</v>
      </c>
      <c r="G2722" s="3" t="str">
        <f ca="1">IFERROR(__xludf.UNSUPPORTED("""COMPUTED_VALUE"""),"Normalidade")</f>
        <v>Normalidade</v>
      </c>
      <c r="H2722" s="4">
        <f ca="1">IFERROR(__xludf.UNSUPPORTED("""COMPUTED_VALUE"""),45412.4242361111)</f>
        <v>45412.424236111103</v>
      </c>
      <c r="I2722" s="3">
        <f ca="1">IFERROR(__xludf.UNSUPPORTED("""COMPUTED_VALUE"""),24)</f>
        <v>24</v>
      </c>
      <c r="J2722" s="4">
        <f ca="1">IFERROR(__xludf.UNSUPPORTED("""COMPUTED_VALUE"""),45413.4242361111)</f>
        <v>45413.424236111103</v>
      </c>
      <c r="L2722" s="3" t="str">
        <f ca="1">IFERROR(__xludf.UNSUPPORTED("""COMPUTED_VALUE"""),"Normalidade")</f>
        <v>Normalidade</v>
      </c>
    </row>
    <row r="2723" spans="1:12" ht="12.75">
      <c r="A2723" s="3" t="str">
        <f ca="1">IFERROR(__xludf.UNSUPPORTED("""COMPUTED_VALUE"""),"bc294594")</f>
        <v>bc294594</v>
      </c>
      <c r="B2723" s="4">
        <f ca="1">IFERROR(__xludf.UNSUPPORTED("""COMPUTED_VALUE"""),45418.4039467592)</f>
        <v>45418.403946759201</v>
      </c>
      <c r="C2723" s="7" t="str">
        <f ca="1">IFERROR(__xludf.UNSUPPORTED("""COMPUTED_VALUE"""),"Suape")</f>
        <v>Suape</v>
      </c>
      <c r="D2723" s="3" t="str">
        <f ca="1">IFERROR(__xludf.UNSUPPORTED("""COMPUTED_VALUE"""),"🚢 REGULAR")</f>
        <v>🚢 REGULAR</v>
      </c>
      <c r="E2723" s="3" t="str">
        <f ca="1">IFERROR(__xludf.UNSUPPORTED("""COMPUTED_VALUE"""),"🚛 LIBERADO")</f>
        <v>🚛 LIBERADO</v>
      </c>
      <c r="F2723" s="5">
        <f ca="1">IFERROR(__xludf.UNSUPPORTED("""COMPUTED_VALUE"""),0)</f>
        <v>0</v>
      </c>
      <c r="G2723" s="3" t="str">
        <f ca="1">IFERROR(__xludf.UNSUPPORTED("""COMPUTED_VALUE"""),"Normalidade")</f>
        <v>Normalidade</v>
      </c>
      <c r="H2723" s="4">
        <f ca="1">IFERROR(__xludf.UNSUPPORTED("""COMPUTED_VALUE"""),45418.4039467592)</f>
        <v>45418.403946759201</v>
      </c>
      <c r="I2723" s="3">
        <f ca="1">IFERROR(__xludf.UNSUPPORTED("""COMPUTED_VALUE"""),24)</f>
        <v>24</v>
      </c>
      <c r="J2723" s="4">
        <f ca="1">IFERROR(__xludf.UNSUPPORTED("""COMPUTED_VALUE"""),45419.4039467592)</f>
        <v>45419.403946759201</v>
      </c>
      <c r="L2723" s="3" t="str">
        <f ca="1">IFERROR(__xludf.UNSUPPORTED("""COMPUTED_VALUE"""),"Normalidade")</f>
        <v>Normalidade</v>
      </c>
    </row>
    <row r="2724" spans="1:12" ht="12.75">
      <c r="A2724" s="3" t="str">
        <f ca="1">IFERROR(__xludf.UNSUPPORTED("""COMPUTED_VALUE"""),"949309cd")</f>
        <v>949309cd</v>
      </c>
      <c r="B2724" s="4">
        <f ca="1">IFERROR(__xludf.UNSUPPORTED("""COMPUTED_VALUE"""),45428.5284837963)</f>
        <v>45428.528483796297</v>
      </c>
      <c r="C2724" s="7" t="str">
        <f ca="1">IFERROR(__xludf.UNSUPPORTED("""COMPUTED_VALUE"""),"Suape")</f>
        <v>Suape</v>
      </c>
      <c r="D2724" s="3" t="str">
        <f ca="1">IFERROR(__xludf.UNSUPPORTED("""COMPUTED_VALUE"""),"🚢 REGULAR")</f>
        <v>🚢 REGULAR</v>
      </c>
      <c r="E2724" s="3" t="str">
        <f ca="1">IFERROR(__xludf.UNSUPPORTED("""COMPUTED_VALUE"""),"🚛 LIBERADO")</f>
        <v>🚛 LIBERADO</v>
      </c>
      <c r="F2724" s="5">
        <f ca="1">IFERROR(__xludf.UNSUPPORTED("""COMPUTED_VALUE"""),0)</f>
        <v>0</v>
      </c>
      <c r="G2724" s="3" t="str">
        <f ca="1">IFERROR(__xludf.UNSUPPORTED("""COMPUTED_VALUE"""),"Normalidade")</f>
        <v>Normalidade</v>
      </c>
      <c r="H2724" s="4">
        <f ca="1">IFERROR(__xludf.UNSUPPORTED("""COMPUTED_VALUE"""),45428.5284837963)</f>
        <v>45428.528483796297</v>
      </c>
      <c r="I2724" s="3">
        <f ca="1">IFERROR(__xludf.UNSUPPORTED("""COMPUTED_VALUE"""),24)</f>
        <v>24</v>
      </c>
      <c r="J2724" s="4">
        <f ca="1">IFERROR(__xludf.UNSUPPORTED("""COMPUTED_VALUE"""),45429.5284837963)</f>
        <v>45429.528483796297</v>
      </c>
      <c r="L2724" s="3" t="str">
        <f ca="1">IFERROR(__xludf.UNSUPPORTED("""COMPUTED_VALUE"""),"Normalidade")</f>
        <v>Normalidade</v>
      </c>
    </row>
    <row r="2725" spans="1:12" ht="12.75">
      <c r="A2725" s="3" t="str">
        <f ca="1">IFERROR(__xludf.UNSUPPORTED("""COMPUTED_VALUE"""),"fec9d74f")</f>
        <v>fec9d74f</v>
      </c>
      <c r="B2725" s="4">
        <f ca="1">IFERROR(__xludf.UNSUPPORTED("""COMPUTED_VALUE"""),45454.395)</f>
        <v>45454.394999999997</v>
      </c>
      <c r="C2725" s="7" t="str">
        <f ca="1">IFERROR(__xludf.UNSUPPORTED("""COMPUTED_VALUE"""),"Suape")</f>
        <v>Suape</v>
      </c>
      <c r="D2725" s="3" t="str">
        <f ca="1">IFERROR(__xludf.UNSUPPORTED("""COMPUTED_VALUE"""),"🚢 REGULAR")</f>
        <v>🚢 REGULAR</v>
      </c>
      <c r="E2725" s="3" t="str">
        <f ca="1">IFERROR(__xludf.UNSUPPORTED("""COMPUTED_VALUE"""),"🚛 LIBERADO")</f>
        <v>🚛 LIBERADO</v>
      </c>
      <c r="F2725" s="5">
        <f ca="1">IFERROR(__xludf.UNSUPPORTED("""COMPUTED_VALUE"""),0)</f>
        <v>0</v>
      </c>
      <c r="G2725" s="3" t="str">
        <f ca="1">IFERROR(__xludf.UNSUPPORTED("""COMPUTED_VALUE"""),"Normalidade")</f>
        <v>Normalidade</v>
      </c>
      <c r="H2725" s="4">
        <f ca="1">IFERROR(__xludf.UNSUPPORTED("""COMPUTED_VALUE"""),45454.395)</f>
        <v>45454.394999999997</v>
      </c>
      <c r="I2725" s="3">
        <f ca="1">IFERROR(__xludf.UNSUPPORTED("""COMPUTED_VALUE"""),24)</f>
        <v>24</v>
      </c>
      <c r="J2725" s="4">
        <f ca="1">IFERROR(__xludf.UNSUPPORTED("""COMPUTED_VALUE"""),45455.395)</f>
        <v>45455.394999999997</v>
      </c>
      <c r="L2725" s="3" t="str">
        <f ca="1">IFERROR(__xludf.UNSUPPORTED("""COMPUTED_VALUE"""),"Normalidade")</f>
        <v>Normalidade</v>
      </c>
    </row>
    <row r="2726" spans="1:12" ht="12.75">
      <c r="A2726" s="3" t="str">
        <f ca="1">IFERROR(__xludf.UNSUPPORTED("""COMPUTED_VALUE"""),"f84e12d7")</f>
        <v>f84e12d7</v>
      </c>
      <c r="B2726" s="4">
        <f ca="1">IFERROR(__xludf.UNSUPPORTED("""COMPUTED_VALUE"""),45470.4397453702)</f>
        <v>45470.439745370197</v>
      </c>
      <c r="C2726" s="8" t="str">
        <f ca="1">IFERROR(__xludf.UNSUPPORTED("""COMPUTED_VALUE"""),"Suape")</f>
        <v>Suape</v>
      </c>
      <c r="D2726" s="3" t="str">
        <f ca="1">IFERROR(__xludf.UNSUPPORTED("""COMPUTED_VALUE"""),"🚢 REGULAR")</f>
        <v>🚢 REGULAR</v>
      </c>
      <c r="E2726" s="3" t="str">
        <f ca="1">IFERROR(__xludf.UNSUPPORTED("""COMPUTED_VALUE"""),"🚛 LIBERADO")</f>
        <v>🚛 LIBERADO</v>
      </c>
      <c r="F2726" s="5">
        <f ca="1">IFERROR(__xludf.UNSUPPORTED("""COMPUTED_VALUE"""),0)</f>
        <v>0</v>
      </c>
      <c r="G2726" s="3" t="str">
        <f ca="1">IFERROR(__xludf.UNSUPPORTED("""COMPUTED_VALUE"""),"Normalidade")</f>
        <v>Normalidade</v>
      </c>
      <c r="H2726" s="4">
        <f ca="1">IFERROR(__xludf.UNSUPPORTED("""COMPUTED_VALUE"""),45470.4397453702)</f>
        <v>45470.439745370197</v>
      </c>
      <c r="I2726" s="3">
        <f ca="1">IFERROR(__xludf.UNSUPPORTED("""COMPUTED_VALUE"""),24)</f>
        <v>24</v>
      </c>
      <c r="J2726" s="4">
        <f ca="1">IFERROR(__xludf.UNSUPPORTED("""COMPUTED_VALUE"""),45471.4397453702)</f>
        <v>45471.439745370197</v>
      </c>
      <c r="L2726" s="3" t="str">
        <f ca="1">IFERROR(__xludf.UNSUPPORTED("""COMPUTED_VALUE"""),"Normalidade")</f>
        <v>Normalidade</v>
      </c>
    </row>
    <row r="2727" spans="1:12" ht="12.75">
      <c r="A2727" s="3" t="str">
        <f ca="1">IFERROR(__xludf.UNSUPPORTED("""COMPUTED_VALUE"""),"6d386fb5")</f>
        <v>6d386fb5</v>
      </c>
      <c r="B2727" s="4">
        <f ca="1">IFERROR(__xludf.UNSUPPORTED("""COMPUTED_VALUE"""),45475.5259375)</f>
        <v>45475.525937500002</v>
      </c>
      <c r="C2727" s="8" t="str">
        <f ca="1">IFERROR(__xludf.UNSUPPORTED("""COMPUTED_VALUE"""),"Suape")</f>
        <v>Suape</v>
      </c>
      <c r="D2727" s="3" t="str">
        <f ca="1">IFERROR(__xludf.UNSUPPORTED("""COMPUTED_VALUE"""),"🚢 REGULAR")</f>
        <v>🚢 REGULAR</v>
      </c>
      <c r="E2727" s="3" t="str">
        <f ca="1">IFERROR(__xludf.UNSUPPORTED("""COMPUTED_VALUE"""),"🚛 LIBERADO")</f>
        <v>🚛 LIBERADO</v>
      </c>
      <c r="F2727" s="5">
        <f ca="1">IFERROR(__xludf.UNSUPPORTED("""COMPUTED_VALUE"""),0)</f>
        <v>0</v>
      </c>
      <c r="G2727" s="3" t="str">
        <f ca="1">IFERROR(__xludf.UNSUPPORTED("""COMPUTED_VALUE"""),"Normalidade")</f>
        <v>Normalidade</v>
      </c>
      <c r="H2727" s="4">
        <f ca="1">IFERROR(__xludf.UNSUPPORTED("""COMPUTED_VALUE"""),45475.5259375)</f>
        <v>45475.525937500002</v>
      </c>
      <c r="I2727" s="3">
        <f ca="1">IFERROR(__xludf.UNSUPPORTED("""COMPUTED_VALUE"""),24)</f>
        <v>24</v>
      </c>
      <c r="J2727" s="4">
        <f ca="1">IFERROR(__xludf.UNSUPPORTED("""COMPUTED_VALUE"""),45476.5259375)</f>
        <v>45476.525937500002</v>
      </c>
      <c r="L2727" s="3" t="str">
        <f ca="1">IFERROR(__xludf.UNSUPPORTED("""COMPUTED_VALUE"""),"Normalidade")</f>
        <v>Normalidade</v>
      </c>
    </row>
    <row r="2728" spans="1:12" ht="12.75">
      <c r="A2728" s="3" t="str">
        <f ca="1">IFERROR(__xludf.UNSUPPORTED("""COMPUTED_VALUE"""),"83a1fb7a")</f>
        <v>83a1fb7a</v>
      </c>
      <c r="B2728" s="4">
        <f ca="1">IFERROR(__xludf.UNSUPPORTED("""COMPUTED_VALUE"""),45496.5324652777)</f>
        <v>45496.532465277698</v>
      </c>
      <c r="C2728" s="8" t="str">
        <f ca="1">IFERROR(__xludf.UNSUPPORTED("""COMPUTED_VALUE"""),"Suape")</f>
        <v>Suape</v>
      </c>
      <c r="D2728" s="3" t="str">
        <f ca="1">IFERROR(__xludf.UNSUPPORTED("""COMPUTED_VALUE"""),"🚢 REGULAR")</f>
        <v>🚢 REGULAR</v>
      </c>
      <c r="E2728" s="3" t="str">
        <f ca="1">IFERROR(__xludf.UNSUPPORTED("""COMPUTED_VALUE"""),"🚛 LIBERADO")</f>
        <v>🚛 LIBERADO</v>
      </c>
      <c r="F2728" s="5">
        <f ca="1">IFERROR(__xludf.UNSUPPORTED("""COMPUTED_VALUE"""),0)</f>
        <v>0</v>
      </c>
      <c r="G2728" s="3" t="str">
        <f ca="1">IFERROR(__xludf.UNSUPPORTED("""COMPUTED_VALUE"""),"Normalidade")</f>
        <v>Normalidade</v>
      </c>
      <c r="H2728" s="4">
        <f ca="1">IFERROR(__xludf.UNSUPPORTED("""COMPUTED_VALUE"""),45496.5324652777)</f>
        <v>45496.532465277698</v>
      </c>
      <c r="I2728" s="3">
        <f ca="1">IFERROR(__xludf.UNSUPPORTED("""COMPUTED_VALUE"""),24)</f>
        <v>24</v>
      </c>
      <c r="J2728" s="4">
        <f ca="1">IFERROR(__xludf.UNSUPPORTED("""COMPUTED_VALUE"""),45497.5324652777)</f>
        <v>45497.532465277698</v>
      </c>
      <c r="L2728" s="3" t="str">
        <f ca="1">IFERROR(__xludf.UNSUPPORTED("""COMPUTED_VALUE"""),"Normalidade")</f>
        <v>Normalidade</v>
      </c>
    </row>
    <row r="2729" spans="1:12" ht="12.75">
      <c r="A2729" s="3" t="str">
        <f ca="1">IFERROR(__xludf.UNSUPPORTED("""COMPUTED_VALUE"""),"e89a88cc")</f>
        <v>e89a88cc</v>
      </c>
      <c r="B2729" s="4">
        <f ca="1">IFERROR(__xludf.UNSUPPORTED("""COMPUTED_VALUE"""),45539.4720254629)</f>
        <v>45539.472025462899</v>
      </c>
      <c r="C2729" s="8" t="str">
        <f ca="1">IFERROR(__xludf.UNSUPPORTED("""COMPUTED_VALUE"""),"Suape")</f>
        <v>Suape</v>
      </c>
      <c r="D2729" s="3" t="str">
        <f ca="1">IFERROR(__xludf.UNSUPPORTED("""COMPUTED_VALUE"""),"🚢 REGULAR")</f>
        <v>🚢 REGULAR</v>
      </c>
      <c r="E2729" s="3" t="str">
        <f ca="1">IFERROR(__xludf.UNSUPPORTED("""COMPUTED_VALUE"""),"🚛 LIBERADO")</f>
        <v>🚛 LIBERADO</v>
      </c>
      <c r="F2729" s="5">
        <f ca="1">IFERROR(__xludf.UNSUPPORTED("""COMPUTED_VALUE"""),0)</f>
        <v>0</v>
      </c>
      <c r="G2729" s="3" t="str">
        <f ca="1">IFERROR(__xludf.UNSUPPORTED("""COMPUTED_VALUE"""),"Normalidade")</f>
        <v>Normalidade</v>
      </c>
      <c r="H2729" s="4">
        <f ca="1">IFERROR(__xludf.UNSUPPORTED("""COMPUTED_VALUE"""),45539.4720254629)</f>
        <v>45539.472025462899</v>
      </c>
      <c r="I2729" s="3">
        <f ca="1">IFERROR(__xludf.UNSUPPORTED("""COMPUTED_VALUE"""),24)</f>
        <v>24</v>
      </c>
      <c r="J2729" s="4">
        <f ca="1">IFERROR(__xludf.UNSUPPORTED("""COMPUTED_VALUE"""),45540.4720254629)</f>
        <v>45540.472025462899</v>
      </c>
      <c r="L2729" s="3" t="str">
        <f ca="1">IFERROR(__xludf.UNSUPPORTED("""COMPUTED_VALUE"""),"Normalidade")</f>
        <v>Normalidade</v>
      </c>
    </row>
    <row r="2730" spans="1:12" ht="12.75">
      <c r="A2730" s="3" t="str">
        <f ca="1">IFERROR(__xludf.UNSUPPORTED("""COMPUTED_VALUE"""),"c0850879")</f>
        <v>c0850879</v>
      </c>
      <c r="B2730" s="4">
        <f ca="1">IFERROR(__xludf.UNSUPPORTED("""COMPUTED_VALUE"""),45545.3711805555)</f>
        <v>45545.371180555499</v>
      </c>
      <c r="C2730" s="8" t="str">
        <f ca="1">IFERROR(__xludf.UNSUPPORTED("""COMPUTED_VALUE"""),"Suape")</f>
        <v>Suape</v>
      </c>
      <c r="D2730" s="3" t="str">
        <f ca="1">IFERROR(__xludf.UNSUPPORTED("""COMPUTED_VALUE"""),"🚢 REGULAR")</f>
        <v>🚢 REGULAR</v>
      </c>
      <c r="E2730" s="3" t="str">
        <f ca="1">IFERROR(__xludf.UNSUPPORTED("""COMPUTED_VALUE"""),"🚛 LIBERADO")</f>
        <v>🚛 LIBERADO</v>
      </c>
      <c r="F2730" s="5">
        <f ca="1">IFERROR(__xludf.UNSUPPORTED("""COMPUTED_VALUE"""),0)</f>
        <v>0</v>
      </c>
      <c r="G2730" s="3" t="str">
        <f ca="1">IFERROR(__xludf.UNSUPPORTED("""COMPUTED_VALUE"""),"Normalidade")</f>
        <v>Normalidade</v>
      </c>
      <c r="H2730" s="4">
        <f ca="1">IFERROR(__xludf.UNSUPPORTED("""COMPUTED_VALUE"""),45545.3711805555)</f>
        <v>45545.371180555499</v>
      </c>
      <c r="I2730" s="3">
        <f ca="1">IFERROR(__xludf.UNSUPPORTED("""COMPUTED_VALUE"""),24)</f>
        <v>24</v>
      </c>
      <c r="J2730" s="4">
        <f ca="1">IFERROR(__xludf.UNSUPPORTED("""COMPUTED_VALUE"""),45546.3711805555)</f>
        <v>45546.371180555499</v>
      </c>
      <c r="L2730" s="3" t="str">
        <f ca="1">IFERROR(__xludf.UNSUPPORTED("""COMPUTED_VALUE"""),"Normalidade")</f>
        <v>Normalidade</v>
      </c>
    </row>
    <row r="2731" spans="1:12" ht="12.75">
      <c r="A2731" s="3" t="str">
        <f ca="1">IFERROR(__xludf.UNSUPPORTED("""COMPUTED_VALUE"""),"e794ea3a")</f>
        <v>e794ea3a</v>
      </c>
      <c r="B2731" s="4">
        <f ca="1">IFERROR(__xludf.UNSUPPORTED("""COMPUTED_VALUE"""),45548.3684143518)</f>
        <v>45548.368414351797</v>
      </c>
      <c r="C2731" s="8" t="str">
        <f ca="1">IFERROR(__xludf.UNSUPPORTED("""COMPUTED_VALUE"""),"Suape")</f>
        <v>Suape</v>
      </c>
      <c r="D2731" s="3" t="str">
        <f ca="1">IFERROR(__xludf.UNSUPPORTED("""COMPUTED_VALUE"""),"🚢 REGULAR")</f>
        <v>🚢 REGULAR</v>
      </c>
      <c r="E2731" s="3" t="str">
        <f ca="1">IFERROR(__xludf.UNSUPPORTED("""COMPUTED_VALUE"""),"🚛 LIBERADO")</f>
        <v>🚛 LIBERADO</v>
      </c>
      <c r="F2731" s="5">
        <f ca="1">IFERROR(__xludf.UNSUPPORTED("""COMPUTED_VALUE"""),0)</f>
        <v>0</v>
      </c>
      <c r="G2731" s="3" t="str">
        <f ca="1">IFERROR(__xludf.UNSUPPORTED("""COMPUTED_VALUE"""),"Normalidade")</f>
        <v>Normalidade</v>
      </c>
      <c r="H2731" s="4">
        <f ca="1">IFERROR(__xludf.UNSUPPORTED("""COMPUTED_VALUE"""),45548.3684143518)</f>
        <v>45548.368414351797</v>
      </c>
      <c r="I2731" s="3">
        <f ca="1">IFERROR(__xludf.UNSUPPORTED("""COMPUTED_VALUE"""),24)</f>
        <v>24</v>
      </c>
      <c r="J2731" s="4">
        <f ca="1">IFERROR(__xludf.UNSUPPORTED("""COMPUTED_VALUE"""),45549.3684143518)</f>
        <v>45549.368414351797</v>
      </c>
      <c r="L2731" s="3" t="str">
        <f ca="1">IFERROR(__xludf.UNSUPPORTED("""COMPUTED_VALUE"""),"Normalidade")</f>
        <v>Normalidade</v>
      </c>
    </row>
    <row r="2732" spans="1:12" ht="12.75">
      <c r="A2732" s="3" t="str">
        <f ca="1">IFERROR(__xludf.UNSUPPORTED("""COMPUTED_VALUE"""),"7fbd6183")</f>
        <v>7fbd6183</v>
      </c>
      <c r="B2732" s="4">
        <f ca="1">IFERROR(__xludf.UNSUPPORTED("""COMPUTED_VALUE"""),45551.4088078703)</f>
        <v>45551.408807870299</v>
      </c>
      <c r="C2732" s="8" t="str">
        <f ca="1">IFERROR(__xludf.UNSUPPORTED("""COMPUTED_VALUE"""),"Suape")</f>
        <v>Suape</v>
      </c>
      <c r="D2732" s="3" t="str">
        <f ca="1">IFERROR(__xludf.UNSUPPORTED("""COMPUTED_VALUE"""),"🚢 REGULAR")</f>
        <v>🚢 REGULAR</v>
      </c>
      <c r="E2732" s="3" t="str">
        <f ca="1">IFERROR(__xludf.UNSUPPORTED("""COMPUTED_VALUE"""),"🚛 LIBERADO")</f>
        <v>🚛 LIBERADO</v>
      </c>
      <c r="F2732" s="5">
        <f ca="1">IFERROR(__xludf.UNSUPPORTED("""COMPUTED_VALUE"""),0)</f>
        <v>0</v>
      </c>
      <c r="G2732" s="3" t="str">
        <f ca="1">IFERROR(__xludf.UNSUPPORTED("""COMPUTED_VALUE"""),"Normalidade")</f>
        <v>Normalidade</v>
      </c>
      <c r="H2732" s="4">
        <f ca="1">IFERROR(__xludf.UNSUPPORTED("""COMPUTED_VALUE"""),45551.4088078703)</f>
        <v>45551.408807870299</v>
      </c>
      <c r="I2732" s="3">
        <f ca="1">IFERROR(__xludf.UNSUPPORTED("""COMPUTED_VALUE"""),24)</f>
        <v>24</v>
      </c>
      <c r="J2732" s="4">
        <f ca="1">IFERROR(__xludf.UNSUPPORTED("""COMPUTED_VALUE"""),45552.4088078703)</f>
        <v>45552.408807870299</v>
      </c>
      <c r="L2732" s="3" t="str">
        <f ca="1">IFERROR(__xludf.UNSUPPORTED("""COMPUTED_VALUE"""),"Normalidade")</f>
        <v>Normalidade</v>
      </c>
    </row>
    <row r="2733" spans="1:12" ht="12.75">
      <c r="A2733" s="3" t="str">
        <f ca="1">IFERROR(__xludf.UNSUPPORTED("""COMPUTED_VALUE"""),"37868bf4")</f>
        <v>37868bf4</v>
      </c>
      <c r="B2733" s="4">
        <f ca="1">IFERROR(__xludf.UNSUPPORTED("""COMPUTED_VALUE"""),45552.433912037)</f>
        <v>45552.433912036999</v>
      </c>
      <c r="C2733" s="8" t="str">
        <f ca="1">IFERROR(__xludf.UNSUPPORTED("""COMPUTED_VALUE"""),"Suape")</f>
        <v>Suape</v>
      </c>
      <c r="D2733" s="3" t="str">
        <f ca="1">IFERROR(__xludf.UNSUPPORTED("""COMPUTED_VALUE"""),"🚢 REGULAR")</f>
        <v>🚢 REGULAR</v>
      </c>
      <c r="E2733" s="3" t="str">
        <f ca="1">IFERROR(__xludf.UNSUPPORTED("""COMPUTED_VALUE"""),"🚛 LIBERADO")</f>
        <v>🚛 LIBERADO</v>
      </c>
      <c r="F2733" s="5">
        <f ca="1">IFERROR(__xludf.UNSUPPORTED("""COMPUTED_VALUE"""),0)</f>
        <v>0</v>
      </c>
      <c r="G2733" s="3" t="str">
        <f ca="1">IFERROR(__xludf.UNSUPPORTED("""COMPUTED_VALUE"""),"Normalidade")</f>
        <v>Normalidade</v>
      </c>
      <c r="H2733" s="4">
        <f ca="1">IFERROR(__xludf.UNSUPPORTED("""COMPUTED_VALUE"""),45552.433912037)</f>
        <v>45552.433912036999</v>
      </c>
      <c r="I2733" s="3">
        <f ca="1">IFERROR(__xludf.UNSUPPORTED("""COMPUTED_VALUE"""),24)</f>
        <v>24</v>
      </c>
      <c r="J2733" s="4">
        <f ca="1">IFERROR(__xludf.UNSUPPORTED("""COMPUTED_VALUE"""),45553.433912037)</f>
        <v>45553.433912036999</v>
      </c>
      <c r="L2733" s="3" t="str">
        <f ca="1">IFERROR(__xludf.UNSUPPORTED("""COMPUTED_VALUE"""),"Normalidade")</f>
        <v>Normalidade</v>
      </c>
    </row>
    <row r="2734" spans="1:12" ht="12.75">
      <c r="A2734" s="3" t="str">
        <f ca="1">IFERROR(__xludf.UNSUPPORTED("""COMPUTED_VALUE"""),"254e35b1")</f>
        <v>254e35b1</v>
      </c>
      <c r="B2734" s="4">
        <f ca="1">IFERROR(__xludf.UNSUPPORTED("""COMPUTED_VALUE"""),45553.425324074)</f>
        <v>45553.425324074</v>
      </c>
      <c r="C2734" s="8" t="str">
        <f ca="1">IFERROR(__xludf.UNSUPPORTED("""COMPUTED_VALUE"""),"Suape")</f>
        <v>Suape</v>
      </c>
      <c r="D2734" s="3" t="str">
        <f ca="1">IFERROR(__xludf.UNSUPPORTED("""COMPUTED_VALUE"""),"🚢 REGULAR")</f>
        <v>🚢 REGULAR</v>
      </c>
      <c r="E2734" s="3" t="str">
        <f ca="1">IFERROR(__xludf.UNSUPPORTED("""COMPUTED_VALUE"""),"🚛 LIBERADO")</f>
        <v>🚛 LIBERADO</v>
      </c>
      <c r="F2734" s="5">
        <f ca="1">IFERROR(__xludf.UNSUPPORTED("""COMPUTED_VALUE"""),0)</f>
        <v>0</v>
      </c>
      <c r="G2734" s="3" t="str">
        <f ca="1">IFERROR(__xludf.UNSUPPORTED("""COMPUTED_VALUE"""),"Normalidade")</f>
        <v>Normalidade</v>
      </c>
      <c r="H2734" s="4">
        <f ca="1">IFERROR(__xludf.UNSUPPORTED("""COMPUTED_VALUE"""),45553.425324074)</f>
        <v>45553.425324074</v>
      </c>
      <c r="I2734" s="3">
        <f ca="1">IFERROR(__xludf.UNSUPPORTED("""COMPUTED_VALUE"""),24)</f>
        <v>24</v>
      </c>
      <c r="J2734" s="4">
        <f ca="1">IFERROR(__xludf.UNSUPPORTED("""COMPUTED_VALUE"""),45554.425324074)</f>
        <v>45554.425324074</v>
      </c>
      <c r="L2734" s="3" t="str">
        <f ca="1">IFERROR(__xludf.UNSUPPORTED("""COMPUTED_VALUE"""),"Normalidade")</f>
        <v>Normalidade</v>
      </c>
    </row>
    <row r="2735" spans="1:12" ht="12.75">
      <c r="A2735" s="3" t="str">
        <f ca="1">IFERROR(__xludf.UNSUPPORTED("""COMPUTED_VALUE"""),"40986fb3")</f>
        <v>40986fb3</v>
      </c>
      <c r="B2735" s="4">
        <f ca="1">IFERROR(__xludf.UNSUPPORTED("""COMPUTED_VALUE"""),45558.3980439814)</f>
        <v>45558.398043981397</v>
      </c>
      <c r="C2735" s="8" t="str">
        <f ca="1">IFERROR(__xludf.UNSUPPORTED("""COMPUTED_VALUE"""),"Suape")</f>
        <v>Suape</v>
      </c>
      <c r="D2735" s="3" t="str">
        <f ca="1">IFERROR(__xludf.UNSUPPORTED("""COMPUTED_VALUE"""),"🚢 REGULAR")</f>
        <v>🚢 REGULAR</v>
      </c>
      <c r="E2735" s="3" t="str">
        <f ca="1">IFERROR(__xludf.UNSUPPORTED("""COMPUTED_VALUE"""),"🚛 LIBERADO")</f>
        <v>🚛 LIBERADO</v>
      </c>
      <c r="F2735" s="5">
        <f ca="1">IFERROR(__xludf.UNSUPPORTED("""COMPUTED_VALUE"""),0)</f>
        <v>0</v>
      </c>
      <c r="G2735" s="3" t="str">
        <f ca="1">IFERROR(__xludf.UNSUPPORTED("""COMPUTED_VALUE"""),"Normalidade")</f>
        <v>Normalidade</v>
      </c>
      <c r="H2735" s="4">
        <f ca="1">IFERROR(__xludf.UNSUPPORTED("""COMPUTED_VALUE"""),45558.3980439814)</f>
        <v>45558.398043981397</v>
      </c>
      <c r="I2735" s="3">
        <f ca="1">IFERROR(__xludf.UNSUPPORTED("""COMPUTED_VALUE"""),24)</f>
        <v>24</v>
      </c>
      <c r="J2735" s="4">
        <f ca="1">IFERROR(__xludf.UNSUPPORTED("""COMPUTED_VALUE"""),45559.3980439814)</f>
        <v>45559.398043981397</v>
      </c>
      <c r="L2735" s="3" t="str">
        <f ca="1">IFERROR(__xludf.UNSUPPORTED("""COMPUTED_VALUE"""),"Normalidade")</f>
        <v>Normalidade</v>
      </c>
    </row>
    <row r="2736" spans="1:12" ht="12.75">
      <c r="A2736" s="3" t="str">
        <f ca="1">IFERROR(__xludf.UNSUPPORTED("""COMPUTED_VALUE"""),"5a0a9d1d")</f>
        <v>5a0a9d1d</v>
      </c>
      <c r="B2736" s="4">
        <f ca="1">IFERROR(__xludf.UNSUPPORTED("""COMPUTED_VALUE"""),45559.4013541666)</f>
        <v>45559.401354166599</v>
      </c>
      <c r="C2736" s="8" t="str">
        <f ca="1">IFERROR(__xludf.UNSUPPORTED("""COMPUTED_VALUE"""),"Suape")</f>
        <v>Suape</v>
      </c>
      <c r="D2736" s="3" t="str">
        <f ca="1">IFERROR(__xludf.UNSUPPORTED("""COMPUTED_VALUE"""),"🚢 REGULAR")</f>
        <v>🚢 REGULAR</v>
      </c>
      <c r="E2736" s="3" t="str">
        <f ca="1">IFERROR(__xludf.UNSUPPORTED("""COMPUTED_VALUE"""),"🚛 LIBERADO")</f>
        <v>🚛 LIBERADO</v>
      </c>
      <c r="F2736" s="5">
        <f ca="1">IFERROR(__xludf.UNSUPPORTED("""COMPUTED_VALUE"""),0)</f>
        <v>0</v>
      </c>
      <c r="G2736" s="3" t="str">
        <f ca="1">IFERROR(__xludf.UNSUPPORTED("""COMPUTED_VALUE"""),"Normalidade")</f>
        <v>Normalidade</v>
      </c>
      <c r="H2736" s="4">
        <f ca="1">IFERROR(__xludf.UNSUPPORTED("""COMPUTED_VALUE"""),45559.4013541666)</f>
        <v>45559.401354166599</v>
      </c>
      <c r="I2736" s="3">
        <f ca="1">IFERROR(__xludf.UNSUPPORTED("""COMPUTED_VALUE"""),24)</f>
        <v>24</v>
      </c>
      <c r="J2736" s="4">
        <f ca="1">IFERROR(__xludf.UNSUPPORTED("""COMPUTED_VALUE"""),45560.4013541666)</f>
        <v>45560.401354166599</v>
      </c>
      <c r="L2736" s="3" t="str">
        <f ca="1">IFERROR(__xludf.UNSUPPORTED("""COMPUTED_VALUE"""),"Normalidade")</f>
        <v>Normalidade</v>
      </c>
    </row>
    <row r="2737" spans="1:12" ht="12.75">
      <c r="A2737" s="3" t="str">
        <f ca="1">IFERROR(__xludf.UNSUPPORTED("""COMPUTED_VALUE"""),"a20b4994")</f>
        <v>a20b4994</v>
      </c>
      <c r="B2737" s="4">
        <f ca="1">IFERROR(__xludf.UNSUPPORTED("""COMPUTED_VALUE"""),45601.4179166666)</f>
        <v>45601.4179166666</v>
      </c>
      <c r="C2737" s="7" t="str">
        <f ca="1">IFERROR(__xludf.UNSUPPORTED("""COMPUTED_VALUE"""),"Suape")</f>
        <v>Suape</v>
      </c>
      <c r="D2737" s="3" t="str">
        <f ca="1">IFERROR(__xludf.UNSUPPORTED("""COMPUTED_VALUE"""),"🚢 REGULAR")</f>
        <v>🚢 REGULAR</v>
      </c>
      <c r="E2737" s="3" t="str">
        <f ca="1">IFERROR(__xludf.UNSUPPORTED("""COMPUTED_VALUE"""),"🚛 LIBERADO")</f>
        <v>🚛 LIBERADO</v>
      </c>
      <c r="F2737" s="5">
        <f ca="1">IFERROR(__xludf.UNSUPPORTED("""COMPUTED_VALUE"""),0)</f>
        <v>0</v>
      </c>
      <c r="G2737" s="3" t="str">
        <f ca="1">IFERROR(__xludf.UNSUPPORTED("""COMPUTED_VALUE"""),"Normalidade")</f>
        <v>Normalidade</v>
      </c>
      <c r="H2737" s="4">
        <f ca="1">IFERROR(__xludf.UNSUPPORTED("""COMPUTED_VALUE"""),45601.4179166666)</f>
        <v>45601.4179166666</v>
      </c>
      <c r="I2737" s="3">
        <f ca="1">IFERROR(__xludf.UNSUPPORTED("""COMPUTED_VALUE"""),24)</f>
        <v>24</v>
      </c>
      <c r="J2737" s="4">
        <f ca="1">IFERROR(__xludf.UNSUPPORTED("""COMPUTED_VALUE"""),45602.4179166666)</f>
        <v>45602.4179166666</v>
      </c>
      <c r="L2737" s="3" t="str">
        <f ca="1">IFERROR(__xludf.UNSUPPORTED("""COMPUTED_VALUE"""),"Normalidade")</f>
        <v>Normalidade</v>
      </c>
    </row>
    <row r="2738" spans="1:12" ht="12.75">
      <c r="A2738" s="3" t="str">
        <f ca="1">IFERROR(__xludf.UNSUPPORTED("""COMPUTED_VALUE"""),"a62051e1")</f>
        <v>a62051e1</v>
      </c>
      <c r="B2738" s="4">
        <f ca="1">IFERROR(__xludf.UNSUPPORTED("""COMPUTED_VALUE"""),45602.5144212962)</f>
        <v>45602.514421296197</v>
      </c>
      <c r="C2738" s="8" t="str">
        <f ca="1">IFERROR(__xludf.UNSUPPORTED("""COMPUTED_VALUE"""),"Suape")</f>
        <v>Suape</v>
      </c>
      <c r="D2738" s="3" t="str">
        <f ca="1">IFERROR(__xludf.UNSUPPORTED("""COMPUTED_VALUE"""),"🚢 REGULAR")</f>
        <v>🚢 REGULAR</v>
      </c>
      <c r="E2738" s="3" t="str">
        <f ca="1">IFERROR(__xludf.UNSUPPORTED("""COMPUTED_VALUE"""),"🚛 LIBERADO")</f>
        <v>🚛 LIBERADO</v>
      </c>
      <c r="F2738" s="5">
        <f ca="1">IFERROR(__xludf.UNSUPPORTED("""COMPUTED_VALUE"""),0)</f>
        <v>0</v>
      </c>
      <c r="G2738" s="3" t="str">
        <f ca="1">IFERROR(__xludf.UNSUPPORTED("""COMPUTED_VALUE"""),"Normalidade")</f>
        <v>Normalidade</v>
      </c>
      <c r="H2738" s="4">
        <f ca="1">IFERROR(__xludf.UNSUPPORTED("""COMPUTED_VALUE"""),45602.5144212962)</f>
        <v>45602.514421296197</v>
      </c>
      <c r="I2738" s="3">
        <f ca="1">IFERROR(__xludf.UNSUPPORTED("""COMPUTED_VALUE"""),24)</f>
        <v>24</v>
      </c>
      <c r="J2738" s="4">
        <f ca="1">IFERROR(__xludf.UNSUPPORTED("""COMPUTED_VALUE"""),45603.5144212962)</f>
        <v>45603.514421296197</v>
      </c>
      <c r="L2738" s="3" t="str">
        <f ca="1">IFERROR(__xludf.UNSUPPORTED("""COMPUTED_VALUE"""),"Normalidade")</f>
        <v>Normalidade</v>
      </c>
    </row>
    <row r="2739" spans="1:12" ht="12.75">
      <c r="A2739" s="3" t="str">
        <f ca="1">IFERROR(__xludf.UNSUPPORTED("""COMPUTED_VALUE"""),"7ffa1851")</f>
        <v>7ffa1851</v>
      </c>
      <c r="B2739" s="4">
        <f ca="1">IFERROR(__xludf.UNSUPPORTED("""COMPUTED_VALUE"""),45642.4803819444)</f>
        <v>45642.480381944399</v>
      </c>
      <c r="C2739" s="7" t="str">
        <f ca="1">IFERROR(__xludf.UNSUPPORTED("""COMPUTED_VALUE"""),"Suape")</f>
        <v>Suape</v>
      </c>
      <c r="D2739" s="3" t="str">
        <f ca="1">IFERROR(__xludf.UNSUPPORTED("""COMPUTED_VALUE"""),"🚢 REGULAR")</f>
        <v>🚢 REGULAR</v>
      </c>
      <c r="E2739" s="3" t="str">
        <f ca="1">IFERROR(__xludf.UNSUPPORTED("""COMPUTED_VALUE"""),"🚛 LIBERADO")</f>
        <v>🚛 LIBERADO</v>
      </c>
      <c r="F2739" s="5">
        <f ca="1">IFERROR(__xludf.UNSUPPORTED("""COMPUTED_VALUE"""),0)</f>
        <v>0</v>
      </c>
      <c r="G2739" s="3" t="str">
        <f ca="1">IFERROR(__xludf.UNSUPPORTED("""COMPUTED_VALUE"""),"Normalidade")</f>
        <v>Normalidade</v>
      </c>
      <c r="H2739" s="4">
        <f ca="1">IFERROR(__xludf.UNSUPPORTED("""COMPUTED_VALUE"""),45642.4803819444)</f>
        <v>45642.480381944399</v>
      </c>
      <c r="I2739" s="3">
        <f ca="1">IFERROR(__xludf.UNSUPPORTED("""COMPUTED_VALUE"""),24)</f>
        <v>24</v>
      </c>
      <c r="J2739" s="4">
        <f ca="1">IFERROR(__xludf.UNSUPPORTED("""COMPUTED_VALUE"""),45643.4803819444)</f>
        <v>45643.480381944399</v>
      </c>
      <c r="L2739" s="3" t="str">
        <f ca="1">IFERROR(__xludf.UNSUPPORTED("""COMPUTED_VALUE"""),"Normalidade")</f>
        <v>Normalidade</v>
      </c>
    </row>
    <row r="2740" spans="1:12" ht="12.75">
      <c r="A2740" s="3" t="str">
        <f ca="1">IFERROR(__xludf.UNSUPPORTED("""COMPUTED_VALUE"""),"49be27dc")</f>
        <v>49be27dc</v>
      </c>
      <c r="B2740" s="4">
        <f ca="1">IFERROR(__xludf.UNSUPPORTED("""COMPUTED_VALUE"""),45643.4588310185)</f>
        <v>45643.458831018499</v>
      </c>
      <c r="C2740" s="8" t="str">
        <f ca="1">IFERROR(__xludf.UNSUPPORTED("""COMPUTED_VALUE"""),"Suape")</f>
        <v>Suape</v>
      </c>
      <c r="D2740" s="3" t="str">
        <f ca="1">IFERROR(__xludf.UNSUPPORTED("""COMPUTED_VALUE"""),"🚢 REGULAR")</f>
        <v>🚢 REGULAR</v>
      </c>
      <c r="E2740" s="3" t="str">
        <f ca="1">IFERROR(__xludf.UNSUPPORTED("""COMPUTED_VALUE"""),"🚛 LIBERADO")</f>
        <v>🚛 LIBERADO</v>
      </c>
      <c r="F2740" s="5">
        <f ca="1">IFERROR(__xludf.UNSUPPORTED("""COMPUTED_VALUE"""),0)</f>
        <v>0</v>
      </c>
      <c r="G2740" s="3" t="str">
        <f ca="1">IFERROR(__xludf.UNSUPPORTED("""COMPUTED_VALUE"""),"Normalidade")</f>
        <v>Normalidade</v>
      </c>
      <c r="H2740" s="4">
        <f ca="1">IFERROR(__xludf.UNSUPPORTED("""COMPUTED_VALUE"""),45643.4588310185)</f>
        <v>45643.458831018499</v>
      </c>
      <c r="I2740" s="3">
        <f ca="1">IFERROR(__xludf.UNSUPPORTED("""COMPUTED_VALUE"""),24)</f>
        <v>24</v>
      </c>
      <c r="J2740" s="4">
        <f ca="1">IFERROR(__xludf.UNSUPPORTED("""COMPUTED_VALUE"""),45644.4588310185)</f>
        <v>45644.458831018499</v>
      </c>
      <c r="L2740" s="3" t="str">
        <f ca="1">IFERROR(__xludf.UNSUPPORTED("""COMPUTED_VALUE"""),"Normalidade")</f>
        <v>Normalidade</v>
      </c>
    </row>
    <row r="2741" spans="1:12" ht="12.75">
      <c r="A2741" s="3" t="str">
        <f ca="1">IFERROR(__xludf.UNSUPPORTED("""COMPUTED_VALUE"""),"417c7a55")</f>
        <v>417c7a55</v>
      </c>
      <c r="B2741" s="4">
        <f ca="1">IFERROR(__xludf.UNSUPPORTED("""COMPUTED_VALUE"""),45653.3764814814)</f>
        <v>45653.376481481399</v>
      </c>
      <c r="C2741" s="7" t="str">
        <f ca="1">IFERROR(__xludf.UNSUPPORTED("""COMPUTED_VALUE"""),"Suape")</f>
        <v>Suape</v>
      </c>
      <c r="D2741" s="3" t="str">
        <f ca="1">IFERROR(__xludf.UNSUPPORTED("""COMPUTED_VALUE"""),"🚢 REGULAR")</f>
        <v>🚢 REGULAR</v>
      </c>
      <c r="E2741" s="3" t="str">
        <f ca="1">IFERROR(__xludf.UNSUPPORTED("""COMPUTED_VALUE"""),"🚛 LIBERADO")</f>
        <v>🚛 LIBERADO</v>
      </c>
      <c r="F2741" s="5">
        <f ca="1">IFERROR(__xludf.UNSUPPORTED("""COMPUTED_VALUE"""),0)</f>
        <v>0</v>
      </c>
      <c r="G2741" s="3" t="str">
        <f ca="1">IFERROR(__xludf.UNSUPPORTED("""COMPUTED_VALUE"""),"Normalidade")</f>
        <v>Normalidade</v>
      </c>
      <c r="H2741" s="4">
        <f ca="1">IFERROR(__xludf.UNSUPPORTED("""COMPUTED_VALUE"""),45653.3764814814)</f>
        <v>45653.376481481399</v>
      </c>
      <c r="I2741" s="3">
        <f ca="1">IFERROR(__xludf.UNSUPPORTED("""COMPUTED_VALUE"""),24)</f>
        <v>24</v>
      </c>
      <c r="J2741" s="4">
        <f ca="1">IFERROR(__xludf.UNSUPPORTED("""COMPUTED_VALUE"""),45654.3764814814)</f>
        <v>45654.376481481399</v>
      </c>
      <c r="L2741" s="3" t="str">
        <f ca="1">IFERROR(__xludf.UNSUPPORTED("""COMPUTED_VALUE"""),"Normalidade")</f>
        <v>Normalidade</v>
      </c>
    </row>
    <row r="2742" spans="1:12" ht="12.75">
      <c r="A2742" s="3" t="str">
        <f ca="1">IFERROR(__xludf.UNSUPPORTED("""COMPUTED_VALUE"""),"5dd1ed32")</f>
        <v>5dd1ed32</v>
      </c>
      <c r="B2742" s="4">
        <f ca="1">IFERROR(__xludf.UNSUPPORTED("""COMPUTED_VALUE"""),45659.4704398148)</f>
        <v>45659.470439814802</v>
      </c>
      <c r="C2742" s="8" t="str">
        <f ca="1">IFERROR(__xludf.UNSUPPORTED("""COMPUTED_VALUE"""),"Suape")</f>
        <v>Suape</v>
      </c>
      <c r="D2742" s="3" t="str">
        <f ca="1">IFERROR(__xludf.UNSUPPORTED("""COMPUTED_VALUE"""),"🚢 REGULAR")</f>
        <v>🚢 REGULAR</v>
      </c>
      <c r="E2742" s="3" t="str">
        <f ca="1">IFERROR(__xludf.UNSUPPORTED("""COMPUTED_VALUE"""),"🚛 LIBERADO")</f>
        <v>🚛 LIBERADO</v>
      </c>
      <c r="F2742" s="5">
        <f ca="1">IFERROR(__xludf.UNSUPPORTED("""COMPUTED_VALUE"""),0)</f>
        <v>0</v>
      </c>
      <c r="G2742" s="3" t="str">
        <f ca="1">IFERROR(__xludf.UNSUPPORTED("""COMPUTED_VALUE"""),"Normalidade")</f>
        <v>Normalidade</v>
      </c>
      <c r="H2742" s="4">
        <f ca="1">IFERROR(__xludf.UNSUPPORTED("""COMPUTED_VALUE"""),45659.4704398148)</f>
        <v>45659.470439814802</v>
      </c>
      <c r="I2742" s="3">
        <f ca="1">IFERROR(__xludf.UNSUPPORTED("""COMPUTED_VALUE"""),24)</f>
        <v>24</v>
      </c>
      <c r="J2742" s="4">
        <f ca="1">IFERROR(__xludf.UNSUPPORTED("""COMPUTED_VALUE"""),45660.4704398148)</f>
        <v>45660.470439814802</v>
      </c>
      <c r="L2742" s="3" t="str">
        <f ca="1">IFERROR(__xludf.UNSUPPORTED("""COMPUTED_VALUE"""),"Normalidade")</f>
        <v>Normalidade</v>
      </c>
    </row>
    <row r="2743" spans="1:12" ht="12.75">
      <c r="A2743" s="3" t="str">
        <f ca="1">IFERROR(__xludf.UNSUPPORTED("""COMPUTED_VALUE"""),"c681be0a")</f>
        <v>c681be0a</v>
      </c>
      <c r="B2743" s="4">
        <f ca="1">IFERROR(__xludf.UNSUPPORTED("""COMPUTED_VALUE"""),45663.4456712963)</f>
        <v>45663.4456712963</v>
      </c>
      <c r="C2743" s="8" t="str">
        <f ca="1">IFERROR(__xludf.UNSUPPORTED("""COMPUTED_VALUE"""),"Suape")</f>
        <v>Suape</v>
      </c>
      <c r="D2743" s="3" t="str">
        <f ca="1">IFERROR(__xludf.UNSUPPORTED("""COMPUTED_VALUE"""),"🚢 REGULAR")</f>
        <v>🚢 REGULAR</v>
      </c>
      <c r="E2743" s="3" t="str">
        <f ca="1">IFERROR(__xludf.UNSUPPORTED("""COMPUTED_VALUE"""),"🚛 LIBERADO")</f>
        <v>🚛 LIBERADO</v>
      </c>
      <c r="F2743" s="5">
        <f ca="1">IFERROR(__xludf.UNSUPPORTED("""COMPUTED_VALUE"""),0)</f>
        <v>0</v>
      </c>
      <c r="G2743" s="3" t="str">
        <f ca="1">IFERROR(__xludf.UNSUPPORTED("""COMPUTED_VALUE"""),"Normalidade")</f>
        <v>Normalidade</v>
      </c>
      <c r="H2743" s="4">
        <f ca="1">IFERROR(__xludf.UNSUPPORTED("""COMPUTED_VALUE"""),45663.4456712963)</f>
        <v>45663.4456712963</v>
      </c>
      <c r="I2743" s="3">
        <f ca="1">IFERROR(__xludf.UNSUPPORTED("""COMPUTED_VALUE"""),24)</f>
        <v>24</v>
      </c>
      <c r="J2743" s="4">
        <f ca="1">IFERROR(__xludf.UNSUPPORTED("""COMPUTED_VALUE"""),45664.4456712963)</f>
        <v>45664.4456712963</v>
      </c>
      <c r="L2743" s="3" t="str">
        <f ca="1">IFERROR(__xludf.UNSUPPORTED("""COMPUTED_VALUE"""),"Normalidade")</f>
        <v>Normalidade</v>
      </c>
    </row>
    <row r="2744" spans="1:12" ht="12.75">
      <c r="A2744" s="3" t="str">
        <f ca="1">IFERROR(__xludf.UNSUPPORTED("""COMPUTED_VALUE"""),"d29709af")</f>
        <v>d29709af</v>
      </c>
      <c r="B2744" s="4">
        <f ca="1">IFERROR(__xludf.UNSUPPORTED("""COMPUTED_VALUE"""),45665.4662962963)</f>
        <v>45665.466296296298</v>
      </c>
      <c r="C2744" s="8" t="str">
        <f ca="1">IFERROR(__xludf.UNSUPPORTED("""COMPUTED_VALUE"""),"Suape")</f>
        <v>Suape</v>
      </c>
      <c r="D2744" s="3" t="str">
        <f ca="1">IFERROR(__xludf.UNSUPPORTED("""COMPUTED_VALUE"""),"🚢 REGULAR")</f>
        <v>🚢 REGULAR</v>
      </c>
      <c r="E2744" s="3" t="str">
        <f ca="1">IFERROR(__xludf.UNSUPPORTED("""COMPUTED_VALUE"""),"🚛 LIBERADO")</f>
        <v>🚛 LIBERADO</v>
      </c>
      <c r="F2744" s="5">
        <f ca="1">IFERROR(__xludf.UNSUPPORTED("""COMPUTED_VALUE"""),0)</f>
        <v>0</v>
      </c>
      <c r="G2744" s="3" t="str">
        <f ca="1">IFERROR(__xludf.UNSUPPORTED("""COMPUTED_VALUE"""),"Normalidade")</f>
        <v>Normalidade</v>
      </c>
      <c r="H2744" s="4">
        <f ca="1">IFERROR(__xludf.UNSUPPORTED("""COMPUTED_VALUE"""),45665.4662962963)</f>
        <v>45665.466296296298</v>
      </c>
      <c r="I2744" s="3">
        <f ca="1">IFERROR(__xludf.UNSUPPORTED("""COMPUTED_VALUE"""),24)</f>
        <v>24</v>
      </c>
      <c r="J2744" s="4">
        <f ca="1">IFERROR(__xludf.UNSUPPORTED("""COMPUTED_VALUE"""),45666.4662962963)</f>
        <v>45666.466296296298</v>
      </c>
      <c r="L2744" s="3" t="str">
        <f ca="1">IFERROR(__xludf.UNSUPPORTED("""COMPUTED_VALUE"""),"Normalidade")</f>
        <v>Normalidade</v>
      </c>
    </row>
    <row r="2745" spans="1:12" ht="12.75">
      <c r="A2745" s="3" t="str">
        <f ca="1">IFERROR(__xludf.UNSUPPORTED("""COMPUTED_VALUE"""),"32204616")</f>
        <v>32204616</v>
      </c>
      <c r="B2745" s="4">
        <f ca="1">IFERROR(__xludf.UNSUPPORTED("""COMPUTED_VALUE"""),44866.5241550925)</f>
        <v>44866.524155092498</v>
      </c>
      <c r="C2745" s="8" t="str">
        <f ca="1">IFERROR(__xludf.UNSUPPORTED("""COMPUTED_VALUE"""),"Terminal Aquaviário de Madre de Deus")</f>
        <v>Terminal Aquaviário de Madre de Deus</v>
      </c>
      <c r="D2745" s="3" t="str">
        <f ca="1">IFERROR(__xludf.UNSUPPORTED("""COMPUTED_VALUE"""),"🚢 REGULAR")</f>
        <v>🚢 REGULAR</v>
      </c>
      <c r="E2745" s="3" t="str">
        <f ca="1">IFERROR(__xludf.UNSUPPORTED("""COMPUTED_VALUE"""),"🚛 LIBERADO")</f>
        <v>🚛 LIBERADO</v>
      </c>
      <c r="F2745" s="5">
        <f ca="1">IFERROR(__xludf.UNSUPPORTED("""COMPUTED_VALUE"""),0)</f>
        <v>0</v>
      </c>
      <c r="G2745" s="3" t="str">
        <f ca="1">IFERROR(__xludf.UNSUPPORTED("""COMPUTED_VALUE"""),"Normal")</f>
        <v>Normal</v>
      </c>
      <c r="H2745" s="4">
        <f ca="1">IFERROR(__xludf.UNSUPPORTED("""COMPUTED_VALUE"""),44503.3131944444)</f>
        <v>44503.313194444403</v>
      </c>
      <c r="I2745" s="3">
        <f ca="1">IFERROR(__xludf.UNSUPPORTED("""COMPUTED_VALUE"""),22)</f>
        <v>22</v>
      </c>
      <c r="J2745" s="4">
        <f ca="1">IFERROR(__xludf.UNSUPPORTED("""COMPUTED_VALUE"""),44504.2298611111)</f>
        <v>44504.229861111096</v>
      </c>
    </row>
    <row r="2746" spans="1:12" ht="12.75">
      <c r="A2746" s="3" t="str">
        <f ca="1">IFERROR(__xludf.UNSUPPORTED("""COMPUTED_VALUE"""),"b70fdc90")</f>
        <v>b70fdc90</v>
      </c>
      <c r="B2746" s="4">
        <f ca="1">IFERROR(__xludf.UNSUPPORTED("""COMPUTED_VALUE"""),44868.4467013888)</f>
        <v>44868.446701388799</v>
      </c>
      <c r="C2746" s="8" t="str">
        <f ca="1">IFERROR(__xludf.UNSUPPORTED("""COMPUTED_VALUE"""),"Terminal Aquaviário de Madre de Deus")</f>
        <v>Terminal Aquaviário de Madre de Deus</v>
      </c>
      <c r="D2746" s="3" t="str">
        <f ca="1">IFERROR(__xludf.UNSUPPORTED("""COMPUTED_VALUE"""),"🚢 REGULAR")</f>
        <v>🚢 REGULAR</v>
      </c>
      <c r="E2746" s="3" t="str">
        <f ca="1">IFERROR(__xludf.UNSUPPORTED("""COMPUTED_VALUE"""),"🚛 LIBERADO")</f>
        <v>🚛 LIBERADO</v>
      </c>
      <c r="F2746" s="5">
        <f ca="1">IFERROR(__xludf.UNSUPPORTED("""COMPUTED_VALUE"""),0)</f>
        <v>0</v>
      </c>
      <c r="G2746" s="3" t="str">
        <f ca="1">IFERROR(__xludf.UNSUPPORTED("""COMPUTED_VALUE"""),"Normal")</f>
        <v>Normal</v>
      </c>
      <c r="H2746" s="4">
        <f ca="1">IFERROR(__xludf.UNSUPPORTED("""COMPUTED_VALUE"""),44868.4467013888)</f>
        <v>44868.446701388799</v>
      </c>
      <c r="I2746" s="3">
        <f ca="1">IFERROR(__xludf.UNSUPPORTED("""COMPUTED_VALUE"""),24)</f>
        <v>24</v>
      </c>
      <c r="J2746" s="4">
        <f ca="1">IFERROR(__xludf.UNSUPPORTED("""COMPUTED_VALUE"""),44869.4467013888)</f>
        <v>44869.446701388799</v>
      </c>
    </row>
    <row r="2747" spans="1:12" ht="12.75">
      <c r="A2747" s="3" t="str">
        <f ca="1">IFERROR(__xludf.UNSUPPORTED("""COMPUTED_VALUE"""),"c408344a")</f>
        <v>c408344a</v>
      </c>
      <c r="B2747" s="4">
        <f ca="1">IFERROR(__xludf.UNSUPPORTED("""COMPUTED_VALUE"""),44869.3123726851)</f>
        <v>44869.312372685097</v>
      </c>
      <c r="C2747" s="7" t="str">
        <f ca="1">IFERROR(__xludf.UNSUPPORTED("""COMPUTED_VALUE"""),"Terminal Aquaviário de Madre de Deus")</f>
        <v>Terminal Aquaviário de Madre de Deus</v>
      </c>
      <c r="D2747" s="3" t="str">
        <f ca="1">IFERROR(__xludf.UNSUPPORTED("""COMPUTED_VALUE"""),"🚢 REGULAR")</f>
        <v>🚢 REGULAR</v>
      </c>
      <c r="E2747" s="3" t="str">
        <f ca="1">IFERROR(__xludf.UNSUPPORTED("""COMPUTED_VALUE"""),"🚛 LIBERADO")</f>
        <v>🚛 LIBERADO</v>
      </c>
      <c r="F2747" s="5">
        <f ca="1">IFERROR(__xludf.UNSUPPORTED("""COMPUTED_VALUE"""),0)</f>
        <v>0</v>
      </c>
      <c r="G2747" s="3" t="str">
        <f ca="1">IFERROR(__xludf.UNSUPPORTED("""COMPUTED_VALUE"""),"Normalidade")</f>
        <v>Normalidade</v>
      </c>
      <c r="H2747" s="4">
        <f ca="1">IFERROR(__xludf.UNSUPPORTED("""COMPUTED_VALUE"""),44869.3118055555)</f>
        <v>44869.311805555502</v>
      </c>
      <c r="I2747" s="3">
        <f ca="1">IFERROR(__xludf.UNSUPPORTED("""COMPUTED_VALUE"""),24)</f>
        <v>24</v>
      </c>
      <c r="J2747" s="4">
        <f ca="1">IFERROR(__xludf.UNSUPPORTED("""COMPUTED_VALUE"""),44870.3118055555)</f>
        <v>44870.311805555502</v>
      </c>
    </row>
    <row r="2748" spans="1:12" ht="12.75">
      <c r="A2748" s="3" t="str">
        <f ca="1">IFERROR(__xludf.UNSUPPORTED("""COMPUTED_VALUE"""),"e6ee2d88")</f>
        <v>e6ee2d88</v>
      </c>
      <c r="B2748" s="4">
        <f ca="1">IFERROR(__xludf.UNSUPPORTED("""COMPUTED_VALUE"""),44870.3249189814)</f>
        <v>44870.324918981401</v>
      </c>
      <c r="C2748" s="8" t="str">
        <f ca="1">IFERROR(__xludf.UNSUPPORTED("""COMPUTED_VALUE"""),"Terminal Aquaviário de Madre de Deus")</f>
        <v>Terminal Aquaviário de Madre de Deus</v>
      </c>
      <c r="D2748" s="3" t="str">
        <f ca="1">IFERROR(__xludf.UNSUPPORTED("""COMPUTED_VALUE"""),"🚢 REGULAR")</f>
        <v>🚢 REGULAR</v>
      </c>
      <c r="E2748" s="3" t="str">
        <f ca="1">IFERROR(__xludf.UNSUPPORTED("""COMPUTED_VALUE"""),"🚛 LIBERADO")</f>
        <v>🚛 LIBERADO</v>
      </c>
      <c r="F2748" s="5">
        <f ca="1">IFERROR(__xludf.UNSUPPORTED("""COMPUTED_VALUE"""),0)</f>
        <v>0</v>
      </c>
      <c r="G2748" s="3" t="str">
        <f ca="1">IFERROR(__xludf.UNSUPPORTED("""COMPUTED_VALUE"""),"Normalidade")</f>
        <v>Normalidade</v>
      </c>
      <c r="H2748" s="4">
        <f ca="1">IFERROR(__xludf.UNSUPPORTED("""COMPUTED_VALUE"""),44870.3249189814)</f>
        <v>44870.324918981401</v>
      </c>
      <c r="I2748" s="3">
        <f ca="1">IFERROR(__xludf.UNSUPPORTED("""COMPUTED_VALUE"""),24)</f>
        <v>24</v>
      </c>
      <c r="J2748" s="4">
        <f ca="1">IFERROR(__xludf.UNSUPPORTED("""COMPUTED_VALUE"""),44871.3249189814)</f>
        <v>44871.324918981401</v>
      </c>
    </row>
    <row r="2749" spans="1:12" ht="12.75">
      <c r="A2749" s="3" t="str">
        <f ca="1">IFERROR(__xludf.UNSUPPORTED("""COMPUTED_VALUE"""),"8a10b00a")</f>
        <v>8a10b00a</v>
      </c>
      <c r="B2749" s="4">
        <f ca="1">IFERROR(__xludf.UNSUPPORTED("""COMPUTED_VALUE"""),44871.4168402777)</f>
        <v>44871.4168402777</v>
      </c>
      <c r="C2749" s="8" t="str">
        <f ca="1">IFERROR(__xludf.UNSUPPORTED("""COMPUTED_VALUE"""),"Terminal Aquaviário de Madre de Deus")</f>
        <v>Terminal Aquaviário de Madre de Deus</v>
      </c>
      <c r="D2749" s="3" t="str">
        <f ca="1">IFERROR(__xludf.UNSUPPORTED("""COMPUTED_VALUE"""),"🚢 REGULAR")</f>
        <v>🚢 REGULAR</v>
      </c>
      <c r="E2749" s="3" t="str">
        <f ca="1">IFERROR(__xludf.UNSUPPORTED("""COMPUTED_VALUE"""),"🚛 LIBERADO")</f>
        <v>🚛 LIBERADO</v>
      </c>
      <c r="F2749" s="5">
        <f ca="1">IFERROR(__xludf.UNSUPPORTED("""COMPUTED_VALUE"""),0)</f>
        <v>0</v>
      </c>
      <c r="G2749" s="3" t="str">
        <f ca="1">IFERROR(__xludf.UNSUPPORTED("""COMPUTED_VALUE"""),"Normalmente")</f>
        <v>Normalmente</v>
      </c>
      <c r="H2749" s="4">
        <f ca="1">IFERROR(__xludf.UNSUPPORTED("""COMPUTED_VALUE"""),44871.4168402777)</f>
        <v>44871.4168402777</v>
      </c>
      <c r="I2749" s="3">
        <f ca="1">IFERROR(__xludf.UNSUPPORTED("""COMPUTED_VALUE"""),24)</f>
        <v>24</v>
      </c>
      <c r="J2749" s="4">
        <f ca="1">IFERROR(__xludf.UNSUPPORTED("""COMPUTED_VALUE"""),44872.4168402777)</f>
        <v>44872.4168402777</v>
      </c>
    </row>
    <row r="2750" spans="1:12" ht="12.75">
      <c r="A2750" s="3" t="str">
        <f ca="1">IFERROR(__xludf.UNSUPPORTED("""COMPUTED_VALUE"""),"090d0285")</f>
        <v>090d0285</v>
      </c>
      <c r="B2750" s="4">
        <f ca="1">IFERROR(__xludf.UNSUPPORTED("""COMPUTED_VALUE"""),44872.419386574)</f>
        <v>44872.419386574002</v>
      </c>
      <c r="C2750" s="8" t="str">
        <f ca="1">IFERROR(__xludf.UNSUPPORTED("""COMPUTED_VALUE"""),"Terminal Aquaviário de Madre de Deus")</f>
        <v>Terminal Aquaviário de Madre de Deus</v>
      </c>
      <c r="D2750" s="3" t="str">
        <f ca="1">IFERROR(__xludf.UNSUPPORTED("""COMPUTED_VALUE"""),"🚢 REGULAR")</f>
        <v>🚢 REGULAR</v>
      </c>
      <c r="E2750" s="3" t="str">
        <f ca="1">IFERROR(__xludf.UNSUPPORTED("""COMPUTED_VALUE"""),"🚛 LIBERADO")</f>
        <v>🚛 LIBERADO</v>
      </c>
      <c r="F2750" s="5">
        <f ca="1">IFERROR(__xludf.UNSUPPORTED("""COMPUTED_VALUE"""),0)</f>
        <v>0</v>
      </c>
      <c r="G2750" s="3" t="str">
        <f ca="1">IFERROR(__xludf.UNSUPPORTED("""COMPUTED_VALUE"""),"Normalidade")</f>
        <v>Normalidade</v>
      </c>
      <c r="H2750" s="4">
        <f ca="1">IFERROR(__xludf.UNSUPPORTED("""COMPUTED_VALUE"""),44872.419386574)</f>
        <v>44872.419386574002</v>
      </c>
      <c r="I2750" s="3">
        <f ca="1">IFERROR(__xludf.UNSUPPORTED("""COMPUTED_VALUE"""),24)</f>
        <v>24</v>
      </c>
      <c r="J2750" s="4">
        <f ca="1">IFERROR(__xludf.UNSUPPORTED("""COMPUTED_VALUE"""),44873.419386574)</f>
        <v>44873.419386574002</v>
      </c>
    </row>
    <row r="2751" spans="1:12" ht="12.75">
      <c r="A2751" s="3" t="str">
        <f ca="1">IFERROR(__xludf.UNSUPPORTED("""COMPUTED_VALUE"""),"af1f9fea")</f>
        <v>af1f9fea</v>
      </c>
      <c r="B2751" s="4">
        <f ca="1">IFERROR(__xludf.UNSUPPORTED("""COMPUTED_VALUE"""),44873.4135416666)</f>
        <v>44873.413541666603</v>
      </c>
      <c r="C2751" s="7" t="str">
        <f ca="1">IFERROR(__xludf.UNSUPPORTED("""COMPUTED_VALUE"""),"Terminal Aquaviário de Madre de Deus")</f>
        <v>Terminal Aquaviário de Madre de Deus</v>
      </c>
      <c r="D2751" s="3" t="str">
        <f ca="1">IFERROR(__xludf.UNSUPPORTED("""COMPUTED_VALUE"""),"🚢 REGULAR")</f>
        <v>🚢 REGULAR</v>
      </c>
      <c r="E2751" s="3" t="str">
        <f ca="1">IFERROR(__xludf.UNSUPPORTED("""COMPUTED_VALUE"""),"🚛 LIBERADO")</f>
        <v>🚛 LIBERADO</v>
      </c>
      <c r="F2751" s="5">
        <f ca="1">IFERROR(__xludf.UNSUPPORTED("""COMPUTED_VALUE"""),0)</f>
        <v>0</v>
      </c>
      <c r="G2751" s="3" t="str">
        <f ca="1">IFERROR(__xludf.UNSUPPORTED("""COMPUTED_VALUE"""),"Normalidade")</f>
        <v>Normalidade</v>
      </c>
      <c r="H2751" s="4">
        <f ca="1">IFERROR(__xludf.UNSUPPORTED("""COMPUTED_VALUE"""),44873.4135416666)</f>
        <v>44873.413541666603</v>
      </c>
      <c r="I2751" s="3">
        <f ca="1">IFERROR(__xludf.UNSUPPORTED("""COMPUTED_VALUE"""),24)</f>
        <v>24</v>
      </c>
      <c r="J2751" s="4">
        <f ca="1">IFERROR(__xludf.UNSUPPORTED("""COMPUTED_VALUE"""),44874.4135416666)</f>
        <v>44874.413541666603</v>
      </c>
    </row>
    <row r="2752" spans="1:12" ht="12.75">
      <c r="A2752" s="3" t="str">
        <f ca="1">IFERROR(__xludf.UNSUPPORTED("""COMPUTED_VALUE"""),"ca7de60c")</f>
        <v>ca7de60c</v>
      </c>
      <c r="B2752" s="4">
        <f ca="1">IFERROR(__xludf.UNSUPPORTED("""COMPUTED_VALUE"""),44874.2454513888)</f>
        <v>44874.245451388801</v>
      </c>
      <c r="C2752" s="8" t="str">
        <f ca="1">IFERROR(__xludf.UNSUPPORTED("""COMPUTED_VALUE"""),"Terminal Aquaviário de Madre de Deus")</f>
        <v>Terminal Aquaviário de Madre de Deus</v>
      </c>
      <c r="D2752" s="3" t="str">
        <f ca="1">IFERROR(__xludf.UNSUPPORTED("""COMPUTED_VALUE"""),"🚢 REGULAR")</f>
        <v>🚢 REGULAR</v>
      </c>
      <c r="E2752" s="3" t="str">
        <f ca="1">IFERROR(__xludf.UNSUPPORTED("""COMPUTED_VALUE"""),"🚛 LIBERADO")</f>
        <v>🚛 LIBERADO</v>
      </c>
      <c r="F2752" s="5">
        <f ca="1">IFERROR(__xludf.UNSUPPORTED("""COMPUTED_VALUE"""),0)</f>
        <v>0</v>
      </c>
      <c r="G2752" s="3" t="str">
        <f ca="1">IFERROR(__xludf.UNSUPPORTED("""COMPUTED_VALUE"""),"Normalidade")</f>
        <v>Normalidade</v>
      </c>
      <c r="H2752" s="4">
        <f ca="1">IFERROR(__xludf.UNSUPPORTED("""COMPUTED_VALUE"""),44874.2454513888)</f>
        <v>44874.245451388801</v>
      </c>
      <c r="I2752" s="3">
        <f ca="1">IFERROR(__xludf.UNSUPPORTED("""COMPUTED_VALUE"""),24)</f>
        <v>24</v>
      </c>
      <c r="J2752" s="4">
        <f ca="1">IFERROR(__xludf.UNSUPPORTED("""COMPUTED_VALUE"""),44875.2454513888)</f>
        <v>44875.245451388801</v>
      </c>
    </row>
    <row r="2753" spans="1:10" ht="12.75">
      <c r="A2753" s="3" t="str">
        <f ca="1">IFERROR(__xludf.UNSUPPORTED("""COMPUTED_VALUE"""),"2a275dfb")</f>
        <v>2a275dfb</v>
      </c>
      <c r="B2753" s="4">
        <f ca="1">IFERROR(__xludf.UNSUPPORTED("""COMPUTED_VALUE"""),44875.4484837962)</f>
        <v>44875.448483796201</v>
      </c>
      <c r="C2753" s="8" t="str">
        <f ca="1">IFERROR(__xludf.UNSUPPORTED("""COMPUTED_VALUE"""),"Terminal Aquaviário de Madre de Deus")</f>
        <v>Terminal Aquaviário de Madre de Deus</v>
      </c>
      <c r="D2753" s="3" t="str">
        <f ca="1">IFERROR(__xludf.UNSUPPORTED("""COMPUTED_VALUE"""),"🚢 REGULAR")</f>
        <v>🚢 REGULAR</v>
      </c>
      <c r="E2753" s="3" t="str">
        <f ca="1">IFERROR(__xludf.UNSUPPORTED("""COMPUTED_VALUE"""),"🚛 LIBERADO")</f>
        <v>🚛 LIBERADO</v>
      </c>
      <c r="F2753" s="5">
        <f ca="1">IFERROR(__xludf.UNSUPPORTED("""COMPUTED_VALUE"""),0)</f>
        <v>0</v>
      </c>
      <c r="G2753" s="3" t="str">
        <f ca="1">IFERROR(__xludf.UNSUPPORTED("""COMPUTED_VALUE"""),"Normalidade")</f>
        <v>Normalidade</v>
      </c>
      <c r="H2753" s="4">
        <f ca="1">IFERROR(__xludf.UNSUPPORTED("""COMPUTED_VALUE"""),44875.4484837962)</f>
        <v>44875.448483796201</v>
      </c>
      <c r="I2753" s="3">
        <f ca="1">IFERROR(__xludf.UNSUPPORTED("""COMPUTED_VALUE"""),24)</f>
        <v>24</v>
      </c>
      <c r="J2753" s="4">
        <f ca="1">IFERROR(__xludf.UNSUPPORTED("""COMPUTED_VALUE"""),44876.4484837962)</f>
        <v>44876.448483796201</v>
      </c>
    </row>
    <row r="2754" spans="1:10" ht="12.75">
      <c r="A2754" s="3" t="str">
        <f ca="1">IFERROR(__xludf.UNSUPPORTED("""COMPUTED_VALUE"""),"e74c7052")</f>
        <v>e74c7052</v>
      </c>
      <c r="B2754" s="4">
        <f ca="1">IFERROR(__xludf.UNSUPPORTED("""COMPUTED_VALUE"""),44876.3507638887)</f>
        <v>44876.350763888702</v>
      </c>
      <c r="C2754" s="7" t="str">
        <f ca="1">IFERROR(__xludf.UNSUPPORTED("""COMPUTED_VALUE"""),"Terminal Aquaviário de Madre de Deus")</f>
        <v>Terminal Aquaviário de Madre de Deus</v>
      </c>
      <c r="D2754" s="3" t="str">
        <f ca="1">IFERROR(__xludf.UNSUPPORTED("""COMPUTED_VALUE"""),"🚢 REGULAR")</f>
        <v>🚢 REGULAR</v>
      </c>
      <c r="E2754" s="3" t="str">
        <f ca="1">IFERROR(__xludf.UNSUPPORTED("""COMPUTED_VALUE"""),"🚛 LIBERADO")</f>
        <v>🚛 LIBERADO</v>
      </c>
      <c r="F2754" s="5">
        <f ca="1">IFERROR(__xludf.UNSUPPORTED("""COMPUTED_VALUE"""),0)</f>
        <v>0</v>
      </c>
      <c r="G2754" s="3" t="str">
        <f ca="1">IFERROR(__xludf.UNSUPPORTED("""COMPUTED_VALUE"""),"Normalidade")</f>
        <v>Normalidade</v>
      </c>
      <c r="H2754" s="4">
        <f ca="1">IFERROR(__xludf.UNSUPPORTED("""COMPUTED_VALUE"""),44876.3507638887)</f>
        <v>44876.350763888702</v>
      </c>
      <c r="I2754" s="3">
        <f ca="1">IFERROR(__xludf.UNSUPPORTED("""COMPUTED_VALUE"""),24)</f>
        <v>24</v>
      </c>
      <c r="J2754" s="4">
        <f ca="1">IFERROR(__xludf.UNSUPPORTED("""COMPUTED_VALUE"""),44877.3507638887)</f>
        <v>44877.350763888702</v>
      </c>
    </row>
    <row r="2755" spans="1:10" ht="12.75">
      <c r="A2755" s="3" t="str">
        <f ca="1">IFERROR(__xludf.UNSUPPORTED("""COMPUTED_VALUE"""),"500da16b")</f>
        <v>500da16b</v>
      </c>
      <c r="B2755" s="4">
        <f ca="1">IFERROR(__xludf.UNSUPPORTED("""COMPUTED_VALUE"""),44877.325787037)</f>
        <v>44877.325787037</v>
      </c>
      <c r="C2755" s="7" t="str">
        <f ca="1">IFERROR(__xludf.UNSUPPORTED("""COMPUTED_VALUE"""),"Terminal Aquaviário de Madre de Deus")</f>
        <v>Terminal Aquaviário de Madre de Deus</v>
      </c>
      <c r="D2755" s="3" t="str">
        <f ca="1">IFERROR(__xludf.UNSUPPORTED("""COMPUTED_VALUE"""),"🚢 REGULAR")</f>
        <v>🚢 REGULAR</v>
      </c>
      <c r="E2755" s="3" t="str">
        <f ca="1">IFERROR(__xludf.UNSUPPORTED("""COMPUTED_VALUE"""),"🚛 LIBERADO")</f>
        <v>🚛 LIBERADO</v>
      </c>
      <c r="F2755" s="5">
        <f ca="1">IFERROR(__xludf.UNSUPPORTED("""COMPUTED_VALUE"""),0)</f>
        <v>0</v>
      </c>
      <c r="G2755" s="3" t="str">
        <f ca="1">IFERROR(__xludf.UNSUPPORTED("""COMPUTED_VALUE"""),"Normalidade")</f>
        <v>Normalidade</v>
      </c>
      <c r="H2755" s="4">
        <f ca="1">IFERROR(__xludf.UNSUPPORTED("""COMPUTED_VALUE"""),44877.325787037)</f>
        <v>44877.325787037</v>
      </c>
      <c r="I2755" s="3">
        <f ca="1">IFERROR(__xludf.UNSUPPORTED("""COMPUTED_VALUE"""),24)</f>
        <v>24</v>
      </c>
      <c r="J2755" s="4">
        <f ca="1">IFERROR(__xludf.UNSUPPORTED("""COMPUTED_VALUE"""),44878.325787037)</f>
        <v>44878.325787037</v>
      </c>
    </row>
    <row r="2756" spans="1:10" ht="12.75">
      <c r="A2756" s="3" t="str">
        <f ca="1">IFERROR(__xludf.UNSUPPORTED("""COMPUTED_VALUE"""),"92a64f26")</f>
        <v>92a64f26</v>
      </c>
      <c r="B2756" s="4">
        <f ca="1">IFERROR(__xludf.UNSUPPORTED("""COMPUTED_VALUE"""),44878.4470138888)</f>
        <v>44878.447013888799</v>
      </c>
      <c r="C2756" s="8" t="str">
        <f ca="1">IFERROR(__xludf.UNSUPPORTED("""COMPUTED_VALUE"""),"Terminal Aquaviário de Madre de Deus")</f>
        <v>Terminal Aquaviário de Madre de Deus</v>
      </c>
      <c r="D2756" s="3" t="str">
        <f ca="1">IFERROR(__xludf.UNSUPPORTED("""COMPUTED_VALUE"""),"🚢 REGULAR")</f>
        <v>🚢 REGULAR</v>
      </c>
      <c r="E2756" s="3" t="str">
        <f ca="1">IFERROR(__xludf.UNSUPPORTED("""COMPUTED_VALUE"""),"🚛 LIBERADO")</f>
        <v>🚛 LIBERADO</v>
      </c>
      <c r="F2756" s="5">
        <f ca="1">IFERROR(__xludf.UNSUPPORTED("""COMPUTED_VALUE"""),0)</f>
        <v>0</v>
      </c>
      <c r="G2756" s="3" t="str">
        <f ca="1">IFERROR(__xludf.UNSUPPORTED("""COMPUTED_VALUE"""),"Normalidade")</f>
        <v>Normalidade</v>
      </c>
      <c r="H2756" s="4">
        <f ca="1">IFERROR(__xludf.UNSUPPORTED("""COMPUTED_VALUE"""),44878.4470138888)</f>
        <v>44878.447013888799</v>
      </c>
      <c r="I2756" s="3">
        <f ca="1">IFERROR(__xludf.UNSUPPORTED("""COMPUTED_VALUE"""),24)</f>
        <v>24</v>
      </c>
      <c r="J2756" s="4">
        <f ca="1">IFERROR(__xludf.UNSUPPORTED("""COMPUTED_VALUE"""),44879.4470138888)</f>
        <v>44879.447013888799</v>
      </c>
    </row>
    <row r="2757" spans="1:10" ht="12.75">
      <c r="A2757" s="3" t="str">
        <f ca="1">IFERROR(__xludf.UNSUPPORTED("""COMPUTED_VALUE"""),"b3ea95f5")</f>
        <v>b3ea95f5</v>
      </c>
      <c r="B2757" s="4">
        <f ca="1">IFERROR(__xludf.UNSUPPORTED("""COMPUTED_VALUE"""),44879.2349652777)</f>
        <v>44879.234965277697</v>
      </c>
      <c r="C2757" s="8" t="str">
        <f ca="1">IFERROR(__xludf.UNSUPPORTED("""COMPUTED_VALUE"""),"Terminal Aquaviário de Madre de Deus")</f>
        <v>Terminal Aquaviário de Madre de Deus</v>
      </c>
      <c r="D2757" s="3" t="str">
        <f ca="1">IFERROR(__xludf.UNSUPPORTED("""COMPUTED_VALUE"""),"🚢 REGULAR")</f>
        <v>🚢 REGULAR</v>
      </c>
      <c r="E2757" s="3" t="str">
        <f ca="1">IFERROR(__xludf.UNSUPPORTED("""COMPUTED_VALUE"""),"🚛 LIBERADO")</f>
        <v>🚛 LIBERADO</v>
      </c>
      <c r="F2757" s="5">
        <f ca="1">IFERROR(__xludf.UNSUPPORTED("""COMPUTED_VALUE"""),0)</f>
        <v>0</v>
      </c>
      <c r="G2757" s="3" t="str">
        <f ca="1">IFERROR(__xludf.UNSUPPORTED("""COMPUTED_VALUE"""),"Normalidade")</f>
        <v>Normalidade</v>
      </c>
      <c r="H2757" s="4">
        <f ca="1">IFERROR(__xludf.UNSUPPORTED("""COMPUTED_VALUE"""),44879.2349652777)</f>
        <v>44879.234965277697</v>
      </c>
      <c r="I2757" s="3">
        <f ca="1">IFERROR(__xludf.UNSUPPORTED("""COMPUTED_VALUE"""),24)</f>
        <v>24</v>
      </c>
      <c r="J2757" s="4">
        <f ca="1">IFERROR(__xludf.UNSUPPORTED("""COMPUTED_VALUE"""),44880.2349652777)</f>
        <v>44880.234965277697</v>
      </c>
    </row>
    <row r="2758" spans="1:10" ht="12.75">
      <c r="A2758" s="3" t="str">
        <f ca="1">IFERROR(__xludf.UNSUPPORTED("""COMPUTED_VALUE"""),"dcec40d4")</f>
        <v>dcec40d4</v>
      </c>
      <c r="B2758" s="4">
        <f ca="1">IFERROR(__xludf.UNSUPPORTED("""COMPUTED_VALUE"""),44880.2959375)</f>
        <v>44880.295937499999</v>
      </c>
      <c r="C2758" s="7" t="str">
        <f ca="1">IFERROR(__xludf.UNSUPPORTED("""COMPUTED_VALUE"""),"Terminal Aquaviário de Madre de Deus")</f>
        <v>Terminal Aquaviário de Madre de Deus</v>
      </c>
      <c r="D2758" s="3" t="str">
        <f ca="1">IFERROR(__xludf.UNSUPPORTED("""COMPUTED_VALUE"""),"🚢 REGULAR")</f>
        <v>🚢 REGULAR</v>
      </c>
      <c r="E2758" s="3" t="str">
        <f ca="1">IFERROR(__xludf.UNSUPPORTED("""COMPUTED_VALUE"""),"🚛 LIBERADO")</f>
        <v>🚛 LIBERADO</v>
      </c>
      <c r="F2758" s="5">
        <f ca="1">IFERROR(__xludf.UNSUPPORTED("""COMPUTED_VALUE"""),0)</f>
        <v>0</v>
      </c>
      <c r="G2758" s="3" t="str">
        <f ca="1">IFERROR(__xludf.UNSUPPORTED("""COMPUTED_VALUE"""),"Normalidade")</f>
        <v>Normalidade</v>
      </c>
      <c r="H2758" s="4">
        <f ca="1">IFERROR(__xludf.UNSUPPORTED("""COMPUTED_VALUE"""),44880.2959375)</f>
        <v>44880.295937499999</v>
      </c>
      <c r="I2758" s="3">
        <f ca="1">IFERROR(__xludf.UNSUPPORTED("""COMPUTED_VALUE"""),24)</f>
        <v>24</v>
      </c>
      <c r="J2758" s="4">
        <f ca="1">IFERROR(__xludf.UNSUPPORTED("""COMPUTED_VALUE"""),44881.2959375)</f>
        <v>44881.295937499999</v>
      </c>
    </row>
    <row r="2759" spans="1:10" ht="12.75">
      <c r="A2759" s="3" t="str">
        <f ca="1">IFERROR(__xludf.UNSUPPORTED("""COMPUTED_VALUE"""),"fc76b724")</f>
        <v>fc76b724</v>
      </c>
      <c r="B2759" s="4">
        <f ca="1">IFERROR(__xludf.UNSUPPORTED("""COMPUTED_VALUE"""),44881.3523958333)</f>
        <v>44881.352395833303</v>
      </c>
      <c r="C2759" s="7" t="str">
        <f ca="1">IFERROR(__xludf.UNSUPPORTED("""COMPUTED_VALUE"""),"Terminal Aquaviário de Madre de Deus")</f>
        <v>Terminal Aquaviário de Madre de Deus</v>
      </c>
      <c r="D2759" s="3" t="str">
        <f ca="1">IFERROR(__xludf.UNSUPPORTED("""COMPUTED_VALUE"""),"🚢 REGULAR")</f>
        <v>🚢 REGULAR</v>
      </c>
      <c r="E2759" s="3" t="str">
        <f ca="1">IFERROR(__xludf.UNSUPPORTED("""COMPUTED_VALUE"""),"🚛 LIBERADO")</f>
        <v>🚛 LIBERADO</v>
      </c>
      <c r="F2759" s="5">
        <f ca="1">IFERROR(__xludf.UNSUPPORTED("""COMPUTED_VALUE"""),0)</f>
        <v>0</v>
      </c>
      <c r="G2759" s="3" t="str">
        <f ca="1">IFERROR(__xludf.UNSUPPORTED("""COMPUTED_VALUE"""),"Normalidade")</f>
        <v>Normalidade</v>
      </c>
      <c r="H2759" s="4">
        <f ca="1">IFERROR(__xludf.UNSUPPORTED("""COMPUTED_VALUE"""),44881.3523958333)</f>
        <v>44881.352395833303</v>
      </c>
      <c r="I2759" s="3">
        <f ca="1">IFERROR(__xludf.UNSUPPORTED("""COMPUTED_VALUE"""),24)</f>
        <v>24</v>
      </c>
      <c r="J2759" s="4">
        <f ca="1">IFERROR(__xludf.UNSUPPORTED("""COMPUTED_VALUE"""),44882.3523958333)</f>
        <v>44882.352395833303</v>
      </c>
    </row>
    <row r="2760" spans="1:10" ht="12.75">
      <c r="A2760" s="3" t="str">
        <f ca="1">IFERROR(__xludf.UNSUPPORTED("""COMPUTED_VALUE"""),"a581fd89")</f>
        <v>a581fd89</v>
      </c>
      <c r="B2760" s="4">
        <f ca="1">IFERROR(__xludf.UNSUPPORTED("""COMPUTED_VALUE"""),44882.2891898148)</f>
        <v>44882.289189814801</v>
      </c>
      <c r="C2760" s="8" t="str">
        <f ca="1">IFERROR(__xludf.UNSUPPORTED("""COMPUTED_VALUE"""),"Terminal Aquaviário de Madre de Deus")</f>
        <v>Terminal Aquaviário de Madre de Deus</v>
      </c>
      <c r="D2760" s="3" t="str">
        <f ca="1">IFERROR(__xludf.UNSUPPORTED("""COMPUTED_VALUE"""),"🚢 REGULAR")</f>
        <v>🚢 REGULAR</v>
      </c>
      <c r="E2760" s="3" t="str">
        <f ca="1">IFERROR(__xludf.UNSUPPORTED("""COMPUTED_VALUE"""),"🚛 LIBERADO")</f>
        <v>🚛 LIBERADO</v>
      </c>
      <c r="F2760" s="5">
        <f ca="1">IFERROR(__xludf.UNSUPPORTED("""COMPUTED_VALUE"""),0)</f>
        <v>0</v>
      </c>
      <c r="G2760" s="3" t="str">
        <f ca="1">IFERROR(__xludf.UNSUPPORTED("""COMPUTED_VALUE"""),"Normalidade")</f>
        <v>Normalidade</v>
      </c>
      <c r="H2760" s="4">
        <f ca="1">IFERROR(__xludf.UNSUPPORTED("""COMPUTED_VALUE"""),44882.2891898148)</f>
        <v>44882.289189814801</v>
      </c>
      <c r="I2760" s="3">
        <f ca="1">IFERROR(__xludf.UNSUPPORTED("""COMPUTED_VALUE"""),24)</f>
        <v>24</v>
      </c>
      <c r="J2760" s="4">
        <f ca="1">IFERROR(__xludf.UNSUPPORTED("""COMPUTED_VALUE"""),44883.2891898148)</f>
        <v>44883.289189814801</v>
      </c>
    </row>
    <row r="2761" spans="1:10" ht="12.75">
      <c r="A2761" s="3" t="str">
        <f ca="1">IFERROR(__xludf.UNSUPPORTED("""COMPUTED_VALUE"""),"9ff551a4")</f>
        <v>9ff551a4</v>
      </c>
      <c r="B2761" s="4">
        <f ca="1">IFERROR(__xludf.UNSUPPORTED("""COMPUTED_VALUE"""),44883.4948148148)</f>
        <v>44883.494814814803</v>
      </c>
      <c r="C2761" s="8" t="str">
        <f ca="1">IFERROR(__xludf.UNSUPPORTED("""COMPUTED_VALUE"""),"Terminal Aquaviário de Madre de Deus")</f>
        <v>Terminal Aquaviário de Madre de Deus</v>
      </c>
      <c r="D2761" s="3" t="str">
        <f ca="1">IFERROR(__xludf.UNSUPPORTED("""COMPUTED_VALUE"""),"🚢 REGULAR")</f>
        <v>🚢 REGULAR</v>
      </c>
      <c r="E2761" s="3" t="str">
        <f ca="1">IFERROR(__xludf.UNSUPPORTED("""COMPUTED_VALUE"""),"🚛 LIBERADO")</f>
        <v>🚛 LIBERADO</v>
      </c>
      <c r="F2761" s="5">
        <f ca="1">IFERROR(__xludf.UNSUPPORTED("""COMPUTED_VALUE"""),0)</f>
        <v>0</v>
      </c>
      <c r="G2761" s="3" t="str">
        <f ca="1">IFERROR(__xludf.UNSUPPORTED("""COMPUTED_VALUE"""),"Normalidade")</f>
        <v>Normalidade</v>
      </c>
      <c r="H2761" s="4">
        <f ca="1">IFERROR(__xludf.UNSUPPORTED("""COMPUTED_VALUE"""),44883.4948148148)</f>
        <v>44883.494814814803</v>
      </c>
      <c r="I2761" s="3">
        <f ca="1">IFERROR(__xludf.UNSUPPORTED("""COMPUTED_VALUE"""),24)</f>
        <v>24</v>
      </c>
      <c r="J2761" s="4">
        <f ca="1">IFERROR(__xludf.UNSUPPORTED("""COMPUTED_VALUE"""),44884.4948148148)</f>
        <v>44884.494814814803</v>
      </c>
    </row>
    <row r="2762" spans="1:10" ht="12.75">
      <c r="A2762" s="3" t="str">
        <f ca="1">IFERROR(__xludf.UNSUPPORTED("""COMPUTED_VALUE"""),"8c6ecf4d")</f>
        <v>8c6ecf4d</v>
      </c>
      <c r="B2762" s="4">
        <f ca="1">IFERROR(__xludf.UNSUPPORTED("""COMPUTED_VALUE"""),44884.4006249999)</f>
        <v>44884.4006249999</v>
      </c>
      <c r="C2762" s="7" t="str">
        <f ca="1">IFERROR(__xludf.UNSUPPORTED("""COMPUTED_VALUE"""),"Terminal Aquaviário de Madre de Deus")</f>
        <v>Terminal Aquaviário de Madre de Deus</v>
      </c>
      <c r="D2762" s="3" t="str">
        <f ca="1">IFERROR(__xludf.UNSUPPORTED("""COMPUTED_VALUE"""),"🚢 REGULAR")</f>
        <v>🚢 REGULAR</v>
      </c>
      <c r="E2762" s="3" t="str">
        <f ca="1">IFERROR(__xludf.UNSUPPORTED("""COMPUTED_VALUE"""),"🚛 LIBERADO")</f>
        <v>🚛 LIBERADO</v>
      </c>
      <c r="F2762" s="5">
        <f ca="1">IFERROR(__xludf.UNSUPPORTED("""COMPUTED_VALUE"""),0)</f>
        <v>0</v>
      </c>
      <c r="G2762" s="3" t="str">
        <f ca="1">IFERROR(__xludf.UNSUPPORTED("""COMPUTED_VALUE"""),"Normalidade")</f>
        <v>Normalidade</v>
      </c>
      <c r="H2762" s="4">
        <f ca="1">IFERROR(__xludf.UNSUPPORTED("""COMPUTED_VALUE"""),44884.4006249999)</f>
        <v>44884.4006249999</v>
      </c>
      <c r="I2762" s="3">
        <f ca="1">IFERROR(__xludf.UNSUPPORTED("""COMPUTED_VALUE"""),24)</f>
        <v>24</v>
      </c>
      <c r="J2762" s="4">
        <f ca="1">IFERROR(__xludf.UNSUPPORTED("""COMPUTED_VALUE"""),44885.4006249999)</f>
        <v>44885.4006249999</v>
      </c>
    </row>
    <row r="2763" spans="1:10" ht="12.75">
      <c r="A2763" s="3" t="str">
        <f ca="1">IFERROR(__xludf.UNSUPPORTED("""COMPUTED_VALUE"""),"af5ccc38")</f>
        <v>af5ccc38</v>
      </c>
      <c r="B2763" s="4">
        <f ca="1">IFERROR(__xludf.UNSUPPORTED("""COMPUTED_VALUE"""),44886.3348842592)</f>
        <v>44886.334884259202</v>
      </c>
      <c r="C2763" s="8" t="str">
        <f ca="1">IFERROR(__xludf.UNSUPPORTED("""COMPUTED_VALUE"""),"Terminal Aquaviário de Madre de Deus")</f>
        <v>Terminal Aquaviário de Madre de Deus</v>
      </c>
      <c r="D2763" s="3" t="str">
        <f ca="1">IFERROR(__xludf.UNSUPPORTED("""COMPUTED_VALUE"""),"🚢 REGULAR")</f>
        <v>🚢 REGULAR</v>
      </c>
      <c r="E2763" s="3" t="str">
        <f ca="1">IFERROR(__xludf.UNSUPPORTED("""COMPUTED_VALUE"""),"🚛 LIBERADO")</f>
        <v>🚛 LIBERADO</v>
      </c>
      <c r="F2763" s="5">
        <f ca="1">IFERROR(__xludf.UNSUPPORTED("""COMPUTED_VALUE"""),0)</f>
        <v>0</v>
      </c>
      <c r="G2763" s="3" t="str">
        <f ca="1">IFERROR(__xludf.UNSUPPORTED("""COMPUTED_VALUE"""),"Normalidade")</f>
        <v>Normalidade</v>
      </c>
      <c r="H2763" s="4">
        <f ca="1">IFERROR(__xludf.UNSUPPORTED("""COMPUTED_VALUE"""),44886.3348842592)</f>
        <v>44886.334884259202</v>
      </c>
      <c r="I2763" s="3">
        <f ca="1">IFERROR(__xludf.UNSUPPORTED("""COMPUTED_VALUE"""),24)</f>
        <v>24</v>
      </c>
      <c r="J2763" s="4">
        <f ca="1">IFERROR(__xludf.UNSUPPORTED("""COMPUTED_VALUE"""),44887.3348842592)</f>
        <v>44887.334884259202</v>
      </c>
    </row>
    <row r="2764" spans="1:10" ht="12.75">
      <c r="A2764" s="3" t="str">
        <f ca="1">IFERROR(__xludf.UNSUPPORTED("""COMPUTED_VALUE"""),"abe0e6fe")</f>
        <v>abe0e6fe</v>
      </c>
      <c r="B2764" s="4">
        <f ca="1">IFERROR(__xludf.UNSUPPORTED("""COMPUTED_VALUE"""),44888.260474537)</f>
        <v>44888.260474536997</v>
      </c>
      <c r="C2764" s="8" t="str">
        <f ca="1">IFERROR(__xludf.UNSUPPORTED("""COMPUTED_VALUE"""),"Terminal Aquaviário de Madre de Deus")</f>
        <v>Terminal Aquaviário de Madre de Deus</v>
      </c>
      <c r="D2764" s="3" t="str">
        <f ca="1">IFERROR(__xludf.UNSUPPORTED("""COMPUTED_VALUE"""),"🚢 REGULAR")</f>
        <v>🚢 REGULAR</v>
      </c>
      <c r="E2764" s="3" t="str">
        <f ca="1">IFERROR(__xludf.UNSUPPORTED("""COMPUTED_VALUE"""),"🚛 LIBERADO")</f>
        <v>🚛 LIBERADO</v>
      </c>
      <c r="F2764" s="5">
        <f ca="1">IFERROR(__xludf.UNSUPPORTED("""COMPUTED_VALUE"""),0)</f>
        <v>0</v>
      </c>
      <c r="G2764" s="3" t="str">
        <f ca="1">IFERROR(__xludf.UNSUPPORTED("""COMPUTED_VALUE"""),"Normalidade")</f>
        <v>Normalidade</v>
      </c>
      <c r="H2764" s="4">
        <f ca="1">IFERROR(__xludf.UNSUPPORTED("""COMPUTED_VALUE"""),44888.260474537)</f>
        <v>44888.260474536997</v>
      </c>
      <c r="I2764" s="3">
        <f ca="1">IFERROR(__xludf.UNSUPPORTED("""COMPUTED_VALUE"""),24)</f>
        <v>24</v>
      </c>
      <c r="J2764" s="4">
        <f ca="1">IFERROR(__xludf.UNSUPPORTED("""COMPUTED_VALUE"""),44889.260474537)</f>
        <v>44889.260474536997</v>
      </c>
    </row>
    <row r="2765" spans="1:10" ht="12.75">
      <c r="A2765" s="3" t="str">
        <f ca="1">IFERROR(__xludf.UNSUPPORTED("""COMPUTED_VALUE"""),"8b2385b6")</f>
        <v>8b2385b6</v>
      </c>
      <c r="B2765" s="4">
        <f ca="1">IFERROR(__xludf.UNSUPPORTED("""COMPUTED_VALUE"""),44890.1371759259)</f>
        <v>44890.137175925898</v>
      </c>
      <c r="C2765" s="8" t="str">
        <f ca="1">IFERROR(__xludf.UNSUPPORTED("""COMPUTED_VALUE"""),"Terminal Aquaviário de Madre de Deus")</f>
        <v>Terminal Aquaviário de Madre de Deus</v>
      </c>
      <c r="D2765" s="3" t="str">
        <f ca="1">IFERROR(__xludf.UNSUPPORTED("""COMPUTED_VALUE"""),"🚢 REGULAR")</f>
        <v>🚢 REGULAR</v>
      </c>
      <c r="E2765" s="3" t="str">
        <f ca="1">IFERROR(__xludf.UNSUPPORTED("""COMPUTED_VALUE"""),"🚛 LIBERADO")</f>
        <v>🚛 LIBERADO</v>
      </c>
      <c r="F2765" s="5">
        <f ca="1">IFERROR(__xludf.UNSUPPORTED("""COMPUTED_VALUE"""),0)</f>
        <v>0</v>
      </c>
      <c r="G2765" s="3" t="str">
        <f ca="1">IFERROR(__xludf.UNSUPPORTED("""COMPUTED_VALUE"""),"Normalidade")</f>
        <v>Normalidade</v>
      </c>
      <c r="H2765" s="4">
        <f ca="1">IFERROR(__xludf.UNSUPPORTED("""COMPUTED_VALUE"""),44890.1371759259)</f>
        <v>44890.137175925898</v>
      </c>
      <c r="I2765" s="3">
        <f ca="1">IFERROR(__xludf.UNSUPPORTED("""COMPUTED_VALUE"""),24)</f>
        <v>24</v>
      </c>
      <c r="J2765" s="4">
        <f ca="1">IFERROR(__xludf.UNSUPPORTED("""COMPUTED_VALUE"""),44891.1371759259)</f>
        <v>44891.137175925898</v>
      </c>
    </row>
    <row r="2766" spans="1:10" ht="12.75">
      <c r="A2766" s="3" t="str">
        <f ca="1">IFERROR(__xludf.UNSUPPORTED("""COMPUTED_VALUE"""),"d5c50c6f")</f>
        <v>d5c50c6f</v>
      </c>
      <c r="B2766" s="4">
        <f ca="1">IFERROR(__xludf.UNSUPPORTED("""COMPUTED_VALUE"""),44892.4596064814)</f>
        <v>44892.459606481403</v>
      </c>
      <c r="C2766" s="8" t="str">
        <f ca="1">IFERROR(__xludf.UNSUPPORTED("""COMPUTED_VALUE"""),"Terminal Aquaviário de Madre de Deus")</f>
        <v>Terminal Aquaviário de Madre de Deus</v>
      </c>
      <c r="D2766" s="3" t="str">
        <f ca="1">IFERROR(__xludf.UNSUPPORTED("""COMPUTED_VALUE"""),"🚢 REGULAR")</f>
        <v>🚢 REGULAR</v>
      </c>
      <c r="E2766" s="3" t="str">
        <f ca="1">IFERROR(__xludf.UNSUPPORTED("""COMPUTED_VALUE"""),"🚛 LIBERADO")</f>
        <v>🚛 LIBERADO</v>
      </c>
      <c r="F2766" s="5">
        <f ca="1">IFERROR(__xludf.UNSUPPORTED("""COMPUTED_VALUE"""),0)</f>
        <v>0</v>
      </c>
      <c r="G2766" s="3" t="str">
        <f ca="1">IFERROR(__xludf.UNSUPPORTED("""COMPUTED_VALUE"""),"Normalidade")</f>
        <v>Normalidade</v>
      </c>
      <c r="H2766" s="4">
        <f ca="1">IFERROR(__xludf.UNSUPPORTED("""COMPUTED_VALUE"""),44892.4596064814)</f>
        <v>44892.459606481403</v>
      </c>
      <c r="I2766" s="3">
        <f ca="1">IFERROR(__xludf.UNSUPPORTED("""COMPUTED_VALUE"""),24)</f>
        <v>24</v>
      </c>
      <c r="J2766" s="4">
        <f ca="1">IFERROR(__xludf.UNSUPPORTED("""COMPUTED_VALUE"""),44893.4596064814)</f>
        <v>44893.459606481403</v>
      </c>
    </row>
    <row r="2767" spans="1:10" ht="12.75">
      <c r="A2767" s="3" t="str">
        <f ca="1">IFERROR(__xludf.UNSUPPORTED("""COMPUTED_VALUE"""),"fb3e0cb4")</f>
        <v>fb3e0cb4</v>
      </c>
      <c r="B2767" s="4">
        <f ca="1">IFERROR(__xludf.UNSUPPORTED("""COMPUTED_VALUE"""),44893.3776273148)</f>
        <v>44893.377627314803</v>
      </c>
      <c r="C2767" s="8" t="str">
        <f ca="1">IFERROR(__xludf.UNSUPPORTED("""COMPUTED_VALUE"""),"Terminal Aquaviário de Madre de Deus")</f>
        <v>Terminal Aquaviário de Madre de Deus</v>
      </c>
      <c r="D2767" s="3" t="str">
        <f ca="1">IFERROR(__xludf.UNSUPPORTED("""COMPUTED_VALUE"""),"🚢 REGULAR")</f>
        <v>🚢 REGULAR</v>
      </c>
      <c r="E2767" s="3" t="str">
        <f ca="1">IFERROR(__xludf.UNSUPPORTED("""COMPUTED_VALUE"""),"🚛 LIBERADO")</f>
        <v>🚛 LIBERADO</v>
      </c>
      <c r="F2767" s="5">
        <f ca="1">IFERROR(__xludf.UNSUPPORTED("""COMPUTED_VALUE"""),0)</f>
        <v>0</v>
      </c>
      <c r="G2767" s="3" t="str">
        <f ca="1">IFERROR(__xludf.UNSUPPORTED("""COMPUTED_VALUE"""),"Normalidade")</f>
        <v>Normalidade</v>
      </c>
      <c r="H2767" s="4">
        <f ca="1">IFERROR(__xludf.UNSUPPORTED("""COMPUTED_VALUE"""),44893.3776273148)</f>
        <v>44893.377627314803</v>
      </c>
      <c r="I2767" s="3">
        <f ca="1">IFERROR(__xludf.UNSUPPORTED("""COMPUTED_VALUE"""),24)</f>
        <v>24</v>
      </c>
      <c r="J2767" s="4">
        <f ca="1">IFERROR(__xludf.UNSUPPORTED("""COMPUTED_VALUE"""),44894.3776273148)</f>
        <v>44894.377627314803</v>
      </c>
    </row>
    <row r="2768" spans="1:10" ht="12.75">
      <c r="A2768" s="3" t="str">
        <f ca="1">IFERROR(__xludf.UNSUPPORTED("""COMPUTED_VALUE"""),"359e12bd")</f>
        <v>359e12bd</v>
      </c>
      <c r="B2768" s="4">
        <f ca="1">IFERROR(__xludf.UNSUPPORTED("""COMPUTED_VALUE"""),44894.3700347222)</f>
        <v>44894.370034722197</v>
      </c>
      <c r="C2768" s="8" t="str">
        <f ca="1">IFERROR(__xludf.UNSUPPORTED("""COMPUTED_VALUE"""),"Terminal Aquaviário de Madre de Deus")</f>
        <v>Terminal Aquaviário de Madre de Deus</v>
      </c>
      <c r="D2768" s="3" t="str">
        <f ca="1">IFERROR(__xludf.UNSUPPORTED("""COMPUTED_VALUE"""),"🚢 REGULAR")</f>
        <v>🚢 REGULAR</v>
      </c>
      <c r="E2768" s="3" t="str">
        <f ca="1">IFERROR(__xludf.UNSUPPORTED("""COMPUTED_VALUE"""),"🚛 LIBERADO")</f>
        <v>🚛 LIBERADO</v>
      </c>
      <c r="F2768" s="5">
        <f ca="1">IFERROR(__xludf.UNSUPPORTED("""COMPUTED_VALUE"""),0)</f>
        <v>0</v>
      </c>
      <c r="G2768" s="3" t="str">
        <f ca="1">IFERROR(__xludf.UNSUPPORTED("""COMPUTED_VALUE"""),"Normalidade")</f>
        <v>Normalidade</v>
      </c>
      <c r="H2768" s="4">
        <f ca="1">IFERROR(__xludf.UNSUPPORTED("""COMPUTED_VALUE"""),44894.3700347222)</f>
        <v>44894.370034722197</v>
      </c>
      <c r="I2768" s="3">
        <f ca="1">IFERROR(__xludf.UNSUPPORTED("""COMPUTED_VALUE"""),24)</f>
        <v>24</v>
      </c>
      <c r="J2768" s="4">
        <f ca="1">IFERROR(__xludf.UNSUPPORTED("""COMPUTED_VALUE"""),44895.3700347222)</f>
        <v>44895.370034722197</v>
      </c>
    </row>
    <row r="2769" spans="1:10" ht="12.75">
      <c r="A2769" s="3" t="str">
        <f ca="1">IFERROR(__xludf.UNSUPPORTED("""COMPUTED_VALUE"""),"e0f88420")</f>
        <v>e0f88420</v>
      </c>
      <c r="B2769" s="4">
        <f ca="1">IFERROR(__xludf.UNSUPPORTED("""COMPUTED_VALUE"""),44895.2897337962)</f>
        <v>44895.289733796199</v>
      </c>
      <c r="C2769" s="7" t="str">
        <f ca="1">IFERROR(__xludf.UNSUPPORTED("""COMPUTED_VALUE"""),"Terminal Aquaviário de Madre de Deus")</f>
        <v>Terminal Aquaviário de Madre de Deus</v>
      </c>
      <c r="D2769" s="3" t="str">
        <f ca="1">IFERROR(__xludf.UNSUPPORTED("""COMPUTED_VALUE"""),"🚢 REGULAR")</f>
        <v>🚢 REGULAR</v>
      </c>
      <c r="E2769" s="3" t="str">
        <f ca="1">IFERROR(__xludf.UNSUPPORTED("""COMPUTED_VALUE"""),"🚛 LIBERADO")</f>
        <v>🚛 LIBERADO</v>
      </c>
      <c r="F2769" s="5">
        <f ca="1">IFERROR(__xludf.UNSUPPORTED("""COMPUTED_VALUE"""),0)</f>
        <v>0</v>
      </c>
      <c r="G2769" s="3" t="str">
        <f ca="1">IFERROR(__xludf.UNSUPPORTED("""COMPUTED_VALUE"""),"Normalidade")</f>
        <v>Normalidade</v>
      </c>
      <c r="H2769" s="4">
        <f ca="1">IFERROR(__xludf.UNSUPPORTED("""COMPUTED_VALUE"""),44895.2897337962)</f>
        <v>44895.289733796199</v>
      </c>
      <c r="I2769" s="3">
        <f ca="1">IFERROR(__xludf.UNSUPPORTED("""COMPUTED_VALUE"""),24)</f>
        <v>24</v>
      </c>
      <c r="J2769" s="4">
        <f ca="1">IFERROR(__xludf.UNSUPPORTED("""COMPUTED_VALUE"""),44896.2897337962)</f>
        <v>44896.289733796199</v>
      </c>
    </row>
    <row r="2770" spans="1:10" ht="12.75">
      <c r="A2770" s="3" t="str">
        <f ca="1">IFERROR(__xludf.UNSUPPORTED("""COMPUTED_VALUE"""),"92dd217a")</f>
        <v>92dd217a</v>
      </c>
      <c r="B2770" s="4">
        <f ca="1">IFERROR(__xludf.UNSUPPORTED("""COMPUTED_VALUE"""),44896.4344328703)</f>
        <v>44896.434432870301</v>
      </c>
      <c r="C2770" s="8" t="str">
        <f ca="1">IFERROR(__xludf.UNSUPPORTED("""COMPUTED_VALUE"""),"Terminal Aquaviário de Madre de Deus")</f>
        <v>Terminal Aquaviário de Madre de Deus</v>
      </c>
      <c r="D2770" s="3" t="str">
        <f ca="1">IFERROR(__xludf.UNSUPPORTED("""COMPUTED_VALUE"""),"🚢 REGULAR")</f>
        <v>🚢 REGULAR</v>
      </c>
      <c r="E2770" s="3" t="str">
        <f ca="1">IFERROR(__xludf.UNSUPPORTED("""COMPUTED_VALUE"""),"🚛 LIBERADO")</f>
        <v>🚛 LIBERADO</v>
      </c>
      <c r="F2770" s="5">
        <f ca="1">IFERROR(__xludf.UNSUPPORTED("""COMPUTED_VALUE"""),0)</f>
        <v>0</v>
      </c>
      <c r="G2770" s="3" t="str">
        <f ca="1">IFERROR(__xludf.UNSUPPORTED("""COMPUTED_VALUE"""),"Normalidade")</f>
        <v>Normalidade</v>
      </c>
      <c r="H2770" s="4">
        <f ca="1">IFERROR(__xludf.UNSUPPORTED("""COMPUTED_VALUE"""),44896.4344328703)</f>
        <v>44896.434432870301</v>
      </c>
      <c r="I2770" s="3">
        <f ca="1">IFERROR(__xludf.UNSUPPORTED("""COMPUTED_VALUE"""),24)</f>
        <v>24</v>
      </c>
      <c r="J2770" s="4">
        <f ca="1">IFERROR(__xludf.UNSUPPORTED("""COMPUTED_VALUE"""),44897.4344328703)</f>
        <v>44897.434432870301</v>
      </c>
    </row>
    <row r="2771" spans="1:10" ht="12.75">
      <c r="A2771" s="3" t="str">
        <f ca="1">IFERROR(__xludf.UNSUPPORTED("""COMPUTED_VALUE"""),"ef1213f0")</f>
        <v>ef1213f0</v>
      </c>
      <c r="B2771" s="4">
        <f ca="1">IFERROR(__xludf.UNSUPPORTED("""COMPUTED_VALUE"""),44897.4080439814)</f>
        <v>44897.408043981399</v>
      </c>
      <c r="C2771" s="7" t="str">
        <f ca="1">IFERROR(__xludf.UNSUPPORTED("""COMPUTED_VALUE"""),"Terminal Aquaviário de Madre de Deus")</f>
        <v>Terminal Aquaviário de Madre de Deus</v>
      </c>
      <c r="D2771" s="3" t="str">
        <f ca="1">IFERROR(__xludf.UNSUPPORTED("""COMPUTED_VALUE"""),"🚢 REGULAR")</f>
        <v>🚢 REGULAR</v>
      </c>
      <c r="E2771" s="3" t="str">
        <f ca="1">IFERROR(__xludf.UNSUPPORTED("""COMPUTED_VALUE"""),"🚛 LIBERADO")</f>
        <v>🚛 LIBERADO</v>
      </c>
      <c r="F2771" s="5">
        <f ca="1">IFERROR(__xludf.UNSUPPORTED("""COMPUTED_VALUE"""),0)</f>
        <v>0</v>
      </c>
      <c r="G2771" s="3" t="str">
        <f ca="1">IFERROR(__xludf.UNSUPPORTED("""COMPUTED_VALUE"""),"Normalidade")</f>
        <v>Normalidade</v>
      </c>
      <c r="H2771" s="4">
        <f ca="1">IFERROR(__xludf.UNSUPPORTED("""COMPUTED_VALUE"""),44897.4080439814)</f>
        <v>44897.408043981399</v>
      </c>
      <c r="I2771" s="3">
        <f ca="1">IFERROR(__xludf.UNSUPPORTED("""COMPUTED_VALUE"""),24)</f>
        <v>24</v>
      </c>
      <c r="J2771" s="4">
        <f ca="1">IFERROR(__xludf.UNSUPPORTED("""COMPUTED_VALUE"""),44898.4080439814)</f>
        <v>44898.408043981399</v>
      </c>
    </row>
    <row r="2772" spans="1:10" ht="12.75">
      <c r="A2772" s="3" t="str">
        <f ca="1">IFERROR(__xludf.UNSUPPORTED("""COMPUTED_VALUE"""),"40c07499")</f>
        <v>40c07499</v>
      </c>
      <c r="B2772" s="4">
        <f ca="1">IFERROR(__xludf.UNSUPPORTED("""COMPUTED_VALUE"""),44898.2938078703)</f>
        <v>44898.293807870301</v>
      </c>
      <c r="C2772" s="8" t="str">
        <f ca="1">IFERROR(__xludf.UNSUPPORTED("""COMPUTED_VALUE"""),"Terminal Aquaviário de Madre de Deus")</f>
        <v>Terminal Aquaviário de Madre de Deus</v>
      </c>
      <c r="D2772" s="3" t="str">
        <f ca="1">IFERROR(__xludf.UNSUPPORTED("""COMPUTED_VALUE"""),"🚢 REGULAR")</f>
        <v>🚢 REGULAR</v>
      </c>
      <c r="E2772" s="3" t="str">
        <f ca="1">IFERROR(__xludf.UNSUPPORTED("""COMPUTED_VALUE"""),"🚛 LIBERADO")</f>
        <v>🚛 LIBERADO</v>
      </c>
      <c r="F2772" s="5">
        <f ca="1">IFERROR(__xludf.UNSUPPORTED("""COMPUTED_VALUE"""),0)</f>
        <v>0</v>
      </c>
      <c r="G2772" s="3" t="str">
        <f ca="1">IFERROR(__xludf.UNSUPPORTED("""COMPUTED_VALUE"""),"Normalidade")</f>
        <v>Normalidade</v>
      </c>
      <c r="H2772" s="4">
        <f ca="1">IFERROR(__xludf.UNSUPPORTED("""COMPUTED_VALUE"""),44898.2938078703)</f>
        <v>44898.293807870301</v>
      </c>
      <c r="I2772" s="3">
        <f ca="1">IFERROR(__xludf.UNSUPPORTED("""COMPUTED_VALUE"""),24)</f>
        <v>24</v>
      </c>
      <c r="J2772" s="4">
        <f ca="1">IFERROR(__xludf.UNSUPPORTED("""COMPUTED_VALUE"""),44899.2938078703)</f>
        <v>44899.293807870301</v>
      </c>
    </row>
    <row r="2773" spans="1:10" ht="12.75">
      <c r="A2773" s="3" t="str">
        <f ca="1">IFERROR(__xludf.UNSUPPORTED("""COMPUTED_VALUE"""),"b9a205bd")</f>
        <v>b9a205bd</v>
      </c>
      <c r="B2773" s="4">
        <f ca="1">IFERROR(__xludf.UNSUPPORTED("""COMPUTED_VALUE"""),44899.2514930555)</f>
        <v>44899.251493055497</v>
      </c>
      <c r="C2773" s="8" t="str">
        <f ca="1">IFERROR(__xludf.UNSUPPORTED("""COMPUTED_VALUE"""),"Terminal Aquaviário de Madre de Deus")</f>
        <v>Terminal Aquaviário de Madre de Deus</v>
      </c>
      <c r="D2773" s="3" t="str">
        <f ca="1">IFERROR(__xludf.UNSUPPORTED("""COMPUTED_VALUE"""),"🚢 REGULAR")</f>
        <v>🚢 REGULAR</v>
      </c>
      <c r="E2773" s="3" t="str">
        <f ca="1">IFERROR(__xludf.UNSUPPORTED("""COMPUTED_VALUE"""),"🚛 LIBERADO")</f>
        <v>🚛 LIBERADO</v>
      </c>
      <c r="F2773" s="5">
        <f ca="1">IFERROR(__xludf.UNSUPPORTED("""COMPUTED_VALUE"""),0)</f>
        <v>0</v>
      </c>
      <c r="G2773" s="3" t="str">
        <f ca="1">IFERROR(__xludf.UNSUPPORTED("""COMPUTED_VALUE"""),"Norm")</f>
        <v>Norm</v>
      </c>
      <c r="H2773" s="4">
        <f ca="1">IFERROR(__xludf.UNSUPPORTED("""COMPUTED_VALUE"""),44899.2514930555)</f>
        <v>44899.251493055497</v>
      </c>
      <c r="I2773" s="3">
        <f ca="1">IFERROR(__xludf.UNSUPPORTED("""COMPUTED_VALUE"""),24)</f>
        <v>24</v>
      </c>
      <c r="J2773" s="4">
        <f ca="1">IFERROR(__xludf.UNSUPPORTED("""COMPUTED_VALUE"""),44900.2514930555)</f>
        <v>44900.251493055497</v>
      </c>
    </row>
    <row r="2774" spans="1:10" ht="12.75">
      <c r="A2774" s="3" t="str">
        <f ca="1">IFERROR(__xludf.UNSUPPORTED("""COMPUTED_VALUE"""),"9a429cd9")</f>
        <v>9a429cd9</v>
      </c>
      <c r="B2774" s="4">
        <f ca="1">IFERROR(__xludf.UNSUPPORTED("""COMPUTED_VALUE"""),44900.3868402777)</f>
        <v>44900.386840277701</v>
      </c>
      <c r="C2774" s="7" t="str">
        <f ca="1">IFERROR(__xludf.UNSUPPORTED("""COMPUTED_VALUE"""),"Terminal Aquaviário de Madre de Deus")</f>
        <v>Terminal Aquaviário de Madre de Deus</v>
      </c>
      <c r="D2774" s="3" t="str">
        <f ca="1">IFERROR(__xludf.UNSUPPORTED("""COMPUTED_VALUE"""),"🚢 REGULAR")</f>
        <v>🚢 REGULAR</v>
      </c>
      <c r="E2774" s="3" t="str">
        <f ca="1">IFERROR(__xludf.UNSUPPORTED("""COMPUTED_VALUE"""),"🚛 LIBERADO")</f>
        <v>🚛 LIBERADO</v>
      </c>
      <c r="F2774" s="5">
        <f ca="1">IFERROR(__xludf.UNSUPPORTED("""COMPUTED_VALUE"""),0)</f>
        <v>0</v>
      </c>
      <c r="G2774" s="3" t="str">
        <f ca="1">IFERROR(__xludf.UNSUPPORTED("""COMPUTED_VALUE"""),"Sem registros de bloqueios.")</f>
        <v>Sem registros de bloqueios.</v>
      </c>
      <c r="H2774" s="4">
        <f ca="1">IFERROR(__xludf.UNSUPPORTED("""COMPUTED_VALUE"""),44900.3868402777)</f>
        <v>44900.386840277701</v>
      </c>
      <c r="I2774" s="3">
        <f ca="1">IFERROR(__xludf.UNSUPPORTED("""COMPUTED_VALUE"""),24)</f>
        <v>24</v>
      </c>
      <c r="J2774" s="4">
        <f ca="1">IFERROR(__xludf.UNSUPPORTED("""COMPUTED_VALUE"""),44901.3868402777)</f>
        <v>44901.386840277701</v>
      </c>
    </row>
    <row r="2775" spans="1:10" ht="12.75">
      <c r="A2775" s="3" t="str">
        <f ca="1">IFERROR(__xludf.UNSUPPORTED("""COMPUTED_VALUE"""),"95c4da1e")</f>
        <v>95c4da1e</v>
      </c>
      <c r="B2775" s="4">
        <f ca="1">IFERROR(__xludf.UNSUPPORTED("""COMPUTED_VALUE"""),44901.3133217592)</f>
        <v>44901.313321759197</v>
      </c>
      <c r="C2775" s="7" t="str">
        <f ca="1">IFERROR(__xludf.UNSUPPORTED("""COMPUTED_VALUE"""),"Terminal Aquaviário de Madre de Deus")</f>
        <v>Terminal Aquaviário de Madre de Deus</v>
      </c>
      <c r="D2775" s="3" t="str">
        <f ca="1">IFERROR(__xludf.UNSUPPORTED("""COMPUTED_VALUE"""),"🚢 REGULAR")</f>
        <v>🚢 REGULAR</v>
      </c>
      <c r="E2775" s="3" t="str">
        <f ca="1">IFERROR(__xludf.UNSUPPORTED("""COMPUTED_VALUE"""),"🚛 LIBERADO")</f>
        <v>🚛 LIBERADO</v>
      </c>
      <c r="F2775" s="5">
        <f ca="1">IFERROR(__xludf.UNSUPPORTED("""COMPUTED_VALUE"""),0)</f>
        <v>0</v>
      </c>
      <c r="G2775" s="3" t="str">
        <f ca="1">IFERROR(__xludf.UNSUPPORTED("""COMPUTED_VALUE"""),"Sem ocorrências de bloqueios.")</f>
        <v>Sem ocorrências de bloqueios.</v>
      </c>
      <c r="H2775" s="4">
        <f ca="1">IFERROR(__xludf.UNSUPPORTED("""COMPUTED_VALUE"""),44901.3133217592)</f>
        <v>44901.313321759197</v>
      </c>
      <c r="I2775" s="3">
        <f ca="1">IFERROR(__xludf.UNSUPPORTED("""COMPUTED_VALUE"""),24)</f>
        <v>24</v>
      </c>
      <c r="J2775" s="4">
        <f ca="1">IFERROR(__xludf.UNSUPPORTED("""COMPUTED_VALUE"""),44902.3133217592)</f>
        <v>44902.313321759197</v>
      </c>
    </row>
    <row r="2776" spans="1:10" ht="12.75">
      <c r="A2776" s="3" t="str">
        <f ca="1">IFERROR(__xludf.UNSUPPORTED("""COMPUTED_VALUE"""),"049c718a")</f>
        <v>049c718a</v>
      </c>
      <c r="B2776" s="4">
        <f ca="1">IFERROR(__xludf.UNSUPPORTED("""COMPUTED_VALUE"""),44902.3526851851)</f>
        <v>44902.352685185098</v>
      </c>
      <c r="C2776" s="8" t="str">
        <f ca="1">IFERROR(__xludf.UNSUPPORTED("""COMPUTED_VALUE"""),"Terminal Aquaviário de Madre de Deus")</f>
        <v>Terminal Aquaviário de Madre de Deus</v>
      </c>
      <c r="D2776" s="3" t="str">
        <f ca="1">IFERROR(__xludf.UNSUPPORTED("""COMPUTED_VALUE"""),"🚢 REGULAR")</f>
        <v>🚢 REGULAR</v>
      </c>
      <c r="E2776" s="3" t="str">
        <f ca="1">IFERROR(__xludf.UNSUPPORTED("""COMPUTED_VALUE"""),"🚛 LIBERADO")</f>
        <v>🚛 LIBERADO</v>
      </c>
      <c r="F2776" s="5">
        <f ca="1">IFERROR(__xludf.UNSUPPORTED("""COMPUTED_VALUE"""),0)</f>
        <v>0</v>
      </c>
      <c r="G2776" s="3" t="str">
        <f ca="1">IFERROR(__xludf.UNSUPPORTED("""COMPUTED_VALUE"""),"Sem ocorrências de bloqueios.")</f>
        <v>Sem ocorrências de bloqueios.</v>
      </c>
      <c r="H2776" s="4">
        <f ca="1">IFERROR(__xludf.UNSUPPORTED("""COMPUTED_VALUE"""),44902.3526851851)</f>
        <v>44902.352685185098</v>
      </c>
      <c r="I2776" s="3">
        <f ca="1">IFERROR(__xludf.UNSUPPORTED("""COMPUTED_VALUE"""),24)</f>
        <v>24</v>
      </c>
      <c r="J2776" s="4">
        <f ca="1">IFERROR(__xludf.UNSUPPORTED("""COMPUTED_VALUE"""),44903.3526851851)</f>
        <v>44903.352685185098</v>
      </c>
    </row>
    <row r="2777" spans="1:10" ht="12.75">
      <c r="A2777" s="3" t="str">
        <f ca="1">IFERROR(__xludf.UNSUPPORTED("""COMPUTED_VALUE"""),"2b4ca337")</f>
        <v>2b4ca337</v>
      </c>
      <c r="B2777" s="4">
        <f ca="1">IFERROR(__xludf.UNSUPPORTED("""COMPUTED_VALUE"""),44903.6689351851)</f>
        <v>44903.668935185102</v>
      </c>
      <c r="C2777" s="7" t="str">
        <f ca="1">IFERROR(__xludf.UNSUPPORTED("""COMPUTED_VALUE"""),"Terminal Aquaviário de Madre de Deus")</f>
        <v>Terminal Aquaviário de Madre de Deus</v>
      </c>
      <c r="D2777" s="3" t="str">
        <f ca="1">IFERROR(__xludf.UNSUPPORTED("""COMPUTED_VALUE"""),"🚢 REGULAR")</f>
        <v>🚢 REGULAR</v>
      </c>
      <c r="E2777" s="3" t="str">
        <f ca="1">IFERROR(__xludf.UNSUPPORTED("""COMPUTED_VALUE"""),"🚛 LIBERADO")</f>
        <v>🚛 LIBERADO</v>
      </c>
      <c r="F2777" s="5">
        <f ca="1">IFERROR(__xludf.UNSUPPORTED("""COMPUTED_VALUE"""),0)</f>
        <v>0</v>
      </c>
      <c r="G2777" s="3" t="str">
        <f ca="1">IFERROR(__xludf.UNSUPPORTED("""COMPUTED_VALUE"""),"Sem registros de bloqueios.")</f>
        <v>Sem registros de bloqueios.</v>
      </c>
      <c r="H2777" s="4">
        <f ca="1">IFERROR(__xludf.UNSUPPORTED("""COMPUTED_VALUE"""),44903.6689351851)</f>
        <v>44903.668935185102</v>
      </c>
      <c r="I2777" s="3">
        <f ca="1">IFERROR(__xludf.UNSUPPORTED("""COMPUTED_VALUE"""),24)</f>
        <v>24</v>
      </c>
      <c r="J2777" s="4">
        <f ca="1">IFERROR(__xludf.UNSUPPORTED("""COMPUTED_VALUE"""),44904.6689351851)</f>
        <v>44904.668935185102</v>
      </c>
    </row>
    <row r="2778" spans="1:10" ht="12.75">
      <c r="A2778" s="3" t="str">
        <f ca="1">IFERROR(__xludf.UNSUPPORTED("""COMPUTED_VALUE"""),"ee1d4af1")</f>
        <v>ee1d4af1</v>
      </c>
      <c r="B2778" s="4">
        <f ca="1">IFERROR(__xludf.UNSUPPORTED("""COMPUTED_VALUE"""),44904.3463310185)</f>
        <v>44904.346331018503</v>
      </c>
      <c r="C2778" s="7" t="str">
        <f ca="1">IFERROR(__xludf.UNSUPPORTED("""COMPUTED_VALUE"""),"Terminal Aquaviário de Madre de Deus")</f>
        <v>Terminal Aquaviário de Madre de Deus</v>
      </c>
      <c r="D2778" s="3" t="str">
        <f ca="1">IFERROR(__xludf.UNSUPPORTED("""COMPUTED_VALUE"""),"🚢 REGULAR")</f>
        <v>🚢 REGULAR</v>
      </c>
      <c r="E2778" s="3" t="str">
        <f ca="1">IFERROR(__xludf.UNSUPPORTED("""COMPUTED_VALUE"""),"🚛 LIBERADO")</f>
        <v>🚛 LIBERADO</v>
      </c>
      <c r="F2778" s="5">
        <f ca="1">IFERROR(__xludf.UNSUPPORTED("""COMPUTED_VALUE"""),0)</f>
        <v>0</v>
      </c>
      <c r="G2778" s="3" t="str">
        <f ca="1">IFERROR(__xludf.UNSUPPORTED("""COMPUTED_VALUE"""),"Sem registros de bloqueios.")</f>
        <v>Sem registros de bloqueios.</v>
      </c>
      <c r="H2778" s="4">
        <f ca="1">IFERROR(__xludf.UNSUPPORTED("""COMPUTED_VALUE"""),44904.3463310185)</f>
        <v>44904.346331018503</v>
      </c>
      <c r="I2778" s="3">
        <f ca="1">IFERROR(__xludf.UNSUPPORTED("""COMPUTED_VALUE"""),24)</f>
        <v>24</v>
      </c>
      <c r="J2778" s="4">
        <f ca="1">IFERROR(__xludf.UNSUPPORTED("""COMPUTED_VALUE"""),44905.3463310185)</f>
        <v>44905.346331018503</v>
      </c>
    </row>
    <row r="2779" spans="1:10" ht="12.75">
      <c r="A2779" s="3" t="str">
        <f ca="1">IFERROR(__xludf.UNSUPPORTED("""COMPUTED_VALUE"""),"514049bf")</f>
        <v>514049bf</v>
      </c>
      <c r="B2779" s="4">
        <f ca="1">IFERROR(__xludf.UNSUPPORTED("""COMPUTED_VALUE"""),44906.3103587963)</f>
        <v>44906.310358796298</v>
      </c>
      <c r="C2779" s="8" t="str">
        <f ca="1">IFERROR(__xludf.UNSUPPORTED("""COMPUTED_VALUE"""),"Terminal Aquaviário de Madre de Deus")</f>
        <v>Terminal Aquaviário de Madre de Deus</v>
      </c>
      <c r="D2779" s="3" t="str">
        <f ca="1">IFERROR(__xludf.UNSUPPORTED("""COMPUTED_VALUE"""),"🚢 REGULAR")</f>
        <v>🚢 REGULAR</v>
      </c>
      <c r="E2779" s="3" t="str">
        <f ca="1">IFERROR(__xludf.UNSUPPORTED("""COMPUTED_VALUE"""),"🚛 LIBERADO")</f>
        <v>🚛 LIBERADO</v>
      </c>
      <c r="F2779" s="5">
        <f ca="1">IFERROR(__xludf.UNSUPPORTED("""COMPUTED_VALUE"""),0)</f>
        <v>0</v>
      </c>
      <c r="G2779" s="3" t="str">
        <f ca="1">IFERROR(__xludf.UNSUPPORTED("""COMPUTED_VALUE"""),"Sem bloqueios registrados.")</f>
        <v>Sem bloqueios registrados.</v>
      </c>
      <c r="H2779" s="4">
        <f ca="1">IFERROR(__xludf.UNSUPPORTED("""COMPUTED_VALUE"""),44906.3103587963)</f>
        <v>44906.310358796298</v>
      </c>
      <c r="I2779" s="3">
        <f ca="1">IFERROR(__xludf.UNSUPPORTED("""COMPUTED_VALUE"""),24)</f>
        <v>24</v>
      </c>
      <c r="J2779" s="4">
        <f ca="1">IFERROR(__xludf.UNSUPPORTED("""COMPUTED_VALUE"""),44907.3103587963)</f>
        <v>44907.310358796298</v>
      </c>
    </row>
    <row r="2780" spans="1:10" ht="12.75">
      <c r="A2780" s="3" t="str">
        <f ca="1">IFERROR(__xludf.UNSUPPORTED("""COMPUTED_VALUE"""),"44e875e1")</f>
        <v>44e875e1</v>
      </c>
      <c r="B2780" s="4">
        <f ca="1">IFERROR(__xludf.UNSUPPORTED("""COMPUTED_VALUE"""),44907.224375)</f>
        <v>44907.224374999998</v>
      </c>
      <c r="C2780" s="7" t="str">
        <f ca="1">IFERROR(__xludf.UNSUPPORTED("""COMPUTED_VALUE"""),"Terminal Aquaviário de Madre de Deus")</f>
        <v>Terminal Aquaviário de Madre de Deus</v>
      </c>
      <c r="D2780" s="3" t="str">
        <f ca="1">IFERROR(__xludf.UNSUPPORTED("""COMPUTED_VALUE"""),"🚢 REGULAR")</f>
        <v>🚢 REGULAR</v>
      </c>
      <c r="E2780" s="3" t="str">
        <f ca="1">IFERROR(__xludf.UNSUPPORTED("""COMPUTED_VALUE"""),"🚛 LIBERADO")</f>
        <v>🚛 LIBERADO</v>
      </c>
      <c r="F2780" s="5">
        <f ca="1">IFERROR(__xludf.UNSUPPORTED("""COMPUTED_VALUE"""),0)</f>
        <v>0</v>
      </c>
      <c r="G2780" s="3" t="str">
        <f ca="1">IFERROR(__xludf.UNSUPPORTED("""COMPUTED_VALUE"""),"Sem bloqueios registrados.")</f>
        <v>Sem bloqueios registrados.</v>
      </c>
      <c r="H2780" s="4">
        <f ca="1">IFERROR(__xludf.UNSUPPORTED("""COMPUTED_VALUE"""),44907.224375)</f>
        <v>44907.224374999998</v>
      </c>
      <c r="I2780" s="3">
        <f ca="1">IFERROR(__xludf.UNSUPPORTED("""COMPUTED_VALUE"""),24)</f>
        <v>24</v>
      </c>
      <c r="J2780" s="4">
        <f ca="1">IFERROR(__xludf.UNSUPPORTED("""COMPUTED_VALUE"""),44908.224375)</f>
        <v>44908.224374999998</v>
      </c>
    </row>
    <row r="2781" spans="1:10" ht="12.75">
      <c r="A2781" s="3" t="str">
        <f ca="1">IFERROR(__xludf.UNSUPPORTED("""COMPUTED_VALUE"""),"ae4a8085")</f>
        <v>ae4a8085</v>
      </c>
      <c r="B2781" s="4">
        <f ca="1">IFERROR(__xludf.UNSUPPORTED("""COMPUTED_VALUE"""),44908.3631828703)</f>
        <v>44908.3631828703</v>
      </c>
      <c r="C2781" s="8" t="str">
        <f ca="1">IFERROR(__xludf.UNSUPPORTED("""COMPUTED_VALUE"""),"Terminal Aquaviário de Madre de Deus")</f>
        <v>Terminal Aquaviário de Madre de Deus</v>
      </c>
      <c r="D2781" s="3" t="str">
        <f ca="1">IFERROR(__xludf.UNSUPPORTED("""COMPUTED_VALUE"""),"🚢 REGULAR")</f>
        <v>🚢 REGULAR</v>
      </c>
      <c r="E2781" s="3" t="str">
        <f ca="1">IFERROR(__xludf.UNSUPPORTED("""COMPUTED_VALUE"""),"🚛 LIBERADO")</f>
        <v>🚛 LIBERADO</v>
      </c>
      <c r="F2781" s="5">
        <f ca="1">IFERROR(__xludf.UNSUPPORTED("""COMPUTED_VALUE"""),0)</f>
        <v>0</v>
      </c>
      <c r="G2781" s="3" t="str">
        <f ca="1">IFERROR(__xludf.UNSUPPORTED("""COMPUTED_VALUE"""),"Sem registros de bloqueios.")</f>
        <v>Sem registros de bloqueios.</v>
      </c>
      <c r="H2781" s="4">
        <f ca="1">IFERROR(__xludf.UNSUPPORTED("""COMPUTED_VALUE"""),44908.3631828703)</f>
        <v>44908.3631828703</v>
      </c>
      <c r="I2781" s="3">
        <f ca="1">IFERROR(__xludf.UNSUPPORTED("""COMPUTED_VALUE"""),24)</f>
        <v>24</v>
      </c>
      <c r="J2781" s="4">
        <f ca="1">IFERROR(__xludf.UNSUPPORTED("""COMPUTED_VALUE"""),44909.3631828703)</f>
        <v>44909.3631828703</v>
      </c>
    </row>
    <row r="2782" spans="1:10" ht="12.75">
      <c r="A2782" s="3" t="str">
        <f ca="1">IFERROR(__xludf.UNSUPPORTED("""COMPUTED_VALUE"""),"821e07d5")</f>
        <v>821e07d5</v>
      </c>
      <c r="B2782" s="4">
        <f ca="1">IFERROR(__xludf.UNSUPPORTED("""COMPUTED_VALUE"""),44909.3299537037)</f>
        <v>44909.329953703702</v>
      </c>
      <c r="C2782" s="7" t="str">
        <f ca="1">IFERROR(__xludf.UNSUPPORTED("""COMPUTED_VALUE"""),"Terminal Aquaviário de Madre de Deus")</f>
        <v>Terminal Aquaviário de Madre de Deus</v>
      </c>
      <c r="D2782" s="3" t="str">
        <f ca="1">IFERROR(__xludf.UNSUPPORTED("""COMPUTED_VALUE"""),"🚢 REGULAR")</f>
        <v>🚢 REGULAR</v>
      </c>
      <c r="E2782" s="3" t="str">
        <f ca="1">IFERROR(__xludf.UNSUPPORTED("""COMPUTED_VALUE"""),"🚛 LIBERADO")</f>
        <v>🚛 LIBERADO</v>
      </c>
      <c r="F2782" s="5">
        <f ca="1">IFERROR(__xludf.UNSUPPORTED("""COMPUTED_VALUE"""),0)</f>
        <v>0</v>
      </c>
      <c r="G2782" s="3" t="str">
        <f ca="1">IFERROR(__xludf.UNSUPPORTED("""COMPUTED_VALUE"""),"Sem registros de bloqueios.")</f>
        <v>Sem registros de bloqueios.</v>
      </c>
      <c r="H2782" s="4">
        <f ca="1">IFERROR(__xludf.UNSUPPORTED("""COMPUTED_VALUE"""),44909.3299537037)</f>
        <v>44909.329953703702</v>
      </c>
      <c r="I2782" s="3">
        <f ca="1">IFERROR(__xludf.UNSUPPORTED("""COMPUTED_VALUE"""),24)</f>
        <v>24</v>
      </c>
      <c r="J2782" s="4">
        <f ca="1">IFERROR(__xludf.UNSUPPORTED("""COMPUTED_VALUE"""),44910.3299537037)</f>
        <v>44910.329953703702</v>
      </c>
    </row>
    <row r="2783" spans="1:10" ht="12.75">
      <c r="A2783" s="3" t="str">
        <f ca="1">IFERROR(__xludf.UNSUPPORTED("""COMPUTED_VALUE"""),"8ea15204")</f>
        <v>8ea15204</v>
      </c>
      <c r="B2783" s="4">
        <f ca="1">IFERROR(__xludf.UNSUPPORTED("""COMPUTED_VALUE"""),44910.466412037)</f>
        <v>44910.466412037</v>
      </c>
      <c r="C2783" s="7" t="str">
        <f ca="1">IFERROR(__xludf.UNSUPPORTED("""COMPUTED_VALUE"""),"Terminal Aquaviário de Madre de Deus")</f>
        <v>Terminal Aquaviário de Madre de Deus</v>
      </c>
      <c r="D2783" s="3" t="str">
        <f ca="1">IFERROR(__xludf.UNSUPPORTED("""COMPUTED_VALUE"""),"🚢 REGULAR")</f>
        <v>🚢 REGULAR</v>
      </c>
      <c r="E2783" s="3" t="str">
        <f ca="1">IFERROR(__xludf.UNSUPPORTED("""COMPUTED_VALUE"""),"🚛 LIBERADO")</f>
        <v>🚛 LIBERADO</v>
      </c>
      <c r="F2783" s="5">
        <f ca="1">IFERROR(__xludf.UNSUPPORTED("""COMPUTED_VALUE"""),0)</f>
        <v>0</v>
      </c>
      <c r="G2783" s="3" t="str">
        <f ca="1">IFERROR(__xludf.UNSUPPORTED("""COMPUTED_VALUE"""),"Sem registros de bloqueios.")</f>
        <v>Sem registros de bloqueios.</v>
      </c>
      <c r="H2783" s="4">
        <f ca="1">IFERROR(__xludf.UNSUPPORTED("""COMPUTED_VALUE"""),44910.466412037)</f>
        <v>44910.466412037</v>
      </c>
      <c r="I2783" s="3">
        <f ca="1">IFERROR(__xludf.UNSUPPORTED("""COMPUTED_VALUE"""),24)</f>
        <v>24</v>
      </c>
      <c r="J2783" s="4">
        <f ca="1">IFERROR(__xludf.UNSUPPORTED("""COMPUTED_VALUE"""),44911.466412037)</f>
        <v>44911.466412037</v>
      </c>
    </row>
    <row r="2784" spans="1:10" ht="12.75">
      <c r="A2784" s="3" t="str">
        <f ca="1">IFERROR(__xludf.UNSUPPORTED("""COMPUTED_VALUE"""),"e7774d7d")</f>
        <v>e7774d7d</v>
      </c>
      <c r="B2784" s="4">
        <f ca="1">IFERROR(__xludf.UNSUPPORTED("""COMPUTED_VALUE"""),44911.3263888888)</f>
        <v>44911.326388888803</v>
      </c>
      <c r="C2784" s="7" t="str">
        <f ca="1">IFERROR(__xludf.UNSUPPORTED("""COMPUTED_VALUE"""),"Terminal Aquaviário de Madre de Deus")</f>
        <v>Terminal Aquaviário de Madre de Deus</v>
      </c>
      <c r="D2784" s="3" t="str">
        <f ca="1">IFERROR(__xludf.UNSUPPORTED("""COMPUTED_VALUE"""),"🚢 REGULAR")</f>
        <v>🚢 REGULAR</v>
      </c>
      <c r="E2784" s="3" t="str">
        <f ca="1">IFERROR(__xludf.UNSUPPORTED("""COMPUTED_VALUE"""),"🚛 LIBERADO")</f>
        <v>🚛 LIBERADO</v>
      </c>
      <c r="F2784" s="5">
        <f ca="1">IFERROR(__xludf.UNSUPPORTED("""COMPUTED_VALUE"""),0)</f>
        <v>0</v>
      </c>
      <c r="G2784" s="3" t="str">
        <f ca="1">IFERROR(__xludf.UNSUPPORTED("""COMPUTED_VALUE"""),"Sem registros de bloqueios.")</f>
        <v>Sem registros de bloqueios.</v>
      </c>
      <c r="H2784" s="4">
        <f ca="1">IFERROR(__xludf.UNSUPPORTED("""COMPUTED_VALUE"""),44911.3263888888)</f>
        <v>44911.326388888803</v>
      </c>
      <c r="I2784" s="3">
        <f ca="1">IFERROR(__xludf.UNSUPPORTED("""COMPUTED_VALUE"""),24)</f>
        <v>24</v>
      </c>
      <c r="J2784" s="4">
        <f ca="1">IFERROR(__xludf.UNSUPPORTED("""COMPUTED_VALUE"""),44912.3263888888)</f>
        <v>44912.326388888803</v>
      </c>
    </row>
    <row r="2785" spans="1:10" ht="12.75">
      <c r="A2785" s="3" t="str">
        <f ca="1">IFERROR(__xludf.UNSUPPORTED("""COMPUTED_VALUE"""),"57e9a019")</f>
        <v>57e9a019</v>
      </c>
      <c r="B2785" s="4">
        <f ca="1">IFERROR(__xludf.UNSUPPORTED("""COMPUTED_VALUE"""),44913.375787037)</f>
        <v>44913.375787037003</v>
      </c>
      <c r="C2785" s="7" t="str">
        <f ca="1">IFERROR(__xludf.UNSUPPORTED("""COMPUTED_VALUE"""),"Terminal Aquaviário de Madre de Deus")</f>
        <v>Terminal Aquaviário de Madre de Deus</v>
      </c>
      <c r="D2785" s="3" t="str">
        <f ca="1">IFERROR(__xludf.UNSUPPORTED("""COMPUTED_VALUE"""),"🚢 REGULAR")</f>
        <v>🚢 REGULAR</v>
      </c>
      <c r="E2785" s="3" t="str">
        <f ca="1">IFERROR(__xludf.UNSUPPORTED("""COMPUTED_VALUE"""),"🚛 LIBERADO")</f>
        <v>🚛 LIBERADO</v>
      </c>
      <c r="F2785" s="5">
        <f ca="1">IFERROR(__xludf.UNSUPPORTED("""COMPUTED_VALUE"""),0)</f>
        <v>0</v>
      </c>
      <c r="G2785" s="3" t="str">
        <f ca="1">IFERROR(__xludf.UNSUPPORTED("""COMPUTED_VALUE"""),"Sem registros de bloqueios.")</f>
        <v>Sem registros de bloqueios.</v>
      </c>
      <c r="H2785" s="4">
        <f ca="1">IFERROR(__xludf.UNSUPPORTED("""COMPUTED_VALUE"""),44913.375787037)</f>
        <v>44913.375787037003</v>
      </c>
      <c r="I2785" s="3">
        <f ca="1">IFERROR(__xludf.UNSUPPORTED("""COMPUTED_VALUE"""),24)</f>
        <v>24</v>
      </c>
      <c r="J2785" s="4">
        <f ca="1">IFERROR(__xludf.UNSUPPORTED("""COMPUTED_VALUE"""),44914.375787037)</f>
        <v>44914.375787037003</v>
      </c>
    </row>
    <row r="2786" spans="1:10" ht="12.75">
      <c r="A2786" s="3" t="str">
        <f ca="1">IFERROR(__xludf.UNSUPPORTED("""COMPUTED_VALUE"""),"fead03c6")</f>
        <v>fead03c6</v>
      </c>
      <c r="B2786" s="4">
        <f ca="1">IFERROR(__xludf.UNSUPPORTED("""COMPUTED_VALUE"""),44914.8374421296)</f>
        <v>44914.837442129603</v>
      </c>
      <c r="C2786" s="8" t="str">
        <f ca="1">IFERROR(__xludf.UNSUPPORTED("""COMPUTED_VALUE"""),"Terminal Aquaviário de Madre de Deus")</f>
        <v>Terminal Aquaviário de Madre de Deus</v>
      </c>
      <c r="D2786" s="3" t="str">
        <f ca="1">IFERROR(__xludf.UNSUPPORTED("""COMPUTED_VALUE"""),"🚢 REGULAR")</f>
        <v>🚢 REGULAR</v>
      </c>
      <c r="E2786" s="3" t="str">
        <f ca="1">IFERROR(__xludf.UNSUPPORTED("""COMPUTED_VALUE"""),"🚛 LIBERADO")</f>
        <v>🚛 LIBERADO</v>
      </c>
      <c r="F2786" s="5">
        <f ca="1">IFERROR(__xludf.UNSUPPORTED("""COMPUTED_VALUE"""),0)</f>
        <v>0</v>
      </c>
      <c r="G2786" s="3" t="str">
        <f ca="1">IFERROR(__xludf.UNSUPPORTED("""COMPUTED_VALUE"""),"Sem registros de bloqueios.")</f>
        <v>Sem registros de bloqueios.</v>
      </c>
      <c r="H2786" s="4">
        <f ca="1">IFERROR(__xludf.UNSUPPORTED("""COMPUTED_VALUE"""),44914.8374421296)</f>
        <v>44914.837442129603</v>
      </c>
      <c r="I2786" s="3">
        <f ca="1">IFERROR(__xludf.UNSUPPORTED("""COMPUTED_VALUE"""),24)</f>
        <v>24</v>
      </c>
      <c r="J2786" s="4">
        <f ca="1">IFERROR(__xludf.UNSUPPORTED("""COMPUTED_VALUE"""),44915.8374421296)</f>
        <v>44915.837442129603</v>
      </c>
    </row>
    <row r="2787" spans="1:10" ht="12.75">
      <c r="A2787" s="3" t="str">
        <f ca="1">IFERROR(__xludf.UNSUPPORTED("""COMPUTED_VALUE"""),"792081f5")</f>
        <v>792081f5</v>
      </c>
      <c r="B2787" s="4">
        <f ca="1">IFERROR(__xludf.UNSUPPORTED("""COMPUTED_VALUE"""),44915.3082291666)</f>
        <v>44915.3082291666</v>
      </c>
      <c r="C2787" s="8" t="str">
        <f ca="1">IFERROR(__xludf.UNSUPPORTED("""COMPUTED_VALUE"""),"Terminal Aquaviário de Madre de Deus")</f>
        <v>Terminal Aquaviário de Madre de Deus</v>
      </c>
      <c r="D2787" s="3" t="str">
        <f ca="1">IFERROR(__xludf.UNSUPPORTED("""COMPUTED_VALUE"""),"🚢 REGULAR")</f>
        <v>🚢 REGULAR</v>
      </c>
      <c r="E2787" s="3" t="str">
        <f ca="1">IFERROR(__xludf.UNSUPPORTED("""COMPUTED_VALUE"""),"🚛 LIBERADO")</f>
        <v>🚛 LIBERADO</v>
      </c>
      <c r="F2787" s="5">
        <f ca="1">IFERROR(__xludf.UNSUPPORTED("""COMPUTED_VALUE"""),0)</f>
        <v>0</v>
      </c>
      <c r="G2787" s="3" t="str">
        <f ca="1">IFERROR(__xludf.UNSUPPORTED("""COMPUTED_VALUE"""),"Sem registros de bloqueios.")</f>
        <v>Sem registros de bloqueios.</v>
      </c>
      <c r="H2787" s="4">
        <f ca="1">IFERROR(__xludf.UNSUPPORTED("""COMPUTED_VALUE"""),44915.3082291666)</f>
        <v>44915.3082291666</v>
      </c>
      <c r="I2787" s="3">
        <f ca="1">IFERROR(__xludf.UNSUPPORTED("""COMPUTED_VALUE"""),24)</f>
        <v>24</v>
      </c>
      <c r="J2787" s="4">
        <f ca="1">IFERROR(__xludf.UNSUPPORTED("""COMPUTED_VALUE"""),44916.3082291666)</f>
        <v>44916.3082291666</v>
      </c>
    </row>
    <row r="2788" spans="1:10" ht="12.75">
      <c r="A2788" s="3" t="str">
        <f ca="1">IFERROR(__xludf.UNSUPPORTED("""COMPUTED_VALUE"""),"487494a4")</f>
        <v>487494a4</v>
      </c>
      <c r="B2788" s="4">
        <f ca="1">IFERROR(__xludf.UNSUPPORTED("""COMPUTED_VALUE"""),44916.4089930555)</f>
        <v>44916.408993055498</v>
      </c>
      <c r="C2788" s="8" t="str">
        <f ca="1">IFERROR(__xludf.UNSUPPORTED("""COMPUTED_VALUE"""),"Terminal Aquaviário de Madre de Deus")</f>
        <v>Terminal Aquaviário de Madre de Deus</v>
      </c>
      <c r="D2788" s="3" t="str">
        <f ca="1">IFERROR(__xludf.UNSUPPORTED("""COMPUTED_VALUE"""),"🚢 REGULAR")</f>
        <v>🚢 REGULAR</v>
      </c>
      <c r="E2788" s="3" t="str">
        <f ca="1">IFERROR(__xludf.UNSUPPORTED("""COMPUTED_VALUE"""),"🚛 LIBERADO")</f>
        <v>🚛 LIBERADO</v>
      </c>
      <c r="F2788" s="5">
        <f ca="1">IFERROR(__xludf.UNSUPPORTED("""COMPUTED_VALUE"""),0)</f>
        <v>0</v>
      </c>
      <c r="G2788" s="3" t="str">
        <f ca="1">IFERROR(__xludf.UNSUPPORTED("""COMPUTED_VALUE"""),"Sem registros de bloqueios.")</f>
        <v>Sem registros de bloqueios.</v>
      </c>
      <c r="H2788" s="4">
        <f ca="1">IFERROR(__xludf.UNSUPPORTED("""COMPUTED_VALUE"""),44916.4089930555)</f>
        <v>44916.408993055498</v>
      </c>
      <c r="I2788" s="3">
        <f ca="1">IFERROR(__xludf.UNSUPPORTED("""COMPUTED_VALUE"""),24)</f>
        <v>24</v>
      </c>
      <c r="J2788" s="4">
        <f ca="1">IFERROR(__xludf.UNSUPPORTED("""COMPUTED_VALUE"""),44917.4089930555)</f>
        <v>44917.408993055498</v>
      </c>
    </row>
    <row r="2789" spans="1:10" ht="12.75">
      <c r="A2789" s="3" t="str">
        <f ca="1">IFERROR(__xludf.UNSUPPORTED("""COMPUTED_VALUE"""),"bdabffa1")</f>
        <v>bdabffa1</v>
      </c>
      <c r="B2789" s="4">
        <f ca="1">IFERROR(__xludf.UNSUPPORTED("""COMPUTED_VALUE"""),44917.1910416666)</f>
        <v>44917.1910416666</v>
      </c>
      <c r="C2789" s="8" t="str">
        <f ca="1">IFERROR(__xludf.UNSUPPORTED("""COMPUTED_VALUE"""),"Terminal Aquaviário de Madre de Deus")</f>
        <v>Terminal Aquaviário de Madre de Deus</v>
      </c>
      <c r="D2789" s="3" t="str">
        <f ca="1">IFERROR(__xludf.UNSUPPORTED("""COMPUTED_VALUE"""),"🚢 REGULAR")</f>
        <v>🚢 REGULAR</v>
      </c>
      <c r="E2789" s="3" t="str">
        <f ca="1">IFERROR(__xludf.UNSUPPORTED("""COMPUTED_VALUE"""),"🚛 LIBERADO")</f>
        <v>🚛 LIBERADO</v>
      </c>
      <c r="F2789" s="5">
        <f ca="1">IFERROR(__xludf.UNSUPPORTED("""COMPUTED_VALUE"""),0)</f>
        <v>0</v>
      </c>
      <c r="G2789" s="3" t="str">
        <f ca="1">IFERROR(__xludf.UNSUPPORTED("""COMPUTED_VALUE"""),"Normalidade")</f>
        <v>Normalidade</v>
      </c>
      <c r="H2789" s="4">
        <f ca="1">IFERROR(__xludf.UNSUPPORTED("""COMPUTED_VALUE"""),44917.1910416666)</f>
        <v>44917.1910416666</v>
      </c>
      <c r="I2789" s="3">
        <f ca="1">IFERROR(__xludf.UNSUPPORTED("""COMPUTED_VALUE"""),24)</f>
        <v>24</v>
      </c>
      <c r="J2789" s="4">
        <f ca="1">IFERROR(__xludf.UNSUPPORTED("""COMPUTED_VALUE"""),44918.1910416666)</f>
        <v>44918.1910416666</v>
      </c>
    </row>
    <row r="2790" spans="1:10" ht="12.75">
      <c r="A2790" s="3" t="str">
        <f ca="1">IFERROR(__xludf.UNSUPPORTED("""COMPUTED_VALUE"""),"9b343b6f")</f>
        <v>9b343b6f</v>
      </c>
      <c r="B2790" s="4">
        <f ca="1">IFERROR(__xludf.UNSUPPORTED("""COMPUTED_VALUE"""),44918.2617476851)</f>
        <v>44918.261747685101</v>
      </c>
      <c r="C2790" s="8" t="str">
        <f ca="1">IFERROR(__xludf.UNSUPPORTED("""COMPUTED_VALUE"""),"Terminal Aquaviário de Madre de Deus")</f>
        <v>Terminal Aquaviário de Madre de Deus</v>
      </c>
      <c r="D2790" s="3" t="str">
        <f ca="1">IFERROR(__xludf.UNSUPPORTED("""COMPUTED_VALUE"""),"🚢 REGULAR")</f>
        <v>🚢 REGULAR</v>
      </c>
      <c r="E2790" s="3" t="str">
        <f ca="1">IFERROR(__xludf.UNSUPPORTED("""COMPUTED_VALUE"""),"🚛 LIBERADO")</f>
        <v>🚛 LIBERADO</v>
      </c>
      <c r="F2790" s="5">
        <f ca="1">IFERROR(__xludf.UNSUPPORTED("""COMPUTED_VALUE"""),0)</f>
        <v>0</v>
      </c>
      <c r="G2790" s="3" t="str">
        <f ca="1">IFERROR(__xludf.UNSUPPORTED("""COMPUTED_VALUE"""),"Normalidade")</f>
        <v>Normalidade</v>
      </c>
      <c r="H2790" s="4">
        <f ca="1">IFERROR(__xludf.UNSUPPORTED("""COMPUTED_VALUE"""),44918.2617476851)</f>
        <v>44918.261747685101</v>
      </c>
      <c r="I2790" s="3">
        <f ca="1">IFERROR(__xludf.UNSUPPORTED("""COMPUTED_VALUE"""),24)</f>
        <v>24</v>
      </c>
      <c r="J2790" s="4">
        <f ca="1">IFERROR(__xludf.UNSUPPORTED("""COMPUTED_VALUE"""),44919.2617476851)</f>
        <v>44919.261747685101</v>
      </c>
    </row>
    <row r="2791" spans="1:10" ht="12.75">
      <c r="A2791" s="3" t="str">
        <f ca="1">IFERROR(__xludf.UNSUPPORTED("""COMPUTED_VALUE"""),"d49a2a2d")</f>
        <v>d49a2a2d</v>
      </c>
      <c r="B2791" s="4">
        <f ca="1">IFERROR(__xludf.UNSUPPORTED("""COMPUTED_VALUE"""),44919.5187847222)</f>
        <v>44919.518784722197</v>
      </c>
      <c r="C2791" s="8" t="str">
        <f ca="1">IFERROR(__xludf.UNSUPPORTED("""COMPUTED_VALUE"""),"Terminal Aquaviário de Madre de Deus")</f>
        <v>Terminal Aquaviário de Madre de Deus</v>
      </c>
      <c r="D2791" s="3" t="str">
        <f ca="1">IFERROR(__xludf.UNSUPPORTED("""COMPUTED_VALUE"""),"🚢 REGULAR")</f>
        <v>🚢 REGULAR</v>
      </c>
      <c r="E2791" s="3" t="str">
        <f ca="1">IFERROR(__xludf.UNSUPPORTED("""COMPUTED_VALUE"""),"🚛 LIBERADO")</f>
        <v>🚛 LIBERADO</v>
      </c>
      <c r="F2791" s="5">
        <f ca="1">IFERROR(__xludf.UNSUPPORTED("""COMPUTED_VALUE"""),0)</f>
        <v>0</v>
      </c>
      <c r="G2791" s="3" t="str">
        <f ca="1">IFERROR(__xludf.UNSUPPORTED("""COMPUTED_VALUE"""),"Normalidade")</f>
        <v>Normalidade</v>
      </c>
      <c r="H2791" s="4">
        <f ca="1">IFERROR(__xludf.UNSUPPORTED("""COMPUTED_VALUE"""),44919.5187847222)</f>
        <v>44919.518784722197</v>
      </c>
      <c r="I2791" s="3">
        <f ca="1">IFERROR(__xludf.UNSUPPORTED("""COMPUTED_VALUE"""),24)</f>
        <v>24</v>
      </c>
      <c r="J2791" s="4">
        <f ca="1">IFERROR(__xludf.UNSUPPORTED("""COMPUTED_VALUE"""),44920.5187847222)</f>
        <v>44920.518784722197</v>
      </c>
    </row>
    <row r="2792" spans="1:10" ht="12.75">
      <c r="A2792" s="3" t="str">
        <f ca="1">IFERROR(__xludf.UNSUPPORTED("""COMPUTED_VALUE"""),"0451bec4")</f>
        <v>0451bec4</v>
      </c>
      <c r="B2792" s="4">
        <f ca="1">IFERROR(__xludf.UNSUPPORTED("""COMPUTED_VALUE"""),44920.5101157407)</f>
        <v>44920.510115740697</v>
      </c>
      <c r="C2792" s="7" t="str">
        <f ca="1">IFERROR(__xludf.UNSUPPORTED("""COMPUTED_VALUE"""),"Terminal Aquaviário de Madre de Deus")</f>
        <v>Terminal Aquaviário de Madre de Deus</v>
      </c>
      <c r="D2792" s="3" t="str">
        <f ca="1">IFERROR(__xludf.UNSUPPORTED("""COMPUTED_VALUE"""),"🚢 REGULAR")</f>
        <v>🚢 REGULAR</v>
      </c>
      <c r="E2792" s="3" t="str">
        <f ca="1">IFERROR(__xludf.UNSUPPORTED("""COMPUTED_VALUE"""),"🚛 LIBERADO")</f>
        <v>🚛 LIBERADO</v>
      </c>
      <c r="F2792" s="5">
        <f ca="1">IFERROR(__xludf.UNSUPPORTED("""COMPUTED_VALUE"""),0)</f>
        <v>0</v>
      </c>
      <c r="G2792" s="3" t="str">
        <f ca="1">IFERROR(__xludf.UNSUPPORTED("""COMPUTED_VALUE"""),"Normalidade")</f>
        <v>Normalidade</v>
      </c>
      <c r="H2792" s="4">
        <f ca="1">IFERROR(__xludf.UNSUPPORTED("""COMPUTED_VALUE"""),44920.5101157407)</f>
        <v>44920.510115740697</v>
      </c>
      <c r="I2792" s="3">
        <f ca="1">IFERROR(__xludf.UNSUPPORTED("""COMPUTED_VALUE"""),24)</f>
        <v>24</v>
      </c>
      <c r="J2792" s="4">
        <f ca="1">IFERROR(__xludf.UNSUPPORTED("""COMPUTED_VALUE"""),44921.5101157407)</f>
        <v>44921.510115740697</v>
      </c>
    </row>
    <row r="2793" spans="1:10" ht="12.75">
      <c r="A2793" s="3" t="str">
        <f ca="1">IFERROR(__xludf.UNSUPPORTED("""COMPUTED_VALUE"""),"4bba65a1")</f>
        <v>4bba65a1</v>
      </c>
      <c r="B2793" s="4">
        <f ca="1">IFERROR(__xludf.UNSUPPORTED("""COMPUTED_VALUE"""),44921.2964699074)</f>
        <v>44921.2964699074</v>
      </c>
      <c r="C2793" s="7" t="str">
        <f ca="1">IFERROR(__xludf.UNSUPPORTED("""COMPUTED_VALUE"""),"Terminal Aquaviário de Madre de Deus")</f>
        <v>Terminal Aquaviário de Madre de Deus</v>
      </c>
      <c r="D2793" s="3" t="str">
        <f ca="1">IFERROR(__xludf.UNSUPPORTED("""COMPUTED_VALUE"""),"🚢 REGULAR")</f>
        <v>🚢 REGULAR</v>
      </c>
      <c r="E2793" s="3" t="str">
        <f ca="1">IFERROR(__xludf.UNSUPPORTED("""COMPUTED_VALUE"""),"🚛 LIBERADO")</f>
        <v>🚛 LIBERADO</v>
      </c>
      <c r="F2793" s="5">
        <f ca="1">IFERROR(__xludf.UNSUPPORTED("""COMPUTED_VALUE"""),0)</f>
        <v>0</v>
      </c>
      <c r="G2793" s="3" t="str">
        <f ca="1">IFERROR(__xludf.UNSUPPORTED("""COMPUTED_VALUE"""),"Normalidade")</f>
        <v>Normalidade</v>
      </c>
      <c r="H2793" s="4">
        <f ca="1">IFERROR(__xludf.UNSUPPORTED("""COMPUTED_VALUE"""),44921.2964699074)</f>
        <v>44921.2964699074</v>
      </c>
      <c r="I2793" s="3">
        <f ca="1">IFERROR(__xludf.UNSUPPORTED("""COMPUTED_VALUE"""),24)</f>
        <v>24</v>
      </c>
      <c r="J2793" s="4">
        <f ca="1">IFERROR(__xludf.UNSUPPORTED("""COMPUTED_VALUE"""),44922.2964699074)</f>
        <v>44922.2964699074</v>
      </c>
    </row>
    <row r="2794" spans="1:10" ht="12.75">
      <c r="A2794" s="3" t="str">
        <f ca="1">IFERROR(__xludf.UNSUPPORTED("""COMPUTED_VALUE"""),"318a76a5")</f>
        <v>318a76a5</v>
      </c>
      <c r="B2794" s="4">
        <f ca="1">IFERROR(__xludf.UNSUPPORTED("""COMPUTED_VALUE"""),44922.2629976851)</f>
        <v>44922.262997685102</v>
      </c>
      <c r="C2794" s="8" t="str">
        <f ca="1">IFERROR(__xludf.UNSUPPORTED("""COMPUTED_VALUE"""),"Terminal Aquaviário de Madre de Deus")</f>
        <v>Terminal Aquaviário de Madre de Deus</v>
      </c>
      <c r="D2794" s="3" t="str">
        <f ca="1">IFERROR(__xludf.UNSUPPORTED("""COMPUTED_VALUE"""),"🚢 REGULAR")</f>
        <v>🚢 REGULAR</v>
      </c>
      <c r="E2794" s="3" t="str">
        <f ca="1">IFERROR(__xludf.UNSUPPORTED("""COMPUTED_VALUE"""),"🚛 LIBERADO")</f>
        <v>🚛 LIBERADO</v>
      </c>
      <c r="F2794" s="5">
        <f ca="1">IFERROR(__xludf.UNSUPPORTED("""COMPUTED_VALUE"""),0)</f>
        <v>0</v>
      </c>
      <c r="G2794" s="3" t="str">
        <f ca="1">IFERROR(__xludf.UNSUPPORTED("""COMPUTED_VALUE"""),"Normalidade")</f>
        <v>Normalidade</v>
      </c>
      <c r="H2794" s="4">
        <f ca="1">IFERROR(__xludf.UNSUPPORTED("""COMPUTED_VALUE"""),44922.2629976851)</f>
        <v>44922.262997685102</v>
      </c>
      <c r="I2794" s="3">
        <f ca="1">IFERROR(__xludf.UNSUPPORTED("""COMPUTED_VALUE"""),24)</f>
        <v>24</v>
      </c>
      <c r="J2794" s="4">
        <f ca="1">IFERROR(__xludf.UNSUPPORTED("""COMPUTED_VALUE"""),44923.2629976851)</f>
        <v>44923.262997685102</v>
      </c>
    </row>
    <row r="2795" spans="1:10" ht="12.75">
      <c r="A2795" s="3" t="str">
        <f ca="1">IFERROR(__xludf.UNSUPPORTED("""COMPUTED_VALUE"""),"b5952f34")</f>
        <v>b5952f34</v>
      </c>
      <c r="B2795" s="4">
        <f ca="1">IFERROR(__xludf.UNSUPPORTED("""COMPUTED_VALUE"""),44923.2753935185)</f>
        <v>44923.275393518503</v>
      </c>
      <c r="C2795" s="7" t="str">
        <f ca="1">IFERROR(__xludf.UNSUPPORTED("""COMPUTED_VALUE"""),"Terminal Aquaviário de Madre de Deus")</f>
        <v>Terminal Aquaviário de Madre de Deus</v>
      </c>
      <c r="D2795" s="3" t="str">
        <f ca="1">IFERROR(__xludf.UNSUPPORTED("""COMPUTED_VALUE"""),"🚢 REGULAR")</f>
        <v>🚢 REGULAR</v>
      </c>
      <c r="E2795" s="3" t="str">
        <f ca="1">IFERROR(__xludf.UNSUPPORTED("""COMPUTED_VALUE"""),"🚛 LIBERADO")</f>
        <v>🚛 LIBERADO</v>
      </c>
      <c r="F2795" s="5">
        <f ca="1">IFERROR(__xludf.UNSUPPORTED("""COMPUTED_VALUE"""),0)</f>
        <v>0</v>
      </c>
      <c r="G2795" s="3" t="str">
        <f ca="1">IFERROR(__xludf.UNSUPPORTED("""COMPUTED_VALUE"""),"Normalidade")</f>
        <v>Normalidade</v>
      </c>
      <c r="H2795" s="4">
        <f ca="1">IFERROR(__xludf.UNSUPPORTED("""COMPUTED_VALUE"""),44923.2753935185)</f>
        <v>44923.275393518503</v>
      </c>
      <c r="I2795" s="3">
        <f ca="1">IFERROR(__xludf.UNSUPPORTED("""COMPUTED_VALUE"""),24)</f>
        <v>24</v>
      </c>
      <c r="J2795" s="4">
        <f ca="1">IFERROR(__xludf.UNSUPPORTED("""COMPUTED_VALUE"""),44924.2753935185)</f>
        <v>44924.275393518503</v>
      </c>
    </row>
    <row r="2796" spans="1:10" ht="12.75">
      <c r="A2796" s="3" t="str">
        <f ca="1">IFERROR(__xludf.UNSUPPORTED("""COMPUTED_VALUE"""),"2366474e")</f>
        <v>2366474e</v>
      </c>
      <c r="B2796" s="4">
        <f ca="1">IFERROR(__xludf.UNSUPPORTED("""COMPUTED_VALUE"""),44924.2572569444)</f>
        <v>44924.257256944402</v>
      </c>
      <c r="C2796" s="7" t="str">
        <f ca="1">IFERROR(__xludf.UNSUPPORTED("""COMPUTED_VALUE"""),"Terminal Aquaviário de Madre de Deus")</f>
        <v>Terminal Aquaviário de Madre de Deus</v>
      </c>
      <c r="D2796" s="3" t="str">
        <f ca="1">IFERROR(__xludf.UNSUPPORTED("""COMPUTED_VALUE"""),"🚢 REGULAR")</f>
        <v>🚢 REGULAR</v>
      </c>
      <c r="E2796" s="3" t="str">
        <f ca="1">IFERROR(__xludf.UNSUPPORTED("""COMPUTED_VALUE"""),"🚛 LIBERADO")</f>
        <v>🚛 LIBERADO</v>
      </c>
      <c r="F2796" s="5">
        <f ca="1">IFERROR(__xludf.UNSUPPORTED("""COMPUTED_VALUE"""),0)</f>
        <v>0</v>
      </c>
      <c r="G2796" s="3" t="str">
        <f ca="1">IFERROR(__xludf.UNSUPPORTED("""COMPUTED_VALUE"""),"Normalidade")</f>
        <v>Normalidade</v>
      </c>
      <c r="H2796" s="4">
        <f ca="1">IFERROR(__xludf.UNSUPPORTED("""COMPUTED_VALUE"""),44924.2572569444)</f>
        <v>44924.257256944402</v>
      </c>
      <c r="I2796" s="3">
        <f ca="1">IFERROR(__xludf.UNSUPPORTED("""COMPUTED_VALUE"""),24)</f>
        <v>24</v>
      </c>
      <c r="J2796" s="4">
        <f ca="1">IFERROR(__xludf.UNSUPPORTED("""COMPUTED_VALUE"""),44925.2572569444)</f>
        <v>44925.257256944402</v>
      </c>
    </row>
    <row r="2797" spans="1:10" ht="12.75">
      <c r="A2797" s="3" t="str">
        <f ca="1">IFERROR(__xludf.UNSUPPORTED("""COMPUTED_VALUE"""),"e6969941")</f>
        <v>e6969941</v>
      </c>
      <c r="B2797" s="4">
        <f ca="1">IFERROR(__xludf.UNSUPPORTED("""COMPUTED_VALUE"""),44925.2899537037)</f>
        <v>44925.289953703701</v>
      </c>
      <c r="C2797" s="8" t="str">
        <f ca="1">IFERROR(__xludf.UNSUPPORTED("""COMPUTED_VALUE"""),"Terminal Aquaviário de Madre de Deus")</f>
        <v>Terminal Aquaviário de Madre de Deus</v>
      </c>
      <c r="D2797" s="3" t="str">
        <f ca="1">IFERROR(__xludf.UNSUPPORTED("""COMPUTED_VALUE"""),"🚢 REGULAR")</f>
        <v>🚢 REGULAR</v>
      </c>
      <c r="E2797" s="3" t="str">
        <f ca="1">IFERROR(__xludf.UNSUPPORTED("""COMPUTED_VALUE"""),"🚛 LIBERADO")</f>
        <v>🚛 LIBERADO</v>
      </c>
      <c r="F2797" s="5">
        <f ca="1">IFERROR(__xludf.UNSUPPORTED("""COMPUTED_VALUE"""),0)</f>
        <v>0</v>
      </c>
      <c r="G2797" s="3" t="str">
        <f ca="1">IFERROR(__xludf.UNSUPPORTED("""COMPUTED_VALUE"""),"Normalidade")</f>
        <v>Normalidade</v>
      </c>
      <c r="H2797" s="4">
        <f ca="1">IFERROR(__xludf.UNSUPPORTED("""COMPUTED_VALUE"""),44925.2899537037)</f>
        <v>44925.289953703701</v>
      </c>
      <c r="I2797" s="3">
        <f ca="1">IFERROR(__xludf.UNSUPPORTED("""COMPUTED_VALUE"""),24)</f>
        <v>24</v>
      </c>
      <c r="J2797" s="4">
        <f ca="1">IFERROR(__xludf.UNSUPPORTED("""COMPUTED_VALUE"""),44926.2899537037)</f>
        <v>44926.289953703701</v>
      </c>
    </row>
    <row r="2798" spans="1:10" ht="12.75">
      <c r="A2798" s="3" t="str">
        <f ca="1">IFERROR(__xludf.UNSUPPORTED("""COMPUTED_VALUE"""),"9ee5218c")</f>
        <v>9ee5218c</v>
      </c>
      <c r="B2798" s="4">
        <f ca="1">IFERROR(__xludf.UNSUPPORTED("""COMPUTED_VALUE"""),44926.4888657407)</f>
        <v>44926.488865740699</v>
      </c>
      <c r="C2798" s="7" t="str">
        <f ca="1">IFERROR(__xludf.UNSUPPORTED("""COMPUTED_VALUE"""),"Terminal Aquaviário de Madre de Deus")</f>
        <v>Terminal Aquaviário de Madre de Deus</v>
      </c>
      <c r="D2798" s="3" t="str">
        <f ca="1">IFERROR(__xludf.UNSUPPORTED("""COMPUTED_VALUE"""),"🚢 REGULAR")</f>
        <v>🚢 REGULAR</v>
      </c>
      <c r="E2798" s="3" t="str">
        <f ca="1">IFERROR(__xludf.UNSUPPORTED("""COMPUTED_VALUE"""),"🚛 LIBERADO")</f>
        <v>🚛 LIBERADO</v>
      </c>
      <c r="F2798" s="5">
        <f ca="1">IFERROR(__xludf.UNSUPPORTED("""COMPUTED_VALUE"""),0)</f>
        <v>0</v>
      </c>
      <c r="G2798" s="3" t="str">
        <f ca="1">IFERROR(__xludf.UNSUPPORTED("""COMPUTED_VALUE"""),"Normalidade")</f>
        <v>Normalidade</v>
      </c>
      <c r="H2798" s="4">
        <f ca="1">IFERROR(__xludf.UNSUPPORTED("""COMPUTED_VALUE"""),44926.4888657407)</f>
        <v>44926.488865740699</v>
      </c>
      <c r="I2798" s="3">
        <f ca="1">IFERROR(__xludf.UNSUPPORTED("""COMPUTED_VALUE"""),24)</f>
        <v>24</v>
      </c>
      <c r="J2798" s="4">
        <f ca="1">IFERROR(__xludf.UNSUPPORTED("""COMPUTED_VALUE"""),44927.4888657407)</f>
        <v>44927.488865740699</v>
      </c>
    </row>
    <row r="2799" spans="1:10" ht="12.75">
      <c r="A2799" s="3" t="str">
        <f ca="1">IFERROR(__xludf.UNSUPPORTED("""COMPUTED_VALUE"""),"2cd6035f")</f>
        <v>2cd6035f</v>
      </c>
      <c r="B2799" s="4">
        <f ca="1">IFERROR(__xludf.UNSUPPORTED("""COMPUTED_VALUE"""),44927.3416087963)</f>
        <v>44927.341608796298</v>
      </c>
      <c r="C2799" s="7" t="str">
        <f ca="1">IFERROR(__xludf.UNSUPPORTED("""COMPUTED_VALUE"""),"Terminal Aquaviário de Madre de Deus")</f>
        <v>Terminal Aquaviário de Madre de Deus</v>
      </c>
      <c r="D2799" s="3" t="str">
        <f ca="1">IFERROR(__xludf.UNSUPPORTED("""COMPUTED_VALUE"""),"🚢 REGULAR")</f>
        <v>🚢 REGULAR</v>
      </c>
      <c r="E2799" s="3" t="str">
        <f ca="1">IFERROR(__xludf.UNSUPPORTED("""COMPUTED_VALUE"""),"🚛 LIBERADO")</f>
        <v>🚛 LIBERADO</v>
      </c>
      <c r="F2799" s="5">
        <f ca="1">IFERROR(__xludf.UNSUPPORTED("""COMPUTED_VALUE"""),0)</f>
        <v>0</v>
      </c>
      <c r="G2799" s="3" t="str">
        <f ca="1">IFERROR(__xludf.UNSUPPORTED("""COMPUTED_VALUE"""),"Normalidade")</f>
        <v>Normalidade</v>
      </c>
      <c r="H2799" s="4">
        <f ca="1">IFERROR(__xludf.UNSUPPORTED("""COMPUTED_VALUE"""),44927.3416087963)</f>
        <v>44927.341608796298</v>
      </c>
      <c r="I2799" s="3">
        <f ca="1">IFERROR(__xludf.UNSUPPORTED("""COMPUTED_VALUE"""),24)</f>
        <v>24</v>
      </c>
      <c r="J2799" s="4">
        <f ca="1">IFERROR(__xludf.UNSUPPORTED("""COMPUTED_VALUE"""),44928.3416087963)</f>
        <v>44928.341608796298</v>
      </c>
    </row>
    <row r="2800" spans="1:10" ht="12.75">
      <c r="A2800" s="3" t="str">
        <f ca="1">IFERROR(__xludf.UNSUPPORTED("""COMPUTED_VALUE"""),"34fdecd7")</f>
        <v>34fdecd7</v>
      </c>
      <c r="B2800" s="4">
        <f ca="1">IFERROR(__xludf.UNSUPPORTED("""COMPUTED_VALUE"""),44928.327662037)</f>
        <v>44928.327662037002</v>
      </c>
      <c r="C2800" s="7" t="str">
        <f ca="1">IFERROR(__xludf.UNSUPPORTED("""COMPUTED_VALUE"""),"Terminal Aquaviário de Madre de Deus")</f>
        <v>Terminal Aquaviário de Madre de Deus</v>
      </c>
      <c r="D2800" s="3" t="str">
        <f ca="1">IFERROR(__xludf.UNSUPPORTED("""COMPUTED_VALUE"""),"🚢 REGULAR")</f>
        <v>🚢 REGULAR</v>
      </c>
      <c r="E2800" s="3" t="str">
        <f ca="1">IFERROR(__xludf.UNSUPPORTED("""COMPUTED_VALUE"""),"🚛 LIBERADO")</f>
        <v>🚛 LIBERADO</v>
      </c>
      <c r="F2800" s="5">
        <f ca="1">IFERROR(__xludf.UNSUPPORTED("""COMPUTED_VALUE"""),0)</f>
        <v>0</v>
      </c>
      <c r="G2800" s="3" t="str">
        <f ca="1">IFERROR(__xludf.UNSUPPORTED("""COMPUTED_VALUE"""),"Normalidade")</f>
        <v>Normalidade</v>
      </c>
      <c r="H2800" s="4">
        <f ca="1">IFERROR(__xludf.UNSUPPORTED("""COMPUTED_VALUE"""),44928.327662037)</f>
        <v>44928.327662037002</v>
      </c>
      <c r="I2800" s="3">
        <f ca="1">IFERROR(__xludf.UNSUPPORTED("""COMPUTED_VALUE"""),24)</f>
        <v>24</v>
      </c>
      <c r="J2800" s="4">
        <f ca="1">IFERROR(__xludf.UNSUPPORTED("""COMPUTED_VALUE"""),44929.327662037)</f>
        <v>44929.327662037002</v>
      </c>
    </row>
    <row r="2801" spans="1:12" ht="12.75">
      <c r="A2801" s="3" t="str">
        <f ca="1">IFERROR(__xludf.UNSUPPORTED("""COMPUTED_VALUE"""),"bdeb5bcb")</f>
        <v>bdeb5bcb</v>
      </c>
      <c r="B2801" s="4">
        <f ca="1">IFERROR(__xludf.UNSUPPORTED("""COMPUTED_VALUE"""),44930.4158912037)</f>
        <v>44930.415891203702</v>
      </c>
      <c r="C2801" s="7" t="str">
        <f ca="1">IFERROR(__xludf.UNSUPPORTED("""COMPUTED_VALUE"""),"Terminal Aquaviário de Madre de Deus")</f>
        <v>Terminal Aquaviário de Madre de Deus</v>
      </c>
      <c r="D2801" s="3" t="str">
        <f ca="1">IFERROR(__xludf.UNSUPPORTED("""COMPUTED_VALUE"""),"🚢 REGULAR")</f>
        <v>🚢 REGULAR</v>
      </c>
      <c r="E2801" s="3" t="str">
        <f ca="1">IFERROR(__xludf.UNSUPPORTED("""COMPUTED_VALUE"""),"🚛 LIBERADO")</f>
        <v>🚛 LIBERADO</v>
      </c>
      <c r="F2801" s="5">
        <f ca="1">IFERROR(__xludf.UNSUPPORTED("""COMPUTED_VALUE"""),0)</f>
        <v>0</v>
      </c>
      <c r="G2801" s="3" t="str">
        <f ca="1">IFERROR(__xludf.UNSUPPORTED("""COMPUTED_VALUE"""),"Normalidade")</f>
        <v>Normalidade</v>
      </c>
      <c r="H2801" s="4">
        <f ca="1">IFERROR(__xludf.UNSUPPORTED("""COMPUTED_VALUE"""),44930.4158912037)</f>
        <v>44930.415891203702</v>
      </c>
      <c r="I2801" s="3">
        <f ca="1">IFERROR(__xludf.UNSUPPORTED("""COMPUTED_VALUE"""),24)</f>
        <v>24</v>
      </c>
      <c r="J2801" s="4">
        <f ca="1">IFERROR(__xludf.UNSUPPORTED("""COMPUTED_VALUE"""),44931.4158912037)</f>
        <v>44931.415891203702</v>
      </c>
    </row>
    <row r="2802" spans="1:12" ht="12.75">
      <c r="A2802" s="3" t="str">
        <f ca="1">IFERROR(__xludf.UNSUPPORTED("""COMPUTED_VALUE"""),"787ac7ee")</f>
        <v>787ac7ee</v>
      </c>
      <c r="B2802" s="4">
        <f ca="1">IFERROR(__xludf.UNSUPPORTED("""COMPUTED_VALUE"""),44932.677662037)</f>
        <v>44932.677662037</v>
      </c>
      <c r="C2802" s="8" t="str">
        <f ca="1">IFERROR(__xludf.UNSUPPORTED("""COMPUTED_VALUE"""),"Terminal Aquaviário de Madre de Deus")</f>
        <v>Terminal Aquaviário de Madre de Deus</v>
      </c>
      <c r="D2802" s="3" t="str">
        <f ca="1">IFERROR(__xludf.UNSUPPORTED("""COMPUTED_VALUE"""),"🚢 REGULAR")</f>
        <v>🚢 REGULAR</v>
      </c>
      <c r="E2802" s="3" t="str">
        <f ca="1">IFERROR(__xludf.UNSUPPORTED("""COMPUTED_VALUE"""),"🚛 LIBERADO")</f>
        <v>🚛 LIBERADO</v>
      </c>
      <c r="F2802" s="5">
        <f ca="1">IFERROR(__xludf.UNSUPPORTED("""COMPUTED_VALUE"""),0)</f>
        <v>0</v>
      </c>
      <c r="G2802" s="3" t="str">
        <f ca="1">IFERROR(__xludf.UNSUPPORTED("""COMPUTED_VALUE"""),"Normalidade")</f>
        <v>Normalidade</v>
      </c>
      <c r="H2802" s="4">
        <f ca="1">IFERROR(__xludf.UNSUPPORTED("""COMPUTED_VALUE"""),44932.677662037)</f>
        <v>44932.677662037</v>
      </c>
      <c r="I2802" s="3">
        <f ca="1">IFERROR(__xludf.UNSUPPORTED("""COMPUTED_VALUE"""),24)</f>
        <v>24</v>
      </c>
      <c r="J2802" s="4">
        <f ca="1">IFERROR(__xludf.UNSUPPORTED("""COMPUTED_VALUE"""),44933.677662037)</f>
        <v>44933.677662037</v>
      </c>
    </row>
    <row r="2803" spans="1:12" ht="12.75">
      <c r="A2803" s="3" t="str">
        <f ca="1">IFERROR(__xludf.UNSUPPORTED("""COMPUTED_VALUE"""),"06b87a83")</f>
        <v>06b87a83</v>
      </c>
      <c r="B2803" s="4">
        <f ca="1">IFERROR(__xludf.UNSUPPORTED("""COMPUTED_VALUE"""),44933.8481018518)</f>
        <v>44933.8481018518</v>
      </c>
      <c r="C2803" s="8" t="str">
        <f ca="1">IFERROR(__xludf.UNSUPPORTED("""COMPUTED_VALUE"""),"Terminal Aquaviário de Madre de Deus")</f>
        <v>Terminal Aquaviário de Madre de Deus</v>
      </c>
      <c r="D2803" s="3" t="str">
        <f ca="1">IFERROR(__xludf.UNSUPPORTED("""COMPUTED_VALUE"""),"🚢 REGULAR")</f>
        <v>🚢 REGULAR</v>
      </c>
      <c r="E2803" s="3" t="str">
        <f ca="1">IFERROR(__xludf.UNSUPPORTED("""COMPUTED_VALUE"""),"🚛 LIBERADO")</f>
        <v>🚛 LIBERADO</v>
      </c>
      <c r="F2803" s="5">
        <f ca="1">IFERROR(__xludf.UNSUPPORTED("""COMPUTED_VALUE"""),0)</f>
        <v>0</v>
      </c>
      <c r="G2803" s="3" t="str">
        <f ca="1">IFERROR(__xludf.UNSUPPORTED("""COMPUTED_VALUE"""),"Normalidade")</f>
        <v>Normalidade</v>
      </c>
      <c r="H2803" s="4">
        <f ca="1">IFERROR(__xludf.UNSUPPORTED("""COMPUTED_VALUE"""),44933.8481018518)</f>
        <v>44933.8481018518</v>
      </c>
      <c r="I2803" s="3">
        <f ca="1">IFERROR(__xludf.UNSUPPORTED("""COMPUTED_VALUE"""),24)</f>
        <v>24</v>
      </c>
      <c r="J2803" s="4">
        <f ca="1">IFERROR(__xludf.UNSUPPORTED("""COMPUTED_VALUE"""),44934.8481018518)</f>
        <v>44934.8481018518</v>
      </c>
      <c r="L2803" s="3" t="str">
        <f ca="1">IFERROR(__xludf.UNSUPPORTED("""COMPUTED_VALUE"""),"Normalidade")</f>
        <v>Normalidade</v>
      </c>
    </row>
    <row r="2804" spans="1:12" ht="12.75">
      <c r="A2804" s="3" t="str">
        <f ca="1">IFERROR(__xludf.UNSUPPORTED("""COMPUTED_VALUE"""),"b5e6fd74")</f>
        <v>b5e6fd74</v>
      </c>
      <c r="B2804" s="4">
        <f ca="1">IFERROR(__xludf.UNSUPPORTED("""COMPUTED_VALUE"""),44934.2904050925)</f>
        <v>44934.290405092499</v>
      </c>
      <c r="C2804" s="8" t="str">
        <f ca="1">IFERROR(__xludf.UNSUPPORTED("""COMPUTED_VALUE"""),"Terminal Aquaviário de Madre de Deus")</f>
        <v>Terminal Aquaviário de Madre de Deus</v>
      </c>
      <c r="D2804" s="3" t="str">
        <f ca="1">IFERROR(__xludf.UNSUPPORTED("""COMPUTED_VALUE"""),"🚢 REGULAR")</f>
        <v>🚢 REGULAR</v>
      </c>
      <c r="E2804" s="3" t="str">
        <f ca="1">IFERROR(__xludf.UNSUPPORTED("""COMPUTED_VALUE"""),"🚛 LIBERADO")</f>
        <v>🚛 LIBERADO</v>
      </c>
      <c r="F2804" s="5">
        <f ca="1">IFERROR(__xludf.UNSUPPORTED("""COMPUTED_VALUE"""),0)</f>
        <v>0</v>
      </c>
      <c r="G2804" s="3" t="str">
        <f ca="1">IFERROR(__xludf.UNSUPPORTED("""COMPUTED_VALUE"""),"Normalidade")</f>
        <v>Normalidade</v>
      </c>
      <c r="H2804" s="4">
        <f ca="1">IFERROR(__xludf.UNSUPPORTED("""COMPUTED_VALUE"""),44934.2904050925)</f>
        <v>44934.290405092499</v>
      </c>
      <c r="I2804" s="3">
        <f ca="1">IFERROR(__xludf.UNSUPPORTED("""COMPUTED_VALUE"""),24)</f>
        <v>24</v>
      </c>
      <c r="J2804" s="4">
        <f ca="1">IFERROR(__xludf.UNSUPPORTED("""COMPUTED_VALUE"""),44935.2904050925)</f>
        <v>44935.290405092499</v>
      </c>
      <c r="L2804" s="3" t="str">
        <f ca="1">IFERROR(__xludf.UNSUPPORTED("""COMPUTED_VALUE"""),"Normalidade")</f>
        <v>Normalidade</v>
      </c>
    </row>
    <row r="2805" spans="1:12" ht="12.75">
      <c r="A2805" s="3" t="str">
        <f ca="1">IFERROR(__xludf.UNSUPPORTED("""COMPUTED_VALUE"""),"19fcd2ae")</f>
        <v>19fcd2ae</v>
      </c>
      <c r="B2805" s="4">
        <f ca="1">IFERROR(__xludf.UNSUPPORTED("""COMPUTED_VALUE"""),44935.333599537)</f>
        <v>44935.333599537</v>
      </c>
      <c r="C2805" s="7" t="str">
        <f ca="1">IFERROR(__xludf.UNSUPPORTED("""COMPUTED_VALUE"""),"Terminal Aquaviário de Madre de Deus")</f>
        <v>Terminal Aquaviário de Madre de Deus</v>
      </c>
      <c r="D2805" s="3" t="str">
        <f ca="1">IFERROR(__xludf.UNSUPPORTED("""COMPUTED_VALUE"""),"🚢 REGULAR")</f>
        <v>🚢 REGULAR</v>
      </c>
      <c r="E2805" s="3" t="str">
        <f ca="1">IFERROR(__xludf.UNSUPPORTED("""COMPUTED_VALUE"""),"🚛 LIBERADO")</f>
        <v>🚛 LIBERADO</v>
      </c>
      <c r="F2805" s="5">
        <f ca="1">IFERROR(__xludf.UNSUPPORTED("""COMPUTED_VALUE"""),0)</f>
        <v>0</v>
      </c>
      <c r="G2805" s="3" t="str">
        <f ca="1">IFERROR(__xludf.UNSUPPORTED("""COMPUTED_VALUE"""),"Normalidade")</f>
        <v>Normalidade</v>
      </c>
      <c r="H2805" s="4">
        <f ca="1">IFERROR(__xludf.UNSUPPORTED("""COMPUTED_VALUE"""),44935.333599537)</f>
        <v>44935.333599537</v>
      </c>
      <c r="I2805" s="3">
        <f ca="1">IFERROR(__xludf.UNSUPPORTED("""COMPUTED_VALUE"""),24)</f>
        <v>24</v>
      </c>
      <c r="J2805" s="4">
        <f ca="1">IFERROR(__xludf.UNSUPPORTED("""COMPUTED_VALUE"""),44936.333599537)</f>
        <v>44936.333599537</v>
      </c>
      <c r="L2805" s="3" t="str">
        <f ca="1">IFERROR(__xludf.UNSUPPORTED("""COMPUTED_VALUE"""),"Normalidade")</f>
        <v>Normalidade</v>
      </c>
    </row>
    <row r="2806" spans="1:12" ht="12.75">
      <c r="A2806" s="3" t="str">
        <f ca="1">IFERROR(__xludf.UNSUPPORTED("""COMPUTED_VALUE"""),"984430ae")</f>
        <v>984430ae</v>
      </c>
      <c r="B2806" s="4">
        <f ca="1">IFERROR(__xludf.UNSUPPORTED("""COMPUTED_VALUE"""),44937.2096064814)</f>
        <v>44937.209606481403</v>
      </c>
      <c r="C2806" s="7" t="str">
        <f ca="1">IFERROR(__xludf.UNSUPPORTED("""COMPUTED_VALUE"""),"Terminal Aquaviário de Madre de Deus")</f>
        <v>Terminal Aquaviário de Madre de Deus</v>
      </c>
      <c r="D2806" s="3" t="str">
        <f ca="1">IFERROR(__xludf.UNSUPPORTED("""COMPUTED_VALUE"""),"🚢 REGULAR")</f>
        <v>🚢 REGULAR</v>
      </c>
      <c r="E2806" s="3" t="str">
        <f ca="1">IFERROR(__xludf.UNSUPPORTED("""COMPUTED_VALUE"""),"🚛 LIBERADO")</f>
        <v>🚛 LIBERADO</v>
      </c>
      <c r="F2806" s="5">
        <f ca="1">IFERROR(__xludf.UNSUPPORTED("""COMPUTED_VALUE"""),0)</f>
        <v>0</v>
      </c>
      <c r="G2806" s="3" t="str">
        <f ca="1">IFERROR(__xludf.UNSUPPORTED("""COMPUTED_VALUE"""),"Normalidade")</f>
        <v>Normalidade</v>
      </c>
      <c r="H2806" s="4">
        <f ca="1">IFERROR(__xludf.UNSUPPORTED("""COMPUTED_VALUE"""),44937.2096064814)</f>
        <v>44937.209606481403</v>
      </c>
      <c r="I2806" s="3">
        <f ca="1">IFERROR(__xludf.UNSUPPORTED("""COMPUTED_VALUE"""),24)</f>
        <v>24</v>
      </c>
      <c r="J2806" s="4">
        <f ca="1">IFERROR(__xludf.UNSUPPORTED("""COMPUTED_VALUE"""),44938.2096064814)</f>
        <v>44938.209606481403</v>
      </c>
      <c r="L2806" s="3" t="str">
        <f ca="1">IFERROR(__xludf.UNSUPPORTED("""COMPUTED_VALUE"""),"Normalidade")</f>
        <v>Normalidade</v>
      </c>
    </row>
    <row r="2807" spans="1:12" ht="12.75">
      <c r="A2807" s="3" t="str">
        <f ca="1">IFERROR(__xludf.UNSUPPORTED("""COMPUTED_VALUE"""),"73ad0d2b")</f>
        <v>73ad0d2b</v>
      </c>
      <c r="B2807" s="4">
        <f ca="1">IFERROR(__xludf.UNSUPPORTED("""COMPUTED_VALUE"""),44939.8130092592)</f>
        <v>44939.813009259196</v>
      </c>
      <c r="C2807" s="8" t="str">
        <f ca="1">IFERROR(__xludf.UNSUPPORTED("""COMPUTED_VALUE"""),"Terminal Aquaviário de Madre de Deus")</f>
        <v>Terminal Aquaviário de Madre de Deus</v>
      </c>
      <c r="D2807" s="3" t="str">
        <f ca="1">IFERROR(__xludf.UNSUPPORTED("""COMPUTED_VALUE"""),"🚢 REGULAR")</f>
        <v>🚢 REGULAR</v>
      </c>
      <c r="E2807" s="3" t="str">
        <f ca="1">IFERROR(__xludf.UNSUPPORTED("""COMPUTED_VALUE"""),"🚛 LIBERADO")</f>
        <v>🚛 LIBERADO</v>
      </c>
      <c r="F2807" s="5">
        <f ca="1">IFERROR(__xludf.UNSUPPORTED("""COMPUTED_VALUE"""),0)</f>
        <v>0</v>
      </c>
      <c r="G2807" s="3" t="str">
        <f ca="1">IFERROR(__xludf.UNSUPPORTED("""COMPUTED_VALUE"""),"Normalidade")</f>
        <v>Normalidade</v>
      </c>
      <c r="H2807" s="4">
        <f ca="1">IFERROR(__xludf.UNSUPPORTED("""COMPUTED_VALUE"""),44939.8130092592)</f>
        <v>44939.813009259196</v>
      </c>
      <c r="I2807" s="3">
        <f ca="1">IFERROR(__xludf.UNSUPPORTED("""COMPUTED_VALUE"""),24)</f>
        <v>24</v>
      </c>
      <c r="J2807" s="4">
        <f ca="1">IFERROR(__xludf.UNSUPPORTED("""COMPUTED_VALUE"""),44940.8130092592)</f>
        <v>44940.813009259196</v>
      </c>
      <c r="L2807" s="3" t="str">
        <f ca="1">IFERROR(__xludf.UNSUPPORTED("""COMPUTED_VALUE"""),"Normalidade")</f>
        <v>Normalidade</v>
      </c>
    </row>
    <row r="2808" spans="1:12" ht="12.75">
      <c r="A2808" s="3" t="str">
        <f ca="1">IFERROR(__xludf.UNSUPPORTED("""COMPUTED_VALUE"""),"6371635f")</f>
        <v>6371635f</v>
      </c>
      <c r="B2808" s="4">
        <f ca="1">IFERROR(__xludf.UNSUPPORTED("""COMPUTED_VALUE"""),44940.6000694444)</f>
        <v>44940.600069444401</v>
      </c>
      <c r="C2808" s="8" t="str">
        <f ca="1">IFERROR(__xludf.UNSUPPORTED("""COMPUTED_VALUE"""),"Terminal Aquaviário de Madre de Deus")</f>
        <v>Terminal Aquaviário de Madre de Deus</v>
      </c>
      <c r="D2808" s="3" t="str">
        <f ca="1">IFERROR(__xludf.UNSUPPORTED("""COMPUTED_VALUE"""),"🚢 REGULAR")</f>
        <v>🚢 REGULAR</v>
      </c>
      <c r="E2808" s="3" t="str">
        <f ca="1">IFERROR(__xludf.UNSUPPORTED("""COMPUTED_VALUE"""),"🚛 LIBERADO")</f>
        <v>🚛 LIBERADO</v>
      </c>
      <c r="F2808" s="5">
        <f ca="1">IFERROR(__xludf.UNSUPPORTED("""COMPUTED_VALUE"""),0)</f>
        <v>0</v>
      </c>
      <c r="G2808" s="3" t="str">
        <f ca="1">IFERROR(__xludf.UNSUPPORTED("""COMPUTED_VALUE"""),"Normalidade")</f>
        <v>Normalidade</v>
      </c>
      <c r="H2808" s="4">
        <f ca="1">IFERROR(__xludf.UNSUPPORTED("""COMPUTED_VALUE"""),44940.6000694444)</f>
        <v>44940.600069444401</v>
      </c>
      <c r="I2808" s="3">
        <f ca="1">IFERROR(__xludf.UNSUPPORTED("""COMPUTED_VALUE"""),24)</f>
        <v>24</v>
      </c>
      <c r="J2808" s="4">
        <f ca="1">IFERROR(__xludf.UNSUPPORTED("""COMPUTED_VALUE"""),44941.6000694444)</f>
        <v>44941.600069444401</v>
      </c>
      <c r="L2808" s="3" t="str">
        <f ca="1">IFERROR(__xludf.UNSUPPORTED("""COMPUTED_VALUE"""),"Normalidade")</f>
        <v>Normalidade</v>
      </c>
    </row>
    <row r="2809" spans="1:12" ht="12.75">
      <c r="A2809" s="3" t="str">
        <f ca="1">IFERROR(__xludf.UNSUPPORTED("""COMPUTED_VALUE"""),"cf1d9e86")</f>
        <v>cf1d9e86</v>
      </c>
      <c r="B2809" s="4">
        <f ca="1">IFERROR(__xludf.UNSUPPORTED("""COMPUTED_VALUE"""),44941.4152199074)</f>
        <v>44941.415219907401</v>
      </c>
      <c r="C2809" s="8" t="str">
        <f ca="1">IFERROR(__xludf.UNSUPPORTED("""COMPUTED_VALUE"""),"Terminal Aquaviário de Madre de Deus")</f>
        <v>Terminal Aquaviário de Madre de Deus</v>
      </c>
      <c r="D2809" s="3" t="str">
        <f ca="1">IFERROR(__xludf.UNSUPPORTED("""COMPUTED_VALUE"""),"🚢 REGULAR")</f>
        <v>🚢 REGULAR</v>
      </c>
      <c r="E2809" s="3" t="str">
        <f ca="1">IFERROR(__xludf.UNSUPPORTED("""COMPUTED_VALUE"""),"🚛 LIBERADO")</f>
        <v>🚛 LIBERADO</v>
      </c>
      <c r="F2809" s="5">
        <f ca="1">IFERROR(__xludf.UNSUPPORTED("""COMPUTED_VALUE"""),0)</f>
        <v>0</v>
      </c>
      <c r="G2809" s="3" t="str">
        <f ca="1">IFERROR(__xludf.UNSUPPORTED("""COMPUTED_VALUE"""),"Normalidade")</f>
        <v>Normalidade</v>
      </c>
      <c r="H2809" s="4">
        <f ca="1">IFERROR(__xludf.UNSUPPORTED("""COMPUTED_VALUE"""),44941.4152199074)</f>
        <v>44941.415219907401</v>
      </c>
      <c r="I2809" s="3">
        <f ca="1">IFERROR(__xludf.UNSUPPORTED("""COMPUTED_VALUE"""),24)</f>
        <v>24</v>
      </c>
      <c r="J2809" s="4">
        <f ca="1">IFERROR(__xludf.UNSUPPORTED("""COMPUTED_VALUE"""),44942.4152199074)</f>
        <v>44942.415219907401</v>
      </c>
      <c r="L2809" s="3" t="str">
        <f ca="1">IFERROR(__xludf.UNSUPPORTED("""COMPUTED_VALUE"""),"Normalidade")</f>
        <v>Normalidade</v>
      </c>
    </row>
    <row r="2810" spans="1:12" ht="12.75">
      <c r="A2810" s="3" t="str">
        <f ca="1">IFERROR(__xludf.UNSUPPORTED("""COMPUTED_VALUE"""),"edaa4196")</f>
        <v>edaa4196</v>
      </c>
      <c r="B2810" s="4">
        <f ca="1">IFERROR(__xludf.UNSUPPORTED("""COMPUTED_VALUE"""),44942.3196875)</f>
        <v>44942.319687499999</v>
      </c>
      <c r="C2810" s="8" t="str">
        <f ca="1">IFERROR(__xludf.UNSUPPORTED("""COMPUTED_VALUE"""),"Terminal Aquaviário de Madre de Deus")</f>
        <v>Terminal Aquaviário de Madre de Deus</v>
      </c>
      <c r="D2810" s="3" t="str">
        <f ca="1">IFERROR(__xludf.UNSUPPORTED("""COMPUTED_VALUE"""),"🚢 REGULAR")</f>
        <v>🚢 REGULAR</v>
      </c>
      <c r="E2810" s="3" t="str">
        <f ca="1">IFERROR(__xludf.UNSUPPORTED("""COMPUTED_VALUE"""),"🚛 LIBERADO")</f>
        <v>🚛 LIBERADO</v>
      </c>
      <c r="F2810" s="5">
        <f ca="1">IFERROR(__xludf.UNSUPPORTED("""COMPUTED_VALUE"""),0)</f>
        <v>0</v>
      </c>
      <c r="G2810" s="3" t="str">
        <f ca="1">IFERROR(__xludf.UNSUPPORTED("""COMPUTED_VALUE"""),"Normalidade")</f>
        <v>Normalidade</v>
      </c>
      <c r="H2810" s="4">
        <f ca="1">IFERROR(__xludf.UNSUPPORTED("""COMPUTED_VALUE"""),44942.3196875)</f>
        <v>44942.319687499999</v>
      </c>
      <c r="I2810" s="3">
        <f ca="1">IFERROR(__xludf.UNSUPPORTED("""COMPUTED_VALUE"""),24)</f>
        <v>24</v>
      </c>
      <c r="J2810" s="4">
        <f ca="1">IFERROR(__xludf.UNSUPPORTED("""COMPUTED_VALUE"""),44943.3196875)</f>
        <v>44943.319687499999</v>
      </c>
      <c r="L2810" s="3" t="str">
        <f ca="1">IFERROR(__xludf.UNSUPPORTED("""COMPUTED_VALUE"""),"Normalidade")</f>
        <v>Normalidade</v>
      </c>
    </row>
    <row r="2811" spans="1:12" ht="12.75">
      <c r="A2811" s="3" t="str">
        <f ca="1">IFERROR(__xludf.UNSUPPORTED("""COMPUTED_VALUE"""),"26a56536")</f>
        <v>26a56536</v>
      </c>
      <c r="B2811" s="4">
        <f ca="1">IFERROR(__xludf.UNSUPPORTED("""COMPUTED_VALUE"""),44943.324375)</f>
        <v>44943.324374999997</v>
      </c>
      <c r="C2811" s="7" t="str">
        <f ca="1">IFERROR(__xludf.UNSUPPORTED("""COMPUTED_VALUE"""),"Terminal Aquaviário de Madre de Deus")</f>
        <v>Terminal Aquaviário de Madre de Deus</v>
      </c>
      <c r="D2811" s="3" t="str">
        <f ca="1">IFERROR(__xludf.UNSUPPORTED("""COMPUTED_VALUE"""),"🚢 REGULAR")</f>
        <v>🚢 REGULAR</v>
      </c>
      <c r="E2811" s="3" t="str">
        <f ca="1">IFERROR(__xludf.UNSUPPORTED("""COMPUTED_VALUE"""),"🚛 LIBERADO")</f>
        <v>🚛 LIBERADO</v>
      </c>
      <c r="F2811" s="5">
        <f ca="1">IFERROR(__xludf.UNSUPPORTED("""COMPUTED_VALUE"""),0)</f>
        <v>0</v>
      </c>
      <c r="G2811" s="3" t="str">
        <f ca="1">IFERROR(__xludf.UNSUPPORTED("""COMPUTED_VALUE"""),"Normalidade")</f>
        <v>Normalidade</v>
      </c>
      <c r="H2811" s="4">
        <f ca="1">IFERROR(__xludf.UNSUPPORTED("""COMPUTED_VALUE"""),44943.324375)</f>
        <v>44943.324374999997</v>
      </c>
      <c r="I2811" s="3">
        <f ca="1">IFERROR(__xludf.UNSUPPORTED("""COMPUTED_VALUE"""),24)</f>
        <v>24</v>
      </c>
      <c r="J2811" s="4">
        <f ca="1">IFERROR(__xludf.UNSUPPORTED("""COMPUTED_VALUE"""),44944.324375)</f>
        <v>44944.324374999997</v>
      </c>
      <c r="L2811" s="3" t="str">
        <f ca="1">IFERROR(__xludf.UNSUPPORTED("""COMPUTED_VALUE"""),"Normalidade")</f>
        <v>Normalidade</v>
      </c>
    </row>
    <row r="2812" spans="1:12" ht="12.75">
      <c r="A2812" s="3" t="str">
        <f ca="1">IFERROR(__xludf.UNSUPPORTED("""COMPUTED_VALUE"""),"f5996e90")</f>
        <v>f5996e90</v>
      </c>
      <c r="B2812" s="4">
        <f ca="1">IFERROR(__xludf.UNSUPPORTED("""COMPUTED_VALUE"""),44943.3726504629)</f>
        <v>44943.372650462901</v>
      </c>
      <c r="C2812" s="7" t="str">
        <f ca="1">IFERROR(__xludf.UNSUPPORTED("""COMPUTED_VALUE"""),"Terminal Aquaviário de Madre de Deus")</f>
        <v>Terminal Aquaviário de Madre de Deus</v>
      </c>
      <c r="D2812" s="3" t="str">
        <f ca="1">IFERROR(__xludf.UNSUPPORTED("""COMPUTED_VALUE"""),"🚢 REGULAR")</f>
        <v>🚢 REGULAR</v>
      </c>
      <c r="E2812" s="3" t="str">
        <f ca="1">IFERROR(__xludf.UNSUPPORTED("""COMPUTED_VALUE"""),"🚛 LIBERADO")</f>
        <v>🚛 LIBERADO</v>
      </c>
      <c r="F2812" s="5">
        <f ca="1">IFERROR(__xludf.UNSUPPORTED("""COMPUTED_VALUE"""),0)</f>
        <v>0</v>
      </c>
      <c r="G2812" s="3" t="str">
        <f ca="1">IFERROR(__xludf.UNSUPPORTED("""COMPUTED_VALUE"""),"Normalidade")</f>
        <v>Normalidade</v>
      </c>
      <c r="H2812" s="4">
        <f ca="1">IFERROR(__xludf.UNSUPPORTED("""COMPUTED_VALUE"""),44943.3726504629)</f>
        <v>44943.372650462901</v>
      </c>
      <c r="I2812" s="3">
        <f ca="1">IFERROR(__xludf.UNSUPPORTED("""COMPUTED_VALUE"""),24)</f>
        <v>24</v>
      </c>
      <c r="J2812" s="4">
        <f ca="1">IFERROR(__xludf.UNSUPPORTED("""COMPUTED_VALUE"""),44944.3726504629)</f>
        <v>44944.372650462901</v>
      </c>
      <c r="L2812" s="3" t="str">
        <f ca="1">IFERROR(__xludf.UNSUPPORTED("""COMPUTED_VALUE"""),"Normalidade")</f>
        <v>Normalidade</v>
      </c>
    </row>
    <row r="2813" spans="1:12" ht="12.75">
      <c r="A2813" s="3" t="str">
        <f ca="1">IFERROR(__xludf.UNSUPPORTED("""COMPUTED_VALUE"""),"bb93223e")</f>
        <v>bb93223e</v>
      </c>
      <c r="B2813" s="4">
        <f ca="1">IFERROR(__xludf.UNSUPPORTED("""COMPUTED_VALUE"""),44944.4285300925)</f>
        <v>44944.428530092497</v>
      </c>
      <c r="C2813" s="7" t="str">
        <f ca="1">IFERROR(__xludf.UNSUPPORTED("""COMPUTED_VALUE"""),"Terminal Aquaviário de Madre de Deus")</f>
        <v>Terminal Aquaviário de Madre de Deus</v>
      </c>
      <c r="D2813" s="3" t="str">
        <f ca="1">IFERROR(__xludf.UNSUPPORTED("""COMPUTED_VALUE"""),"🚢 REGULAR")</f>
        <v>🚢 REGULAR</v>
      </c>
      <c r="E2813" s="3" t="str">
        <f ca="1">IFERROR(__xludf.UNSUPPORTED("""COMPUTED_VALUE"""),"🚛 LIBERADO")</f>
        <v>🚛 LIBERADO</v>
      </c>
      <c r="F2813" s="5">
        <f ca="1">IFERROR(__xludf.UNSUPPORTED("""COMPUTED_VALUE"""),0)</f>
        <v>0</v>
      </c>
      <c r="G2813" s="3" t="str">
        <f ca="1">IFERROR(__xludf.UNSUPPORTED("""COMPUTED_VALUE"""),"Normalidade")</f>
        <v>Normalidade</v>
      </c>
      <c r="H2813" s="4">
        <f ca="1">IFERROR(__xludf.UNSUPPORTED("""COMPUTED_VALUE"""),44944.4285300925)</f>
        <v>44944.428530092497</v>
      </c>
      <c r="I2813" s="3">
        <f ca="1">IFERROR(__xludf.UNSUPPORTED("""COMPUTED_VALUE"""),24)</f>
        <v>24</v>
      </c>
      <c r="J2813" s="4">
        <f ca="1">IFERROR(__xludf.UNSUPPORTED("""COMPUTED_VALUE"""),44945.4285300925)</f>
        <v>44945.428530092497</v>
      </c>
      <c r="L2813" s="3" t="str">
        <f ca="1">IFERROR(__xludf.UNSUPPORTED("""COMPUTED_VALUE"""),"Normalidade")</f>
        <v>Normalidade</v>
      </c>
    </row>
    <row r="2814" spans="1:12" ht="12.75">
      <c r="A2814" s="3" t="str">
        <f ca="1">IFERROR(__xludf.UNSUPPORTED("""COMPUTED_VALUE"""),"1b43d9a6")</f>
        <v>1b43d9a6</v>
      </c>
      <c r="B2814" s="4">
        <f ca="1">IFERROR(__xludf.UNSUPPORTED("""COMPUTED_VALUE"""),44945.3286342592)</f>
        <v>44945.328634259196</v>
      </c>
      <c r="C2814" s="8" t="str">
        <f ca="1">IFERROR(__xludf.UNSUPPORTED("""COMPUTED_VALUE"""),"Terminal Aquaviário de Madre de Deus")</f>
        <v>Terminal Aquaviário de Madre de Deus</v>
      </c>
      <c r="D2814" s="3" t="str">
        <f ca="1">IFERROR(__xludf.UNSUPPORTED("""COMPUTED_VALUE"""),"🚢 REGULAR")</f>
        <v>🚢 REGULAR</v>
      </c>
      <c r="E2814" s="3" t="str">
        <f ca="1">IFERROR(__xludf.UNSUPPORTED("""COMPUTED_VALUE"""),"🚛 LIBERADO")</f>
        <v>🚛 LIBERADO</v>
      </c>
      <c r="F2814" s="5">
        <f ca="1">IFERROR(__xludf.UNSUPPORTED("""COMPUTED_VALUE"""),0)</f>
        <v>0</v>
      </c>
      <c r="G2814" s="3" t="str">
        <f ca="1">IFERROR(__xludf.UNSUPPORTED("""COMPUTED_VALUE"""),"Normalidade")</f>
        <v>Normalidade</v>
      </c>
      <c r="H2814" s="4">
        <f ca="1">IFERROR(__xludf.UNSUPPORTED("""COMPUTED_VALUE"""),44945.3286342592)</f>
        <v>44945.328634259196</v>
      </c>
      <c r="I2814" s="3">
        <f ca="1">IFERROR(__xludf.UNSUPPORTED("""COMPUTED_VALUE"""),24)</f>
        <v>24</v>
      </c>
      <c r="J2814" s="4">
        <f ca="1">IFERROR(__xludf.UNSUPPORTED("""COMPUTED_VALUE"""),44946.3286342592)</f>
        <v>44946.328634259196</v>
      </c>
      <c r="L2814" s="3" t="str">
        <f ca="1">IFERROR(__xludf.UNSUPPORTED("""COMPUTED_VALUE"""),"Normalidade")</f>
        <v>Normalidade</v>
      </c>
    </row>
    <row r="2815" spans="1:12" ht="12.75">
      <c r="A2815" s="3" t="str">
        <f ca="1">IFERROR(__xludf.UNSUPPORTED("""COMPUTED_VALUE"""),"4dfa87b3")</f>
        <v>4dfa87b3</v>
      </c>
      <c r="B2815" s="4">
        <f ca="1">IFERROR(__xludf.UNSUPPORTED("""COMPUTED_VALUE"""),44946.3092129629)</f>
        <v>44946.3092129629</v>
      </c>
      <c r="C2815" s="8" t="str">
        <f ca="1">IFERROR(__xludf.UNSUPPORTED("""COMPUTED_VALUE"""),"Terminal Aquaviário de Madre de Deus")</f>
        <v>Terminal Aquaviário de Madre de Deus</v>
      </c>
      <c r="D2815" s="3" t="str">
        <f ca="1">IFERROR(__xludf.UNSUPPORTED("""COMPUTED_VALUE"""),"🚢 REGULAR")</f>
        <v>🚢 REGULAR</v>
      </c>
      <c r="E2815" s="3" t="str">
        <f ca="1">IFERROR(__xludf.UNSUPPORTED("""COMPUTED_VALUE"""),"🚛 LIBERADO")</f>
        <v>🚛 LIBERADO</v>
      </c>
      <c r="F2815" s="5">
        <f ca="1">IFERROR(__xludf.UNSUPPORTED("""COMPUTED_VALUE"""),0)</f>
        <v>0</v>
      </c>
      <c r="G2815" s="3" t="str">
        <f ca="1">IFERROR(__xludf.UNSUPPORTED("""COMPUTED_VALUE"""),"Normalidade")</f>
        <v>Normalidade</v>
      </c>
      <c r="H2815" s="4">
        <f ca="1">IFERROR(__xludf.UNSUPPORTED("""COMPUTED_VALUE"""),44946.3092129629)</f>
        <v>44946.3092129629</v>
      </c>
      <c r="I2815" s="3">
        <f ca="1">IFERROR(__xludf.UNSUPPORTED("""COMPUTED_VALUE"""),24)</f>
        <v>24</v>
      </c>
      <c r="J2815" s="4">
        <f ca="1">IFERROR(__xludf.UNSUPPORTED("""COMPUTED_VALUE"""),44947.3092129629)</f>
        <v>44947.3092129629</v>
      </c>
      <c r="L2815" s="3" t="str">
        <f ca="1">IFERROR(__xludf.UNSUPPORTED("""COMPUTED_VALUE"""),"Normalidade")</f>
        <v>Normalidade</v>
      </c>
    </row>
    <row r="2816" spans="1:12" ht="12.75">
      <c r="A2816" s="3" t="str">
        <f ca="1">IFERROR(__xludf.UNSUPPORTED("""COMPUTED_VALUE"""),"3105381c")</f>
        <v>3105381c</v>
      </c>
      <c r="B2816" s="4">
        <f ca="1">IFERROR(__xludf.UNSUPPORTED("""COMPUTED_VALUE"""),44946.3096643518)</f>
        <v>44946.3096643518</v>
      </c>
      <c r="C2816" s="7" t="str">
        <f ca="1">IFERROR(__xludf.UNSUPPORTED("""COMPUTED_VALUE"""),"Terminal Aquaviário de Madre de Deus")</f>
        <v>Terminal Aquaviário de Madre de Deus</v>
      </c>
      <c r="D2816" s="3" t="str">
        <f ca="1">IFERROR(__xludf.UNSUPPORTED("""COMPUTED_VALUE"""),"🚢 REGULAR")</f>
        <v>🚢 REGULAR</v>
      </c>
      <c r="E2816" s="3" t="str">
        <f ca="1">IFERROR(__xludf.UNSUPPORTED("""COMPUTED_VALUE"""),"🚛 LIBERADO")</f>
        <v>🚛 LIBERADO</v>
      </c>
      <c r="F2816" s="5">
        <f ca="1">IFERROR(__xludf.UNSUPPORTED("""COMPUTED_VALUE"""),0)</f>
        <v>0</v>
      </c>
      <c r="G2816" s="3" t="str">
        <f ca="1">IFERROR(__xludf.UNSUPPORTED("""COMPUTED_VALUE"""),"Normalidade")</f>
        <v>Normalidade</v>
      </c>
      <c r="H2816" s="4">
        <f ca="1">IFERROR(__xludf.UNSUPPORTED("""COMPUTED_VALUE"""),44946.3096643518)</f>
        <v>44946.3096643518</v>
      </c>
      <c r="I2816" s="3">
        <f ca="1">IFERROR(__xludf.UNSUPPORTED("""COMPUTED_VALUE"""),24)</f>
        <v>24</v>
      </c>
      <c r="J2816" s="4">
        <f ca="1">IFERROR(__xludf.UNSUPPORTED("""COMPUTED_VALUE"""),44947.3096643518)</f>
        <v>44947.3096643518</v>
      </c>
      <c r="L2816" s="3" t="str">
        <f ca="1">IFERROR(__xludf.UNSUPPORTED("""COMPUTED_VALUE"""),"Normalidade")</f>
        <v>Normalidade</v>
      </c>
    </row>
    <row r="2817" spans="1:12" ht="12.75">
      <c r="A2817" s="3" t="str">
        <f ca="1">IFERROR(__xludf.UNSUPPORTED("""COMPUTED_VALUE"""),"b15928e9")</f>
        <v>b15928e9</v>
      </c>
      <c r="B2817" s="4">
        <f ca="1">IFERROR(__xludf.UNSUPPORTED("""COMPUTED_VALUE"""),44947.3562152777)</f>
        <v>44947.356215277701</v>
      </c>
      <c r="C2817" s="7" t="str">
        <f ca="1">IFERROR(__xludf.UNSUPPORTED("""COMPUTED_VALUE"""),"Terminal Aquaviário de Madre de Deus")</f>
        <v>Terminal Aquaviário de Madre de Deus</v>
      </c>
      <c r="D2817" s="3" t="str">
        <f ca="1">IFERROR(__xludf.UNSUPPORTED("""COMPUTED_VALUE"""),"🚢 REGULAR")</f>
        <v>🚢 REGULAR</v>
      </c>
      <c r="E2817" s="3" t="str">
        <f ca="1">IFERROR(__xludf.UNSUPPORTED("""COMPUTED_VALUE"""),"🚛 LIBERADO")</f>
        <v>🚛 LIBERADO</v>
      </c>
      <c r="F2817" s="5">
        <f ca="1">IFERROR(__xludf.UNSUPPORTED("""COMPUTED_VALUE"""),0)</f>
        <v>0</v>
      </c>
      <c r="G2817" s="3" t="str">
        <f ca="1">IFERROR(__xludf.UNSUPPORTED("""COMPUTED_VALUE"""),"Normalidade")</f>
        <v>Normalidade</v>
      </c>
      <c r="H2817" s="4">
        <f ca="1">IFERROR(__xludf.UNSUPPORTED("""COMPUTED_VALUE"""),44947.3562152777)</f>
        <v>44947.356215277701</v>
      </c>
      <c r="I2817" s="3">
        <f ca="1">IFERROR(__xludf.UNSUPPORTED("""COMPUTED_VALUE"""),24)</f>
        <v>24</v>
      </c>
      <c r="J2817" s="4">
        <f ca="1">IFERROR(__xludf.UNSUPPORTED("""COMPUTED_VALUE"""),44948.3562152777)</f>
        <v>44948.356215277701</v>
      </c>
      <c r="L2817" s="3" t="str">
        <f ca="1">IFERROR(__xludf.UNSUPPORTED("""COMPUTED_VALUE"""),"Normalidade")</f>
        <v>Normalidade</v>
      </c>
    </row>
    <row r="2818" spans="1:12" ht="12.75">
      <c r="A2818" s="3" t="str">
        <f ca="1">IFERROR(__xludf.UNSUPPORTED("""COMPUTED_VALUE"""),"e272f1ba")</f>
        <v>e272f1ba</v>
      </c>
      <c r="B2818" s="4">
        <f ca="1">IFERROR(__xludf.UNSUPPORTED("""COMPUTED_VALUE"""),44948.2323611111)</f>
        <v>44948.232361111099</v>
      </c>
      <c r="C2818" s="8" t="str">
        <f ca="1">IFERROR(__xludf.UNSUPPORTED("""COMPUTED_VALUE"""),"Terminal Aquaviário de Madre de Deus")</f>
        <v>Terminal Aquaviário de Madre de Deus</v>
      </c>
      <c r="D2818" s="3" t="str">
        <f ca="1">IFERROR(__xludf.UNSUPPORTED("""COMPUTED_VALUE"""),"🚢 REGULAR")</f>
        <v>🚢 REGULAR</v>
      </c>
      <c r="E2818" s="3" t="str">
        <f ca="1">IFERROR(__xludf.UNSUPPORTED("""COMPUTED_VALUE"""),"🚛 LIBERADO")</f>
        <v>🚛 LIBERADO</v>
      </c>
      <c r="F2818" s="5">
        <f ca="1">IFERROR(__xludf.UNSUPPORTED("""COMPUTED_VALUE"""),0)</f>
        <v>0</v>
      </c>
      <c r="G2818" s="3" t="str">
        <f ca="1">IFERROR(__xludf.UNSUPPORTED("""COMPUTED_VALUE"""),"Normalidade")</f>
        <v>Normalidade</v>
      </c>
      <c r="H2818" s="4">
        <f ca="1">IFERROR(__xludf.UNSUPPORTED("""COMPUTED_VALUE"""),44948.2323611111)</f>
        <v>44948.232361111099</v>
      </c>
      <c r="I2818" s="3">
        <f ca="1">IFERROR(__xludf.UNSUPPORTED("""COMPUTED_VALUE"""),24)</f>
        <v>24</v>
      </c>
      <c r="J2818" s="4">
        <f ca="1">IFERROR(__xludf.UNSUPPORTED("""COMPUTED_VALUE"""),44949.2323611111)</f>
        <v>44949.232361111099</v>
      </c>
      <c r="L2818" s="3" t="str">
        <f ca="1">IFERROR(__xludf.UNSUPPORTED("""COMPUTED_VALUE"""),"Normalidade")</f>
        <v>Normalidade</v>
      </c>
    </row>
    <row r="2819" spans="1:12" ht="12.75">
      <c r="A2819" s="3" t="str">
        <f ca="1">IFERROR(__xludf.UNSUPPORTED("""COMPUTED_VALUE"""),"b58ecc94")</f>
        <v>b58ecc94</v>
      </c>
      <c r="B2819" s="4">
        <f ca="1">IFERROR(__xludf.UNSUPPORTED("""COMPUTED_VALUE"""),44950.2824884259)</f>
        <v>44950.282488425903</v>
      </c>
      <c r="C2819" s="8" t="str">
        <f ca="1">IFERROR(__xludf.UNSUPPORTED("""COMPUTED_VALUE"""),"Terminal Aquaviário de Madre de Deus")</f>
        <v>Terminal Aquaviário de Madre de Deus</v>
      </c>
      <c r="D2819" s="3" t="str">
        <f ca="1">IFERROR(__xludf.UNSUPPORTED("""COMPUTED_VALUE"""),"🚢 REGULAR")</f>
        <v>🚢 REGULAR</v>
      </c>
      <c r="E2819" s="3" t="str">
        <f ca="1">IFERROR(__xludf.UNSUPPORTED("""COMPUTED_VALUE"""),"🚛 LIBERADO")</f>
        <v>🚛 LIBERADO</v>
      </c>
      <c r="F2819" s="5">
        <f ca="1">IFERROR(__xludf.UNSUPPORTED("""COMPUTED_VALUE"""),0)</f>
        <v>0</v>
      </c>
      <c r="G2819" s="3" t="str">
        <f ca="1">IFERROR(__xludf.UNSUPPORTED("""COMPUTED_VALUE"""),"Normalidade")</f>
        <v>Normalidade</v>
      </c>
      <c r="H2819" s="4">
        <f ca="1">IFERROR(__xludf.UNSUPPORTED("""COMPUTED_VALUE"""),44950.2824884259)</f>
        <v>44950.282488425903</v>
      </c>
      <c r="I2819" s="3">
        <f ca="1">IFERROR(__xludf.UNSUPPORTED("""COMPUTED_VALUE"""),24)</f>
        <v>24</v>
      </c>
      <c r="J2819" s="4">
        <f ca="1">IFERROR(__xludf.UNSUPPORTED("""COMPUTED_VALUE"""),44951.2824884259)</f>
        <v>44951.282488425903</v>
      </c>
      <c r="L2819" s="3" t="str">
        <f ca="1">IFERROR(__xludf.UNSUPPORTED("""COMPUTED_VALUE"""),"Normalidade")</f>
        <v>Normalidade</v>
      </c>
    </row>
    <row r="2820" spans="1:12" ht="12.75">
      <c r="A2820" s="3" t="str">
        <f ca="1">IFERROR(__xludf.UNSUPPORTED("""COMPUTED_VALUE"""),"38acbd20")</f>
        <v>38acbd20</v>
      </c>
      <c r="B2820" s="4">
        <f ca="1">IFERROR(__xludf.UNSUPPORTED("""COMPUTED_VALUE"""),44952.4683680555)</f>
        <v>44952.468368055503</v>
      </c>
      <c r="C2820" s="7" t="str">
        <f ca="1">IFERROR(__xludf.UNSUPPORTED("""COMPUTED_VALUE"""),"Terminal Aquaviário de Madre de Deus")</f>
        <v>Terminal Aquaviário de Madre de Deus</v>
      </c>
      <c r="D2820" s="3" t="str">
        <f ca="1">IFERROR(__xludf.UNSUPPORTED("""COMPUTED_VALUE"""),"🚢 REGULAR")</f>
        <v>🚢 REGULAR</v>
      </c>
      <c r="E2820" s="3" t="str">
        <f ca="1">IFERROR(__xludf.UNSUPPORTED("""COMPUTED_VALUE"""),"🚛 LIBERADO")</f>
        <v>🚛 LIBERADO</v>
      </c>
      <c r="F2820" s="5">
        <f ca="1">IFERROR(__xludf.UNSUPPORTED("""COMPUTED_VALUE"""),0)</f>
        <v>0</v>
      </c>
      <c r="G2820" s="3" t="str">
        <f ca="1">IFERROR(__xludf.UNSUPPORTED("""COMPUTED_VALUE"""),"Normalidade")</f>
        <v>Normalidade</v>
      </c>
      <c r="H2820" s="4">
        <f ca="1">IFERROR(__xludf.UNSUPPORTED("""COMPUTED_VALUE"""),44952.4683680555)</f>
        <v>44952.468368055503</v>
      </c>
      <c r="I2820" s="3">
        <f ca="1">IFERROR(__xludf.UNSUPPORTED("""COMPUTED_VALUE"""),24)</f>
        <v>24</v>
      </c>
      <c r="J2820" s="4">
        <f ca="1">IFERROR(__xludf.UNSUPPORTED("""COMPUTED_VALUE"""),44953.4683680555)</f>
        <v>44953.468368055503</v>
      </c>
      <c r="L2820" s="3" t="str">
        <f ca="1">IFERROR(__xludf.UNSUPPORTED("""COMPUTED_VALUE"""),"Normalidade")</f>
        <v>Normalidade</v>
      </c>
    </row>
    <row r="2821" spans="1:12" ht="12.75">
      <c r="A2821" s="3" t="str">
        <f ca="1">IFERROR(__xludf.UNSUPPORTED("""COMPUTED_VALUE"""),"17a60607")</f>
        <v>17a60607</v>
      </c>
      <c r="B2821" s="4">
        <f ca="1">IFERROR(__xludf.UNSUPPORTED("""COMPUTED_VALUE"""),44952.6005555555)</f>
        <v>44952.600555555502</v>
      </c>
      <c r="C2821" s="7" t="str">
        <f ca="1">IFERROR(__xludf.UNSUPPORTED("""COMPUTED_VALUE"""),"Terminal Aquaviário de Madre de Deus")</f>
        <v>Terminal Aquaviário de Madre de Deus</v>
      </c>
      <c r="D2821" s="3" t="str">
        <f ca="1">IFERROR(__xludf.UNSUPPORTED("""COMPUTED_VALUE"""),"🚢 REGULAR")</f>
        <v>🚢 REGULAR</v>
      </c>
      <c r="E2821" s="3" t="str">
        <f ca="1">IFERROR(__xludf.UNSUPPORTED("""COMPUTED_VALUE"""),"🚛 LIBERADO")</f>
        <v>🚛 LIBERADO</v>
      </c>
      <c r="F2821" s="5">
        <f ca="1">IFERROR(__xludf.UNSUPPORTED("""COMPUTED_VALUE"""),0)</f>
        <v>0</v>
      </c>
      <c r="G2821" s="3" t="str">
        <f ca="1">IFERROR(__xludf.UNSUPPORTED("""COMPUTED_VALUE"""),"Normalidade")</f>
        <v>Normalidade</v>
      </c>
      <c r="H2821" s="4">
        <f ca="1">IFERROR(__xludf.UNSUPPORTED("""COMPUTED_VALUE"""),44952.6005555555)</f>
        <v>44952.600555555502</v>
      </c>
      <c r="I2821" s="3">
        <f ca="1">IFERROR(__xludf.UNSUPPORTED("""COMPUTED_VALUE"""),24)</f>
        <v>24</v>
      </c>
      <c r="J2821" s="4">
        <f ca="1">IFERROR(__xludf.UNSUPPORTED("""COMPUTED_VALUE"""),44953.6005555555)</f>
        <v>44953.600555555502</v>
      </c>
      <c r="L2821" s="3" t="str">
        <f ca="1">IFERROR(__xludf.UNSUPPORTED("""COMPUTED_VALUE"""),"Normalidade")</f>
        <v>Normalidade</v>
      </c>
    </row>
    <row r="2822" spans="1:12" ht="12.75">
      <c r="A2822" s="3" t="str">
        <f ca="1">IFERROR(__xludf.UNSUPPORTED("""COMPUTED_VALUE"""),"229a264e")</f>
        <v>229a264e</v>
      </c>
      <c r="B2822" s="4">
        <f ca="1">IFERROR(__xludf.UNSUPPORTED("""COMPUTED_VALUE"""),44953.3627777777)</f>
        <v>44953.3627777777</v>
      </c>
      <c r="C2822" s="8" t="str">
        <f ca="1">IFERROR(__xludf.UNSUPPORTED("""COMPUTED_VALUE"""),"Terminal Aquaviário de Madre de Deus")</f>
        <v>Terminal Aquaviário de Madre de Deus</v>
      </c>
      <c r="D2822" s="3" t="str">
        <f ca="1">IFERROR(__xludf.UNSUPPORTED("""COMPUTED_VALUE"""),"🚢 REGULAR")</f>
        <v>🚢 REGULAR</v>
      </c>
      <c r="E2822" s="3" t="str">
        <f ca="1">IFERROR(__xludf.UNSUPPORTED("""COMPUTED_VALUE"""),"🚛 LIBERADO")</f>
        <v>🚛 LIBERADO</v>
      </c>
      <c r="F2822" s="5">
        <f ca="1">IFERROR(__xludf.UNSUPPORTED("""COMPUTED_VALUE"""),0)</f>
        <v>0</v>
      </c>
      <c r="G2822" s="3" t="str">
        <f ca="1">IFERROR(__xludf.UNSUPPORTED("""COMPUTED_VALUE"""),"Normalidade")</f>
        <v>Normalidade</v>
      </c>
      <c r="H2822" s="4">
        <f ca="1">IFERROR(__xludf.UNSUPPORTED("""COMPUTED_VALUE"""),44953.3627777777)</f>
        <v>44953.3627777777</v>
      </c>
      <c r="I2822" s="3">
        <f ca="1">IFERROR(__xludf.UNSUPPORTED("""COMPUTED_VALUE"""),24)</f>
        <v>24</v>
      </c>
      <c r="J2822" s="4">
        <f ca="1">IFERROR(__xludf.UNSUPPORTED("""COMPUTED_VALUE"""),44954.3627777777)</f>
        <v>44954.3627777777</v>
      </c>
      <c r="L2822" s="3" t="str">
        <f ca="1">IFERROR(__xludf.UNSUPPORTED("""COMPUTED_VALUE"""),"Normalidade")</f>
        <v>Normalidade</v>
      </c>
    </row>
    <row r="2823" spans="1:12" ht="12.75">
      <c r="A2823" s="3" t="str">
        <f ca="1">IFERROR(__xludf.UNSUPPORTED("""COMPUTED_VALUE"""),"9831b620")</f>
        <v>9831b620</v>
      </c>
      <c r="B2823" s="4">
        <f ca="1">IFERROR(__xludf.UNSUPPORTED("""COMPUTED_VALUE"""),44955.3961921296)</f>
        <v>44955.3961921296</v>
      </c>
      <c r="C2823" s="8" t="str">
        <f ca="1">IFERROR(__xludf.UNSUPPORTED("""COMPUTED_VALUE"""),"Terminal Aquaviário de Madre de Deus")</f>
        <v>Terminal Aquaviário de Madre de Deus</v>
      </c>
      <c r="D2823" s="3" t="str">
        <f ca="1">IFERROR(__xludf.UNSUPPORTED("""COMPUTED_VALUE"""),"🚢 REGULAR")</f>
        <v>🚢 REGULAR</v>
      </c>
      <c r="E2823" s="3" t="str">
        <f ca="1">IFERROR(__xludf.UNSUPPORTED("""COMPUTED_VALUE"""),"🚛 LIBERADO")</f>
        <v>🚛 LIBERADO</v>
      </c>
      <c r="F2823" s="5">
        <f ca="1">IFERROR(__xludf.UNSUPPORTED("""COMPUTED_VALUE"""),0)</f>
        <v>0</v>
      </c>
      <c r="G2823" s="3" t="str">
        <f ca="1">IFERROR(__xludf.UNSUPPORTED("""COMPUTED_VALUE"""),"Normalidade")</f>
        <v>Normalidade</v>
      </c>
      <c r="H2823" s="4">
        <f ca="1">IFERROR(__xludf.UNSUPPORTED("""COMPUTED_VALUE"""),44955.3961921296)</f>
        <v>44955.3961921296</v>
      </c>
      <c r="I2823" s="3">
        <f ca="1">IFERROR(__xludf.UNSUPPORTED("""COMPUTED_VALUE"""),24)</f>
        <v>24</v>
      </c>
      <c r="J2823" s="4">
        <f ca="1">IFERROR(__xludf.UNSUPPORTED("""COMPUTED_VALUE"""),44956.3961921296)</f>
        <v>44956.3961921296</v>
      </c>
      <c r="L2823" s="3" t="str">
        <f ca="1">IFERROR(__xludf.UNSUPPORTED("""COMPUTED_VALUE"""),"Normalidade")</f>
        <v>Normalidade</v>
      </c>
    </row>
    <row r="2824" spans="1:12" ht="12.75">
      <c r="A2824" s="3" t="str">
        <f ca="1">IFERROR(__xludf.UNSUPPORTED("""COMPUTED_VALUE"""),"5dabecae")</f>
        <v>5dabecae</v>
      </c>
      <c r="B2824" s="4">
        <f ca="1">IFERROR(__xludf.UNSUPPORTED("""COMPUTED_VALUE"""),44956.3439699074)</f>
        <v>44956.343969907401</v>
      </c>
      <c r="C2824" s="8" t="str">
        <f ca="1">IFERROR(__xludf.UNSUPPORTED("""COMPUTED_VALUE"""),"Terminal Aquaviário de Madre de Deus")</f>
        <v>Terminal Aquaviário de Madre de Deus</v>
      </c>
      <c r="D2824" s="3" t="str">
        <f ca="1">IFERROR(__xludf.UNSUPPORTED("""COMPUTED_VALUE"""),"🚢 REGULAR")</f>
        <v>🚢 REGULAR</v>
      </c>
      <c r="E2824" s="3" t="str">
        <f ca="1">IFERROR(__xludf.UNSUPPORTED("""COMPUTED_VALUE"""),"🚛 LIBERADO")</f>
        <v>🚛 LIBERADO</v>
      </c>
      <c r="F2824" s="5">
        <f ca="1">IFERROR(__xludf.UNSUPPORTED("""COMPUTED_VALUE"""),0)</f>
        <v>0</v>
      </c>
      <c r="G2824" s="3" t="str">
        <f ca="1">IFERROR(__xludf.UNSUPPORTED("""COMPUTED_VALUE"""),"Normalidade")</f>
        <v>Normalidade</v>
      </c>
      <c r="H2824" s="4">
        <f ca="1">IFERROR(__xludf.UNSUPPORTED("""COMPUTED_VALUE"""),44956.3439699074)</f>
        <v>44956.343969907401</v>
      </c>
      <c r="I2824" s="3">
        <f ca="1">IFERROR(__xludf.UNSUPPORTED("""COMPUTED_VALUE"""),24)</f>
        <v>24</v>
      </c>
      <c r="J2824" s="4">
        <f ca="1">IFERROR(__xludf.UNSUPPORTED("""COMPUTED_VALUE"""),44957.3439699074)</f>
        <v>44957.343969907401</v>
      </c>
      <c r="L2824" s="3" t="str">
        <f ca="1">IFERROR(__xludf.UNSUPPORTED("""COMPUTED_VALUE"""),"Normalidade")</f>
        <v>Normalidade</v>
      </c>
    </row>
    <row r="2825" spans="1:12" ht="12.75">
      <c r="A2825" s="3" t="str">
        <f ca="1">IFERROR(__xludf.UNSUPPORTED("""COMPUTED_VALUE"""),"211b9513")</f>
        <v>211b9513</v>
      </c>
      <c r="B2825" s="4">
        <f ca="1">IFERROR(__xludf.UNSUPPORTED("""COMPUTED_VALUE"""),44958.2905324074)</f>
        <v>44958.290532407402</v>
      </c>
      <c r="C2825" s="8" t="str">
        <f ca="1">IFERROR(__xludf.UNSUPPORTED("""COMPUTED_VALUE"""),"Terminal Aquaviário de Madre de Deus")</f>
        <v>Terminal Aquaviário de Madre de Deus</v>
      </c>
      <c r="D2825" s="3" t="str">
        <f ca="1">IFERROR(__xludf.UNSUPPORTED("""COMPUTED_VALUE"""),"🚢 REGULAR")</f>
        <v>🚢 REGULAR</v>
      </c>
      <c r="E2825" s="3" t="str">
        <f ca="1">IFERROR(__xludf.UNSUPPORTED("""COMPUTED_VALUE"""),"🚛 LIBERADO")</f>
        <v>🚛 LIBERADO</v>
      </c>
      <c r="F2825" s="5">
        <f ca="1">IFERROR(__xludf.UNSUPPORTED("""COMPUTED_VALUE"""),0)</f>
        <v>0</v>
      </c>
      <c r="G2825" s="3" t="str">
        <f ca="1">IFERROR(__xludf.UNSUPPORTED("""COMPUTED_VALUE"""),"Normalidade")</f>
        <v>Normalidade</v>
      </c>
      <c r="H2825" s="4">
        <f ca="1">IFERROR(__xludf.UNSUPPORTED("""COMPUTED_VALUE"""),44958.2905324074)</f>
        <v>44958.290532407402</v>
      </c>
      <c r="I2825" s="3">
        <f ca="1">IFERROR(__xludf.UNSUPPORTED("""COMPUTED_VALUE"""),24)</f>
        <v>24</v>
      </c>
      <c r="J2825" s="4">
        <f ca="1">IFERROR(__xludf.UNSUPPORTED("""COMPUTED_VALUE"""),44959.2905324074)</f>
        <v>44959.290532407402</v>
      </c>
      <c r="L2825" s="3" t="str">
        <f ca="1">IFERROR(__xludf.UNSUPPORTED("""COMPUTED_VALUE"""),"Normalidade")</f>
        <v>Normalidade</v>
      </c>
    </row>
    <row r="2826" spans="1:12" ht="12.75">
      <c r="A2826" s="3" t="str">
        <f ca="1">IFERROR(__xludf.UNSUPPORTED("""COMPUTED_VALUE"""),"9ff23df7")</f>
        <v>9ff23df7</v>
      </c>
      <c r="B2826" s="4">
        <f ca="1">IFERROR(__xludf.UNSUPPORTED("""COMPUTED_VALUE"""),44960.2599884259)</f>
        <v>44960.259988425903</v>
      </c>
      <c r="C2826" s="8" t="str">
        <f ca="1">IFERROR(__xludf.UNSUPPORTED("""COMPUTED_VALUE"""),"Terminal Aquaviário de Madre de Deus")</f>
        <v>Terminal Aquaviário de Madre de Deus</v>
      </c>
      <c r="D2826" s="3" t="str">
        <f ca="1">IFERROR(__xludf.UNSUPPORTED("""COMPUTED_VALUE"""),"🚢 REGULAR")</f>
        <v>🚢 REGULAR</v>
      </c>
      <c r="E2826" s="3" t="str">
        <f ca="1">IFERROR(__xludf.UNSUPPORTED("""COMPUTED_VALUE"""),"🚛 LIBERADO")</f>
        <v>🚛 LIBERADO</v>
      </c>
      <c r="F2826" s="5">
        <f ca="1">IFERROR(__xludf.UNSUPPORTED("""COMPUTED_VALUE"""),0)</f>
        <v>0</v>
      </c>
      <c r="G2826" s="3" t="str">
        <f ca="1">IFERROR(__xludf.UNSUPPORTED("""COMPUTED_VALUE"""),"Normalidade")</f>
        <v>Normalidade</v>
      </c>
      <c r="H2826" s="4">
        <f ca="1">IFERROR(__xludf.UNSUPPORTED("""COMPUTED_VALUE"""),44960.2599884259)</f>
        <v>44960.259988425903</v>
      </c>
      <c r="I2826" s="3">
        <f ca="1">IFERROR(__xludf.UNSUPPORTED("""COMPUTED_VALUE"""),24)</f>
        <v>24</v>
      </c>
      <c r="J2826" s="4">
        <f ca="1">IFERROR(__xludf.UNSUPPORTED("""COMPUTED_VALUE"""),44961.2599884259)</f>
        <v>44961.259988425903</v>
      </c>
      <c r="L2826" s="3" t="str">
        <f ca="1">IFERROR(__xludf.UNSUPPORTED("""COMPUTED_VALUE"""),"Normalidade")</f>
        <v>Normalidade</v>
      </c>
    </row>
    <row r="2827" spans="1:12" ht="12.75">
      <c r="A2827" s="3" t="str">
        <f ca="1">IFERROR(__xludf.UNSUPPORTED("""COMPUTED_VALUE"""),"df039a2b")</f>
        <v>df039a2b</v>
      </c>
      <c r="B2827" s="4">
        <f ca="1">IFERROR(__xludf.UNSUPPORTED("""COMPUTED_VALUE"""),44962.3460763888)</f>
        <v>44962.3460763888</v>
      </c>
      <c r="C2827" s="8" t="str">
        <f ca="1">IFERROR(__xludf.UNSUPPORTED("""COMPUTED_VALUE"""),"Terminal Aquaviário de Madre de Deus")</f>
        <v>Terminal Aquaviário de Madre de Deus</v>
      </c>
      <c r="D2827" s="3" t="str">
        <f ca="1">IFERROR(__xludf.UNSUPPORTED("""COMPUTED_VALUE"""),"🚢 REGULAR")</f>
        <v>🚢 REGULAR</v>
      </c>
      <c r="E2827" s="3" t="str">
        <f ca="1">IFERROR(__xludf.UNSUPPORTED("""COMPUTED_VALUE"""),"🚛 LIBERADO")</f>
        <v>🚛 LIBERADO</v>
      </c>
      <c r="F2827" s="5">
        <f ca="1">IFERROR(__xludf.UNSUPPORTED("""COMPUTED_VALUE"""),0)</f>
        <v>0</v>
      </c>
      <c r="G2827" s="3" t="str">
        <f ca="1">IFERROR(__xludf.UNSUPPORTED("""COMPUTED_VALUE"""),"Normalidade")</f>
        <v>Normalidade</v>
      </c>
      <c r="H2827" s="4">
        <f ca="1">IFERROR(__xludf.UNSUPPORTED("""COMPUTED_VALUE"""),44962.3460763888)</f>
        <v>44962.3460763888</v>
      </c>
      <c r="I2827" s="3">
        <f ca="1">IFERROR(__xludf.UNSUPPORTED("""COMPUTED_VALUE"""),24)</f>
        <v>24</v>
      </c>
      <c r="J2827" s="4">
        <f ca="1">IFERROR(__xludf.UNSUPPORTED("""COMPUTED_VALUE"""),44963.3460763888)</f>
        <v>44963.3460763888</v>
      </c>
      <c r="L2827" s="3" t="str">
        <f ca="1">IFERROR(__xludf.UNSUPPORTED("""COMPUTED_VALUE"""),"Normalidade")</f>
        <v>Normalidade</v>
      </c>
    </row>
    <row r="2828" spans="1:12" ht="12.75">
      <c r="A2828" s="3" t="str">
        <f ca="1">IFERROR(__xludf.UNSUPPORTED("""COMPUTED_VALUE"""),"58302af9")</f>
        <v>58302af9</v>
      </c>
      <c r="B2828" s="4">
        <f ca="1">IFERROR(__xludf.UNSUPPORTED("""COMPUTED_VALUE"""),44964.2299999999)</f>
        <v>44964.229999999901</v>
      </c>
      <c r="C2828" s="7" t="str">
        <f ca="1">IFERROR(__xludf.UNSUPPORTED("""COMPUTED_VALUE"""),"Terminal Aquaviário de Madre de Deus")</f>
        <v>Terminal Aquaviário de Madre de Deus</v>
      </c>
      <c r="D2828" s="3" t="str">
        <f ca="1">IFERROR(__xludf.UNSUPPORTED("""COMPUTED_VALUE"""),"🚢 REGULAR")</f>
        <v>🚢 REGULAR</v>
      </c>
      <c r="E2828" s="3" t="str">
        <f ca="1">IFERROR(__xludf.UNSUPPORTED("""COMPUTED_VALUE"""),"🚛 LIBERADO")</f>
        <v>🚛 LIBERADO</v>
      </c>
      <c r="F2828" s="5">
        <f ca="1">IFERROR(__xludf.UNSUPPORTED("""COMPUTED_VALUE"""),0)</f>
        <v>0</v>
      </c>
      <c r="G2828" s="3" t="str">
        <f ca="1">IFERROR(__xludf.UNSUPPORTED("""COMPUTED_VALUE"""),"Normalidade")</f>
        <v>Normalidade</v>
      </c>
      <c r="H2828" s="4">
        <f ca="1">IFERROR(__xludf.UNSUPPORTED("""COMPUTED_VALUE"""),44964.2299999999)</f>
        <v>44964.229999999901</v>
      </c>
      <c r="I2828" s="3">
        <f ca="1">IFERROR(__xludf.UNSUPPORTED("""COMPUTED_VALUE"""),24)</f>
        <v>24</v>
      </c>
      <c r="J2828" s="4">
        <f ca="1">IFERROR(__xludf.UNSUPPORTED("""COMPUTED_VALUE"""),44965.2299999999)</f>
        <v>44965.229999999901</v>
      </c>
      <c r="L2828" s="3" t="str">
        <f ca="1">IFERROR(__xludf.UNSUPPORTED("""COMPUTED_VALUE"""),"Normalidade")</f>
        <v>Normalidade</v>
      </c>
    </row>
    <row r="2829" spans="1:12" ht="12.75">
      <c r="A2829" s="3" t="str">
        <f ca="1">IFERROR(__xludf.UNSUPPORTED("""COMPUTED_VALUE"""),"c94fa1d8")</f>
        <v>c94fa1d8</v>
      </c>
      <c r="B2829" s="4">
        <f ca="1">IFERROR(__xludf.UNSUPPORTED("""COMPUTED_VALUE"""),44966.2688657407)</f>
        <v>44966.268865740698</v>
      </c>
      <c r="C2829" s="7" t="str">
        <f ca="1">IFERROR(__xludf.UNSUPPORTED("""COMPUTED_VALUE"""),"Terminal Aquaviário de Madre de Deus")</f>
        <v>Terminal Aquaviário de Madre de Deus</v>
      </c>
      <c r="D2829" s="3" t="str">
        <f ca="1">IFERROR(__xludf.UNSUPPORTED("""COMPUTED_VALUE"""),"🚢 REGULAR")</f>
        <v>🚢 REGULAR</v>
      </c>
      <c r="E2829" s="3" t="str">
        <f ca="1">IFERROR(__xludf.UNSUPPORTED("""COMPUTED_VALUE"""),"🚛 LIBERADO")</f>
        <v>🚛 LIBERADO</v>
      </c>
      <c r="F2829" s="5">
        <f ca="1">IFERROR(__xludf.UNSUPPORTED("""COMPUTED_VALUE"""),0)</f>
        <v>0</v>
      </c>
      <c r="G2829" s="3" t="str">
        <f ca="1">IFERROR(__xludf.UNSUPPORTED("""COMPUTED_VALUE"""),"Normalidade")</f>
        <v>Normalidade</v>
      </c>
      <c r="H2829" s="4">
        <f ca="1">IFERROR(__xludf.UNSUPPORTED("""COMPUTED_VALUE"""),44966.2688657407)</f>
        <v>44966.268865740698</v>
      </c>
      <c r="I2829" s="3">
        <f ca="1">IFERROR(__xludf.UNSUPPORTED("""COMPUTED_VALUE"""),24)</f>
        <v>24</v>
      </c>
      <c r="J2829" s="4">
        <f ca="1">IFERROR(__xludf.UNSUPPORTED("""COMPUTED_VALUE"""),44967.2688657407)</f>
        <v>44967.268865740698</v>
      </c>
      <c r="L2829" s="3" t="str">
        <f ca="1">IFERROR(__xludf.UNSUPPORTED("""COMPUTED_VALUE"""),"Normalidade")</f>
        <v>Normalidade</v>
      </c>
    </row>
    <row r="2830" spans="1:12" ht="12.75">
      <c r="A2830" s="3" t="str">
        <f ca="1">IFERROR(__xludf.UNSUPPORTED("""COMPUTED_VALUE"""),"871f9ea9")</f>
        <v>871f9ea9</v>
      </c>
      <c r="B2830" s="4">
        <f ca="1">IFERROR(__xludf.UNSUPPORTED("""COMPUTED_VALUE"""),44968.4941550925)</f>
        <v>44968.4941550925</v>
      </c>
      <c r="C2830" s="8" t="str">
        <f ca="1">IFERROR(__xludf.UNSUPPORTED("""COMPUTED_VALUE"""),"Terminal Aquaviário de Madre de Deus")</f>
        <v>Terminal Aquaviário de Madre de Deus</v>
      </c>
      <c r="D2830" s="3" t="str">
        <f ca="1">IFERROR(__xludf.UNSUPPORTED("""COMPUTED_VALUE"""),"🚢 REGULAR")</f>
        <v>🚢 REGULAR</v>
      </c>
      <c r="E2830" s="3" t="str">
        <f ca="1">IFERROR(__xludf.UNSUPPORTED("""COMPUTED_VALUE"""),"🚛 LIBERADO")</f>
        <v>🚛 LIBERADO</v>
      </c>
      <c r="F2830" s="5">
        <f ca="1">IFERROR(__xludf.UNSUPPORTED("""COMPUTED_VALUE"""),0)</f>
        <v>0</v>
      </c>
      <c r="G2830" s="3" t="str">
        <f ca="1">IFERROR(__xludf.UNSUPPORTED("""COMPUTED_VALUE"""),"Normalidade")</f>
        <v>Normalidade</v>
      </c>
      <c r="H2830" s="4">
        <f ca="1">IFERROR(__xludf.UNSUPPORTED("""COMPUTED_VALUE"""),44968.4941550925)</f>
        <v>44968.4941550925</v>
      </c>
      <c r="I2830" s="3">
        <f ca="1">IFERROR(__xludf.UNSUPPORTED("""COMPUTED_VALUE"""),24)</f>
        <v>24</v>
      </c>
      <c r="J2830" s="4">
        <f ca="1">IFERROR(__xludf.UNSUPPORTED("""COMPUTED_VALUE"""),44969.4941550925)</f>
        <v>44969.4941550925</v>
      </c>
      <c r="L2830" s="3" t="str">
        <f ca="1">IFERROR(__xludf.UNSUPPORTED("""COMPUTED_VALUE"""),"Normalidade")</f>
        <v>Normalidade</v>
      </c>
    </row>
    <row r="2831" spans="1:12" ht="12.75">
      <c r="A2831" s="3" t="str">
        <f ca="1">IFERROR(__xludf.UNSUPPORTED("""COMPUTED_VALUE"""),"09d3539c")</f>
        <v>09d3539c</v>
      </c>
      <c r="B2831" s="4">
        <f ca="1">IFERROR(__xludf.UNSUPPORTED("""COMPUTED_VALUE"""),44969.3566782406)</f>
        <v>44969.356678240598</v>
      </c>
      <c r="C2831" s="8" t="str">
        <f ca="1">IFERROR(__xludf.UNSUPPORTED("""COMPUTED_VALUE"""),"Terminal Aquaviário de Madre de Deus")</f>
        <v>Terminal Aquaviário de Madre de Deus</v>
      </c>
      <c r="D2831" s="3" t="str">
        <f ca="1">IFERROR(__xludf.UNSUPPORTED("""COMPUTED_VALUE"""),"🚢 REGULAR")</f>
        <v>🚢 REGULAR</v>
      </c>
      <c r="E2831" s="3" t="str">
        <f ca="1">IFERROR(__xludf.UNSUPPORTED("""COMPUTED_VALUE"""),"🚛 LIBERADO")</f>
        <v>🚛 LIBERADO</v>
      </c>
      <c r="F2831" s="5">
        <f ca="1">IFERROR(__xludf.UNSUPPORTED("""COMPUTED_VALUE"""),0)</f>
        <v>0</v>
      </c>
      <c r="G2831" s="3" t="str">
        <f ca="1">IFERROR(__xludf.UNSUPPORTED("""COMPUTED_VALUE"""),"Normalidade")</f>
        <v>Normalidade</v>
      </c>
      <c r="H2831" s="4">
        <f ca="1">IFERROR(__xludf.UNSUPPORTED("""COMPUTED_VALUE"""),44969.3566782406)</f>
        <v>44969.356678240598</v>
      </c>
      <c r="I2831" s="3">
        <f ca="1">IFERROR(__xludf.UNSUPPORTED("""COMPUTED_VALUE"""),24)</f>
        <v>24</v>
      </c>
      <c r="J2831" s="4">
        <f ca="1">IFERROR(__xludf.UNSUPPORTED("""COMPUTED_VALUE"""),44970.3566782406)</f>
        <v>44970.356678240598</v>
      </c>
      <c r="L2831" s="3" t="str">
        <f ca="1">IFERROR(__xludf.UNSUPPORTED("""COMPUTED_VALUE"""),"Normalidade")</f>
        <v>Normalidade</v>
      </c>
    </row>
    <row r="2832" spans="1:12" ht="12.75">
      <c r="A2832" s="3" t="str">
        <f ca="1">IFERROR(__xludf.UNSUPPORTED("""COMPUTED_VALUE"""),"275f72c9")</f>
        <v>275f72c9</v>
      </c>
      <c r="B2832" s="4">
        <f ca="1">IFERROR(__xludf.UNSUPPORTED("""COMPUTED_VALUE"""),44971.6061574073)</f>
        <v>44971.606157407303</v>
      </c>
      <c r="C2832" s="8" t="str">
        <f ca="1">IFERROR(__xludf.UNSUPPORTED("""COMPUTED_VALUE"""),"Terminal Aquaviário de Madre de Deus")</f>
        <v>Terminal Aquaviário de Madre de Deus</v>
      </c>
      <c r="D2832" s="3" t="str">
        <f ca="1">IFERROR(__xludf.UNSUPPORTED("""COMPUTED_VALUE"""),"🚢 REGULAR")</f>
        <v>🚢 REGULAR</v>
      </c>
      <c r="E2832" s="3" t="str">
        <f ca="1">IFERROR(__xludf.UNSUPPORTED("""COMPUTED_VALUE"""),"🚛 LIBERADO")</f>
        <v>🚛 LIBERADO</v>
      </c>
      <c r="F2832" s="5">
        <f ca="1">IFERROR(__xludf.UNSUPPORTED("""COMPUTED_VALUE"""),0)</f>
        <v>0</v>
      </c>
      <c r="G2832" s="3" t="str">
        <f ca="1">IFERROR(__xludf.UNSUPPORTED("""COMPUTED_VALUE"""),"Normalidade")</f>
        <v>Normalidade</v>
      </c>
      <c r="H2832" s="4">
        <f ca="1">IFERROR(__xludf.UNSUPPORTED("""COMPUTED_VALUE"""),44971.6061574073)</f>
        <v>44971.606157407303</v>
      </c>
      <c r="I2832" s="3">
        <f ca="1">IFERROR(__xludf.UNSUPPORTED("""COMPUTED_VALUE"""),24)</f>
        <v>24</v>
      </c>
      <c r="J2832" s="4">
        <f ca="1">IFERROR(__xludf.UNSUPPORTED("""COMPUTED_VALUE"""),44972.6061574073)</f>
        <v>44972.606157407303</v>
      </c>
      <c r="L2832" s="3" t="str">
        <f ca="1">IFERROR(__xludf.UNSUPPORTED("""COMPUTED_VALUE"""),"Normalidade")</f>
        <v>Normalidade</v>
      </c>
    </row>
    <row r="2833" spans="1:12" ht="12.75">
      <c r="A2833" s="3" t="str">
        <f ca="1">IFERROR(__xludf.UNSUPPORTED("""COMPUTED_VALUE"""),"cd4673fa")</f>
        <v>cd4673fa</v>
      </c>
      <c r="B2833" s="4">
        <f ca="1">IFERROR(__xludf.UNSUPPORTED("""COMPUTED_VALUE"""),44972.4690509259)</f>
        <v>44972.469050925902</v>
      </c>
      <c r="C2833" s="8" t="str">
        <f ca="1">IFERROR(__xludf.UNSUPPORTED("""COMPUTED_VALUE"""),"Terminal Aquaviário de Madre de Deus")</f>
        <v>Terminal Aquaviário de Madre de Deus</v>
      </c>
      <c r="D2833" s="3" t="str">
        <f ca="1">IFERROR(__xludf.UNSUPPORTED("""COMPUTED_VALUE"""),"🚢 REGULAR")</f>
        <v>🚢 REGULAR</v>
      </c>
      <c r="E2833" s="3" t="str">
        <f ca="1">IFERROR(__xludf.UNSUPPORTED("""COMPUTED_VALUE"""),"🚛 LIBERADO")</f>
        <v>🚛 LIBERADO</v>
      </c>
      <c r="F2833" s="5">
        <f ca="1">IFERROR(__xludf.UNSUPPORTED("""COMPUTED_VALUE"""),0)</f>
        <v>0</v>
      </c>
      <c r="G2833" s="3" t="str">
        <f ca="1">IFERROR(__xludf.UNSUPPORTED("""COMPUTED_VALUE"""),"Normalidade")</f>
        <v>Normalidade</v>
      </c>
      <c r="H2833" s="4">
        <f ca="1">IFERROR(__xludf.UNSUPPORTED("""COMPUTED_VALUE"""),44972.4690509259)</f>
        <v>44972.469050925902</v>
      </c>
      <c r="I2833" s="3">
        <f ca="1">IFERROR(__xludf.UNSUPPORTED("""COMPUTED_VALUE"""),24)</f>
        <v>24</v>
      </c>
      <c r="J2833" s="4">
        <f ca="1">IFERROR(__xludf.UNSUPPORTED("""COMPUTED_VALUE"""),44973.4690509259)</f>
        <v>44973.469050925902</v>
      </c>
      <c r="L2833" s="3" t="str">
        <f ca="1">IFERROR(__xludf.UNSUPPORTED("""COMPUTED_VALUE"""),"Normalidade")</f>
        <v>Normalidade</v>
      </c>
    </row>
    <row r="2834" spans="1:12" ht="12.75">
      <c r="A2834" s="3" t="str">
        <f ca="1">IFERROR(__xludf.UNSUPPORTED("""COMPUTED_VALUE"""),"18bf9148")</f>
        <v>18bf9148</v>
      </c>
      <c r="B2834" s="4">
        <f ca="1">IFERROR(__xludf.UNSUPPORTED("""COMPUTED_VALUE"""),44973.4359259259)</f>
        <v>44973.4359259259</v>
      </c>
      <c r="C2834" s="8" t="str">
        <f ca="1">IFERROR(__xludf.UNSUPPORTED("""COMPUTED_VALUE"""),"Terminal Aquaviário de Madre de Deus")</f>
        <v>Terminal Aquaviário de Madre de Deus</v>
      </c>
      <c r="D2834" s="3" t="str">
        <f ca="1">IFERROR(__xludf.UNSUPPORTED("""COMPUTED_VALUE"""),"🚢 REGULAR")</f>
        <v>🚢 REGULAR</v>
      </c>
      <c r="E2834" s="3" t="str">
        <f ca="1">IFERROR(__xludf.UNSUPPORTED("""COMPUTED_VALUE"""),"🚛 LIBERADO")</f>
        <v>🚛 LIBERADO</v>
      </c>
      <c r="F2834" s="5">
        <f ca="1">IFERROR(__xludf.UNSUPPORTED("""COMPUTED_VALUE"""),0)</f>
        <v>0</v>
      </c>
      <c r="G2834" s="3" t="str">
        <f ca="1">IFERROR(__xludf.UNSUPPORTED("""COMPUTED_VALUE"""),"Normalidade")</f>
        <v>Normalidade</v>
      </c>
      <c r="H2834" s="4">
        <f ca="1">IFERROR(__xludf.UNSUPPORTED("""COMPUTED_VALUE"""),44973.4359259259)</f>
        <v>44973.4359259259</v>
      </c>
      <c r="I2834" s="3">
        <f ca="1">IFERROR(__xludf.UNSUPPORTED("""COMPUTED_VALUE"""),24)</f>
        <v>24</v>
      </c>
      <c r="J2834" s="4">
        <f ca="1">IFERROR(__xludf.UNSUPPORTED("""COMPUTED_VALUE"""),44974.4359259259)</f>
        <v>44974.4359259259</v>
      </c>
      <c r="L2834" s="3" t="str">
        <f ca="1">IFERROR(__xludf.UNSUPPORTED("""COMPUTED_VALUE"""),"Normalidade")</f>
        <v>Normalidade</v>
      </c>
    </row>
    <row r="2835" spans="1:12" ht="12.75">
      <c r="A2835" s="3" t="str">
        <f ca="1">IFERROR(__xludf.UNSUPPORTED("""COMPUTED_VALUE"""),"d8a5c717")</f>
        <v>d8a5c717</v>
      </c>
      <c r="B2835" s="4">
        <f ca="1">IFERROR(__xludf.UNSUPPORTED("""COMPUTED_VALUE"""),44975.571412037)</f>
        <v>44975.571412037003</v>
      </c>
      <c r="C2835" s="8" t="str">
        <f ca="1">IFERROR(__xludf.UNSUPPORTED("""COMPUTED_VALUE"""),"Terminal Aquaviário de Madre de Deus")</f>
        <v>Terminal Aquaviário de Madre de Deus</v>
      </c>
      <c r="D2835" s="3" t="str">
        <f ca="1">IFERROR(__xludf.UNSUPPORTED("""COMPUTED_VALUE"""),"🚢 REGULAR")</f>
        <v>🚢 REGULAR</v>
      </c>
      <c r="E2835" s="3" t="str">
        <f ca="1">IFERROR(__xludf.UNSUPPORTED("""COMPUTED_VALUE"""),"🚛 LIBERADO")</f>
        <v>🚛 LIBERADO</v>
      </c>
      <c r="F2835" s="5">
        <f ca="1">IFERROR(__xludf.UNSUPPORTED("""COMPUTED_VALUE"""),0)</f>
        <v>0</v>
      </c>
      <c r="G2835" s="3" t="str">
        <f ca="1">IFERROR(__xludf.UNSUPPORTED("""COMPUTED_VALUE"""),"Normalidade")</f>
        <v>Normalidade</v>
      </c>
      <c r="H2835" s="4">
        <f ca="1">IFERROR(__xludf.UNSUPPORTED("""COMPUTED_VALUE"""),44975.571412037)</f>
        <v>44975.571412037003</v>
      </c>
      <c r="I2835" s="3">
        <f ca="1">IFERROR(__xludf.UNSUPPORTED("""COMPUTED_VALUE"""),24)</f>
        <v>24</v>
      </c>
      <c r="J2835" s="4">
        <f ca="1">IFERROR(__xludf.UNSUPPORTED("""COMPUTED_VALUE"""),44976.571412037)</f>
        <v>44976.571412037003</v>
      </c>
      <c r="L2835" s="3" t="str">
        <f ca="1">IFERROR(__xludf.UNSUPPORTED("""COMPUTED_VALUE"""),"Normalidade")</f>
        <v>Normalidade</v>
      </c>
    </row>
    <row r="2836" spans="1:12" ht="12.75">
      <c r="A2836" s="3" t="str">
        <f ca="1">IFERROR(__xludf.UNSUPPORTED("""COMPUTED_VALUE"""),"d8a8e1c3")</f>
        <v>d8a8e1c3</v>
      </c>
      <c r="B2836" s="4">
        <f ca="1">IFERROR(__xludf.UNSUPPORTED("""COMPUTED_VALUE"""),44977.7185648148)</f>
        <v>44977.718564814801</v>
      </c>
      <c r="C2836" s="7" t="str">
        <f ca="1">IFERROR(__xludf.UNSUPPORTED("""COMPUTED_VALUE"""),"Terminal Aquaviário de Madre de Deus")</f>
        <v>Terminal Aquaviário de Madre de Deus</v>
      </c>
      <c r="D2836" s="3" t="str">
        <f ca="1">IFERROR(__xludf.UNSUPPORTED("""COMPUTED_VALUE"""),"🚢 REGULAR")</f>
        <v>🚢 REGULAR</v>
      </c>
      <c r="E2836" s="3" t="str">
        <f ca="1">IFERROR(__xludf.UNSUPPORTED("""COMPUTED_VALUE"""),"🚛 LIBERADO")</f>
        <v>🚛 LIBERADO</v>
      </c>
      <c r="F2836" s="5">
        <f ca="1">IFERROR(__xludf.UNSUPPORTED("""COMPUTED_VALUE"""),0)</f>
        <v>0</v>
      </c>
      <c r="G2836" s="3" t="str">
        <f ca="1">IFERROR(__xludf.UNSUPPORTED("""COMPUTED_VALUE"""),"Normalidade")</f>
        <v>Normalidade</v>
      </c>
      <c r="H2836" s="4">
        <f ca="1">IFERROR(__xludf.UNSUPPORTED("""COMPUTED_VALUE"""),44977.7185648148)</f>
        <v>44977.718564814801</v>
      </c>
      <c r="I2836" s="3">
        <f ca="1">IFERROR(__xludf.UNSUPPORTED("""COMPUTED_VALUE"""),24)</f>
        <v>24</v>
      </c>
      <c r="J2836" s="4">
        <f ca="1">IFERROR(__xludf.UNSUPPORTED("""COMPUTED_VALUE"""),44978.7185648148)</f>
        <v>44978.718564814801</v>
      </c>
      <c r="L2836" s="3" t="str">
        <f ca="1">IFERROR(__xludf.UNSUPPORTED("""COMPUTED_VALUE"""),"Normalidade")</f>
        <v>Normalidade</v>
      </c>
    </row>
    <row r="2837" spans="1:12" ht="12.75">
      <c r="A2837" s="3" t="str">
        <f ca="1">IFERROR(__xludf.UNSUPPORTED("""COMPUTED_VALUE"""),"ec2a898f")</f>
        <v>ec2a898f</v>
      </c>
      <c r="B2837" s="4">
        <f ca="1">IFERROR(__xludf.UNSUPPORTED("""COMPUTED_VALUE"""),44979.4527430555)</f>
        <v>44979.452743055503</v>
      </c>
      <c r="C2837" s="7" t="str">
        <f ca="1">IFERROR(__xludf.UNSUPPORTED("""COMPUTED_VALUE"""),"Terminal Aquaviário de Madre de Deus")</f>
        <v>Terminal Aquaviário de Madre de Deus</v>
      </c>
      <c r="D2837" s="3" t="str">
        <f ca="1">IFERROR(__xludf.UNSUPPORTED("""COMPUTED_VALUE"""),"🚢 REGULAR")</f>
        <v>🚢 REGULAR</v>
      </c>
      <c r="E2837" s="3" t="str">
        <f ca="1">IFERROR(__xludf.UNSUPPORTED("""COMPUTED_VALUE"""),"🚛 LIBERADO")</f>
        <v>🚛 LIBERADO</v>
      </c>
      <c r="F2837" s="5">
        <f ca="1">IFERROR(__xludf.UNSUPPORTED("""COMPUTED_VALUE"""),0)</f>
        <v>0</v>
      </c>
      <c r="G2837" s="3" t="str">
        <f ca="1">IFERROR(__xludf.UNSUPPORTED("""COMPUTED_VALUE"""),"Normalidade")</f>
        <v>Normalidade</v>
      </c>
      <c r="H2837" s="4">
        <f ca="1">IFERROR(__xludf.UNSUPPORTED("""COMPUTED_VALUE"""),44979.4527430555)</f>
        <v>44979.452743055503</v>
      </c>
      <c r="I2837" s="3">
        <f ca="1">IFERROR(__xludf.UNSUPPORTED("""COMPUTED_VALUE"""),24)</f>
        <v>24</v>
      </c>
      <c r="J2837" s="4">
        <f ca="1">IFERROR(__xludf.UNSUPPORTED("""COMPUTED_VALUE"""),44980.4527430555)</f>
        <v>44980.452743055503</v>
      </c>
      <c r="L2837" s="3" t="str">
        <f ca="1">IFERROR(__xludf.UNSUPPORTED("""COMPUTED_VALUE"""),"Normalidade")</f>
        <v>Normalidade</v>
      </c>
    </row>
    <row r="2838" spans="1:12" ht="12.75">
      <c r="A2838" s="3" t="str">
        <f ca="1">IFERROR(__xludf.UNSUPPORTED("""COMPUTED_VALUE"""),"286d3c2a")</f>
        <v>286d3c2a</v>
      </c>
      <c r="B2838" s="4">
        <f ca="1">IFERROR(__xludf.UNSUPPORTED("""COMPUTED_VALUE"""),44980.5484722222)</f>
        <v>44980.548472222203</v>
      </c>
      <c r="C2838" s="7" t="str">
        <f ca="1">IFERROR(__xludf.UNSUPPORTED("""COMPUTED_VALUE"""),"Terminal Aquaviário de Madre de Deus")</f>
        <v>Terminal Aquaviário de Madre de Deus</v>
      </c>
      <c r="D2838" s="3" t="str">
        <f ca="1">IFERROR(__xludf.UNSUPPORTED("""COMPUTED_VALUE"""),"🚢 REGULAR")</f>
        <v>🚢 REGULAR</v>
      </c>
      <c r="E2838" s="3" t="str">
        <f ca="1">IFERROR(__xludf.UNSUPPORTED("""COMPUTED_VALUE"""),"🚛 LIBERADO")</f>
        <v>🚛 LIBERADO</v>
      </c>
      <c r="F2838" s="5">
        <f ca="1">IFERROR(__xludf.UNSUPPORTED("""COMPUTED_VALUE"""),0)</f>
        <v>0</v>
      </c>
      <c r="G2838" s="3" t="str">
        <f ca="1">IFERROR(__xludf.UNSUPPORTED("""COMPUTED_VALUE"""),"Normalidade")</f>
        <v>Normalidade</v>
      </c>
      <c r="H2838" s="4">
        <f ca="1">IFERROR(__xludf.UNSUPPORTED("""COMPUTED_VALUE"""),44980.5484722222)</f>
        <v>44980.548472222203</v>
      </c>
      <c r="I2838" s="3">
        <f ca="1">IFERROR(__xludf.UNSUPPORTED("""COMPUTED_VALUE"""),24)</f>
        <v>24</v>
      </c>
      <c r="J2838" s="4">
        <f ca="1">IFERROR(__xludf.UNSUPPORTED("""COMPUTED_VALUE"""),44981.5484722222)</f>
        <v>44981.548472222203</v>
      </c>
      <c r="L2838" s="3" t="str">
        <f ca="1">IFERROR(__xludf.UNSUPPORTED("""COMPUTED_VALUE"""),"Normalidade")</f>
        <v>Normalidade</v>
      </c>
    </row>
    <row r="2839" spans="1:12" ht="12.75">
      <c r="A2839" s="3" t="str">
        <f ca="1">IFERROR(__xludf.UNSUPPORTED("""COMPUTED_VALUE"""),"d1267c10")</f>
        <v>d1267c10</v>
      </c>
      <c r="B2839" s="4">
        <f ca="1">IFERROR(__xludf.UNSUPPORTED("""COMPUTED_VALUE"""),44981.3130902777)</f>
        <v>44981.313090277697</v>
      </c>
      <c r="C2839" s="8" t="str">
        <f ca="1">IFERROR(__xludf.UNSUPPORTED("""COMPUTED_VALUE"""),"Terminal Aquaviário de Madre de Deus")</f>
        <v>Terminal Aquaviário de Madre de Deus</v>
      </c>
      <c r="D2839" s="3" t="str">
        <f ca="1">IFERROR(__xludf.UNSUPPORTED("""COMPUTED_VALUE"""),"🚢 REGULAR")</f>
        <v>🚢 REGULAR</v>
      </c>
      <c r="E2839" s="3" t="str">
        <f ca="1">IFERROR(__xludf.UNSUPPORTED("""COMPUTED_VALUE"""),"🚛 LIBERADO")</f>
        <v>🚛 LIBERADO</v>
      </c>
      <c r="F2839" s="5">
        <f ca="1">IFERROR(__xludf.UNSUPPORTED("""COMPUTED_VALUE"""),0)</f>
        <v>0</v>
      </c>
      <c r="G2839" s="3" t="str">
        <f ca="1">IFERROR(__xludf.UNSUPPORTED("""COMPUTED_VALUE"""),"Normalidade")</f>
        <v>Normalidade</v>
      </c>
      <c r="H2839" s="4">
        <f ca="1">IFERROR(__xludf.UNSUPPORTED("""COMPUTED_VALUE"""),44981.3130902777)</f>
        <v>44981.313090277697</v>
      </c>
      <c r="I2839" s="3">
        <f ca="1">IFERROR(__xludf.UNSUPPORTED("""COMPUTED_VALUE"""),24)</f>
        <v>24</v>
      </c>
      <c r="J2839" s="4">
        <f ca="1">IFERROR(__xludf.UNSUPPORTED("""COMPUTED_VALUE"""),44982.3130902777)</f>
        <v>44982.313090277697</v>
      </c>
      <c r="L2839" s="3" t="str">
        <f ca="1">IFERROR(__xludf.UNSUPPORTED("""COMPUTED_VALUE"""),"Normalidade")</f>
        <v>Normalidade</v>
      </c>
    </row>
    <row r="2840" spans="1:12" ht="12.75">
      <c r="A2840" s="3" t="str">
        <f ca="1">IFERROR(__xludf.UNSUPPORTED("""COMPUTED_VALUE"""),"8b1b2a47")</f>
        <v>8b1b2a47</v>
      </c>
      <c r="B2840" s="4">
        <f ca="1">IFERROR(__xludf.UNSUPPORTED("""COMPUTED_VALUE"""),44983.5156712962)</f>
        <v>44983.515671296198</v>
      </c>
      <c r="C2840" s="7" t="str">
        <f ca="1">IFERROR(__xludf.UNSUPPORTED("""COMPUTED_VALUE"""),"Terminal Aquaviário de Madre de Deus")</f>
        <v>Terminal Aquaviário de Madre de Deus</v>
      </c>
      <c r="D2840" s="3" t="str">
        <f ca="1">IFERROR(__xludf.UNSUPPORTED("""COMPUTED_VALUE"""),"🚢 REGULAR")</f>
        <v>🚢 REGULAR</v>
      </c>
      <c r="E2840" s="3" t="str">
        <f ca="1">IFERROR(__xludf.UNSUPPORTED("""COMPUTED_VALUE"""),"🚛 LIBERADO")</f>
        <v>🚛 LIBERADO</v>
      </c>
      <c r="F2840" s="5">
        <f ca="1">IFERROR(__xludf.UNSUPPORTED("""COMPUTED_VALUE"""),0)</f>
        <v>0</v>
      </c>
      <c r="G2840" s="3" t="str">
        <f ca="1">IFERROR(__xludf.UNSUPPORTED("""COMPUTED_VALUE"""),"Normalidade")</f>
        <v>Normalidade</v>
      </c>
      <c r="H2840" s="4">
        <f ca="1">IFERROR(__xludf.UNSUPPORTED("""COMPUTED_VALUE"""),44983.5156712962)</f>
        <v>44983.515671296198</v>
      </c>
      <c r="I2840" s="3">
        <f ca="1">IFERROR(__xludf.UNSUPPORTED("""COMPUTED_VALUE"""),24)</f>
        <v>24</v>
      </c>
      <c r="J2840" s="4">
        <f ca="1">IFERROR(__xludf.UNSUPPORTED("""COMPUTED_VALUE"""),44984.5156712962)</f>
        <v>44984.515671296198</v>
      </c>
      <c r="L2840" s="3" t="str">
        <f ca="1">IFERROR(__xludf.UNSUPPORTED("""COMPUTED_VALUE"""),"Normalidade")</f>
        <v>Normalidade</v>
      </c>
    </row>
    <row r="2841" spans="1:12" ht="12.75">
      <c r="A2841" s="3" t="str">
        <f ca="1">IFERROR(__xludf.UNSUPPORTED("""COMPUTED_VALUE"""),"c74d77fa")</f>
        <v>c74d77fa</v>
      </c>
      <c r="B2841" s="4">
        <f ca="1">IFERROR(__xludf.UNSUPPORTED("""COMPUTED_VALUE"""),44984.4148726851)</f>
        <v>44984.414872685098</v>
      </c>
      <c r="C2841" s="8" t="str">
        <f ca="1">IFERROR(__xludf.UNSUPPORTED("""COMPUTED_VALUE"""),"Terminal Aquaviário de Madre de Deus")</f>
        <v>Terminal Aquaviário de Madre de Deus</v>
      </c>
      <c r="D2841" s="3" t="str">
        <f ca="1">IFERROR(__xludf.UNSUPPORTED("""COMPUTED_VALUE"""),"🚢 REGULAR")</f>
        <v>🚢 REGULAR</v>
      </c>
      <c r="E2841" s="3" t="str">
        <f ca="1">IFERROR(__xludf.UNSUPPORTED("""COMPUTED_VALUE"""),"🚛 LIBERADO")</f>
        <v>🚛 LIBERADO</v>
      </c>
      <c r="F2841" s="5">
        <f ca="1">IFERROR(__xludf.UNSUPPORTED("""COMPUTED_VALUE"""),0)</f>
        <v>0</v>
      </c>
      <c r="G2841" s="3" t="str">
        <f ca="1">IFERROR(__xludf.UNSUPPORTED("""COMPUTED_VALUE"""),"Normalidade")</f>
        <v>Normalidade</v>
      </c>
      <c r="H2841" s="4">
        <f ca="1">IFERROR(__xludf.UNSUPPORTED("""COMPUTED_VALUE"""),44984.4148726851)</f>
        <v>44984.414872685098</v>
      </c>
      <c r="I2841" s="3">
        <f ca="1">IFERROR(__xludf.UNSUPPORTED("""COMPUTED_VALUE"""),24)</f>
        <v>24</v>
      </c>
      <c r="J2841" s="4">
        <f ca="1">IFERROR(__xludf.UNSUPPORTED("""COMPUTED_VALUE"""),44985.4148726851)</f>
        <v>44985.414872685098</v>
      </c>
      <c r="L2841" s="3" t="str">
        <f ca="1">IFERROR(__xludf.UNSUPPORTED("""COMPUTED_VALUE"""),"Normalidade")</f>
        <v>Normalidade</v>
      </c>
    </row>
    <row r="2842" spans="1:12" ht="12.75">
      <c r="A2842" s="3" t="str">
        <f ca="1">IFERROR(__xludf.UNSUPPORTED("""COMPUTED_VALUE"""),"0eb42dea")</f>
        <v>0eb42dea</v>
      </c>
      <c r="B2842" s="4">
        <f ca="1">IFERROR(__xludf.UNSUPPORTED("""COMPUTED_VALUE"""),44985.3855787037)</f>
        <v>44985.385578703703</v>
      </c>
      <c r="C2842" s="8" t="str">
        <f ca="1">IFERROR(__xludf.UNSUPPORTED("""COMPUTED_VALUE"""),"Terminal Aquaviário de Madre de Deus")</f>
        <v>Terminal Aquaviário de Madre de Deus</v>
      </c>
      <c r="D2842" s="3" t="str">
        <f ca="1">IFERROR(__xludf.UNSUPPORTED("""COMPUTED_VALUE"""),"🚢 REGULAR")</f>
        <v>🚢 REGULAR</v>
      </c>
      <c r="E2842" s="3" t="str">
        <f ca="1">IFERROR(__xludf.UNSUPPORTED("""COMPUTED_VALUE"""),"🚛 LIBERADO")</f>
        <v>🚛 LIBERADO</v>
      </c>
      <c r="F2842" s="5">
        <f ca="1">IFERROR(__xludf.UNSUPPORTED("""COMPUTED_VALUE"""),0)</f>
        <v>0</v>
      </c>
      <c r="G2842" s="3" t="str">
        <f ca="1">IFERROR(__xludf.UNSUPPORTED("""COMPUTED_VALUE"""),"Normalidade")</f>
        <v>Normalidade</v>
      </c>
      <c r="H2842" s="4">
        <f ca="1">IFERROR(__xludf.UNSUPPORTED("""COMPUTED_VALUE"""),44985.3855787037)</f>
        <v>44985.385578703703</v>
      </c>
      <c r="I2842" s="3">
        <f ca="1">IFERROR(__xludf.UNSUPPORTED("""COMPUTED_VALUE"""),24)</f>
        <v>24</v>
      </c>
      <c r="J2842" s="4">
        <f ca="1">IFERROR(__xludf.UNSUPPORTED("""COMPUTED_VALUE"""),44986.3855787037)</f>
        <v>44986.385578703703</v>
      </c>
      <c r="L2842" s="3" t="str">
        <f ca="1">IFERROR(__xludf.UNSUPPORTED("""COMPUTED_VALUE"""),"Normalidade")</f>
        <v>Normalidade</v>
      </c>
    </row>
    <row r="2843" spans="1:12" ht="12.75">
      <c r="A2843" s="3" t="str">
        <f ca="1">IFERROR(__xludf.UNSUPPORTED("""COMPUTED_VALUE"""),"9c2a1894")</f>
        <v>9c2a1894</v>
      </c>
      <c r="B2843" s="4">
        <f ca="1">IFERROR(__xludf.UNSUPPORTED("""COMPUTED_VALUE"""),44987.2800347222)</f>
        <v>44987.2800347222</v>
      </c>
      <c r="C2843" s="7" t="str">
        <f ca="1">IFERROR(__xludf.UNSUPPORTED("""COMPUTED_VALUE"""),"Terminal Aquaviário de Madre de Deus")</f>
        <v>Terminal Aquaviário de Madre de Deus</v>
      </c>
      <c r="D2843" s="3" t="str">
        <f ca="1">IFERROR(__xludf.UNSUPPORTED("""COMPUTED_VALUE"""),"🚢 REGULAR")</f>
        <v>🚢 REGULAR</v>
      </c>
      <c r="E2843" s="3" t="str">
        <f ca="1">IFERROR(__xludf.UNSUPPORTED("""COMPUTED_VALUE"""),"🚛 LIBERADO")</f>
        <v>🚛 LIBERADO</v>
      </c>
      <c r="F2843" s="5">
        <f ca="1">IFERROR(__xludf.UNSUPPORTED("""COMPUTED_VALUE"""),0)</f>
        <v>0</v>
      </c>
      <c r="G2843" s="3" t="str">
        <f ca="1">IFERROR(__xludf.UNSUPPORTED("""COMPUTED_VALUE"""),"Normalidade")</f>
        <v>Normalidade</v>
      </c>
      <c r="H2843" s="4">
        <f ca="1">IFERROR(__xludf.UNSUPPORTED("""COMPUTED_VALUE"""),44987.2800347222)</f>
        <v>44987.2800347222</v>
      </c>
      <c r="I2843" s="3">
        <f ca="1">IFERROR(__xludf.UNSUPPORTED("""COMPUTED_VALUE"""),24)</f>
        <v>24</v>
      </c>
      <c r="J2843" s="4">
        <f ca="1">IFERROR(__xludf.UNSUPPORTED("""COMPUTED_VALUE"""),44988.2800347222)</f>
        <v>44988.2800347222</v>
      </c>
      <c r="L2843" s="3" t="str">
        <f ca="1">IFERROR(__xludf.UNSUPPORTED("""COMPUTED_VALUE"""),"Normalidade")</f>
        <v>Normalidade</v>
      </c>
    </row>
    <row r="2844" spans="1:12" ht="12.75">
      <c r="A2844" s="3" t="str">
        <f ca="1">IFERROR(__xludf.UNSUPPORTED("""COMPUTED_VALUE"""),"d1270a41")</f>
        <v>d1270a41</v>
      </c>
      <c r="B2844" s="4">
        <f ca="1">IFERROR(__xludf.UNSUPPORTED("""COMPUTED_VALUE"""),44988.4025810185)</f>
        <v>44988.402581018498</v>
      </c>
      <c r="C2844" s="7" t="str">
        <f ca="1">IFERROR(__xludf.UNSUPPORTED("""COMPUTED_VALUE"""),"Terminal Aquaviário de Madre de Deus")</f>
        <v>Terminal Aquaviário de Madre de Deus</v>
      </c>
      <c r="D2844" s="3" t="str">
        <f ca="1">IFERROR(__xludf.UNSUPPORTED("""COMPUTED_VALUE"""),"🚢 REGULAR")</f>
        <v>🚢 REGULAR</v>
      </c>
      <c r="E2844" s="3" t="str">
        <f ca="1">IFERROR(__xludf.UNSUPPORTED("""COMPUTED_VALUE"""),"🚛 LIBERADO")</f>
        <v>🚛 LIBERADO</v>
      </c>
      <c r="F2844" s="5">
        <f ca="1">IFERROR(__xludf.UNSUPPORTED("""COMPUTED_VALUE"""),0)</f>
        <v>0</v>
      </c>
      <c r="G2844" s="3" t="str">
        <f ca="1">IFERROR(__xludf.UNSUPPORTED("""COMPUTED_VALUE"""),"Normalidade")</f>
        <v>Normalidade</v>
      </c>
      <c r="H2844" s="4">
        <f ca="1">IFERROR(__xludf.UNSUPPORTED("""COMPUTED_VALUE"""),44988.4025810185)</f>
        <v>44988.402581018498</v>
      </c>
      <c r="I2844" s="3">
        <f ca="1">IFERROR(__xludf.UNSUPPORTED("""COMPUTED_VALUE"""),24)</f>
        <v>24</v>
      </c>
      <c r="J2844" s="4">
        <f ca="1">IFERROR(__xludf.UNSUPPORTED("""COMPUTED_VALUE"""),44989.4025810185)</f>
        <v>44989.402581018498</v>
      </c>
      <c r="L2844" s="3" t="str">
        <f ca="1">IFERROR(__xludf.UNSUPPORTED("""COMPUTED_VALUE"""),"Normalidade")</f>
        <v>Normalidade</v>
      </c>
    </row>
    <row r="2845" spans="1:12" ht="12.75">
      <c r="A2845" s="3" t="str">
        <f ca="1">IFERROR(__xludf.UNSUPPORTED("""COMPUTED_VALUE"""),"a0cf975d")</f>
        <v>a0cf975d</v>
      </c>
      <c r="B2845" s="4">
        <f ca="1">IFERROR(__xludf.UNSUPPORTED("""COMPUTED_VALUE"""),44991.5720486111)</f>
        <v>44991.572048611102</v>
      </c>
      <c r="C2845" s="8" t="str">
        <f ca="1">IFERROR(__xludf.UNSUPPORTED("""COMPUTED_VALUE"""),"Terminal Aquaviário de Madre de Deus")</f>
        <v>Terminal Aquaviário de Madre de Deus</v>
      </c>
      <c r="D2845" s="3" t="str">
        <f ca="1">IFERROR(__xludf.UNSUPPORTED("""COMPUTED_VALUE"""),"🚢 REGULAR")</f>
        <v>🚢 REGULAR</v>
      </c>
      <c r="E2845" s="3" t="str">
        <f ca="1">IFERROR(__xludf.UNSUPPORTED("""COMPUTED_VALUE"""),"🚛 LIBERADO")</f>
        <v>🚛 LIBERADO</v>
      </c>
      <c r="F2845" s="5">
        <f ca="1">IFERROR(__xludf.UNSUPPORTED("""COMPUTED_VALUE"""),0)</f>
        <v>0</v>
      </c>
      <c r="G2845" s="3" t="str">
        <f ca="1">IFERROR(__xludf.UNSUPPORTED("""COMPUTED_VALUE"""),"Normalidade")</f>
        <v>Normalidade</v>
      </c>
      <c r="H2845" s="4">
        <f ca="1">IFERROR(__xludf.UNSUPPORTED("""COMPUTED_VALUE"""),44991.5720486111)</f>
        <v>44991.572048611102</v>
      </c>
      <c r="I2845" s="3">
        <f ca="1">IFERROR(__xludf.UNSUPPORTED("""COMPUTED_VALUE"""),24)</f>
        <v>24</v>
      </c>
      <c r="J2845" s="4">
        <f ca="1">IFERROR(__xludf.UNSUPPORTED("""COMPUTED_VALUE"""),44992.5720486111)</f>
        <v>44992.572048611102</v>
      </c>
      <c r="L2845" s="3" t="str">
        <f ca="1">IFERROR(__xludf.UNSUPPORTED("""COMPUTED_VALUE"""),"Normalidade")</f>
        <v>Normalidade</v>
      </c>
    </row>
    <row r="2846" spans="1:12" ht="12.75">
      <c r="A2846" s="3" t="str">
        <f ca="1">IFERROR(__xludf.UNSUPPORTED("""COMPUTED_VALUE"""),"3a376bc7")</f>
        <v>3a376bc7</v>
      </c>
      <c r="B2846" s="4">
        <f ca="1">IFERROR(__xludf.UNSUPPORTED("""COMPUTED_VALUE"""),44992.3161458333)</f>
        <v>44992.316145833298</v>
      </c>
      <c r="C2846" s="8" t="str">
        <f ca="1">IFERROR(__xludf.UNSUPPORTED("""COMPUTED_VALUE"""),"Terminal Aquaviário de Madre de Deus")</f>
        <v>Terminal Aquaviário de Madre de Deus</v>
      </c>
      <c r="D2846" s="3" t="str">
        <f ca="1">IFERROR(__xludf.UNSUPPORTED("""COMPUTED_VALUE"""),"🚢 REGULAR")</f>
        <v>🚢 REGULAR</v>
      </c>
      <c r="E2846" s="3" t="str">
        <f ca="1">IFERROR(__xludf.UNSUPPORTED("""COMPUTED_VALUE"""),"🚛 LIBERADO")</f>
        <v>🚛 LIBERADO</v>
      </c>
      <c r="F2846" s="5">
        <f ca="1">IFERROR(__xludf.UNSUPPORTED("""COMPUTED_VALUE"""),0)</f>
        <v>0</v>
      </c>
      <c r="G2846" s="3" t="str">
        <f ca="1">IFERROR(__xludf.UNSUPPORTED("""COMPUTED_VALUE"""),"Normalidade")</f>
        <v>Normalidade</v>
      </c>
      <c r="H2846" s="4">
        <f ca="1">IFERROR(__xludf.UNSUPPORTED("""COMPUTED_VALUE"""),44992.3161458333)</f>
        <v>44992.316145833298</v>
      </c>
      <c r="I2846" s="3">
        <f ca="1">IFERROR(__xludf.UNSUPPORTED("""COMPUTED_VALUE"""),24)</f>
        <v>24</v>
      </c>
      <c r="J2846" s="4">
        <f ca="1">IFERROR(__xludf.UNSUPPORTED("""COMPUTED_VALUE"""),44993.3161458333)</f>
        <v>44993.316145833298</v>
      </c>
      <c r="L2846" s="3" t="str">
        <f ca="1">IFERROR(__xludf.UNSUPPORTED("""COMPUTED_VALUE"""),"Normalidade")</f>
        <v>Normalidade</v>
      </c>
    </row>
    <row r="2847" spans="1:12" ht="12.75">
      <c r="A2847" s="3" t="str">
        <f ca="1">IFERROR(__xludf.UNSUPPORTED("""COMPUTED_VALUE"""),"beed54fc")</f>
        <v>beed54fc</v>
      </c>
      <c r="B2847" s="4">
        <f ca="1">IFERROR(__xludf.UNSUPPORTED("""COMPUTED_VALUE"""),44994.2929282407)</f>
        <v>44994.292928240699</v>
      </c>
      <c r="C2847" s="7" t="str">
        <f ca="1">IFERROR(__xludf.UNSUPPORTED("""COMPUTED_VALUE"""),"Terminal Aquaviário de Madre de Deus")</f>
        <v>Terminal Aquaviário de Madre de Deus</v>
      </c>
      <c r="D2847" s="3" t="str">
        <f ca="1">IFERROR(__xludf.UNSUPPORTED("""COMPUTED_VALUE"""),"🚢 REGULAR")</f>
        <v>🚢 REGULAR</v>
      </c>
      <c r="E2847" s="3" t="str">
        <f ca="1">IFERROR(__xludf.UNSUPPORTED("""COMPUTED_VALUE"""),"🚛 LIBERADO")</f>
        <v>🚛 LIBERADO</v>
      </c>
      <c r="F2847" s="5">
        <f ca="1">IFERROR(__xludf.UNSUPPORTED("""COMPUTED_VALUE"""),0)</f>
        <v>0</v>
      </c>
      <c r="G2847" s="3" t="str">
        <f ca="1">IFERROR(__xludf.UNSUPPORTED("""COMPUTED_VALUE"""),"Normalidade")</f>
        <v>Normalidade</v>
      </c>
      <c r="H2847" s="4">
        <f ca="1">IFERROR(__xludf.UNSUPPORTED("""COMPUTED_VALUE"""),44994.2929282407)</f>
        <v>44994.292928240699</v>
      </c>
      <c r="I2847" s="3">
        <f ca="1">IFERROR(__xludf.UNSUPPORTED("""COMPUTED_VALUE"""),24)</f>
        <v>24</v>
      </c>
      <c r="J2847" s="4">
        <f ca="1">IFERROR(__xludf.UNSUPPORTED("""COMPUTED_VALUE"""),44995.2929282407)</f>
        <v>44995.292928240699</v>
      </c>
      <c r="L2847" s="3" t="str">
        <f ca="1">IFERROR(__xludf.UNSUPPORTED("""COMPUTED_VALUE"""),"Normalidade")</f>
        <v>Normalidade</v>
      </c>
    </row>
    <row r="2848" spans="1:12" ht="12.75">
      <c r="A2848" s="3" t="str">
        <f ca="1">IFERROR(__xludf.UNSUPPORTED("""COMPUTED_VALUE"""),"a81772ed")</f>
        <v>a81772ed</v>
      </c>
      <c r="B2848" s="4">
        <f ca="1">IFERROR(__xludf.UNSUPPORTED("""COMPUTED_VALUE"""),44996.4964583333)</f>
        <v>44996.496458333299</v>
      </c>
      <c r="C2848" s="7" t="str">
        <f ca="1">IFERROR(__xludf.UNSUPPORTED("""COMPUTED_VALUE"""),"Terminal Aquaviário de Madre de Deus")</f>
        <v>Terminal Aquaviário de Madre de Deus</v>
      </c>
      <c r="D2848" s="3" t="str">
        <f ca="1">IFERROR(__xludf.UNSUPPORTED("""COMPUTED_VALUE"""),"🚢 REGULAR")</f>
        <v>🚢 REGULAR</v>
      </c>
      <c r="E2848" s="3" t="str">
        <f ca="1">IFERROR(__xludf.UNSUPPORTED("""COMPUTED_VALUE"""),"🚛 LIBERADO")</f>
        <v>🚛 LIBERADO</v>
      </c>
      <c r="F2848" s="5">
        <f ca="1">IFERROR(__xludf.UNSUPPORTED("""COMPUTED_VALUE"""),0)</f>
        <v>0</v>
      </c>
      <c r="G2848" s="3" t="str">
        <f ca="1">IFERROR(__xludf.UNSUPPORTED("""COMPUTED_VALUE"""),"Normalidade")</f>
        <v>Normalidade</v>
      </c>
      <c r="H2848" s="4">
        <f ca="1">IFERROR(__xludf.UNSUPPORTED("""COMPUTED_VALUE"""),44996.4964583333)</f>
        <v>44996.496458333299</v>
      </c>
      <c r="I2848" s="3">
        <f ca="1">IFERROR(__xludf.UNSUPPORTED("""COMPUTED_VALUE"""),24)</f>
        <v>24</v>
      </c>
      <c r="J2848" s="4">
        <f ca="1">IFERROR(__xludf.UNSUPPORTED("""COMPUTED_VALUE"""),44997.4964583333)</f>
        <v>44997.496458333299</v>
      </c>
      <c r="L2848" s="3" t="str">
        <f ca="1">IFERROR(__xludf.UNSUPPORTED("""COMPUTED_VALUE"""),"Normalidade")</f>
        <v>Normalidade</v>
      </c>
    </row>
    <row r="2849" spans="1:12" ht="12.75">
      <c r="A2849" s="3" t="str">
        <f ca="1">IFERROR(__xludf.UNSUPPORTED("""COMPUTED_VALUE"""),"bb1d8ab5")</f>
        <v>bb1d8ab5</v>
      </c>
      <c r="B2849" s="4">
        <f ca="1">IFERROR(__xludf.UNSUPPORTED("""COMPUTED_VALUE"""),44999.3454629629)</f>
        <v>44999.345462962898</v>
      </c>
      <c r="C2849" s="8" t="str">
        <f ca="1">IFERROR(__xludf.UNSUPPORTED("""COMPUTED_VALUE"""),"Terminal Aquaviário de Madre de Deus")</f>
        <v>Terminal Aquaviário de Madre de Deus</v>
      </c>
      <c r="D2849" s="3" t="str">
        <f ca="1">IFERROR(__xludf.UNSUPPORTED("""COMPUTED_VALUE"""),"🚢 REGULAR")</f>
        <v>🚢 REGULAR</v>
      </c>
      <c r="E2849" s="3" t="str">
        <f ca="1">IFERROR(__xludf.UNSUPPORTED("""COMPUTED_VALUE"""),"🚛 LIBERADO")</f>
        <v>🚛 LIBERADO</v>
      </c>
      <c r="F2849" s="5">
        <f ca="1">IFERROR(__xludf.UNSUPPORTED("""COMPUTED_VALUE"""),0)</f>
        <v>0</v>
      </c>
      <c r="G2849" s="3" t="str">
        <f ca="1">IFERROR(__xludf.UNSUPPORTED("""COMPUTED_VALUE"""),"Normalidade")</f>
        <v>Normalidade</v>
      </c>
      <c r="H2849" s="4">
        <f ca="1">IFERROR(__xludf.UNSUPPORTED("""COMPUTED_VALUE"""),44999.3454629629)</f>
        <v>44999.345462962898</v>
      </c>
      <c r="I2849" s="3">
        <f ca="1">IFERROR(__xludf.UNSUPPORTED("""COMPUTED_VALUE"""),24)</f>
        <v>24</v>
      </c>
      <c r="J2849" s="4">
        <f ca="1">IFERROR(__xludf.UNSUPPORTED("""COMPUTED_VALUE"""),45000.3454629629)</f>
        <v>45000.345462962898</v>
      </c>
      <c r="L2849" s="3" t="str">
        <f ca="1">IFERROR(__xludf.UNSUPPORTED("""COMPUTED_VALUE"""),"Normalidade")</f>
        <v>Normalidade</v>
      </c>
    </row>
    <row r="2850" spans="1:12" ht="12.75">
      <c r="A2850" s="3" t="str">
        <f ca="1">IFERROR(__xludf.UNSUPPORTED("""COMPUTED_VALUE"""),"597edef6")</f>
        <v>597edef6</v>
      </c>
      <c r="B2850" s="4">
        <f ca="1">IFERROR(__xludf.UNSUPPORTED("""COMPUTED_VALUE"""),45001.5473611111)</f>
        <v>45001.547361111101</v>
      </c>
      <c r="C2850" s="7" t="str">
        <f ca="1">IFERROR(__xludf.UNSUPPORTED("""COMPUTED_VALUE"""),"Terminal Aquaviário de Madre de Deus")</f>
        <v>Terminal Aquaviário de Madre de Deus</v>
      </c>
      <c r="D2850" s="3" t="str">
        <f ca="1">IFERROR(__xludf.UNSUPPORTED("""COMPUTED_VALUE"""),"🚢 REGULAR")</f>
        <v>🚢 REGULAR</v>
      </c>
      <c r="E2850" s="3" t="str">
        <f ca="1">IFERROR(__xludf.UNSUPPORTED("""COMPUTED_VALUE"""),"🚛 LIBERADO")</f>
        <v>🚛 LIBERADO</v>
      </c>
      <c r="F2850" s="5">
        <f ca="1">IFERROR(__xludf.UNSUPPORTED("""COMPUTED_VALUE"""),0)</f>
        <v>0</v>
      </c>
      <c r="G2850" s="3" t="str">
        <f ca="1">IFERROR(__xludf.UNSUPPORTED("""COMPUTED_VALUE"""),"Normalidade")</f>
        <v>Normalidade</v>
      </c>
      <c r="H2850" s="4">
        <f ca="1">IFERROR(__xludf.UNSUPPORTED("""COMPUTED_VALUE"""),45001.5473611111)</f>
        <v>45001.547361111101</v>
      </c>
      <c r="I2850" s="3">
        <f ca="1">IFERROR(__xludf.UNSUPPORTED("""COMPUTED_VALUE"""),24)</f>
        <v>24</v>
      </c>
      <c r="J2850" s="4">
        <f ca="1">IFERROR(__xludf.UNSUPPORTED("""COMPUTED_VALUE"""),45002.5473611111)</f>
        <v>45002.547361111101</v>
      </c>
      <c r="L2850" s="3" t="str">
        <f ca="1">IFERROR(__xludf.UNSUPPORTED("""COMPUTED_VALUE"""),"Normalidade")</f>
        <v>Normalidade</v>
      </c>
    </row>
    <row r="2851" spans="1:12" ht="12.75">
      <c r="A2851" s="3" t="str">
        <f ca="1">IFERROR(__xludf.UNSUPPORTED("""COMPUTED_VALUE"""),"486c5817")</f>
        <v>486c5817</v>
      </c>
      <c r="B2851" s="4">
        <f ca="1">IFERROR(__xludf.UNSUPPORTED("""COMPUTED_VALUE"""),45002.4480324074)</f>
        <v>45002.448032407403</v>
      </c>
      <c r="C2851" s="7" t="str">
        <f ca="1">IFERROR(__xludf.UNSUPPORTED("""COMPUTED_VALUE"""),"Terminal Aquaviário de Madre de Deus")</f>
        <v>Terminal Aquaviário de Madre de Deus</v>
      </c>
      <c r="D2851" s="3" t="str">
        <f ca="1">IFERROR(__xludf.UNSUPPORTED("""COMPUTED_VALUE"""),"🚢 REGULAR")</f>
        <v>🚢 REGULAR</v>
      </c>
      <c r="E2851" s="3" t="str">
        <f ca="1">IFERROR(__xludf.UNSUPPORTED("""COMPUTED_VALUE"""),"🚛 LIBERADO")</f>
        <v>🚛 LIBERADO</v>
      </c>
      <c r="F2851" s="5">
        <f ca="1">IFERROR(__xludf.UNSUPPORTED("""COMPUTED_VALUE"""),0)</f>
        <v>0</v>
      </c>
      <c r="G2851" s="3" t="str">
        <f ca="1">IFERROR(__xludf.UNSUPPORTED("""COMPUTED_VALUE"""),"Normalidade")</f>
        <v>Normalidade</v>
      </c>
      <c r="H2851" s="4">
        <f ca="1">IFERROR(__xludf.UNSUPPORTED("""COMPUTED_VALUE"""),45002.4480324074)</f>
        <v>45002.448032407403</v>
      </c>
      <c r="I2851" s="3">
        <f ca="1">IFERROR(__xludf.UNSUPPORTED("""COMPUTED_VALUE"""),24)</f>
        <v>24</v>
      </c>
      <c r="J2851" s="4">
        <f ca="1">IFERROR(__xludf.UNSUPPORTED("""COMPUTED_VALUE"""),45003.4480324074)</f>
        <v>45003.448032407403</v>
      </c>
      <c r="L2851" s="3" t="str">
        <f ca="1">IFERROR(__xludf.UNSUPPORTED("""COMPUTED_VALUE"""),"Normalidade")</f>
        <v>Normalidade</v>
      </c>
    </row>
    <row r="2852" spans="1:12" ht="12.75">
      <c r="A2852" s="3" t="str">
        <f ca="1">IFERROR(__xludf.UNSUPPORTED("""COMPUTED_VALUE"""),"888c1ccb")</f>
        <v>888c1ccb</v>
      </c>
      <c r="B2852" s="4">
        <f ca="1">IFERROR(__xludf.UNSUPPORTED("""COMPUTED_VALUE"""),45004.5175810185)</f>
        <v>45004.517581018503</v>
      </c>
      <c r="C2852" s="7" t="str">
        <f ca="1">IFERROR(__xludf.UNSUPPORTED("""COMPUTED_VALUE"""),"Terminal Aquaviário de Madre de Deus")</f>
        <v>Terminal Aquaviário de Madre de Deus</v>
      </c>
      <c r="D2852" s="3" t="str">
        <f ca="1">IFERROR(__xludf.UNSUPPORTED("""COMPUTED_VALUE"""),"🚢 REGULAR")</f>
        <v>🚢 REGULAR</v>
      </c>
      <c r="E2852" s="3" t="str">
        <f ca="1">IFERROR(__xludf.UNSUPPORTED("""COMPUTED_VALUE"""),"🚛 LIBERADO")</f>
        <v>🚛 LIBERADO</v>
      </c>
      <c r="F2852" s="5">
        <f ca="1">IFERROR(__xludf.UNSUPPORTED("""COMPUTED_VALUE"""),0)</f>
        <v>0</v>
      </c>
      <c r="G2852" s="3" t="str">
        <f ca="1">IFERROR(__xludf.UNSUPPORTED("""COMPUTED_VALUE"""),"Normalidade")</f>
        <v>Normalidade</v>
      </c>
      <c r="H2852" s="4">
        <f ca="1">IFERROR(__xludf.UNSUPPORTED("""COMPUTED_VALUE"""),45004.5175810185)</f>
        <v>45004.517581018503</v>
      </c>
      <c r="I2852" s="3">
        <f ca="1">IFERROR(__xludf.UNSUPPORTED("""COMPUTED_VALUE"""),24)</f>
        <v>24</v>
      </c>
      <c r="J2852" s="4">
        <f ca="1">IFERROR(__xludf.UNSUPPORTED("""COMPUTED_VALUE"""),45005.5175810185)</f>
        <v>45005.517581018503</v>
      </c>
      <c r="L2852" s="3" t="str">
        <f ca="1">IFERROR(__xludf.UNSUPPORTED("""COMPUTED_VALUE"""),"Normalidade")</f>
        <v>Normalidade</v>
      </c>
    </row>
    <row r="2853" spans="1:12" ht="12.75">
      <c r="A2853" s="3" t="str">
        <f ca="1">IFERROR(__xludf.UNSUPPORTED("""COMPUTED_VALUE"""),"3e344fb5")</f>
        <v>3e344fb5</v>
      </c>
      <c r="B2853" s="4">
        <f ca="1">IFERROR(__xludf.UNSUPPORTED("""COMPUTED_VALUE"""),45005.4267013888)</f>
        <v>45005.426701388802</v>
      </c>
      <c r="C2853" s="7" t="str">
        <f ca="1">IFERROR(__xludf.UNSUPPORTED("""COMPUTED_VALUE"""),"Terminal Aquaviário de Madre de Deus")</f>
        <v>Terminal Aquaviário de Madre de Deus</v>
      </c>
      <c r="D2853" s="3" t="str">
        <f ca="1">IFERROR(__xludf.UNSUPPORTED("""COMPUTED_VALUE"""),"🚢 REGULAR")</f>
        <v>🚢 REGULAR</v>
      </c>
      <c r="E2853" s="3" t="str">
        <f ca="1">IFERROR(__xludf.UNSUPPORTED("""COMPUTED_VALUE"""),"🚛 LIBERADO")</f>
        <v>🚛 LIBERADO</v>
      </c>
      <c r="F2853" s="5">
        <f ca="1">IFERROR(__xludf.UNSUPPORTED("""COMPUTED_VALUE"""),0)</f>
        <v>0</v>
      </c>
      <c r="G2853" s="3" t="str">
        <f ca="1">IFERROR(__xludf.UNSUPPORTED("""COMPUTED_VALUE"""),"Normalidade")</f>
        <v>Normalidade</v>
      </c>
      <c r="H2853" s="4">
        <f ca="1">IFERROR(__xludf.UNSUPPORTED("""COMPUTED_VALUE"""),45005.4267013888)</f>
        <v>45005.426701388802</v>
      </c>
      <c r="I2853" s="3">
        <f ca="1">IFERROR(__xludf.UNSUPPORTED("""COMPUTED_VALUE"""),24)</f>
        <v>24</v>
      </c>
      <c r="J2853" s="4">
        <f ca="1">IFERROR(__xludf.UNSUPPORTED("""COMPUTED_VALUE"""),45006.4267013888)</f>
        <v>45006.426701388802</v>
      </c>
      <c r="L2853" s="3" t="str">
        <f ca="1">IFERROR(__xludf.UNSUPPORTED("""COMPUTED_VALUE"""),"Normalidade")</f>
        <v>Normalidade</v>
      </c>
    </row>
    <row r="2854" spans="1:12" ht="12.75">
      <c r="A2854" s="3" t="str">
        <f ca="1">IFERROR(__xludf.UNSUPPORTED("""COMPUTED_VALUE"""),"cf684d6e")</f>
        <v>cf684d6e</v>
      </c>
      <c r="B2854" s="4">
        <f ca="1">IFERROR(__xludf.UNSUPPORTED("""COMPUTED_VALUE"""),45007.4183217592)</f>
        <v>45007.4183217592</v>
      </c>
      <c r="C2854" s="8" t="str">
        <f ca="1">IFERROR(__xludf.UNSUPPORTED("""COMPUTED_VALUE"""),"Terminal Aquaviário de Madre de Deus")</f>
        <v>Terminal Aquaviário de Madre de Deus</v>
      </c>
      <c r="D2854" s="3" t="str">
        <f ca="1">IFERROR(__xludf.UNSUPPORTED("""COMPUTED_VALUE"""),"🚢 REGULAR")</f>
        <v>🚢 REGULAR</v>
      </c>
      <c r="E2854" s="3" t="str">
        <f ca="1">IFERROR(__xludf.UNSUPPORTED("""COMPUTED_VALUE"""),"🚛 LIBERADO")</f>
        <v>🚛 LIBERADO</v>
      </c>
      <c r="F2854" s="5">
        <f ca="1">IFERROR(__xludf.UNSUPPORTED("""COMPUTED_VALUE"""),0)</f>
        <v>0</v>
      </c>
      <c r="G2854" s="3" t="str">
        <f ca="1">IFERROR(__xludf.UNSUPPORTED("""COMPUTED_VALUE"""),"Normalidade")</f>
        <v>Normalidade</v>
      </c>
      <c r="H2854" s="4">
        <f ca="1">IFERROR(__xludf.UNSUPPORTED("""COMPUTED_VALUE"""),45007.4183217592)</f>
        <v>45007.4183217592</v>
      </c>
      <c r="I2854" s="3">
        <f ca="1">IFERROR(__xludf.UNSUPPORTED("""COMPUTED_VALUE"""),24)</f>
        <v>24</v>
      </c>
      <c r="J2854" s="4">
        <f ca="1">IFERROR(__xludf.UNSUPPORTED("""COMPUTED_VALUE"""),45008.4183217592)</f>
        <v>45008.4183217592</v>
      </c>
      <c r="L2854" s="3" t="str">
        <f ca="1">IFERROR(__xludf.UNSUPPORTED("""COMPUTED_VALUE"""),"Normalidade")</f>
        <v>Normalidade</v>
      </c>
    </row>
    <row r="2855" spans="1:12" ht="12.75">
      <c r="A2855" s="3" t="str">
        <f ca="1">IFERROR(__xludf.UNSUPPORTED("""COMPUTED_VALUE"""),"2b963d07")</f>
        <v>2b963d07</v>
      </c>
      <c r="B2855" s="4">
        <f ca="1">IFERROR(__xludf.UNSUPPORTED("""COMPUTED_VALUE"""),45009.5600578703)</f>
        <v>45009.560057870302</v>
      </c>
      <c r="C2855" s="8" t="str">
        <f ca="1">IFERROR(__xludf.UNSUPPORTED("""COMPUTED_VALUE"""),"Terminal Aquaviário de Madre de Deus")</f>
        <v>Terminal Aquaviário de Madre de Deus</v>
      </c>
      <c r="D2855" s="3" t="str">
        <f ca="1">IFERROR(__xludf.UNSUPPORTED("""COMPUTED_VALUE"""),"🚢 REGULAR")</f>
        <v>🚢 REGULAR</v>
      </c>
      <c r="E2855" s="3" t="str">
        <f ca="1">IFERROR(__xludf.UNSUPPORTED("""COMPUTED_VALUE"""),"🚛 LIBERADO")</f>
        <v>🚛 LIBERADO</v>
      </c>
      <c r="F2855" s="5">
        <f ca="1">IFERROR(__xludf.UNSUPPORTED("""COMPUTED_VALUE"""),0)</f>
        <v>0</v>
      </c>
      <c r="G2855" s="3" t="str">
        <f ca="1">IFERROR(__xludf.UNSUPPORTED("""COMPUTED_VALUE"""),"Normalidade")</f>
        <v>Normalidade</v>
      </c>
      <c r="H2855" s="4">
        <f ca="1">IFERROR(__xludf.UNSUPPORTED("""COMPUTED_VALUE"""),45009.5600578703)</f>
        <v>45009.560057870302</v>
      </c>
      <c r="I2855" s="3">
        <f ca="1">IFERROR(__xludf.UNSUPPORTED("""COMPUTED_VALUE"""),24)</f>
        <v>24</v>
      </c>
      <c r="J2855" s="4">
        <f ca="1">IFERROR(__xludf.UNSUPPORTED("""COMPUTED_VALUE"""),45010.5600578703)</f>
        <v>45010.560057870302</v>
      </c>
      <c r="L2855" s="3" t="str">
        <f ca="1">IFERROR(__xludf.UNSUPPORTED("""COMPUTED_VALUE"""),"Normalidade")</f>
        <v>Normalidade</v>
      </c>
    </row>
    <row r="2856" spans="1:12" ht="12.75">
      <c r="A2856" s="3" t="str">
        <f ca="1">IFERROR(__xludf.UNSUPPORTED("""COMPUTED_VALUE"""),"5fc4e3cb")</f>
        <v>5fc4e3cb</v>
      </c>
      <c r="B2856" s="4">
        <f ca="1">IFERROR(__xludf.UNSUPPORTED("""COMPUTED_VALUE"""),45011.6152893518)</f>
        <v>45011.615289351801</v>
      </c>
      <c r="C2856" s="8" t="str">
        <f ca="1">IFERROR(__xludf.UNSUPPORTED("""COMPUTED_VALUE"""),"Terminal Aquaviário de Madre de Deus")</f>
        <v>Terminal Aquaviário de Madre de Deus</v>
      </c>
      <c r="D2856" s="3" t="str">
        <f ca="1">IFERROR(__xludf.UNSUPPORTED("""COMPUTED_VALUE"""),"🚢 REGULAR")</f>
        <v>🚢 REGULAR</v>
      </c>
      <c r="E2856" s="3" t="str">
        <f ca="1">IFERROR(__xludf.UNSUPPORTED("""COMPUTED_VALUE"""),"🚛 LIBERADO")</f>
        <v>🚛 LIBERADO</v>
      </c>
      <c r="F2856" s="5">
        <f ca="1">IFERROR(__xludf.UNSUPPORTED("""COMPUTED_VALUE"""),0)</f>
        <v>0</v>
      </c>
      <c r="G2856" s="3" t="str">
        <f ca="1">IFERROR(__xludf.UNSUPPORTED("""COMPUTED_VALUE"""),"Normalidade")</f>
        <v>Normalidade</v>
      </c>
      <c r="H2856" s="4">
        <f ca="1">IFERROR(__xludf.UNSUPPORTED("""COMPUTED_VALUE"""),45011.6152893518)</f>
        <v>45011.615289351801</v>
      </c>
      <c r="I2856" s="3">
        <f ca="1">IFERROR(__xludf.UNSUPPORTED("""COMPUTED_VALUE"""),24)</f>
        <v>24</v>
      </c>
      <c r="J2856" s="4">
        <f ca="1">IFERROR(__xludf.UNSUPPORTED("""COMPUTED_VALUE"""),45012.6152893518)</f>
        <v>45012.615289351801</v>
      </c>
      <c r="L2856" s="3" t="str">
        <f ca="1">IFERROR(__xludf.UNSUPPORTED("""COMPUTED_VALUE"""),"Normalidade")</f>
        <v>Normalidade</v>
      </c>
    </row>
    <row r="2857" spans="1:12" ht="12.75">
      <c r="A2857" s="3" t="str">
        <f ca="1">IFERROR(__xludf.UNSUPPORTED("""COMPUTED_VALUE"""),"1eb0e435")</f>
        <v>1eb0e435</v>
      </c>
      <c r="B2857" s="4">
        <f ca="1">IFERROR(__xludf.UNSUPPORTED("""COMPUTED_VALUE"""),45012.4483449074)</f>
        <v>45012.448344907403</v>
      </c>
      <c r="C2857" s="8" t="str">
        <f ca="1">IFERROR(__xludf.UNSUPPORTED("""COMPUTED_VALUE"""),"Terminal Aquaviário de Madre de Deus")</f>
        <v>Terminal Aquaviário de Madre de Deus</v>
      </c>
      <c r="D2857" s="3" t="str">
        <f ca="1">IFERROR(__xludf.UNSUPPORTED("""COMPUTED_VALUE"""),"🚢 REGULAR")</f>
        <v>🚢 REGULAR</v>
      </c>
      <c r="E2857" s="3" t="str">
        <f ca="1">IFERROR(__xludf.UNSUPPORTED("""COMPUTED_VALUE"""),"🚛 LIBERADO")</f>
        <v>🚛 LIBERADO</v>
      </c>
      <c r="F2857" s="5">
        <f ca="1">IFERROR(__xludf.UNSUPPORTED("""COMPUTED_VALUE"""),0)</f>
        <v>0</v>
      </c>
      <c r="G2857" s="3" t="str">
        <f ca="1">IFERROR(__xludf.UNSUPPORTED("""COMPUTED_VALUE"""),"Normalidade")</f>
        <v>Normalidade</v>
      </c>
      <c r="H2857" s="4">
        <f ca="1">IFERROR(__xludf.UNSUPPORTED("""COMPUTED_VALUE"""),45012.4483449074)</f>
        <v>45012.448344907403</v>
      </c>
      <c r="I2857" s="3">
        <f ca="1">IFERROR(__xludf.UNSUPPORTED("""COMPUTED_VALUE"""),24)</f>
        <v>24</v>
      </c>
      <c r="J2857" s="4">
        <f ca="1">IFERROR(__xludf.UNSUPPORTED("""COMPUTED_VALUE"""),45013.4483449074)</f>
        <v>45013.448344907403</v>
      </c>
      <c r="L2857" s="3" t="str">
        <f ca="1">IFERROR(__xludf.UNSUPPORTED("""COMPUTED_VALUE"""),"Normalidade")</f>
        <v>Normalidade</v>
      </c>
    </row>
    <row r="2858" spans="1:12" ht="12.75">
      <c r="A2858" s="3" t="str">
        <f ca="1">IFERROR(__xludf.UNSUPPORTED("""COMPUTED_VALUE"""),"b1b8eab2")</f>
        <v>b1b8eab2</v>
      </c>
      <c r="B2858" s="4">
        <f ca="1">IFERROR(__xludf.UNSUPPORTED("""COMPUTED_VALUE"""),45015.5381712963)</f>
        <v>45015.538171296299</v>
      </c>
      <c r="C2858" s="8" t="str">
        <f ca="1">IFERROR(__xludf.UNSUPPORTED("""COMPUTED_VALUE"""),"Terminal Aquaviário de Madre de Deus")</f>
        <v>Terminal Aquaviário de Madre de Deus</v>
      </c>
      <c r="D2858" s="3" t="str">
        <f ca="1">IFERROR(__xludf.UNSUPPORTED("""COMPUTED_VALUE"""),"🚢 REGULAR")</f>
        <v>🚢 REGULAR</v>
      </c>
      <c r="E2858" s="3" t="str">
        <f ca="1">IFERROR(__xludf.UNSUPPORTED("""COMPUTED_VALUE"""),"🚛 LIBERADO")</f>
        <v>🚛 LIBERADO</v>
      </c>
      <c r="F2858" s="5">
        <f ca="1">IFERROR(__xludf.UNSUPPORTED("""COMPUTED_VALUE"""),0)</f>
        <v>0</v>
      </c>
      <c r="G2858" s="3" t="str">
        <f ca="1">IFERROR(__xludf.UNSUPPORTED("""COMPUTED_VALUE"""),"Normalidade")</f>
        <v>Normalidade</v>
      </c>
      <c r="H2858" s="4">
        <f ca="1">IFERROR(__xludf.UNSUPPORTED("""COMPUTED_VALUE"""),45015.5381712963)</f>
        <v>45015.538171296299</v>
      </c>
      <c r="I2858" s="3">
        <f ca="1">IFERROR(__xludf.UNSUPPORTED("""COMPUTED_VALUE"""),24)</f>
        <v>24</v>
      </c>
      <c r="J2858" s="4">
        <f ca="1">IFERROR(__xludf.UNSUPPORTED("""COMPUTED_VALUE"""),45016.5381712963)</f>
        <v>45016.538171296299</v>
      </c>
      <c r="L2858" s="3" t="str">
        <f ca="1">IFERROR(__xludf.UNSUPPORTED("""COMPUTED_VALUE"""),"Normalidade")</f>
        <v>Normalidade</v>
      </c>
    </row>
    <row r="2859" spans="1:12" ht="12.75">
      <c r="A2859" s="3" t="str">
        <f ca="1">IFERROR(__xludf.UNSUPPORTED("""COMPUTED_VALUE"""),"82322ac3")</f>
        <v>82322ac3</v>
      </c>
      <c r="B2859" s="4">
        <f ca="1">IFERROR(__xludf.UNSUPPORTED("""COMPUTED_VALUE"""),45016.6801388888)</f>
        <v>45016.680138888798</v>
      </c>
      <c r="C2859" s="7" t="str">
        <f ca="1">IFERROR(__xludf.UNSUPPORTED("""COMPUTED_VALUE"""),"Terminal Aquaviário de Madre de Deus")</f>
        <v>Terminal Aquaviário de Madre de Deus</v>
      </c>
      <c r="D2859" s="3" t="str">
        <f ca="1">IFERROR(__xludf.UNSUPPORTED("""COMPUTED_VALUE"""),"🚢 REGULAR")</f>
        <v>🚢 REGULAR</v>
      </c>
      <c r="E2859" s="3" t="str">
        <f ca="1">IFERROR(__xludf.UNSUPPORTED("""COMPUTED_VALUE"""),"🚛 LIBERADO")</f>
        <v>🚛 LIBERADO</v>
      </c>
      <c r="F2859" s="5">
        <f ca="1">IFERROR(__xludf.UNSUPPORTED("""COMPUTED_VALUE"""),0)</f>
        <v>0</v>
      </c>
      <c r="G2859" s="3" t="str">
        <f ca="1">IFERROR(__xludf.UNSUPPORTED("""COMPUTED_VALUE"""),"Normalidade")</f>
        <v>Normalidade</v>
      </c>
      <c r="H2859" s="4">
        <f ca="1">IFERROR(__xludf.UNSUPPORTED("""COMPUTED_VALUE"""),45016.6801388888)</f>
        <v>45016.680138888798</v>
      </c>
      <c r="I2859" s="3">
        <f ca="1">IFERROR(__xludf.UNSUPPORTED("""COMPUTED_VALUE"""),24)</f>
        <v>24</v>
      </c>
      <c r="J2859" s="4">
        <f ca="1">IFERROR(__xludf.UNSUPPORTED("""COMPUTED_VALUE"""),45017.6801388888)</f>
        <v>45017.680138888798</v>
      </c>
      <c r="L2859" s="3" t="str">
        <f ca="1">IFERROR(__xludf.UNSUPPORTED("""COMPUTED_VALUE"""),"Normalidade")</f>
        <v>Normalidade</v>
      </c>
    </row>
    <row r="2860" spans="1:12" ht="12.75">
      <c r="A2860" s="3" t="str">
        <f ca="1">IFERROR(__xludf.UNSUPPORTED("""COMPUTED_VALUE"""),"0fc75674")</f>
        <v>0fc75674</v>
      </c>
      <c r="B2860" s="4">
        <f ca="1">IFERROR(__xludf.UNSUPPORTED("""COMPUTED_VALUE"""),45019.6437037037)</f>
        <v>45019.643703703703</v>
      </c>
      <c r="C2860" s="7" t="str">
        <f ca="1">IFERROR(__xludf.UNSUPPORTED("""COMPUTED_VALUE"""),"Terminal Aquaviário de Madre de Deus")</f>
        <v>Terminal Aquaviário de Madre de Deus</v>
      </c>
      <c r="D2860" s="3" t="str">
        <f ca="1">IFERROR(__xludf.UNSUPPORTED("""COMPUTED_VALUE"""),"🚢 REGULAR")</f>
        <v>🚢 REGULAR</v>
      </c>
      <c r="E2860" s="3" t="str">
        <f ca="1">IFERROR(__xludf.UNSUPPORTED("""COMPUTED_VALUE"""),"🚛 LIBERADO")</f>
        <v>🚛 LIBERADO</v>
      </c>
      <c r="F2860" s="5">
        <f ca="1">IFERROR(__xludf.UNSUPPORTED("""COMPUTED_VALUE"""),0)</f>
        <v>0</v>
      </c>
      <c r="G2860" s="3" t="str">
        <f ca="1">IFERROR(__xludf.UNSUPPORTED("""COMPUTED_VALUE"""),"Normalidade")</f>
        <v>Normalidade</v>
      </c>
      <c r="H2860" s="4">
        <f ca="1">IFERROR(__xludf.UNSUPPORTED("""COMPUTED_VALUE"""),45019.6437037037)</f>
        <v>45019.643703703703</v>
      </c>
      <c r="I2860" s="3">
        <f ca="1">IFERROR(__xludf.UNSUPPORTED("""COMPUTED_VALUE"""),24)</f>
        <v>24</v>
      </c>
      <c r="J2860" s="4">
        <f ca="1">IFERROR(__xludf.UNSUPPORTED("""COMPUTED_VALUE"""),45020.6437037037)</f>
        <v>45020.643703703703</v>
      </c>
      <c r="L2860" s="3" t="str">
        <f ca="1">IFERROR(__xludf.UNSUPPORTED("""COMPUTED_VALUE"""),"Normalidade")</f>
        <v>Normalidade</v>
      </c>
    </row>
    <row r="2861" spans="1:12" ht="12.75">
      <c r="A2861" s="3" t="str">
        <f ca="1">IFERROR(__xludf.UNSUPPORTED("""COMPUTED_VALUE"""),"3f59aaa8")</f>
        <v>3f59aaa8</v>
      </c>
      <c r="B2861" s="4">
        <f ca="1">IFERROR(__xludf.UNSUPPORTED("""COMPUTED_VALUE"""),45020.3043634259)</f>
        <v>45020.304363425901</v>
      </c>
      <c r="C2861" s="7" t="str">
        <f ca="1">IFERROR(__xludf.UNSUPPORTED("""COMPUTED_VALUE"""),"Terminal Aquaviário de Madre de Deus")</f>
        <v>Terminal Aquaviário de Madre de Deus</v>
      </c>
      <c r="D2861" s="3" t="str">
        <f ca="1">IFERROR(__xludf.UNSUPPORTED("""COMPUTED_VALUE"""),"🚢 REGULAR")</f>
        <v>🚢 REGULAR</v>
      </c>
      <c r="E2861" s="3" t="str">
        <f ca="1">IFERROR(__xludf.UNSUPPORTED("""COMPUTED_VALUE"""),"🚛 LIBERADO")</f>
        <v>🚛 LIBERADO</v>
      </c>
      <c r="F2861" s="5">
        <f ca="1">IFERROR(__xludf.UNSUPPORTED("""COMPUTED_VALUE"""),0)</f>
        <v>0</v>
      </c>
      <c r="G2861" s="3" t="str">
        <f ca="1">IFERROR(__xludf.UNSUPPORTED("""COMPUTED_VALUE"""),"Normalidade")</f>
        <v>Normalidade</v>
      </c>
      <c r="H2861" s="4">
        <f ca="1">IFERROR(__xludf.UNSUPPORTED("""COMPUTED_VALUE"""),45020.3043634259)</f>
        <v>45020.304363425901</v>
      </c>
      <c r="I2861" s="3">
        <f ca="1">IFERROR(__xludf.UNSUPPORTED("""COMPUTED_VALUE"""),24)</f>
        <v>24</v>
      </c>
      <c r="J2861" s="4">
        <f ca="1">IFERROR(__xludf.UNSUPPORTED("""COMPUTED_VALUE"""),45021.3043634259)</f>
        <v>45021.304363425901</v>
      </c>
      <c r="L2861" s="3" t="str">
        <f ca="1">IFERROR(__xludf.UNSUPPORTED("""COMPUTED_VALUE"""),"Normalidade")</f>
        <v>Normalidade</v>
      </c>
    </row>
    <row r="2862" spans="1:12" ht="12.75">
      <c r="A2862" s="3" t="str">
        <f ca="1">IFERROR(__xludf.UNSUPPORTED("""COMPUTED_VALUE"""),"d603aca5")</f>
        <v>d603aca5</v>
      </c>
      <c r="B2862" s="4">
        <f ca="1">IFERROR(__xludf.UNSUPPORTED("""COMPUTED_VALUE"""),45022.4374884259)</f>
        <v>45022.437488425901</v>
      </c>
      <c r="C2862" s="7" t="str">
        <f ca="1">IFERROR(__xludf.UNSUPPORTED("""COMPUTED_VALUE"""),"Terminal Aquaviário de Madre de Deus")</f>
        <v>Terminal Aquaviário de Madre de Deus</v>
      </c>
      <c r="D2862" s="3" t="str">
        <f ca="1">IFERROR(__xludf.UNSUPPORTED("""COMPUTED_VALUE"""),"🚢 REGULAR")</f>
        <v>🚢 REGULAR</v>
      </c>
      <c r="E2862" s="3" t="str">
        <f ca="1">IFERROR(__xludf.UNSUPPORTED("""COMPUTED_VALUE"""),"🚛 LIBERADO")</f>
        <v>🚛 LIBERADO</v>
      </c>
      <c r="F2862" s="5">
        <f ca="1">IFERROR(__xludf.UNSUPPORTED("""COMPUTED_VALUE"""),0)</f>
        <v>0</v>
      </c>
      <c r="G2862" s="3" t="str">
        <f ca="1">IFERROR(__xludf.UNSUPPORTED("""COMPUTED_VALUE"""),"Normalidade")</f>
        <v>Normalidade</v>
      </c>
      <c r="H2862" s="4">
        <f ca="1">IFERROR(__xludf.UNSUPPORTED("""COMPUTED_VALUE"""),45022.4374884259)</f>
        <v>45022.437488425901</v>
      </c>
      <c r="I2862" s="3">
        <f ca="1">IFERROR(__xludf.UNSUPPORTED("""COMPUTED_VALUE"""),24)</f>
        <v>24</v>
      </c>
      <c r="J2862" s="4">
        <f ca="1">IFERROR(__xludf.UNSUPPORTED("""COMPUTED_VALUE"""),45023.4374884259)</f>
        <v>45023.437488425901</v>
      </c>
      <c r="L2862" s="3" t="str">
        <f ca="1">IFERROR(__xludf.UNSUPPORTED("""COMPUTED_VALUE"""),"Normalidade")</f>
        <v>Normalidade</v>
      </c>
    </row>
    <row r="2863" spans="1:12" ht="12.75">
      <c r="A2863" s="3" t="str">
        <f ca="1">IFERROR(__xludf.UNSUPPORTED("""COMPUTED_VALUE"""),"c1b6f418")</f>
        <v>c1b6f418</v>
      </c>
      <c r="B2863" s="4">
        <f ca="1">IFERROR(__xludf.UNSUPPORTED("""COMPUTED_VALUE"""),45023.620949074)</f>
        <v>45023.620949074</v>
      </c>
      <c r="C2863" s="8" t="str">
        <f ca="1">IFERROR(__xludf.UNSUPPORTED("""COMPUTED_VALUE"""),"Terminal Aquaviário de Madre de Deus")</f>
        <v>Terminal Aquaviário de Madre de Deus</v>
      </c>
      <c r="D2863" s="3" t="str">
        <f ca="1">IFERROR(__xludf.UNSUPPORTED("""COMPUTED_VALUE"""),"🚢 REGULAR")</f>
        <v>🚢 REGULAR</v>
      </c>
      <c r="E2863" s="3" t="str">
        <f ca="1">IFERROR(__xludf.UNSUPPORTED("""COMPUTED_VALUE"""),"🚛 LIBERADO")</f>
        <v>🚛 LIBERADO</v>
      </c>
      <c r="F2863" s="5">
        <f ca="1">IFERROR(__xludf.UNSUPPORTED("""COMPUTED_VALUE"""),0)</f>
        <v>0</v>
      </c>
      <c r="G2863" s="3" t="str">
        <f ca="1">IFERROR(__xludf.UNSUPPORTED("""COMPUTED_VALUE"""),"Normalidade")</f>
        <v>Normalidade</v>
      </c>
      <c r="H2863" s="4">
        <f ca="1">IFERROR(__xludf.UNSUPPORTED("""COMPUTED_VALUE"""),45023.620949074)</f>
        <v>45023.620949074</v>
      </c>
      <c r="I2863" s="3">
        <f ca="1">IFERROR(__xludf.UNSUPPORTED("""COMPUTED_VALUE"""),24)</f>
        <v>24</v>
      </c>
      <c r="J2863" s="4">
        <f ca="1">IFERROR(__xludf.UNSUPPORTED("""COMPUTED_VALUE"""),45024.620949074)</f>
        <v>45024.620949074</v>
      </c>
      <c r="L2863" s="3" t="str">
        <f ca="1">IFERROR(__xludf.UNSUPPORTED("""COMPUTED_VALUE"""),"Normalidade")</f>
        <v>Normalidade</v>
      </c>
    </row>
    <row r="2864" spans="1:12" ht="12.75">
      <c r="A2864" s="3" t="str">
        <f ca="1">IFERROR(__xludf.UNSUPPORTED("""COMPUTED_VALUE"""),"ad445f03")</f>
        <v>ad445f03</v>
      </c>
      <c r="B2864" s="4">
        <f ca="1">IFERROR(__xludf.UNSUPPORTED("""COMPUTED_VALUE"""),45024.3512962963)</f>
        <v>45024.3512962963</v>
      </c>
      <c r="C2864" s="8" t="str">
        <f ca="1">IFERROR(__xludf.UNSUPPORTED("""COMPUTED_VALUE"""),"Terminal Aquaviário de Madre de Deus")</f>
        <v>Terminal Aquaviário de Madre de Deus</v>
      </c>
      <c r="D2864" s="3" t="str">
        <f ca="1">IFERROR(__xludf.UNSUPPORTED("""COMPUTED_VALUE"""),"🚢 REGULAR")</f>
        <v>🚢 REGULAR</v>
      </c>
      <c r="E2864" s="3" t="str">
        <f ca="1">IFERROR(__xludf.UNSUPPORTED("""COMPUTED_VALUE"""),"🚛 LIBERADO")</f>
        <v>🚛 LIBERADO</v>
      </c>
      <c r="F2864" s="5">
        <f ca="1">IFERROR(__xludf.UNSUPPORTED("""COMPUTED_VALUE"""),0)</f>
        <v>0</v>
      </c>
      <c r="G2864" s="3" t="str">
        <f ca="1">IFERROR(__xludf.UNSUPPORTED("""COMPUTED_VALUE"""),"Normalidade")</f>
        <v>Normalidade</v>
      </c>
      <c r="H2864" s="4">
        <f ca="1">IFERROR(__xludf.UNSUPPORTED("""COMPUTED_VALUE"""),45024.3512962963)</f>
        <v>45024.3512962963</v>
      </c>
      <c r="I2864" s="3">
        <f ca="1">IFERROR(__xludf.UNSUPPORTED("""COMPUTED_VALUE"""),24)</f>
        <v>24</v>
      </c>
      <c r="J2864" s="4">
        <f ca="1">IFERROR(__xludf.UNSUPPORTED("""COMPUTED_VALUE"""),45025.3512962963)</f>
        <v>45025.3512962963</v>
      </c>
      <c r="L2864" s="3" t="str">
        <f ca="1">IFERROR(__xludf.UNSUPPORTED("""COMPUTED_VALUE"""),"Normalidade")</f>
        <v>Normalidade</v>
      </c>
    </row>
    <row r="2865" spans="1:12" ht="12.75">
      <c r="A2865" s="3" t="str">
        <f ca="1">IFERROR(__xludf.UNSUPPORTED("""COMPUTED_VALUE"""),"15f691ce")</f>
        <v>15f691ce</v>
      </c>
      <c r="B2865" s="4">
        <f ca="1">IFERROR(__xludf.UNSUPPORTED("""COMPUTED_VALUE"""),45026.4148958333)</f>
        <v>45026.414895833303</v>
      </c>
      <c r="C2865" s="7" t="str">
        <f ca="1">IFERROR(__xludf.UNSUPPORTED("""COMPUTED_VALUE"""),"Terminal Aquaviário de Madre de Deus")</f>
        <v>Terminal Aquaviário de Madre de Deus</v>
      </c>
      <c r="D2865" s="3" t="str">
        <f ca="1">IFERROR(__xludf.UNSUPPORTED("""COMPUTED_VALUE"""),"🚢 REGULAR")</f>
        <v>🚢 REGULAR</v>
      </c>
      <c r="E2865" s="3" t="str">
        <f ca="1">IFERROR(__xludf.UNSUPPORTED("""COMPUTED_VALUE"""),"🚛 LIBERADO")</f>
        <v>🚛 LIBERADO</v>
      </c>
      <c r="F2865" s="5">
        <f ca="1">IFERROR(__xludf.UNSUPPORTED("""COMPUTED_VALUE"""),0)</f>
        <v>0</v>
      </c>
      <c r="G2865" s="3" t="str">
        <f ca="1">IFERROR(__xludf.UNSUPPORTED("""COMPUTED_VALUE"""),"Normalidade")</f>
        <v>Normalidade</v>
      </c>
      <c r="H2865" s="4">
        <f ca="1">IFERROR(__xludf.UNSUPPORTED("""COMPUTED_VALUE"""),45026.4148958333)</f>
        <v>45026.414895833303</v>
      </c>
      <c r="I2865" s="3">
        <f ca="1">IFERROR(__xludf.UNSUPPORTED("""COMPUTED_VALUE"""),24)</f>
        <v>24</v>
      </c>
      <c r="J2865" s="4">
        <f ca="1">IFERROR(__xludf.UNSUPPORTED("""COMPUTED_VALUE"""),45027.4148958333)</f>
        <v>45027.414895833303</v>
      </c>
      <c r="L2865" s="3" t="str">
        <f ca="1">IFERROR(__xludf.UNSUPPORTED("""COMPUTED_VALUE"""),"Normalidade")</f>
        <v>Normalidade</v>
      </c>
    </row>
    <row r="2866" spans="1:12" ht="12.75">
      <c r="A2866" s="3" t="str">
        <f ca="1">IFERROR(__xludf.UNSUPPORTED("""COMPUTED_VALUE"""),"6fdb39c5")</f>
        <v>6fdb39c5</v>
      </c>
      <c r="B2866" s="4">
        <f ca="1">IFERROR(__xludf.UNSUPPORTED("""COMPUTED_VALUE"""),45027.5142361111)</f>
        <v>45027.514236111099</v>
      </c>
      <c r="C2866" s="8" t="str">
        <f ca="1">IFERROR(__xludf.UNSUPPORTED("""COMPUTED_VALUE"""),"Terminal Aquaviário de Madre de Deus")</f>
        <v>Terminal Aquaviário de Madre de Deus</v>
      </c>
      <c r="D2866" s="3" t="str">
        <f ca="1">IFERROR(__xludf.UNSUPPORTED("""COMPUTED_VALUE"""),"🚢 REGULAR")</f>
        <v>🚢 REGULAR</v>
      </c>
      <c r="E2866" s="3" t="str">
        <f ca="1">IFERROR(__xludf.UNSUPPORTED("""COMPUTED_VALUE"""),"🚛 LIBERADO")</f>
        <v>🚛 LIBERADO</v>
      </c>
      <c r="F2866" s="5">
        <f ca="1">IFERROR(__xludf.UNSUPPORTED("""COMPUTED_VALUE"""),0)</f>
        <v>0</v>
      </c>
      <c r="G2866" s="3" t="str">
        <f ca="1">IFERROR(__xludf.UNSUPPORTED("""COMPUTED_VALUE"""),"Normalidade")</f>
        <v>Normalidade</v>
      </c>
      <c r="H2866" s="4">
        <f ca="1">IFERROR(__xludf.UNSUPPORTED("""COMPUTED_VALUE"""),45027.5142361111)</f>
        <v>45027.514236111099</v>
      </c>
      <c r="I2866" s="3">
        <f ca="1">IFERROR(__xludf.UNSUPPORTED("""COMPUTED_VALUE"""),24)</f>
        <v>24</v>
      </c>
      <c r="J2866" s="4">
        <f ca="1">IFERROR(__xludf.UNSUPPORTED("""COMPUTED_VALUE"""),45028.5142361111)</f>
        <v>45028.514236111099</v>
      </c>
      <c r="L2866" s="3" t="str">
        <f ca="1">IFERROR(__xludf.UNSUPPORTED("""COMPUTED_VALUE"""),"Normalidade")</f>
        <v>Normalidade</v>
      </c>
    </row>
    <row r="2867" spans="1:12" ht="12.75">
      <c r="A2867" s="3" t="str">
        <f ca="1">IFERROR(__xludf.UNSUPPORTED("""COMPUTED_VALUE"""),"8f6f642f")</f>
        <v>8f6f642f</v>
      </c>
      <c r="B2867" s="4">
        <f ca="1">IFERROR(__xludf.UNSUPPORTED("""COMPUTED_VALUE"""),45028.5860879629)</f>
        <v>45028.586087962904</v>
      </c>
      <c r="C2867" s="7" t="str">
        <f ca="1">IFERROR(__xludf.UNSUPPORTED("""COMPUTED_VALUE"""),"Terminal Aquaviário de Madre de Deus")</f>
        <v>Terminal Aquaviário de Madre de Deus</v>
      </c>
      <c r="D2867" s="3" t="str">
        <f ca="1">IFERROR(__xludf.UNSUPPORTED("""COMPUTED_VALUE"""),"🚢 REGULAR")</f>
        <v>🚢 REGULAR</v>
      </c>
      <c r="E2867" s="3" t="str">
        <f ca="1">IFERROR(__xludf.UNSUPPORTED("""COMPUTED_VALUE"""),"🚛 LIBERADO")</f>
        <v>🚛 LIBERADO</v>
      </c>
      <c r="F2867" s="5">
        <f ca="1">IFERROR(__xludf.UNSUPPORTED("""COMPUTED_VALUE"""),0)</f>
        <v>0</v>
      </c>
      <c r="G2867" s="3" t="str">
        <f ca="1">IFERROR(__xludf.UNSUPPORTED("""COMPUTED_VALUE"""),"Normalidade")</f>
        <v>Normalidade</v>
      </c>
      <c r="H2867" s="4">
        <f ca="1">IFERROR(__xludf.UNSUPPORTED("""COMPUTED_VALUE"""),45028.5860879629)</f>
        <v>45028.586087962904</v>
      </c>
      <c r="I2867" s="3">
        <f ca="1">IFERROR(__xludf.UNSUPPORTED("""COMPUTED_VALUE"""),24)</f>
        <v>24</v>
      </c>
      <c r="J2867" s="4">
        <f ca="1">IFERROR(__xludf.UNSUPPORTED("""COMPUTED_VALUE"""),45029.5860879629)</f>
        <v>45029.586087962904</v>
      </c>
      <c r="L2867" s="3" t="str">
        <f ca="1">IFERROR(__xludf.UNSUPPORTED("""COMPUTED_VALUE"""),"Normalidade")</f>
        <v>Normalidade</v>
      </c>
    </row>
    <row r="2868" spans="1:12" ht="12.75">
      <c r="A2868" s="3" t="str">
        <f ca="1">IFERROR(__xludf.UNSUPPORTED("""COMPUTED_VALUE"""),"e697e629")</f>
        <v>e697e629</v>
      </c>
      <c r="B2868" s="4">
        <f ca="1">IFERROR(__xludf.UNSUPPORTED("""COMPUTED_VALUE"""),45030.3940509259)</f>
        <v>45030.394050925897</v>
      </c>
      <c r="C2868" s="7" t="str">
        <f ca="1">IFERROR(__xludf.UNSUPPORTED("""COMPUTED_VALUE"""),"Terminal Aquaviário de Madre de Deus")</f>
        <v>Terminal Aquaviário de Madre de Deus</v>
      </c>
      <c r="D2868" s="3" t="str">
        <f ca="1">IFERROR(__xludf.UNSUPPORTED("""COMPUTED_VALUE"""),"🚢 REGULAR")</f>
        <v>🚢 REGULAR</v>
      </c>
      <c r="E2868" s="3" t="str">
        <f ca="1">IFERROR(__xludf.UNSUPPORTED("""COMPUTED_VALUE"""),"🚛 LIBERADO")</f>
        <v>🚛 LIBERADO</v>
      </c>
      <c r="F2868" s="5">
        <f ca="1">IFERROR(__xludf.UNSUPPORTED("""COMPUTED_VALUE"""),0)</f>
        <v>0</v>
      </c>
      <c r="G2868" s="3" t="str">
        <f ca="1">IFERROR(__xludf.UNSUPPORTED("""COMPUTED_VALUE"""),"Normalidade")</f>
        <v>Normalidade</v>
      </c>
      <c r="H2868" s="4">
        <f ca="1">IFERROR(__xludf.UNSUPPORTED("""COMPUTED_VALUE"""),45030.3940509259)</f>
        <v>45030.394050925897</v>
      </c>
      <c r="I2868" s="3">
        <f ca="1">IFERROR(__xludf.UNSUPPORTED("""COMPUTED_VALUE"""),24)</f>
        <v>24</v>
      </c>
      <c r="J2868" s="4">
        <f ca="1">IFERROR(__xludf.UNSUPPORTED("""COMPUTED_VALUE"""),45031.3940509259)</f>
        <v>45031.394050925897</v>
      </c>
      <c r="L2868" s="3" t="str">
        <f ca="1">IFERROR(__xludf.UNSUPPORTED("""COMPUTED_VALUE"""),"Normalidade")</f>
        <v>Normalidade</v>
      </c>
    </row>
    <row r="2869" spans="1:12" ht="12.75">
      <c r="A2869" s="3" t="str">
        <f ca="1">IFERROR(__xludf.UNSUPPORTED("""COMPUTED_VALUE"""),"208fa8bd")</f>
        <v>208fa8bd</v>
      </c>
      <c r="B2869" s="4">
        <f ca="1">IFERROR(__xludf.UNSUPPORTED("""COMPUTED_VALUE"""),45031.5417708333)</f>
        <v>45031.541770833297</v>
      </c>
      <c r="C2869" s="7" t="str">
        <f ca="1">IFERROR(__xludf.UNSUPPORTED("""COMPUTED_VALUE"""),"Terminal Aquaviário de Madre de Deus")</f>
        <v>Terminal Aquaviário de Madre de Deus</v>
      </c>
      <c r="D2869" s="3" t="str">
        <f ca="1">IFERROR(__xludf.UNSUPPORTED("""COMPUTED_VALUE"""),"🚢 REGULAR")</f>
        <v>🚢 REGULAR</v>
      </c>
      <c r="E2869" s="3" t="str">
        <f ca="1">IFERROR(__xludf.UNSUPPORTED("""COMPUTED_VALUE"""),"🚛 LIBERADO")</f>
        <v>🚛 LIBERADO</v>
      </c>
      <c r="F2869" s="5">
        <f ca="1">IFERROR(__xludf.UNSUPPORTED("""COMPUTED_VALUE"""),0)</f>
        <v>0</v>
      </c>
      <c r="G2869" s="3" t="str">
        <f ca="1">IFERROR(__xludf.UNSUPPORTED("""COMPUTED_VALUE"""),"Normalidade")</f>
        <v>Normalidade</v>
      </c>
      <c r="H2869" s="4">
        <f ca="1">IFERROR(__xludf.UNSUPPORTED("""COMPUTED_VALUE"""),45031.5417708333)</f>
        <v>45031.541770833297</v>
      </c>
      <c r="I2869" s="3">
        <f ca="1">IFERROR(__xludf.UNSUPPORTED("""COMPUTED_VALUE"""),24)</f>
        <v>24</v>
      </c>
      <c r="J2869" s="4">
        <f ca="1">IFERROR(__xludf.UNSUPPORTED("""COMPUTED_VALUE"""),45032.5417708333)</f>
        <v>45032.541770833297</v>
      </c>
      <c r="L2869" s="3" t="str">
        <f ca="1">IFERROR(__xludf.UNSUPPORTED("""COMPUTED_VALUE"""),"Normalidade")</f>
        <v>Normalidade</v>
      </c>
    </row>
    <row r="2870" spans="1:12" ht="12.75">
      <c r="A2870" s="3" t="str">
        <f ca="1">IFERROR(__xludf.UNSUPPORTED("""COMPUTED_VALUE"""),"14ca9b64")</f>
        <v>14ca9b64</v>
      </c>
      <c r="B2870" s="4">
        <f ca="1">IFERROR(__xludf.UNSUPPORTED("""COMPUTED_VALUE"""),45032.394849537)</f>
        <v>45032.394849536999</v>
      </c>
      <c r="C2870" s="8" t="str">
        <f ca="1">IFERROR(__xludf.UNSUPPORTED("""COMPUTED_VALUE"""),"Terminal Aquaviário de Madre de Deus")</f>
        <v>Terminal Aquaviário de Madre de Deus</v>
      </c>
      <c r="D2870" s="3" t="str">
        <f ca="1">IFERROR(__xludf.UNSUPPORTED("""COMPUTED_VALUE"""),"🚢 REGULAR")</f>
        <v>🚢 REGULAR</v>
      </c>
      <c r="E2870" s="3" t="str">
        <f ca="1">IFERROR(__xludf.UNSUPPORTED("""COMPUTED_VALUE"""),"🚛 LIBERADO")</f>
        <v>🚛 LIBERADO</v>
      </c>
      <c r="F2870" s="5">
        <f ca="1">IFERROR(__xludf.UNSUPPORTED("""COMPUTED_VALUE"""),0)</f>
        <v>0</v>
      </c>
      <c r="G2870" s="3" t="str">
        <f ca="1">IFERROR(__xludf.UNSUPPORTED("""COMPUTED_VALUE"""),"Normalidade")</f>
        <v>Normalidade</v>
      </c>
      <c r="H2870" s="4">
        <f ca="1">IFERROR(__xludf.UNSUPPORTED("""COMPUTED_VALUE"""),45032.394849537)</f>
        <v>45032.394849536999</v>
      </c>
      <c r="I2870" s="3">
        <f ca="1">IFERROR(__xludf.UNSUPPORTED("""COMPUTED_VALUE"""),24)</f>
        <v>24</v>
      </c>
      <c r="J2870" s="4">
        <f ca="1">IFERROR(__xludf.UNSUPPORTED("""COMPUTED_VALUE"""),45033.394849537)</f>
        <v>45033.394849536999</v>
      </c>
      <c r="L2870" s="3" t="str">
        <f ca="1">IFERROR(__xludf.UNSUPPORTED("""COMPUTED_VALUE"""),"Normalidade")</f>
        <v>Normalidade</v>
      </c>
    </row>
    <row r="2871" spans="1:12" ht="12.75">
      <c r="A2871" s="3" t="str">
        <f ca="1">IFERROR(__xludf.UNSUPPORTED("""COMPUTED_VALUE"""),"cede793b")</f>
        <v>cede793b</v>
      </c>
      <c r="B2871" s="4">
        <f ca="1">IFERROR(__xludf.UNSUPPORTED("""COMPUTED_VALUE"""),45033.3564004629)</f>
        <v>45033.356400462901</v>
      </c>
      <c r="C2871" s="8" t="str">
        <f ca="1">IFERROR(__xludf.UNSUPPORTED("""COMPUTED_VALUE"""),"Terminal Aquaviário de Madre de Deus")</f>
        <v>Terminal Aquaviário de Madre de Deus</v>
      </c>
      <c r="D2871" s="3" t="str">
        <f ca="1">IFERROR(__xludf.UNSUPPORTED("""COMPUTED_VALUE"""),"🚢 REGULAR")</f>
        <v>🚢 REGULAR</v>
      </c>
      <c r="E2871" s="3" t="str">
        <f ca="1">IFERROR(__xludf.UNSUPPORTED("""COMPUTED_VALUE"""),"🚛 LIBERADO")</f>
        <v>🚛 LIBERADO</v>
      </c>
      <c r="F2871" s="5">
        <f ca="1">IFERROR(__xludf.UNSUPPORTED("""COMPUTED_VALUE"""),0)</f>
        <v>0</v>
      </c>
      <c r="G2871" s="3" t="str">
        <f ca="1">IFERROR(__xludf.UNSUPPORTED("""COMPUTED_VALUE"""),"Normalidade")</f>
        <v>Normalidade</v>
      </c>
      <c r="H2871" s="4">
        <f ca="1">IFERROR(__xludf.UNSUPPORTED("""COMPUTED_VALUE"""),45033.3564004629)</f>
        <v>45033.356400462901</v>
      </c>
      <c r="I2871" s="3">
        <f ca="1">IFERROR(__xludf.UNSUPPORTED("""COMPUTED_VALUE"""),24)</f>
        <v>24</v>
      </c>
      <c r="J2871" s="4">
        <f ca="1">IFERROR(__xludf.UNSUPPORTED("""COMPUTED_VALUE"""),45034.3564004629)</f>
        <v>45034.356400462901</v>
      </c>
      <c r="L2871" s="3" t="str">
        <f ca="1">IFERROR(__xludf.UNSUPPORTED("""COMPUTED_VALUE"""),"Normalidade")</f>
        <v>Normalidade</v>
      </c>
    </row>
    <row r="2872" spans="1:12" ht="12.75">
      <c r="A2872" s="3" t="str">
        <f ca="1">IFERROR(__xludf.UNSUPPORTED("""COMPUTED_VALUE"""),"9a9e959c")</f>
        <v>9a9e959c</v>
      </c>
      <c r="B2872" s="4">
        <f ca="1">IFERROR(__xludf.UNSUPPORTED("""COMPUTED_VALUE"""),45035.349849537)</f>
        <v>45035.349849537</v>
      </c>
      <c r="C2872" s="8" t="str">
        <f ca="1">IFERROR(__xludf.UNSUPPORTED("""COMPUTED_VALUE"""),"Terminal Aquaviário de Madre de Deus")</f>
        <v>Terminal Aquaviário de Madre de Deus</v>
      </c>
      <c r="D2872" s="3" t="str">
        <f ca="1">IFERROR(__xludf.UNSUPPORTED("""COMPUTED_VALUE"""),"🚢 REGULAR")</f>
        <v>🚢 REGULAR</v>
      </c>
      <c r="E2872" s="3" t="str">
        <f ca="1">IFERROR(__xludf.UNSUPPORTED("""COMPUTED_VALUE"""),"🚛 LIBERADO")</f>
        <v>🚛 LIBERADO</v>
      </c>
      <c r="F2872" s="5">
        <f ca="1">IFERROR(__xludf.UNSUPPORTED("""COMPUTED_VALUE"""),0)</f>
        <v>0</v>
      </c>
      <c r="G2872" s="3" t="str">
        <f ca="1">IFERROR(__xludf.UNSUPPORTED("""COMPUTED_VALUE"""),"Normalidade")</f>
        <v>Normalidade</v>
      </c>
      <c r="H2872" s="4">
        <f ca="1">IFERROR(__xludf.UNSUPPORTED("""COMPUTED_VALUE"""),45035.349849537)</f>
        <v>45035.349849537</v>
      </c>
      <c r="I2872" s="3">
        <f ca="1">IFERROR(__xludf.UNSUPPORTED("""COMPUTED_VALUE"""),24)</f>
        <v>24</v>
      </c>
      <c r="J2872" s="4">
        <f ca="1">IFERROR(__xludf.UNSUPPORTED("""COMPUTED_VALUE"""),45036.349849537)</f>
        <v>45036.349849537</v>
      </c>
      <c r="L2872" s="3" t="str">
        <f ca="1">IFERROR(__xludf.UNSUPPORTED("""COMPUTED_VALUE"""),"Normalidade")</f>
        <v>Normalidade</v>
      </c>
    </row>
    <row r="2873" spans="1:12" ht="12.75">
      <c r="A2873" s="3" t="str">
        <f ca="1">IFERROR(__xludf.UNSUPPORTED("""COMPUTED_VALUE"""),"29e8ccca")</f>
        <v>29e8ccca</v>
      </c>
      <c r="B2873" s="4">
        <f ca="1">IFERROR(__xludf.UNSUPPORTED("""COMPUTED_VALUE"""),45037.7189351851)</f>
        <v>45037.718935185098</v>
      </c>
      <c r="C2873" s="8" t="str">
        <f ca="1">IFERROR(__xludf.UNSUPPORTED("""COMPUTED_VALUE"""),"Terminal Aquaviário de Madre de Deus")</f>
        <v>Terminal Aquaviário de Madre de Deus</v>
      </c>
      <c r="D2873" s="3" t="str">
        <f ca="1">IFERROR(__xludf.UNSUPPORTED("""COMPUTED_VALUE"""),"🚢 REGULAR")</f>
        <v>🚢 REGULAR</v>
      </c>
      <c r="E2873" s="3" t="str">
        <f ca="1">IFERROR(__xludf.UNSUPPORTED("""COMPUTED_VALUE"""),"🚛 LIBERADO")</f>
        <v>🚛 LIBERADO</v>
      </c>
      <c r="F2873" s="5">
        <f ca="1">IFERROR(__xludf.UNSUPPORTED("""COMPUTED_VALUE"""),0)</f>
        <v>0</v>
      </c>
      <c r="G2873" s="3" t="str">
        <f ca="1">IFERROR(__xludf.UNSUPPORTED("""COMPUTED_VALUE"""),"Normalidade")</f>
        <v>Normalidade</v>
      </c>
      <c r="H2873" s="4">
        <f ca="1">IFERROR(__xludf.UNSUPPORTED("""COMPUTED_VALUE"""),45037.7189351851)</f>
        <v>45037.718935185098</v>
      </c>
      <c r="I2873" s="3">
        <f ca="1">IFERROR(__xludf.UNSUPPORTED("""COMPUTED_VALUE"""),24)</f>
        <v>24</v>
      </c>
      <c r="J2873" s="4">
        <f ca="1">IFERROR(__xludf.UNSUPPORTED("""COMPUTED_VALUE"""),45038.7189351851)</f>
        <v>45038.718935185098</v>
      </c>
      <c r="L2873" s="3" t="str">
        <f ca="1">IFERROR(__xludf.UNSUPPORTED("""COMPUTED_VALUE"""),"Normalidade")</f>
        <v>Normalidade</v>
      </c>
    </row>
    <row r="2874" spans="1:12" ht="12.75">
      <c r="A2874" s="3" t="str">
        <f ca="1">IFERROR(__xludf.UNSUPPORTED("""COMPUTED_VALUE"""),"09c1d999")</f>
        <v>09c1d999</v>
      </c>
      <c r="B2874" s="4">
        <f ca="1">IFERROR(__xludf.UNSUPPORTED("""COMPUTED_VALUE"""),45038.5254976851)</f>
        <v>45038.525497685099</v>
      </c>
      <c r="C2874" s="7" t="str">
        <f ca="1">IFERROR(__xludf.UNSUPPORTED("""COMPUTED_VALUE"""),"Terminal Aquaviário de Madre de Deus")</f>
        <v>Terminal Aquaviário de Madre de Deus</v>
      </c>
      <c r="D2874" s="3" t="str">
        <f ca="1">IFERROR(__xludf.UNSUPPORTED("""COMPUTED_VALUE"""),"🚢 REGULAR")</f>
        <v>🚢 REGULAR</v>
      </c>
      <c r="E2874" s="3" t="str">
        <f ca="1">IFERROR(__xludf.UNSUPPORTED("""COMPUTED_VALUE"""),"🚛 LIBERADO")</f>
        <v>🚛 LIBERADO</v>
      </c>
      <c r="F2874" s="5">
        <f ca="1">IFERROR(__xludf.UNSUPPORTED("""COMPUTED_VALUE"""),0)</f>
        <v>0</v>
      </c>
      <c r="G2874" s="3" t="str">
        <f ca="1">IFERROR(__xludf.UNSUPPORTED("""COMPUTED_VALUE"""),"Normalidade")</f>
        <v>Normalidade</v>
      </c>
      <c r="H2874" s="4">
        <f ca="1">IFERROR(__xludf.UNSUPPORTED("""COMPUTED_VALUE"""),45038.5254976851)</f>
        <v>45038.525497685099</v>
      </c>
      <c r="I2874" s="3">
        <f ca="1">IFERROR(__xludf.UNSUPPORTED("""COMPUTED_VALUE"""),24)</f>
        <v>24</v>
      </c>
      <c r="J2874" s="4">
        <f ca="1">IFERROR(__xludf.UNSUPPORTED("""COMPUTED_VALUE"""),45039.5254976851)</f>
        <v>45039.525497685099</v>
      </c>
      <c r="L2874" s="3" t="str">
        <f ca="1">IFERROR(__xludf.UNSUPPORTED("""COMPUTED_VALUE"""),"Normalidade")</f>
        <v>Normalidade</v>
      </c>
    </row>
    <row r="2875" spans="1:12" ht="12.75">
      <c r="A2875" s="3" t="str">
        <f ca="1">IFERROR(__xludf.UNSUPPORTED("""COMPUTED_VALUE"""),"4a2a23a5")</f>
        <v>4a2a23a5</v>
      </c>
      <c r="B2875" s="4">
        <f ca="1">IFERROR(__xludf.UNSUPPORTED("""COMPUTED_VALUE"""),45040.510949074)</f>
        <v>45040.510949074</v>
      </c>
      <c r="C2875" s="7" t="str">
        <f ca="1">IFERROR(__xludf.UNSUPPORTED("""COMPUTED_VALUE"""),"Terminal Aquaviário de Madre de Deus")</f>
        <v>Terminal Aquaviário de Madre de Deus</v>
      </c>
      <c r="D2875" s="3" t="str">
        <f ca="1">IFERROR(__xludf.UNSUPPORTED("""COMPUTED_VALUE"""),"🚢 REGULAR")</f>
        <v>🚢 REGULAR</v>
      </c>
      <c r="E2875" s="3" t="str">
        <f ca="1">IFERROR(__xludf.UNSUPPORTED("""COMPUTED_VALUE"""),"🚛 LIBERADO")</f>
        <v>🚛 LIBERADO</v>
      </c>
      <c r="F2875" s="5">
        <f ca="1">IFERROR(__xludf.UNSUPPORTED("""COMPUTED_VALUE"""),0)</f>
        <v>0</v>
      </c>
      <c r="G2875" s="3" t="str">
        <f ca="1">IFERROR(__xludf.UNSUPPORTED("""COMPUTED_VALUE"""),"Normalidade")</f>
        <v>Normalidade</v>
      </c>
      <c r="H2875" s="4">
        <f ca="1">IFERROR(__xludf.UNSUPPORTED("""COMPUTED_VALUE"""),45040.510949074)</f>
        <v>45040.510949074</v>
      </c>
      <c r="I2875" s="3">
        <f ca="1">IFERROR(__xludf.UNSUPPORTED("""COMPUTED_VALUE"""),24)</f>
        <v>24</v>
      </c>
      <c r="J2875" s="4">
        <f ca="1">IFERROR(__xludf.UNSUPPORTED("""COMPUTED_VALUE"""),45041.510949074)</f>
        <v>45041.510949074</v>
      </c>
      <c r="L2875" s="3" t="str">
        <f ca="1">IFERROR(__xludf.UNSUPPORTED("""COMPUTED_VALUE"""),"Normalidade")</f>
        <v>Normalidade</v>
      </c>
    </row>
    <row r="2876" spans="1:12" ht="12.75">
      <c r="A2876" s="3" t="str">
        <f ca="1">IFERROR(__xludf.UNSUPPORTED("""COMPUTED_VALUE"""),"f05a31ab")</f>
        <v>f05a31ab</v>
      </c>
      <c r="B2876" s="4">
        <f ca="1">IFERROR(__xludf.UNSUPPORTED("""COMPUTED_VALUE"""),45041.4929398148)</f>
        <v>45041.492939814802</v>
      </c>
      <c r="C2876" s="7" t="str">
        <f ca="1">IFERROR(__xludf.UNSUPPORTED("""COMPUTED_VALUE"""),"Terminal Aquaviário de Madre de Deus")</f>
        <v>Terminal Aquaviário de Madre de Deus</v>
      </c>
      <c r="D2876" s="3" t="str">
        <f ca="1">IFERROR(__xludf.UNSUPPORTED("""COMPUTED_VALUE"""),"🚢 REGULAR")</f>
        <v>🚢 REGULAR</v>
      </c>
      <c r="E2876" s="3" t="str">
        <f ca="1">IFERROR(__xludf.UNSUPPORTED("""COMPUTED_VALUE"""),"🚛 LIBERADO")</f>
        <v>🚛 LIBERADO</v>
      </c>
      <c r="F2876" s="5">
        <f ca="1">IFERROR(__xludf.UNSUPPORTED("""COMPUTED_VALUE"""),0)</f>
        <v>0</v>
      </c>
      <c r="G2876" s="3" t="str">
        <f ca="1">IFERROR(__xludf.UNSUPPORTED("""COMPUTED_VALUE"""),"Normalidade")</f>
        <v>Normalidade</v>
      </c>
      <c r="H2876" s="4">
        <f ca="1">IFERROR(__xludf.UNSUPPORTED("""COMPUTED_VALUE"""),45041.4929398148)</f>
        <v>45041.492939814802</v>
      </c>
      <c r="I2876" s="3">
        <f ca="1">IFERROR(__xludf.UNSUPPORTED("""COMPUTED_VALUE"""),24)</f>
        <v>24</v>
      </c>
      <c r="J2876" s="4">
        <f ca="1">IFERROR(__xludf.UNSUPPORTED("""COMPUTED_VALUE"""),45042.4929398148)</f>
        <v>45042.492939814802</v>
      </c>
      <c r="L2876" s="3" t="str">
        <f ca="1">IFERROR(__xludf.UNSUPPORTED("""COMPUTED_VALUE"""),"Normalidade")</f>
        <v>Normalidade</v>
      </c>
    </row>
    <row r="2877" spans="1:12" ht="12.75">
      <c r="A2877" s="3" t="str">
        <f ca="1">IFERROR(__xludf.UNSUPPORTED("""COMPUTED_VALUE"""),"d305192d")</f>
        <v>d305192d</v>
      </c>
      <c r="B2877" s="4">
        <f ca="1">IFERROR(__xludf.UNSUPPORTED("""COMPUTED_VALUE"""),45042.3304629629)</f>
        <v>45042.330462962898</v>
      </c>
      <c r="C2877" s="8" t="str">
        <f ca="1">IFERROR(__xludf.UNSUPPORTED("""COMPUTED_VALUE"""),"Terminal Aquaviário de Madre de Deus")</f>
        <v>Terminal Aquaviário de Madre de Deus</v>
      </c>
      <c r="D2877" s="3" t="str">
        <f ca="1">IFERROR(__xludf.UNSUPPORTED("""COMPUTED_VALUE"""),"🚢 REGULAR")</f>
        <v>🚢 REGULAR</v>
      </c>
      <c r="E2877" s="3" t="str">
        <f ca="1">IFERROR(__xludf.UNSUPPORTED("""COMPUTED_VALUE"""),"🚛 LIBERADO")</f>
        <v>🚛 LIBERADO</v>
      </c>
      <c r="F2877" s="5">
        <f ca="1">IFERROR(__xludf.UNSUPPORTED("""COMPUTED_VALUE"""),0)</f>
        <v>0</v>
      </c>
      <c r="G2877" s="3" t="str">
        <f ca="1">IFERROR(__xludf.UNSUPPORTED("""COMPUTED_VALUE"""),"Normalidade")</f>
        <v>Normalidade</v>
      </c>
      <c r="H2877" s="4">
        <f ca="1">IFERROR(__xludf.UNSUPPORTED("""COMPUTED_VALUE"""),45042.3304629629)</f>
        <v>45042.330462962898</v>
      </c>
      <c r="I2877" s="3">
        <f ca="1">IFERROR(__xludf.UNSUPPORTED("""COMPUTED_VALUE"""),24)</f>
        <v>24</v>
      </c>
      <c r="J2877" s="4">
        <f ca="1">IFERROR(__xludf.UNSUPPORTED("""COMPUTED_VALUE"""),45043.3304629629)</f>
        <v>45043.330462962898</v>
      </c>
      <c r="L2877" s="3" t="str">
        <f ca="1">IFERROR(__xludf.UNSUPPORTED("""COMPUTED_VALUE"""),"Normalidade")</f>
        <v>Normalidade</v>
      </c>
    </row>
    <row r="2878" spans="1:12" ht="12.75">
      <c r="A2878" s="3" t="str">
        <f ca="1">IFERROR(__xludf.UNSUPPORTED("""COMPUTED_VALUE"""),"cedb62f9")</f>
        <v>cedb62f9</v>
      </c>
      <c r="B2878" s="4">
        <f ca="1">IFERROR(__xludf.UNSUPPORTED("""COMPUTED_VALUE"""),45044.2466550925)</f>
        <v>45044.246655092502</v>
      </c>
      <c r="C2878" s="8" t="str">
        <f ca="1">IFERROR(__xludf.UNSUPPORTED("""COMPUTED_VALUE"""),"Terminal Aquaviário de Madre de Deus")</f>
        <v>Terminal Aquaviário de Madre de Deus</v>
      </c>
      <c r="D2878" s="3" t="str">
        <f ca="1">IFERROR(__xludf.UNSUPPORTED("""COMPUTED_VALUE"""),"🚢 REGULAR")</f>
        <v>🚢 REGULAR</v>
      </c>
      <c r="E2878" s="3" t="str">
        <f ca="1">IFERROR(__xludf.UNSUPPORTED("""COMPUTED_VALUE"""),"🚛 LIBERADO")</f>
        <v>🚛 LIBERADO</v>
      </c>
      <c r="F2878" s="5">
        <f ca="1">IFERROR(__xludf.UNSUPPORTED("""COMPUTED_VALUE"""),0)</f>
        <v>0</v>
      </c>
      <c r="G2878" s="3" t="str">
        <f ca="1">IFERROR(__xludf.UNSUPPORTED("""COMPUTED_VALUE"""),"Normalidade")</f>
        <v>Normalidade</v>
      </c>
      <c r="H2878" s="4">
        <f ca="1">IFERROR(__xludf.UNSUPPORTED("""COMPUTED_VALUE"""),45044.2466550925)</f>
        <v>45044.246655092502</v>
      </c>
      <c r="I2878" s="3">
        <f ca="1">IFERROR(__xludf.UNSUPPORTED("""COMPUTED_VALUE"""),24)</f>
        <v>24</v>
      </c>
      <c r="J2878" s="4">
        <f ca="1">IFERROR(__xludf.UNSUPPORTED("""COMPUTED_VALUE"""),45045.2466550925)</f>
        <v>45045.246655092502</v>
      </c>
      <c r="L2878" s="3" t="str">
        <f ca="1">IFERROR(__xludf.UNSUPPORTED("""COMPUTED_VALUE"""),"Normalidade")</f>
        <v>Normalidade</v>
      </c>
    </row>
    <row r="2879" spans="1:12" ht="12.75">
      <c r="A2879" s="3" t="str">
        <f ca="1">IFERROR(__xludf.UNSUPPORTED("""COMPUTED_VALUE"""),"c64172a2")</f>
        <v>c64172a2</v>
      </c>
      <c r="B2879" s="4">
        <f ca="1">IFERROR(__xludf.UNSUPPORTED("""COMPUTED_VALUE"""),45046.3778703703)</f>
        <v>45046.377870370299</v>
      </c>
      <c r="C2879" s="8" t="str">
        <f ca="1">IFERROR(__xludf.UNSUPPORTED("""COMPUTED_VALUE"""),"Terminal Aquaviário de Madre de Deus")</f>
        <v>Terminal Aquaviário de Madre de Deus</v>
      </c>
      <c r="D2879" s="3" t="str">
        <f ca="1">IFERROR(__xludf.UNSUPPORTED("""COMPUTED_VALUE"""),"🚢 REGULAR")</f>
        <v>🚢 REGULAR</v>
      </c>
      <c r="E2879" s="3" t="str">
        <f ca="1">IFERROR(__xludf.UNSUPPORTED("""COMPUTED_VALUE"""),"🚛 LIBERADO")</f>
        <v>🚛 LIBERADO</v>
      </c>
      <c r="F2879" s="5">
        <f ca="1">IFERROR(__xludf.UNSUPPORTED("""COMPUTED_VALUE"""),0)</f>
        <v>0</v>
      </c>
      <c r="G2879" s="3" t="str">
        <f ca="1">IFERROR(__xludf.UNSUPPORTED("""COMPUTED_VALUE"""),"Normalidade")</f>
        <v>Normalidade</v>
      </c>
      <c r="H2879" s="4">
        <f ca="1">IFERROR(__xludf.UNSUPPORTED("""COMPUTED_VALUE"""),45046.3778703703)</f>
        <v>45046.377870370299</v>
      </c>
      <c r="I2879" s="3">
        <f ca="1">IFERROR(__xludf.UNSUPPORTED("""COMPUTED_VALUE"""),24)</f>
        <v>24</v>
      </c>
      <c r="J2879" s="4">
        <f ca="1">IFERROR(__xludf.UNSUPPORTED("""COMPUTED_VALUE"""),45047.3778703703)</f>
        <v>45047.377870370299</v>
      </c>
      <c r="L2879" s="3" t="str">
        <f ca="1">IFERROR(__xludf.UNSUPPORTED("""COMPUTED_VALUE"""),"Normalidade")</f>
        <v>Normalidade</v>
      </c>
    </row>
    <row r="2880" spans="1:12" ht="12.75">
      <c r="A2880" s="3" t="str">
        <f ca="1">IFERROR(__xludf.UNSUPPORTED("""COMPUTED_VALUE"""),"c9193b47")</f>
        <v>c9193b47</v>
      </c>
      <c r="B2880" s="4">
        <f ca="1">IFERROR(__xludf.UNSUPPORTED("""COMPUTED_VALUE"""),45048.3882754629)</f>
        <v>45048.388275462901</v>
      </c>
      <c r="C2880" s="7" t="str">
        <f ca="1">IFERROR(__xludf.UNSUPPORTED("""COMPUTED_VALUE"""),"Terminal Aquaviário de Madre de Deus")</f>
        <v>Terminal Aquaviário de Madre de Deus</v>
      </c>
      <c r="D2880" s="3" t="str">
        <f ca="1">IFERROR(__xludf.UNSUPPORTED("""COMPUTED_VALUE"""),"🚢 REGULAR")</f>
        <v>🚢 REGULAR</v>
      </c>
      <c r="E2880" s="3" t="str">
        <f ca="1">IFERROR(__xludf.UNSUPPORTED("""COMPUTED_VALUE"""),"🚛 LIBERADO")</f>
        <v>🚛 LIBERADO</v>
      </c>
      <c r="F2880" s="5">
        <f ca="1">IFERROR(__xludf.UNSUPPORTED("""COMPUTED_VALUE"""),0)</f>
        <v>0</v>
      </c>
      <c r="G2880" s="3" t="str">
        <f ca="1">IFERROR(__xludf.UNSUPPORTED("""COMPUTED_VALUE"""),"Normalidade")</f>
        <v>Normalidade</v>
      </c>
      <c r="H2880" s="4">
        <f ca="1">IFERROR(__xludf.UNSUPPORTED("""COMPUTED_VALUE"""),45048.3882754629)</f>
        <v>45048.388275462901</v>
      </c>
      <c r="I2880" s="3">
        <f ca="1">IFERROR(__xludf.UNSUPPORTED("""COMPUTED_VALUE"""),24)</f>
        <v>24</v>
      </c>
      <c r="J2880" s="4">
        <f ca="1">IFERROR(__xludf.UNSUPPORTED("""COMPUTED_VALUE"""),45049.3882754629)</f>
        <v>45049.388275462901</v>
      </c>
      <c r="L2880" s="3" t="str">
        <f ca="1">IFERROR(__xludf.UNSUPPORTED("""COMPUTED_VALUE"""),"Normalidade")</f>
        <v>Normalidade</v>
      </c>
    </row>
    <row r="2881" spans="1:12" ht="12.75">
      <c r="A2881" s="3" t="str">
        <f ca="1">IFERROR(__xludf.UNSUPPORTED("""COMPUTED_VALUE"""),"52e8f661")</f>
        <v>52e8f661</v>
      </c>
      <c r="B2881" s="4">
        <f ca="1">IFERROR(__xludf.UNSUPPORTED("""COMPUTED_VALUE"""),45049.2585532407)</f>
        <v>45049.258553240703</v>
      </c>
      <c r="C2881" s="8" t="str">
        <f ca="1">IFERROR(__xludf.UNSUPPORTED("""COMPUTED_VALUE"""),"Terminal Aquaviário de Madre de Deus")</f>
        <v>Terminal Aquaviário de Madre de Deus</v>
      </c>
      <c r="D2881" s="3" t="str">
        <f ca="1">IFERROR(__xludf.UNSUPPORTED("""COMPUTED_VALUE"""),"🚢 REGULAR")</f>
        <v>🚢 REGULAR</v>
      </c>
      <c r="E2881" s="3" t="str">
        <f ca="1">IFERROR(__xludf.UNSUPPORTED("""COMPUTED_VALUE"""),"🚛 LIBERADO")</f>
        <v>🚛 LIBERADO</v>
      </c>
      <c r="F2881" s="5">
        <f ca="1">IFERROR(__xludf.UNSUPPORTED("""COMPUTED_VALUE"""),0)</f>
        <v>0</v>
      </c>
      <c r="G2881" s="3" t="str">
        <f ca="1">IFERROR(__xludf.UNSUPPORTED("""COMPUTED_VALUE"""),"Normalidade")</f>
        <v>Normalidade</v>
      </c>
      <c r="H2881" s="4">
        <f ca="1">IFERROR(__xludf.UNSUPPORTED("""COMPUTED_VALUE"""),45049.2585532407)</f>
        <v>45049.258553240703</v>
      </c>
      <c r="I2881" s="3">
        <f ca="1">IFERROR(__xludf.UNSUPPORTED("""COMPUTED_VALUE"""),24)</f>
        <v>24</v>
      </c>
      <c r="J2881" s="4">
        <f ca="1">IFERROR(__xludf.UNSUPPORTED("""COMPUTED_VALUE"""),45050.2585532407)</f>
        <v>45050.258553240703</v>
      </c>
      <c r="L2881" s="3" t="str">
        <f ca="1">IFERROR(__xludf.UNSUPPORTED("""COMPUTED_VALUE"""),"Normalidade")</f>
        <v>Normalidade</v>
      </c>
    </row>
    <row r="2882" spans="1:12" ht="12.75">
      <c r="A2882" s="3" t="str">
        <f ca="1">IFERROR(__xludf.UNSUPPORTED("""COMPUTED_VALUE"""),"f104fcdc")</f>
        <v>f104fcdc</v>
      </c>
      <c r="B2882" s="4">
        <f ca="1">IFERROR(__xludf.UNSUPPORTED("""COMPUTED_VALUE"""),45051.2798842592)</f>
        <v>45051.279884259202</v>
      </c>
      <c r="C2882" s="7" t="str">
        <f ca="1">IFERROR(__xludf.UNSUPPORTED("""COMPUTED_VALUE"""),"Terminal Aquaviário de Madre de Deus")</f>
        <v>Terminal Aquaviário de Madre de Deus</v>
      </c>
      <c r="D2882" s="3" t="str">
        <f ca="1">IFERROR(__xludf.UNSUPPORTED("""COMPUTED_VALUE"""),"🚢 REGULAR")</f>
        <v>🚢 REGULAR</v>
      </c>
      <c r="E2882" s="3" t="str">
        <f ca="1">IFERROR(__xludf.UNSUPPORTED("""COMPUTED_VALUE"""),"🚛 LIBERADO")</f>
        <v>🚛 LIBERADO</v>
      </c>
      <c r="F2882" s="5">
        <f ca="1">IFERROR(__xludf.UNSUPPORTED("""COMPUTED_VALUE"""),0)</f>
        <v>0</v>
      </c>
      <c r="G2882" s="3" t="str">
        <f ca="1">IFERROR(__xludf.UNSUPPORTED("""COMPUTED_VALUE"""),"Normalidade")</f>
        <v>Normalidade</v>
      </c>
      <c r="H2882" s="4">
        <f ca="1">IFERROR(__xludf.UNSUPPORTED("""COMPUTED_VALUE"""),45051.2798842592)</f>
        <v>45051.279884259202</v>
      </c>
      <c r="I2882" s="3">
        <f ca="1">IFERROR(__xludf.UNSUPPORTED("""COMPUTED_VALUE"""),24)</f>
        <v>24</v>
      </c>
      <c r="J2882" s="4">
        <f ca="1">IFERROR(__xludf.UNSUPPORTED("""COMPUTED_VALUE"""),45052.2798842592)</f>
        <v>45052.279884259202</v>
      </c>
      <c r="L2882" s="3" t="str">
        <f ca="1">IFERROR(__xludf.UNSUPPORTED("""COMPUTED_VALUE"""),"Normalidade")</f>
        <v>Normalidade</v>
      </c>
    </row>
    <row r="2883" spans="1:12" ht="12.75">
      <c r="A2883" s="3" t="str">
        <f ca="1">IFERROR(__xludf.UNSUPPORTED("""COMPUTED_VALUE"""),"e74f63cf")</f>
        <v>e74f63cf</v>
      </c>
      <c r="B2883" s="4">
        <f ca="1">IFERROR(__xludf.UNSUPPORTED("""COMPUTED_VALUE"""),45053.7203703703)</f>
        <v>45053.720370370298</v>
      </c>
      <c r="C2883" s="8" t="str">
        <f ca="1">IFERROR(__xludf.UNSUPPORTED("""COMPUTED_VALUE"""),"Terminal Aquaviário de Madre de Deus")</f>
        <v>Terminal Aquaviário de Madre de Deus</v>
      </c>
      <c r="D2883" s="3" t="str">
        <f ca="1">IFERROR(__xludf.UNSUPPORTED("""COMPUTED_VALUE"""),"🚢 REGULAR")</f>
        <v>🚢 REGULAR</v>
      </c>
      <c r="E2883" s="3" t="str">
        <f ca="1">IFERROR(__xludf.UNSUPPORTED("""COMPUTED_VALUE"""),"🚛 LIBERADO")</f>
        <v>🚛 LIBERADO</v>
      </c>
      <c r="F2883" s="5">
        <f ca="1">IFERROR(__xludf.UNSUPPORTED("""COMPUTED_VALUE"""),0)</f>
        <v>0</v>
      </c>
      <c r="G2883" s="3" t="str">
        <f ca="1">IFERROR(__xludf.UNSUPPORTED("""COMPUTED_VALUE"""),"Normalidade")</f>
        <v>Normalidade</v>
      </c>
      <c r="H2883" s="4">
        <f ca="1">IFERROR(__xludf.UNSUPPORTED("""COMPUTED_VALUE"""),45053.7203703703)</f>
        <v>45053.720370370298</v>
      </c>
      <c r="I2883" s="3">
        <f ca="1">IFERROR(__xludf.UNSUPPORTED("""COMPUTED_VALUE"""),24)</f>
        <v>24</v>
      </c>
      <c r="J2883" s="4">
        <f ca="1">IFERROR(__xludf.UNSUPPORTED("""COMPUTED_VALUE"""),45054.7203703703)</f>
        <v>45054.720370370298</v>
      </c>
      <c r="L2883" s="3" t="str">
        <f ca="1">IFERROR(__xludf.UNSUPPORTED("""COMPUTED_VALUE"""),"Normalidade")</f>
        <v>Normalidade</v>
      </c>
    </row>
    <row r="2884" spans="1:12" ht="12.75">
      <c r="A2884" s="3" t="str">
        <f ca="1">IFERROR(__xludf.UNSUPPORTED("""COMPUTED_VALUE"""),"0fca174d")</f>
        <v>0fca174d</v>
      </c>
      <c r="B2884" s="4">
        <f ca="1">IFERROR(__xludf.UNSUPPORTED("""COMPUTED_VALUE"""),45054.4402893518)</f>
        <v>45054.440289351798</v>
      </c>
      <c r="C2884" s="7" t="str">
        <f ca="1">IFERROR(__xludf.UNSUPPORTED("""COMPUTED_VALUE"""),"Terminal Aquaviário de Madre de Deus")</f>
        <v>Terminal Aquaviário de Madre de Deus</v>
      </c>
      <c r="D2884" s="3" t="str">
        <f ca="1">IFERROR(__xludf.UNSUPPORTED("""COMPUTED_VALUE"""),"🚢 REGULAR")</f>
        <v>🚢 REGULAR</v>
      </c>
      <c r="E2884" s="3" t="str">
        <f ca="1">IFERROR(__xludf.UNSUPPORTED("""COMPUTED_VALUE"""),"🚛 LIBERADO")</f>
        <v>🚛 LIBERADO</v>
      </c>
      <c r="F2884" s="5">
        <f ca="1">IFERROR(__xludf.UNSUPPORTED("""COMPUTED_VALUE"""),0)</f>
        <v>0</v>
      </c>
      <c r="G2884" s="3" t="str">
        <f ca="1">IFERROR(__xludf.UNSUPPORTED("""COMPUTED_VALUE"""),"Normalidade")</f>
        <v>Normalidade</v>
      </c>
      <c r="H2884" s="4">
        <f ca="1">IFERROR(__xludf.UNSUPPORTED("""COMPUTED_VALUE"""),45054.4402893518)</f>
        <v>45054.440289351798</v>
      </c>
      <c r="I2884" s="3">
        <f ca="1">IFERROR(__xludf.UNSUPPORTED("""COMPUTED_VALUE"""),24)</f>
        <v>24</v>
      </c>
      <c r="J2884" s="4">
        <f ca="1">IFERROR(__xludf.UNSUPPORTED("""COMPUTED_VALUE"""),45055.4402893518)</f>
        <v>45055.440289351798</v>
      </c>
      <c r="L2884" s="3" t="str">
        <f ca="1">IFERROR(__xludf.UNSUPPORTED("""COMPUTED_VALUE"""),"Normalidade")</f>
        <v>Normalidade</v>
      </c>
    </row>
    <row r="2885" spans="1:12" ht="12.75">
      <c r="A2885" s="3" t="str">
        <f ca="1">IFERROR(__xludf.UNSUPPORTED("""COMPUTED_VALUE"""),"d8a26948")</f>
        <v>d8a26948</v>
      </c>
      <c r="B2885" s="4">
        <f ca="1">IFERROR(__xludf.UNSUPPORTED("""COMPUTED_VALUE"""),45055.2876851851)</f>
        <v>45055.287685185103</v>
      </c>
      <c r="C2885" s="7" t="str">
        <f ca="1">IFERROR(__xludf.UNSUPPORTED("""COMPUTED_VALUE"""),"Terminal Aquaviário de Madre de Deus")</f>
        <v>Terminal Aquaviário de Madre de Deus</v>
      </c>
      <c r="D2885" s="3" t="str">
        <f ca="1">IFERROR(__xludf.UNSUPPORTED("""COMPUTED_VALUE"""),"🚢 REGULAR")</f>
        <v>🚢 REGULAR</v>
      </c>
      <c r="E2885" s="3" t="str">
        <f ca="1">IFERROR(__xludf.UNSUPPORTED("""COMPUTED_VALUE"""),"🚛 LIBERADO")</f>
        <v>🚛 LIBERADO</v>
      </c>
      <c r="F2885" s="5">
        <f ca="1">IFERROR(__xludf.UNSUPPORTED("""COMPUTED_VALUE"""),0)</f>
        <v>0</v>
      </c>
      <c r="G2885" s="3" t="str">
        <f ca="1">IFERROR(__xludf.UNSUPPORTED("""COMPUTED_VALUE"""),"Normalidade")</f>
        <v>Normalidade</v>
      </c>
      <c r="H2885" s="4">
        <f ca="1">IFERROR(__xludf.UNSUPPORTED("""COMPUTED_VALUE"""),45055.2876851851)</f>
        <v>45055.287685185103</v>
      </c>
      <c r="I2885" s="3">
        <f ca="1">IFERROR(__xludf.UNSUPPORTED("""COMPUTED_VALUE"""),24)</f>
        <v>24</v>
      </c>
      <c r="J2885" s="4">
        <f ca="1">IFERROR(__xludf.UNSUPPORTED("""COMPUTED_VALUE"""),45056.2876851851)</f>
        <v>45056.287685185103</v>
      </c>
      <c r="L2885" s="3" t="str">
        <f ca="1">IFERROR(__xludf.UNSUPPORTED("""COMPUTED_VALUE"""),"Normalidade")</f>
        <v>Normalidade</v>
      </c>
    </row>
    <row r="2886" spans="1:12" ht="12.75">
      <c r="A2886" s="3" t="str">
        <f ca="1">IFERROR(__xludf.UNSUPPORTED("""COMPUTED_VALUE"""),"3c1c1565")</f>
        <v>3c1c1565</v>
      </c>
      <c r="B2886" s="4">
        <f ca="1">IFERROR(__xludf.UNSUPPORTED("""COMPUTED_VALUE"""),45058.2724768518)</f>
        <v>45058.272476851802</v>
      </c>
      <c r="C2886" s="8" t="str">
        <f ca="1">IFERROR(__xludf.UNSUPPORTED("""COMPUTED_VALUE"""),"Terminal Aquaviário de Madre de Deus")</f>
        <v>Terminal Aquaviário de Madre de Deus</v>
      </c>
      <c r="D2886" s="3" t="str">
        <f ca="1">IFERROR(__xludf.UNSUPPORTED("""COMPUTED_VALUE"""),"🚢 REGULAR")</f>
        <v>🚢 REGULAR</v>
      </c>
      <c r="E2886" s="3" t="str">
        <f ca="1">IFERROR(__xludf.UNSUPPORTED("""COMPUTED_VALUE"""),"🚛 LIBERADO")</f>
        <v>🚛 LIBERADO</v>
      </c>
      <c r="F2886" s="5">
        <f ca="1">IFERROR(__xludf.UNSUPPORTED("""COMPUTED_VALUE"""),0)</f>
        <v>0</v>
      </c>
      <c r="G2886" s="3" t="str">
        <f ca="1">IFERROR(__xludf.UNSUPPORTED("""COMPUTED_VALUE"""),"Normalidade")</f>
        <v>Normalidade</v>
      </c>
      <c r="H2886" s="4">
        <f ca="1">IFERROR(__xludf.UNSUPPORTED("""COMPUTED_VALUE"""),45058.2724768518)</f>
        <v>45058.272476851802</v>
      </c>
      <c r="I2886" s="3">
        <f ca="1">IFERROR(__xludf.UNSUPPORTED("""COMPUTED_VALUE"""),24)</f>
        <v>24</v>
      </c>
      <c r="J2886" s="4">
        <f ca="1">IFERROR(__xludf.UNSUPPORTED("""COMPUTED_VALUE"""),45059.2724768518)</f>
        <v>45059.272476851802</v>
      </c>
      <c r="L2886" s="3" t="str">
        <f ca="1">IFERROR(__xludf.UNSUPPORTED("""COMPUTED_VALUE"""),"Normalidade")</f>
        <v>Normalidade</v>
      </c>
    </row>
    <row r="2887" spans="1:12" ht="12.75">
      <c r="A2887" s="3" t="str">
        <f ca="1">IFERROR(__xludf.UNSUPPORTED("""COMPUTED_VALUE"""),"e2f37a63")</f>
        <v>e2f37a63</v>
      </c>
      <c r="B2887" s="4">
        <f ca="1">IFERROR(__xludf.UNSUPPORTED("""COMPUTED_VALUE"""),45060.3991435185)</f>
        <v>45060.399143518502</v>
      </c>
      <c r="C2887" s="7" t="str">
        <f ca="1">IFERROR(__xludf.UNSUPPORTED("""COMPUTED_VALUE"""),"Terminal Aquaviário de Madre de Deus")</f>
        <v>Terminal Aquaviário de Madre de Deus</v>
      </c>
      <c r="D2887" s="3" t="str">
        <f ca="1">IFERROR(__xludf.UNSUPPORTED("""COMPUTED_VALUE"""),"🚢 REGULAR")</f>
        <v>🚢 REGULAR</v>
      </c>
      <c r="E2887" s="3" t="str">
        <f ca="1">IFERROR(__xludf.UNSUPPORTED("""COMPUTED_VALUE"""),"🚛 LIBERADO")</f>
        <v>🚛 LIBERADO</v>
      </c>
      <c r="F2887" s="5">
        <f ca="1">IFERROR(__xludf.UNSUPPORTED("""COMPUTED_VALUE"""),0)</f>
        <v>0</v>
      </c>
      <c r="G2887" s="3" t="str">
        <f ca="1">IFERROR(__xludf.UNSUPPORTED("""COMPUTED_VALUE"""),"Normalidade")</f>
        <v>Normalidade</v>
      </c>
      <c r="H2887" s="4">
        <f ca="1">IFERROR(__xludf.UNSUPPORTED("""COMPUTED_VALUE"""),45060.3991435185)</f>
        <v>45060.399143518502</v>
      </c>
      <c r="I2887" s="3">
        <f ca="1">IFERROR(__xludf.UNSUPPORTED("""COMPUTED_VALUE"""),24)</f>
        <v>24</v>
      </c>
      <c r="J2887" s="4">
        <f ca="1">IFERROR(__xludf.UNSUPPORTED("""COMPUTED_VALUE"""),45061.3991435185)</f>
        <v>45061.399143518502</v>
      </c>
      <c r="L2887" s="3" t="str">
        <f ca="1">IFERROR(__xludf.UNSUPPORTED("""COMPUTED_VALUE"""),"Normalidade")</f>
        <v>Normalidade</v>
      </c>
    </row>
    <row r="2888" spans="1:12" ht="12.75">
      <c r="A2888" s="3" t="str">
        <f ca="1">IFERROR(__xludf.UNSUPPORTED("""COMPUTED_VALUE"""),"ffb80eba")</f>
        <v>ffb80eba</v>
      </c>
      <c r="B2888" s="4">
        <f ca="1">IFERROR(__xludf.UNSUPPORTED("""COMPUTED_VALUE"""),45061.3206828703)</f>
        <v>45061.320682870297</v>
      </c>
      <c r="C2888" s="8" t="str">
        <f ca="1">IFERROR(__xludf.UNSUPPORTED("""COMPUTED_VALUE"""),"Terminal Aquaviário de Madre de Deus")</f>
        <v>Terminal Aquaviário de Madre de Deus</v>
      </c>
      <c r="D2888" s="3" t="str">
        <f ca="1">IFERROR(__xludf.UNSUPPORTED("""COMPUTED_VALUE"""),"🚢 REGULAR")</f>
        <v>🚢 REGULAR</v>
      </c>
      <c r="E2888" s="3" t="str">
        <f ca="1">IFERROR(__xludf.UNSUPPORTED("""COMPUTED_VALUE"""),"🚛 LIBERADO")</f>
        <v>🚛 LIBERADO</v>
      </c>
      <c r="F2888" s="5">
        <f ca="1">IFERROR(__xludf.UNSUPPORTED("""COMPUTED_VALUE"""),0)</f>
        <v>0</v>
      </c>
      <c r="G2888" s="3" t="str">
        <f ca="1">IFERROR(__xludf.UNSUPPORTED("""COMPUTED_VALUE"""),"Normalidade")</f>
        <v>Normalidade</v>
      </c>
      <c r="H2888" s="4">
        <f ca="1">IFERROR(__xludf.UNSUPPORTED("""COMPUTED_VALUE"""),45061.3206828703)</f>
        <v>45061.320682870297</v>
      </c>
      <c r="I2888" s="3">
        <f ca="1">IFERROR(__xludf.UNSUPPORTED("""COMPUTED_VALUE"""),24)</f>
        <v>24</v>
      </c>
      <c r="J2888" s="4">
        <f ca="1">IFERROR(__xludf.UNSUPPORTED("""COMPUTED_VALUE"""),45062.3206828703)</f>
        <v>45062.320682870297</v>
      </c>
      <c r="L2888" s="3" t="str">
        <f ca="1">IFERROR(__xludf.UNSUPPORTED("""COMPUTED_VALUE"""),"Normalidade")</f>
        <v>Normalidade</v>
      </c>
    </row>
    <row r="2889" spans="1:12" ht="12.75">
      <c r="A2889" s="3" t="str">
        <f ca="1">IFERROR(__xludf.UNSUPPORTED("""COMPUTED_VALUE"""),"a1cb5f0b")</f>
        <v>a1cb5f0b</v>
      </c>
      <c r="B2889" s="4">
        <f ca="1">IFERROR(__xludf.UNSUPPORTED("""COMPUTED_VALUE"""),45064.2826851851)</f>
        <v>45064.282685185099</v>
      </c>
      <c r="C2889" s="7" t="str">
        <f ca="1">IFERROR(__xludf.UNSUPPORTED("""COMPUTED_VALUE"""),"Terminal Aquaviário de Madre de Deus")</f>
        <v>Terminal Aquaviário de Madre de Deus</v>
      </c>
      <c r="D2889" s="3" t="str">
        <f ca="1">IFERROR(__xludf.UNSUPPORTED("""COMPUTED_VALUE"""),"🚢 REGULAR")</f>
        <v>🚢 REGULAR</v>
      </c>
      <c r="E2889" s="3" t="str">
        <f ca="1">IFERROR(__xludf.UNSUPPORTED("""COMPUTED_VALUE"""),"🚛 LIBERADO")</f>
        <v>🚛 LIBERADO</v>
      </c>
      <c r="F2889" s="5">
        <f ca="1">IFERROR(__xludf.UNSUPPORTED("""COMPUTED_VALUE"""),0)</f>
        <v>0</v>
      </c>
      <c r="G2889" s="3" t="str">
        <f ca="1">IFERROR(__xludf.UNSUPPORTED("""COMPUTED_VALUE"""),"Normalidade")</f>
        <v>Normalidade</v>
      </c>
      <c r="H2889" s="4">
        <f ca="1">IFERROR(__xludf.UNSUPPORTED("""COMPUTED_VALUE"""),45064.2826851851)</f>
        <v>45064.282685185099</v>
      </c>
      <c r="I2889" s="3">
        <f ca="1">IFERROR(__xludf.UNSUPPORTED("""COMPUTED_VALUE"""),24)</f>
        <v>24</v>
      </c>
      <c r="J2889" s="4">
        <f ca="1">IFERROR(__xludf.UNSUPPORTED("""COMPUTED_VALUE"""),45065.2826851851)</f>
        <v>45065.282685185099</v>
      </c>
      <c r="L2889" s="3" t="str">
        <f ca="1">IFERROR(__xludf.UNSUPPORTED("""COMPUTED_VALUE"""),"Normalidade")</f>
        <v>Normalidade</v>
      </c>
    </row>
    <row r="2890" spans="1:12" ht="12.75">
      <c r="A2890" s="3" t="str">
        <f ca="1">IFERROR(__xludf.UNSUPPORTED("""COMPUTED_VALUE"""),"721f8bf7")</f>
        <v>721f8bf7</v>
      </c>
      <c r="B2890" s="4">
        <f ca="1">IFERROR(__xludf.UNSUPPORTED("""COMPUTED_VALUE"""),45066.4646412037)</f>
        <v>45066.464641203696</v>
      </c>
      <c r="C2890" s="8" t="str">
        <f ca="1">IFERROR(__xludf.UNSUPPORTED("""COMPUTED_VALUE"""),"Terminal Aquaviário de Madre de Deus")</f>
        <v>Terminal Aquaviário de Madre de Deus</v>
      </c>
      <c r="D2890" s="3" t="str">
        <f ca="1">IFERROR(__xludf.UNSUPPORTED("""COMPUTED_VALUE"""),"🚢 REGULAR")</f>
        <v>🚢 REGULAR</v>
      </c>
      <c r="E2890" s="3" t="str">
        <f ca="1">IFERROR(__xludf.UNSUPPORTED("""COMPUTED_VALUE"""),"🚛 LIBERADO")</f>
        <v>🚛 LIBERADO</v>
      </c>
      <c r="F2890" s="5">
        <f ca="1">IFERROR(__xludf.UNSUPPORTED("""COMPUTED_VALUE"""),0)</f>
        <v>0</v>
      </c>
      <c r="G2890" s="3" t="str">
        <f ca="1">IFERROR(__xludf.UNSUPPORTED("""COMPUTED_VALUE"""),"Normalidade")</f>
        <v>Normalidade</v>
      </c>
      <c r="H2890" s="4">
        <f ca="1">IFERROR(__xludf.UNSUPPORTED("""COMPUTED_VALUE"""),45066.4646412037)</f>
        <v>45066.464641203696</v>
      </c>
      <c r="I2890" s="3">
        <f ca="1">IFERROR(__xludf.UNSUPPORTED("""COMPUTED_VALUE"""),24)</f>
        <v>24</v>
      </c>
      <c r="J2890" s="4">
        <f ca="1">IFERROR(__xludf.UNSUPPORTED("""COMPUTED_VALUE"""),45067.4646412037)</f>
        <v>45067.464641203696</v>
      </c>
      <c r="L2890" s="3" t="str">
        <f ca="1">IFERROR(__xludf.UNSUPPORTED("""COMPUTED_VALUE"""),"Normalidade")</f>
        <v>Normalidade</v>
      </c>
    </row>
    <row r="2891" spans="1:12" ht="12.75">
      <c r="A2891" s="3" t="str">
        <f ca="1">IFERROR(__xludf.UNSUPPORTED("""COMPUTED_VALUE"""),"d7a7547c")</f>
        <v>d7a7547c</v>
      </c>
      <c r="B2891" s="4">
        <f ca="1">IFERROR(__xludf.UNSUPPORTED("""COMPUTED_VALUE"""),45067.2768634259)</f>
        <v>45067.276863425897</v>
      </c>
      <c r="C2891" s="8" t="str">
        <f ca="1">IFERROR(__xludf.UNSUPPORTED("""COMPUTED_VALUE"""),"Terminal Aquaviário de Madre de Deus")</f>
        <v>Terminal Aquaviário de Madre de Deus</v>
      </c>
      <c r="D2891" s="3" t="str">
        <f ca="1">IFERROR(__xludf.UNSUPPORTED("""COMPUTED_VALUE"""),"🚢 REGULAR")</f>
        <v>🚢 REGULAR</v>
      </c>
      <c r="E2891" s="3" t="str">
        <f ca="1">IFERROR(__xludf.UNSUPPORTED("""COMPUTED_VALUE"""),"🚛 LIBERADO")</f>
        <v>🚛 LIBERADO</v>
      </c>
      <c r="F2891" s="5">
        <f ca="1">IFERROR(__xludf.UNSUPPORTED("""COMPUTED_VALUE"""),0)</f>
        <v>0</v>
      </c>
      <c r="G2891" s="3" t="str">
        <f ca="1">IFERROR(__xludf.UNSUPPORTED("""COMPUTED_VALUE"""),"Normalidade")</f>
        <v>Normalidade</v>
      </c>
      <c r="H2891" s="4">
        <f ca="1">IFERROR(__xludf.UNSUPPORTED("""COMPUTED_VALUE"""),45067.2768634259)</f>
        <v>45067.276863425897</v>
      </c>
      <c r="I2891" s="3">
        <f ca="1">IFERROR(__xludf.UNSUPPORTED("""COMPUTED_VALUE"""),24)</f>
        <v>24</v>
      </c>
      <c r="J2891" s="4">
        <f ca="1">IFERROR(__xludf.UNSUPPORTED("""COMPUTED_VALUE"""),45068.2768634259)</f>
        <v>45068.276863425897</v>
      </c>
      <c r="L2891" s="3" t="str">
        <f ca="1">IFERROR(__xludf.UNSUPPORTED("""COMPUTED_VALUE"""),"Normalidade")</f>
        <v>Normalidade</v>
      </c>
    </row>
    <row r="2892" spans="1:12" ht="12.75">
      <c r="A2892" s="3" t="str">
        <f ca="1">IFERROR(__xludf.UNSUPPORTED("""COMPUTED_VALUE"""),"fbac80c5")</f>
        <v>fbac80c5</v>
      </c>
      <c r="B2892" s="4">
        <f ca="1">IFERROR(__xludf.UNSUPPORTED("""COMPUTED_VALUE"""),45069.2621180555)</f>
        <v>45069.2621180555</v>
      </c>
      <c r="C2892" s="7" t="str">
        <f ca="1">IFERROR(__xludf.UNSUPPORTED("""COMPUTED_VALUE"""),"Terminal Aquaviário de Madre de Deus")</f>
        <v>Terminal Aquaviário de Madre de Deus</v>
      </c>
      <c r="D2892" s="3" t="str">
        <f ca="1">IFERROR(__xludf.UNSUPPORTED("""COMPUTED_VALUE"""),"🚢 REGULAR")</f>
        <v>🚢 REGULAR</v>
      </c>
      <c r="E2892" s="3" t="str">
        <f ca="1">IFERROR(__xludf.UNSUPPORTED("""COMPUTED_VALUE"""),"🚛 LIBERADO")</f>
        <v>🚛 LIBERADO</v>
      </c>
      <c r="F2892" s="5">
        <f ca="1">IFERROR(__xludf.UNSUPPORTED("""COMPUTED_VALUE"""),0)</f>
        <v>0</v>
      </c>
      <c r="G2892" s="3" t="str">
        <f ca="1">IFERROR(__xludf.UNSUPPORTED("""COMPUTED_VALUE"""),"Normalidade")</f>
        <v>Normalidade</v>
      </c>
      <c r="H2892" s="4">
        <f ca="1">IFERROR(__xludf.UNSUPPORTED("""COMPUTED_VALUE"""),45069.2621180555)</f>
        <v>45069.2621180555</v>
      </c>
      <c r="I2892" s="3">
        <f ca="1">IFERROR(__xludf.UNSUPPORTED("""COMPUTED_VALUE"""),24)</f>
        <v>24</v>
      </c>
      <c r="J2892" s="4">
        <f ca="1">IFERROR(__xludf.UNSUPPORTED("""COMPUTED_VALUE"""),45070.2621180555)</f>
        <v>45070.2621180555</v>
      </c>
      <c r="L2892" s="3" t="str">
        <f ca="1">IFERROR(__xludf.UNSUPPORTED("""COMPUTED_VALUE"""),"Normalidade")</f>
        <v>Normalidade</v>
      </c>
    </row>
    <row r="2893" spans="1:12" ht="12.75">
      <c r="A2893" s="3" t="str">
        <f ca="1">IFERROR(__xludf.UNSUPPORTED("""COMPUTED_VALUE"""),"67a228b5")</f>
        <v>67a228b5</v>
      </c>
      <c r="B2893" s="4">
        <f ca="1">IFERROR(__xludf.UNSUPPORTED("""COMPUTED_VALUE"""),45071.2622800925)</f>
        <v>45071.262280092502</v>
      </c>
      <c r="C2893" s="7" t="str">
        <f ca="1">IFERROR(__xludf.UNSUPPORTED("""COMPUTED_VALUE"""),"Terminal Aquaviário de Madre de Deus")</f>
        <v>Terminal Aquaviário de Madre de Deus</v>
      </c>
      <c r="D2893" s="3" t="str">
        <f ca="1">IFERROR(__xludf.UNSUPPORTED("""COMPUTED_VALUE"""),"🚢 REGULAR")</f>
        <v>🚢 REGULAR</v>
      </c>
      <c r="E2893" s="3" t="str">
        <f ca="1">IFERROR(__xludf.UNSUPPORTED("""COMPUTED_VALUE"""),"🚛 LIBERADO")</f>
        <v>🚛 LIBERADO</v>
      </c>
      <c r="F2893" s="5">
        <f ca="1">IFERROR(__xludf.UNSUPPORTED("""COMPUTED_VALUE"""),0)</f>
        <v>0</v>
      </c>
      <c r="G2893" s="3" t="str">
        <f ca="1">IFERROR(__xludf.UNSUPPORTED("""COMPUTED_VALUE"""),"Normalidade")</f>
        <v>Normalidade</v>
      </c>
      <c r="H2893" s="4">
        <f ca="1">IFERROR(__xludf.UNSUPPORTED("""COMPUTED_VALUE"""),45071.2622800925)</f>
        <v>45071.262280092502</v>
      </c>
      <c r="I2893" s="3">
        <f ca="1">IFERROR(__xludf.UNSUPPORTED("""COMPUTED_VALUE"""),24)</f>
        <v>24</v>
      </c>
      <c r="J2893" s="4">
        <f ca="1">IFERROR(__xludf.UNSUPPORTED("""COMPUTED_VALUE"""),45072.2622800925)</f>
        <v>45072.262280092502</v>
      </c>
      <c r="L2893" s="3" t="str">
        <f ca="1">IFERROR(__xludf.UNSUPPORTED("""COMPUTED_VALUE"""),"Normalidade")</f>
        <v>Normalidade</v>
      </c>
    </row>
    <row r="2894" spans="1:12" ht="12.75">
      <c r="A2894" s="3" t="str">
        <f ca="1">IFERROR(__xludf.UNSUPPORTED("""COMPUTED_VALUE"""),"e769700c")</f>
        <v>e769700c</v>
      </c>
      <c r="B2894" s="4">
        <f ca="1">IFERROR(__xludf.UNSUPPORTED("""COMPUTED_VALUE"""),45073.4599652777)</f>
        <v>45073.459965277703</v>
      </c>
      <c r="C2894" s="8" t="str">
        <f ca="1">IFERROR(__xludf.UNSUPPORTED("""COMPUTED_VALUE"""),"Terminal Aquaviário de Madre de Deus")</f>
        <v>Terminal Aquaviário de Madre de Deus</v>
      </c>
      <c r="D2894" s="3" t="str">
        <f ca="1">IFERROR(__xludf.UNSUPPORTED("""COMPUTED_VALUE"""),"🚢 REGULAR")</f>
        <v>🚢 REGULAR</v>
      </c>
      <c r="E2894" s="3" t="str">
        <f ca="1">IFERROR(__xludf.UNSUPPORTED("""COMPUTED_VALUE"""),"🚛 LIBERADO")</f>
        <v>🚛 LIBERADO</v>
      </c>
      <c r="F2894" s="5">
        <f ca="1">IFERROR(__xludf.UNSUPPORTED("""COMPUTED_VALUE"""),0)</f>
        <v>0</v>
      </c>
      <c r="G2894" s="3" t="str">
        <f ca="1">IFERROR(__xludf.UNSUPPORTED("""COMPUTED_VALUE"""),"Normalidade")</f>
        <v>Normalidade</v>
      </c>
      <c r="H2894" s="4">
        <f ca="1">IFERROR(__xludf.UNSUPPORTED("""COMPUTED_VALUE"""),45073.4599652777)</f>
        <v>45073.459965277703</v>
      </c>
      <c r="I2894" s="3">
        <f ca="1">IFERROR(__xludf.UNSUPPORTED("""COMPUTED_VALUE"""),24)</f>
        <v>24</v>
      </c>
      <c r="J2894" s="4">
        <f ca="1">IFERROR(__xludf.UNSUPPORTED("""COMPUTED_VALUE"""),45074.4599652777)</f>
        <v>45074.459965277703</v>
      </c>
      <c r="L2894" s="3" t="str">
        <f ca="1">IFERROR(__xludf.UNSUPPORTED("""COMPUTED_VALUE"""),"Normalidade")</f>
        <v>Normalidade</v>
      </c>
    </row>
    <row r="2895" spans="1:12" ht="12.75">
      <c r="A2895" s="3" t="str">
        <f ca="1">IFERROR(__xludf.UNSUPPORTED("""COMPUTED_VALUE"""),"6d98508a")</f>
        <v>6d98508a</v>
      </c>
      <c r="B2895" s="4">
        <f ca="1">IFERROR(__xludf.UNSUPPORTED("""COMPUTED_VALUE"""),45074.3895833333)</f>
        <v>45074.389583333301</v>
      </c>
      <c r="C2895" s="8" t="str">
        <f ca="1">IFERROR(__xludf.UNSUPPORTED("""COMPUTED_VALUE"""),"Terminal Aquaviário de Madre de Deus")</f>
        <v>Terminal Aquaviário de Madre de Deus</v>
      </c>
      <c r="D2895" s="3" t="str">
        <f ca="1">IFERROR(__xludf.UNSUPPORTED("""COMPUTED_VALUE"""),"🚢 REGULAR")</f>
        <v>🚢 REGULAR</v>
      </c>
      <c r="E2895" s="3" t="str">
        <f ca="1">IFERROR(__xludf.UNSUPPORTED("""COMPUTED_VALUE"""),"🚛 LIBERADO")</f>
        <v>🚛 LIBERADO</v>
      </c>
      <c r="F2895" s="5">
        <f ca="1">IFERROR(__xludf.UNSUPPORTED("""COMPUTED_VALUE"""),0)</f>
        <v>0</v>
      </c>
      <c r="G2895" s="3" t="str">
        <f ca="1">IFERROR(__xludf.UNSUPPORTED("""COMPUTED_VALUE"""),"Normalidade")</f>
        <v>Normalidade</v>
      </c>
      <c r="H2895" s="4">
        <f ca="1">IFERROR(__xludf.UNSUPPORTED("""COMPUTED_VALUE"""),45074.3895833333)</f>
        <v>45074.389583333301</v>
      </c>
      <c r="I2895" s="3">
        <f ca="1">IFERROR(__xludf.UNSUPPORTED("""COMPUTED_VALUE"""),24)</f>
        <v>24</v>
      </c>
      <c r="J2895" s="4">
        <f ca="1">IFERROR(__xludf.UNSUPPORTED("""COMPUTED_VALUE"""),45075.3895833333)</f>
        <v>45075.389583333301</v>
      </c>
      <c r="L2895" s="3" t="str">
        <f ca="1">IFERROR(__xludf.UNSUPPORTED("""COMPUTED_VALUE"""),"Normalidade")</f>
        <v>Normalidade</v>
      </c>
    </row>
    <row r="2896" spans="1:12" ht="12.75">
      <c r="A2896" s="3" t="str">
        <f ca="1">IFERROR(__xludf.UNSUPPORTED("""COMPUTED_VALUE"""),"c1d70423")</f>
        <v>c1d70423</v>
      </c>
      <c r="B2896" s="4">
        <f ca="1">IFERROR(__xludf.UNSUPPORTED("""COMPUTED_VALUE"""),45076.3558449074)</f>
        <v>45076.355844907397</v>
      </c>
      <c r="C2896" s="8" t="str">
        <f ca="1">IFERROR(__xludf.UNSUPPORTED("""COMPUTED_VALUE"""),"Terminal Aquaviário de Madre de Deus")</f>
        <v>Terminal Aquaviário de Madre de Deus</v>
      </c>
      <c r="D2896" s="3" t="str">
        <f ca="1">IFERROR(__xludf.UNSUPPORTED("""COMPUTED_VALUE"""),"🚢 REGULAR")</f>
        <v>🚢 REGULAR</v>
      </c>
      <c r="E2896" s="3" t="str">
        <f ca="1">IFERROR(__xludf.UNSUPPORTED("""COMPUTED_VALUE"""),"🚛 LIBERADO")</f>
        <v>🚛 LIBERADO</v>
      </c>
      <c r="F2896" s="5">
        <f ca="1">IFERROR(__xludf.UNSUPPORTED("""COMPUTED_VALUE"""),0)</f>
        <v>0</v>
      </c>
      <c r="G2896" s="3" t="str">
        <f ca="1">IFERROR(__xludf.UNSUPPORTED("""COMPUTED_VALUE"""),"Normalidade")</f>
        <v>Normalidade</v>
      </c>
      <c r="H2896" s="4">
        <f ca="1">IFERROR(__xludf.UNSUPPORTED("""COMPUTED_VALUE"""),45076.3558449074)</f>
        <v>45076.355844907397</v>
      </c>
      <c r="I2896" s="3">
        <f ca="1">IFERROR(__xludf.UNSUPPORTED("""COMPUTED_VALUE"""),24)</f>
        <v>24</v>
      </c>
      <c r="J2896" s="4">
        <f ca="1">IFERROR(__xludf.UNSUPPORTED("""COMPUTED_VALUE"""),45077.3558449074)</f>
        <v>45077.355844907397</v>
      </c>
      <c r="L2896" s="3" t="str">
        <f ca="1">IFERROR(__xludf.UNSUPPORTED("""COMPUTED_VALUE"""),"Normalidade")</f>
        <v>Normalidade</v>
      </c>
    </row>
    <row r="2897" spans="1:12" ht="12.75">
      <c r="A2897" s="3" t="str">
        <f ca="1">IFERROR(__xludf.UNSUPPORTED("""COMPUTED_VALUE"""),"57b88ef3")</f>
        <v>57b88ef3</v>
      </c>
      <c r="B2897" s="4">
        <f ca="1">IFERROR(__xludf.UNSUPPORTED("""COMPUTED_VALUE"""),45077.2891203703)</f>
        <v>45077.289120370297</v>
      </c>
      <c r="C2897" s="7" t="str">
        <f ca="1">IFERROR(__xludf.UNSUPPORTED("""COMPUTED_VALUE"""),"Terminal Aquaviário de Madre de Deus")</f>
        <v>Terminal Aquaviário de Madre de Deus</v>
      </c>
      <c r="D2897" s="3" t="str">
        <f ca="1">IFERROR(__xludf.UNSUPPORTED("""COMPUTED_VALUE"""),"🚢 REGULAR")</f>
        <v>🚢 REGULAR</v>
      </c>
      <c r="E2897" s="3" t="str">
        <f ca="1">IFERROR(__xludf.UNSUPPORTED("""COMPUTED_VALUE"""),"🚛 LIBERADO")</f>
        <v>🚛 LIBERADO</v>
      </c>
      <c r="F2897" s="5">
        <f ca="1">IFERROR(__xludf.UNSUPPORTED("""COMPUTED_VALUE"""),0)</f>
        <v>0</v>
      </c>
      <c r="G2897" s="3" t="str">
        <f ca="1">IFERROR(__xludf.UNSUPPORTED("""COMPUTED_VALUE"""),"Normalidade")</f>
        <v>Normalidade</v>
      </c>
      <c r="H2897" s="4">
        <f ca="1">IFERROR(__xludf.UNSUPPORTED("""COMPUTED_VALUE"""),45077.2891203703)</f>
        <v>45077.289120370297</v>
      </c>
      <c r="I2897" s="3">
        <f ca="1">IFERROR(__xludf.UNSUPPORTED("""COMPUTED_VALUE"""),24)</f>
        <v>24</v>
      </c>
      <c r="J2897" s="4">
        <f ca="1">IFERROR(__xludf.UNSUPPORTED("""COMPUTED_VALUE"""),45078.2891203703)</f>
        <v>45078.289120370297</v>
      </c>
      <c r="L2897" s="3" t="str">
        <f ca="1">IFERROR(__xludf.UNSUPPORTED("""COMPUTED_VALUE"""),"Normalidade")</f>
        <v>Normalidade</v>
      </c>
    </row>
    <row r="2898" spans="1:12" ht="12.75">
      <c r="A2898" s="3" t="str">
        <f ca="1">IFERROR(__xludf.UNSUPPORTED("""COMPUTED_VALUE"""),"ad6c0bb0")</f>
        <v>ad6c0bb0</v>
      </c>
      <c r="B2898" s="4">
        <f ca="1">IFERROR(__xludf.UNSUPPORTED("""COMPUTED_VALUE"""),45079.3624884259)</f>
        <v>45079.362488425897</v>
      </c>
      <c r="C2898" s="7" t="str">
        <f ca="1">IFERROR(__xludf.UNSUPPORTED("""COMPUTED_VALUE"""),"Terminal Aquaviário de Madre de Deus")</f>
        <v>Terminal Aquaviário de Madre de Deus</v>
      </c>
      <c r="D2898" s="3" t="str">
        <f ca="1">IFERROR(__xludf.UNSUPPORTED("""COMPUTED_VALUE"""),"🚢 REGULAR")</f>
        <v>🚢 REGULAR</v>
      </c>
      <c r="E2898" s="3" t="str">
        <f ca="1">IFERROR(__xludf.UNSUPPORTED("""COMPUTED_VALUE"""),"🚛 LIBERADO")</f>
        <v>🚛 LIBERADO</v>
      </c>
      <c r="F2898" s="5">
        <f ca="1">IFERROR(__xludf.UNSUPPORTED("""COMPUTED_VALUE"""),0)</f>
        <v>0</v>
      </c>
      <c r="G2898" s="3" t="str">
        <f ca="1">IFERROR(__xludf.UNSUPPORTED("""COMPUTED_VALUE"""),"Normalidade")</f>
        <v>Normalidade</v>
      </c>
      <c r="H2898" s="4">
        <f ca="1">IFERROR(__xludf.UNSUPPORTED("""COMPUTED_VALUE"""),45079.3624884259)</f>
        <v>45079.362488425897</v>
      </c>
      <c r="I2898" s="3">
        <f ca="1">IFERROR(__xludf.UNSUPPORTED("""COMPUTED_VALUE"""),24)</f>
        <v>24</v>
      </c>
      <c r="J2898" s="4">
        <f ca="1">IFERROR(__xludf.UNSUPPORTED("""COMPUTED_VALUE"""),45080.3624884259)</f>
        <v>45080.362488425897</v>
      </c>
      <c r="L2898" s="3" t="str">
        <f ca="1">IFERROR(__xludf.UNSUPPORTED("""COMPUTED_VALUE"""),"Normalidade")</f>
        <v>Normalidade</v>
      </c>
    </row>
    <row r="2899" spans="1:12" ht="12.75">
      <c r="A2899" s="3" t="str">
        <f ca="1">IFERROR(__xludf.UNSUPPORTED("""COMPUTED_VALUE"""),"5bec01c8")</f>
        <v>5bec01c8</v>
      </c>
      <c r="B2899" s="4">
        <f ca="1">IFERROR(__xludf.UNSUPPORTED("""COMPUTED_VALUE"""),45080.3613541666)</f>
        <v>45080.361354166598</v>
      </c>
      <c r="C2899" s="7" t="str">
        <f ca="1">IFERROR(__xludf.UNSUPPORTED("""COMPUTED_VALUE"""),"Terminal Aquaviário de Madre de Deus")</f>
        <v>Terminal Aquaviário de Madre de Deus</v>
      </c>
      <c r="D2899" s="3" t="str">
        <f ca="1">IFERROR(__xludf.UNSUPPORTED("""COMPUTED_VALUE"""),"🚢 REGULAR")</f>
        <v>🚢 REGULAR</v>
      </c>
      <c r="E2899" s="3" t="str">
        <f ca="1">IFERROR(__xludf.UNSUPPORTED("""COMPUTED_VALUE"""),"🚛 LIBERADO")</f>
        <v>🚛 LIBERADO</v>
      </c>
      <c r="F2899" s="5">
        <f ca="1">IFERROR(__xludf.UNSUPPORTED("""COMPUTED_VALUE"""),0)</f>
        <v>0</v>
      </c>
      <c r="G2899" s="3" t="str">
        <f ca="1">IFERROR(__xludf.UNSUPPORTED("""COMPUTED_VALUE"""),"Normalidade")</f>
        <v>Normalidade</v>
      </c>
      <c r="H2899" s="4">
        <f ca="1">IFERROR(__xludf.UNSUPPORTED("""COMPUTED_VALUE"""),45080.3613541666)</f>
        <v>45080.361354166598</v>
      </c>
      <c r="I2899" s="3">
        <f ca="1">IFERROR(__xludf.UNSUPPORTED("""COMPUTED_VALUE"""),24)</f>
        <v>24</v>
      </c>
      <c r="J2899" s="4">
        <f ca="1">IFERROR(__xludf.UNSUPPORTED("""COMPUTED_VALUE"""),45081.3613541666)</f>
        <v>45081.361354166598</v>
      </c>
      <c r="L2899" s="3" t="str">
        <f ca="1">IFERROR(__xludf.UNSUPPORTED("""COMPUTED_VALUE"""),"Normalidade")</f>
        <v>Normalidade</v>
      </c>
    </row>
    <row r="2900" spans="1:12" ht="12.75">
      <c r="A2900" s="3" t="str">
        <f ca="1">IFERROR(__xludf.UNSUPPORTED("""COMPUTED_VALUE"""),"584440c3")</f>
        <v>584440c3</v>
      </c>
      <c r="B2900" s="4">
        <f ca="1">IFERROR(__xludf.UNSUPPORTED("""COMPUTED_VALUE"""),45081.34875)</f>
        <v>45081.348749999997</v>
      </c>
      <c r="C2900" s="8" t="str">
        <f ca="1">IFERROR(__xludf.UNSUPPORTED("""COMPUTED_VALUE"""),"Terminal Aquaviário de Madre de Deus")</f>
        <v>Terminal Aquaviário de Madre de Deus</v>
      </c>
      <c r="D2900" s="3" t="str">
        <f ca="1">IFERROR(__xludf.UNSUPPORTED("""COMPUTED_VALUE"""),"🚢 REGULAR")</f>
        <v>🚢 REGULAR</v>
      </c>
      <c r="E2900" s="3" t="str">
        <f ca="1">IFERROR(__xludf.UNSUPPORTED("""COMPUTED_VALUE"""),"🚛 LIBERADO")</f>
        <v>🚛 LIBERADO</v>
      </c>
      <c r="F2900" s="5">
        <f ca="1">IFERROR(__xludf.UNSUPPORTED("""COMPUTED_VALUE"""),0)</f>
        <v>0</v>
      </c>
      <c r="G2900" s="3" t="str">
        <f ca="1">IFERROR(__xludf.UNSUPPORTED("""COMPUTED_VALUE"""),"Normalidade")</f>
        <v>Normalidade</v>
      </c>
      <c r="H2900" s="4">
        <f ca="1">IFERROR(__xludf.UNSUPPORTED("""COMPUTED_VALUE"""),45081.34875)</f>
        <v>45081.348749999997</v>
      </c>
      <c r="I2900" s="3">
        <f ca="1">IFERROR(__xludf.UNSUPPORTED("""COMPUTED_VALUE"""),24)</f>
        <v>24</v>
      </c>
      <c r="J2900" s="4">
        <f ca="1">IFERROR(__xludf.UNSUPPORTED("""COMPUTED_VALUE"""),45082.34875)</f>
        <v>45082.348749999997</v>
      </c>
      <c r="L2900" s="3" t="str">
        <f ca="1">IFERROR(__xludf.UNSUPPORTED("""COMPUTED_VALUE"""),"Normalidade")</f>
        <v>Normalidade</v>
      </c>
    </row>
    <row r="2901" spans="1:12" ht="12.75">
      <c r="A2901" s="3" t="str">
        <f ca="1">IFERROR(__xludf.UNSUPPORTED("""COMPUTED_VALUE"""),"1f0b4362")</f>
        <v>1f0b4362</v>
      </c>
      <c r="B2901" s="4">
        <f ca="1">IFERROR(__xludf.UNSUPPORTED("""COMPUTED_VALUE"""),45083.2572453703)</f>
        <v>45083.257245370303</v>
      </c>
      <c r="C2901" s="8" t="str">
        <f ca="1">IFERROR(__xludf.UNSUPPORTED("""COMPUTED_VALUE"""),"Terminal Aquaviário de Madre de Deus")</f>
        <v>Terminal Aquaviário de Madre de Deus</v>
      </c>
      <c r="D2901" s="3" t="str">
        <f ca="1">IFERROR(__xludf.UNSUPPORTED("""COMPUTED_VALUE"""),"🚢 REGULAR")</f>
        <v>🚢 REGULAR</v>
      </c>
      <c r="E2901" s="3" t="str">
        <f ca="1">IFERROR(__xludf.UNSUPPORTED("""COMPUTED_VALUE"""),"🚛 LIBERADO")</f>
        <v>🚛 LIBERADO</v>
      </c>
      <c r="F2901" s="5">
        <f ca="1">IFERROR(__xludf.UNSUPPORTED("""COMPUTED_VALUE"""),0)</f>
        <v>0</v>
      </c>
      <c r="G2901" s="3" t="str">
        <f ca="1">IFERROR(__xludf.UNSUPPORTED("""COMPUTED_VALUE"""),"Normalidade")</f>
        <v>Normalidade</v>
      </c>
      <c r="H2901" s="4">
        <f ca="1">IFERROR(__xludf.UNSUPPORTED("""COMPUTED_VALUE"""),45083.2572453703)</f>
        <v>45083.257245370303</v>
      </c>
      <c r="I2901" s="3">
        <f ca="1">IFERROR(__xludf.UNSUPPORTED("""COMPUTED_VALUE"""),24)</f>
        <v>24</v>
      </c>
      <c r="J2901" s="4">
        <f ca="1">IFERROR(__xludf.UNSUPPORTED("""COMPUTED_VALUE"""),45084.2572453703)</f>
        <v>45084.257245370303</v>
      </c>
      <c r="L2901" s="3" t="str">
        <f ca="1">IFERROR(__xludf.UNSUPPORTED("""COMPUTED_VALUE"""),"Normalidade")</f>
        <v>Normalidade</v>
      </c>
    </row>
    <row r="2902" spans="1:12" ht="12.75">
      <c r="A2902" s="3" t="str">
        <f ca="1">IFERROR(__xludf.UNSUPPORTED("""COMPUTED_VALUE"""),"19f3e7c4")</f>
        <v>19f3e7c4</v>
      </c>
      <c r="B2902" s="4">
        <f ca="1">IFERROR(__xludf.UNSUPPORTED("""COMPUTED_VALUE"""),45085.3085879629)</f>
        <v>45085.3085879629</v>
      </c>
      <c r="C2902" s="8" t="str">
        <f ca="1">IFERROR(__xludf.UNSUPPORTED("""COMPUTED_VALUE"""),"Terminal Aquaviário de Madre de Deus")</f>
        <v>Terminal Aquaviário de Madre de Deus</v>
      </c>
      <c r="D2902" s="3" t="str">
        <f ca="1">IFERROR(__xludf.UNSUPPORTED("""COMPUTED_VALUE"""),"🚢 REGULAR")</f>
        <v>🚢 REGULAR</v>
      </c>
      <c r="E2902" s="3" t="str">
        <f ca="1">IFERROR(__xludf.UNSUPPORTED("""COMPUTED_VALUE"""),"🚛 LIBERADO")</f>
        <v>🚛 LIBERADO</v>
      </c>
      <c r="F2902" s="5">
        <f ca="1">IFERROR(__xludf.UNSUPPORTED("""COMPUTED_VALUE"""),0)</f>
        <v>0</v>
      </c>
      <c r="G2902" s="3" t="str">
        <f ca="1">IFERROR(__xludf.UNSUPPORTED("""COMPUTED_VALUE"""),"Normalidade")</f>
        <v>Normalidade</v>
      </c>
      <c r="H2902" s="4">
        <f ca="1">IFERROR(__xludf.UNSUPPORTED("""COMPUTED_VALUE"""),45085.3085879629)</f>
        <v>45085.3085879629</v>
      </c>
      <c r="I2902" s="3">
        <f ca="1">IFERROR(__xludf.UNSUPPORTED("""COMPUTED_VALUE"""),24)</f>
        <v>24</v>
      </c>
      <c r="J2902" s="4">
        <f ca="1">IFERROR(__xludf.UNSUPPORTED("""COMPUTED_VALUE"""),45086.3085879629)</f>
        <v>45086.3085879629</v>
      </c>
      <c r="L2902" s="3" t="str">
        <f ca="1">IFERROR(__xludf.UNSUPPORTED("""COMPUTED_VALUE"""),"Normalidade")</f>
        <v>Normalidade</v>
      </c>
    </row>
    <row r="2903" spans="1:12" ht="12.75">
      <c r="A2903" s="3" t="str">
        <f ca="1">IFERROR(__xludf.UNSUPPORTED("""COMPUTED_VALUE"""),"f1624eb0")</f>
        <v>f1624eb0</v>
      </c>
      <c r="B2903" s="4">
        <f ca="1">IFERROR(__xludf.UNSUPPORTED("""COMPUTED_VALUE"""),45087.3694907407)</f>
        <v>45087.369490740697</v>
      </c>
      <c r="C2903" s="7" t="str">
        <f ca="1">IFERROR(__xludf.UNSUPPORTED("""COMPUTED_VALUE"""),"Terminal Aquaviário de Madre de Deus")</f>
        <v>Terminal Aquaviário de Madre de Deus</v>
      </c>
      <c r="D2903" s="3" t="str">
        <f ca="1">IFERROR(__xludf.UNSUPPORTED("""COMPUTED_VALUE"""),"🚢 REGULAR")</f>
        <v>🚢 REGULAR</v>
      </c>
      <c r="E2903" s="3" t="str">
        <f ca="1">IFERROR(__xludf.UNSUPPORTED("""COMPUTED_VALUE"""),"🚛 LIBERADO")</f>
        <v>🚛 LIBERADO</v>
      </c>
      <c r="F2903" s="5">
        <f ca="1">IFERROR(__xludf.UNSUPPORTED("""COMPUTED_VALUE"""),0)</f>
        <v>0</v>
      </c>
      <c r="G2903" s="3" t="str">
        <f ca="1">IFERROR(__xludf.UNSUPPORTED("""COMPUTED_VALUE"""),"Normalidade")</f>
        <v>Normalidade</v>
      </c>
      <c r="H2903" s="4">
        <f ca="1">IFERROR(__xludf.UNSUPPORTED("""COMPUTED_VALUE"""),45087.3694907407)</f>
        <v>45087.369490740697</v>
      </c>
      <c r="I2903" s="3">
        <f ca="1">IFERROR(__xludf.UNSUPPORTED("""COMPUTED_VALUE"""),24)</f>
        <v>24</v>
      </c>
      <c r="J2903" s="4">
        <f ca="1">IFERROR(__xludf.UNSUPPORTED("""COMPUTED_VALUE"""),45088.3694907407)</f>
        <v>45088.369490740697</v>
      </c>
      <c r="L2903" s="3" t="str">
        <f ca="1">IFERROR(__xludf.UNSUPPORTED("""COMPUTED_VALUE"""),"Normalidade")</f>
        <v>Normalidade</v>
      </c>
    </row>
    <row r="2904" spans="1:12" ht="12.75">
      <c r="A2904" s="3" t="str">
        <f ca="1">IFERROR(__xludf.UNSUPPORTED("""COMPUTED_VALUE"""),"ee6f619f")</f>
        <v>ee6f619f</v>
      </c>
      <c r="B2904" s="4">
        <f ca="1">IFERROR(__xludf.UNSUPPORTED("""COMPUTED_VALUE"""),45103.4767592592)</f>
        <v>45103.476759259203</v>
      </c>
      <c r="C2904" s="7" t="str">
        <f ca="1">IFERROR(__xludf.UNSUPPORTED("""COMPUTED_VALUE"""),"Terminal Aquaviário de Madre de Deus")</f>
        <v>Terminal Aquaviário de Madre de Deus</v>
      </c>
      <c r="D2904" s="3" t="str">
        <f ca="1">IFERROR(__xludf.UNSUPPORTED("""COMPUTED_VALUE"""),"🚢 REGULAR")</f>
        <v>🚢 REGULAR</v>
      </c>
      <c r="E2904" s="3" t="str">
        <f ca="1">IFERROR(__xludf.UNSUPPORTED("""COMPUTED_VALUE"""),"🚛 LIBERADO")</f>
        <v>🚛 LIBERADO</v>
      </c>
      <c r="F2904" s="5">
        <f ca="1">IFERROR(__xludf.UNSUPPORTED("""COMPUTED_VALUE"""),0)</f>
        <v>0</v>
      </c>
      <c r="G2904" s="3" t="str">
        <f ca="1">IFERROR(__xludf.UNSUPPORTED("""COMPUTED_VALUE"""),"Normalidade")</f>
        <v>Normalidade</v>
      </c>
      <c r="H2904" s="4">
        <f ca="1">IFERROR(__xludf.UNSUPPORTED("""COMPUTED_VALUE"""),45103.4767592592)</f>
        <v>45103.476759259203</v>
      </c>
      <c r="I2904" s="3">
        <f ca="1">IFERROR(__xludf.UNSUPPORTED("""COMPUTED_VALUE"""),24)</f>
        <v>24</v>
      </c>
      <c r="J2904" s="4">
        <f ca="1">IFERROR(__xludf.UNSUPPORTED("""COMPUTED_VALUE"""),45104.4767592592)</f>
        <v>45104.476759259203</v>
      </c>
      <c r="L2904" s="3" t="str">
        <f ca="1">IFERROR(__xludf.UNSUPPORTED("""COMPUTED_VALUE"""),"Normalidade")</f>
        <v>Normalidade</v>
      </c>
    </row>
    <row r="2905" spans="1:12" ht="12.75">
      <c r="A2905" s="3" t="str">
        <f ca="1">IFERROR(__xludf.UNSUPPORTED("""COMPUTED_VALUE"""),"b3cfccf7")</f>
        <v>b3cfccf7</v>
      </c>
      <c r="B2905" s="4">
        <f ca="1">IFERROR(__xludf.UNSUPPORTED("""COMPUTED_VALUE"""),45106.2668981481)</f>
        <v>45106.266898148097</v>
      </c>
      <c r="C2905" s="7" t="str">
        <f ca="1">IFERROR(__xludf.UNSUPPORTED("""COMPUTED_VALUE"""),"Terminal Aquaviário de Madre de Deus")</f>
        <v>Terminal Aquaviário de Madre de Deus</v>
      </c>
      <c r="D2905" s="3" t="str">
        <f ca="1">IFERROR(__xludf.UNSUPPORTED("""COMPUTED_VALUE"""),"🚢 REGULAR")</f>
        <v>🚢 REGULAR</v>
      </c>
      <c r="E2905" s="3" t="str">
        <f ca="1">IFERROR(__xludf.UNSUPPORTED("""COMPUTED_VALUE"""),"🚛 LIBERADO")</f>
        <v>🚛 LIBERADO</v>
      </c>
      <c r="F2905" s="5">
        <f ca="1">IFERROR(__xludf.UNSUPPORTED("""COMPUTED_VALUE"""),0)</f>
        <v>0</v>
      </c>
      <c r="G2905" s="3" t="str">
        <f ca="1">IFERROR(__xludf.UNSUPPORTED("""COMPUTED_VALUE"""),"Normalidade")</f>
        <v>Normalidade</v>
      </c>
      <c r="H2905" s="4">
        <f ca="1">IFERROR(__xludf.UNSUPPORTED("""COMPUTED_VALUE"""),45106.2668981481)</f>
        <v>45106.266898148097</v>
      </c>
      <c r="I2905" s="3">
        <f ca="1">IFERROR(__xludf.UNSUPPORTED("""COMPUTED_VALUE"""),24)</f>
        <v>24</v>
      </c>
      <c r="J2905" s="4">
        <f ca="1">IFERROR(__xludf.UNSUPPORTED("""COMPUTED_VALUE"""),45107.2668981481)</f>
        <v>45107.266898148097</v>
      </c>
      <c r="L2905" s="3" t="str">
        <f ca="1">IFERROR(__xludf.UNSUPPORTED("""COMPUTED_VALUE"""),"Normalidade")</f>
        <v>Normalidade</v>
      </c>
    </row>
    <row r="2906" spans="1:12" ht="12.75">
      <c r="A2906" s="3" t="str">
        <f ca="1">IFERROR(__xludf.UNSUPPORTED("""COMPUTED_VALUE"""),"b7bf8873")</f>
        <v>b7bf8873</v>
      </c>
      <c r="B2906" s="4">
        <f ca="1">IFERROR(__xludf.UNSUPPORTED("""COMPUTED_VALUE"""),45109.3287268518)</f>
        <v>45109.328726851803</v>
      </c>
      <c r="C2906" s="8" t="str">
        <f ca="1">IFERROR(__xludf.UNSUPPORTED("""COMPUTED_VALUE"""),"Terminal Aquaviário de Madre de Deus")</f>
        <v>Terminal Aquaviário de Madre de Deus</v>
      </c>
      <c r="D2906" s="3" t="str">
        <f ca="1">IFERROR(__xludf.UNSUPPORTED("""COMPUTED_VALUE"""),"🚢 REGULAR")</f>
        <v>🚢 REGULAR</v>
      </c>
      <c r="E2906" s="3" t="str">
        <f ca="1">IFERROR(__xludf.UNSUPPORTED("""COMPUTED_VALUE"""),"🚛 LIBERADO")</f>
        <v>🚛 LIBERADO</v>
      </c>
      <c r="F2906" s="5">
        <f ca="1">IFERROR(__xludf.UNSUPPORTED("""COMPUTED_VALUE"""),0)</f>
        <v>0</v>
      </c>
      <c r="G2906" s="3" t="str">
        <f ca="1">IFERROR(__xludf.UNSUPPORTED("""COMPUTED_VALUE"""),"Normalidade")</f>
        <v>Normalidade</v>
      </c>
      <c r="H2906" s="4">
        <f ca="1">IFERROR(__xludf.UNSUPPORTED("""COMPUTED_VALUE"""),45109.3287268518)</f>
        <v>45109.328726851803</v>
      </c>
      <c r="I2906" s="3">
        <f ca="1">IFERROR(__xludf.UNSUPPORTED("""COMPUTED_VALUE"""),24)</f>
        <v>24</v>
      </c>
      <c r="J2906" s="4">
        <f ca="1">IFERROR(__xludf.UNSUPPORTED("""COMPUTED_VALUE"""),45110.3287268518)</f>
        <v>45110.328726851803</v>
      </c>
      <c r="L2906" s="3" t="str">
        <f ca="1">IFERROR(__xludf.UNSUPPORTED("""COMPUTED_VALUE"""),"Normalidade")</f>
        <v>Normalidade</v>
      </c>
    </row>
    <row r="2907" spans="1:12" ht="12.75">
      <c r="A2907" s="3" t="str">
        <f ca="1">IFERROR(__xludf.UNSUPPORTED("""COMPUTED_VALUE"""),"041dbc54")</f>
        <v>041dbc54</v>
      </c>
      <c r="B2907" s="4">
        <f ca="1">IFERROR(__xludf.UNSUPPORTED("""COMPUTED_VALUE"""),45111.685162037)</f>
        <v>45111.685162037</v>
      </c>
      <c r="C2907" s="7" t="str">
        <f ca="1">IFERROR(__xludf.UNSUPPORTED("""COMPUTED_VALUE"""),"Terminal Aquaviário de Madre de Deus")</f>
        <v>Terminal Aquaviário de Madre de Deus</v>
      </c>
      <c r="D2907" s="3" t="str">
        <f ca="1">IFERROR(__xludf.UNSUPPORTED("""COMPUTED_VALUE"""),"🚢 REGULAR")</f>
        <v>🚢 REGULAR</v>
      </c>
      <c r="E2907" s="3" t="str">
        <f ca="1">IFERROR(__xludf.UNSUPPORTED("""COMPUTED_VALUE"""),"🚛 LIBERADO")</f>
        <v>🚛 LIBERADO</v>
      </c>
      <c r="F2907" s="5">
        <f ca="1">IFERROR(__xludf.UNSUPPORTED("""COMPUTED_VALUE"""),0)</f>
        <v>0</v>
      </c>
      <c r="G2907" s="3" t="str">
        <f ca="1">IFERROR(__xludf.UNSUPPORTED("""COMPUTED_VALUE"""),"Normalidade")</f>
        <v>Normalidade</v>
      </c>
      <c r="H2907" s="4">
        <f ca="1">IFERROR(__xludf.UNSUPPORTED("""COMPUTED_VALUE"""),45111.685162037)</f>
        <v>45111.685162037</v>
      </c>
      <c r="I2907" s="3">
        <f ca="1">IFERROR(__xludf.UNSUPPORTED("""COMPUTED_VALUE"""),24)</f>
        <v>24</v>
      </c>
      <c r="J2907" s="4">
        <f ca="1">IFERROR(__xludf.UNSUPPORTED("""COMPUTED_VALUE"""),45112.685162037)</f>
        <v>45112.685162037</v>
      </c>
      <c r="L2907" s="3" t="str">
        <f ca="1">IFERROR(__xludf.UNSUPPORTED("""COMPUTED_VALUE"""),"Normalidade")</f>
        <v>Normalidade</v>
      </c>
    </row>
    <row r="2908" spans="1:12" ht="12.75">
      <c r="A2908" s="3" t="str">
        <f ca="1">IFERROR(__xludf.UNSUPPORTED("""COMPUTED_VALUE"""),"2d1fac9f")</f>
        <v>2d1fac9f</v>
      </c>
      <c r="B2908" s="4">
        <f ca="1">IFERROR(__xludf.UNSUPPORTED("""COMPUTED_VALUE"""),45113.5993171296)</f>
        <v>45113.5993171296</v>
      </c>
      <c r="C2908" s="7" t="str">
        <f ca="1">IFERROR(__xludf.UNSUPPORTED("""COMPUTED_VALUE"""),"Terminal Aquaviário de Madre de Deus")</f>
        <v>Terminal Aquaviário de Madre de Deus</v>
      </c>
      <c r="D2908" s="3" t="str">
        <f ca="1">IFERROR(__xludf.UNSUPPORTED("""COMPUTED_VALUE"""),"🚢 REGULAR")</f>
        <v>🚢 REGULAR</v>
      </c>
      <c r="E2908" s="3" t="str">
        <f ca="1">IFERROR(__xludf.UNSUPPORTED("""COMPUTED_VALUE"""),"🚛 LIBERADO")</f>
        <v>🚛 LIBERADO</v>
      </c>
      <c r="F2908" s="5">
        <f ca="1">IFERROR(__xludf.UNSUPPORTED("""COMPUTED_VALUE"""),0)</f>
        <v>0</v>
      </c>
      <c r="G2908" s="3" t="str">
        <f ca="1">IFERROR(__xludf.UNSUPPORTED("""COMPUTED_VALUE"""),"Normalidade")</f>
        <v>Normalidade</v>
      </c>
      <c r="H2908" s="4">
        <f ca="1">IFERROR(__xludf.UNSUPPORTED("""COMPUTED_VALUE"""),45113.5993171296)</f>
        <v>45113.5993171296</v>
      </c>
      <c r="I2908" s="3">
        <f ca="1">IFERROR(__xludf.UNSUPPORTED("""COMPUTED_VALUE"""),24)</f>
        <v>24</v>
      </c>
      <c r="J2908" s="4">
        <f ca="1">IFERROR(__xludf.UNSUPPORTED("""COMPUTED_VALUE"""),45114.5993171296)</f>
        <v>45114.5993171296</v>
      </c>
      <c r="L2908" s="3" t="str">
        <f ca="1">IFERROR(__xludf.UNSUPPORTED("""COMPUTED_VALUE"""),"Normalidade")</f>
        <v>Normalidade</v>
      </c>
    </row>
    <row r="2909" spans="1:12" ht="12.75">
      <c r="A2909" s="3" t="str">
        <f ca="1">IFERROR(__xludf.UNSUPPORTED("""COMPUTED_VALUE"""),"ce22d65f")</f>
        <v>ce22d65f</v>
      </c>
      <c r="B2909" s="4">
        <f ca="1">IFERROR(__xludf.UNSUPPORTED("""COMPUTED_VALUE"""),45115.7477430555)</f>
        <v>45115.747743055501</v>
      </c>
      <c r="C2909" s="7" t="str">
        <f ca="1">IFERROR(__xludf.UNSUPPORTED("""COMPUTED_VALUE"""),"Terminal Aquaviário de Madre de Deus")</f>
        <v>Terminal Aquaviário de Madre de Deus</v>
      </c>
      <c r="D2909" s="3" t="str">
        <f ca="1">IFERROR(__xludf.UNSUPPORTED("""COMPUTED_VALUE"""),"🚢 REGULAR")</f>
        <v>🚢 REGULAR</v>
      </c>
      <c r="E2909" s="3" t="str">
        <f ca="1">IFERROR(__xludf.UNSUPPORTED("""COMPUTED_VALUE"""),"🚛 LIBERADO")</f>
        <v>🚛 LIBERADO</v>
      </c>
      <c r="F2909" s="5">
        <f ca="1">IFERROR(__xludf.UNSUPPORTED("""COMPUTED_VALUE"""),0)</f>
        <v>0</v>
      </c>
      <c r="G2909" s="3" t="str">
        <f ca="1">IFERROR(__xludf.UNSUPPORTED("""COMPUTED_VALUE"""),"Normalidade")</f>
        <v>Normalidade</v>
      </c>
      <c r="H2909" s="4">
        <f ca="1">IFERROR(__xludf.UNSUPPORTED("""COMPUTED_VALUE"""),45115.7477430555)</f>
        <v>45115.747743055501</v>
      </c>
      <c r="I2909" s="3">
        <f ca="1">IFERROR(__xludf.UNSUPPORTED("""COMPUTED_VALUE"""),24)</f>
        <v>24</v>
      </c>
      <c r="J2909" s="4">
        <f ca="1">IFERROR(__xludf.UNSUPPORTED("""COMPUTED_VALUE"""),45116.7477430555)</f>
        <v>45116.747743055501</v>
      </c>
      <c r="L2909" s="3" t="str">
        <f ca="1">IFERROR(__xludf.UNSUPPORTED("""COMPUTED_VALUE"""),"Normalidade")</f>
        <v>Normalidade</v>
      </c>
    </row>
    <row r="2910" spans="1:12" ht="12.75">
      <c r="A2910" s="3" t="str">
        <f ca="1">IFERROR(__xludf.UNSUPPORTED("""COMPUTED_VALUE"""),"220bc451")</f>
        <v>220bc451</v>
      </c>
      <c r="B2910" s="4">
        <f ca="1">IFERROR(__xludf.UNSUPPORTED("""COMPUTED_VALUE"""),45116.4762037037)</f>
        <v>45116.4762037037</v>
      </c>
      <c r="C2910" s="8" t="str">
        <f ca="1">IFERROR(__xludf.UNSUPPORTED("""COMPUTED_VALUE"""),"Terminal Aquaviário de Madre de Deus")</f>
        <v>Terminal Aquaviário de Madre de Deus</v>
      </c>
      <c r="D2910" s="3" t="str">
        <f ca="1">IFERROR(__xludf.UNSUPPORTED("""COMPUTED_VALUE"""),"🚢 REGULAR")</f>
        <v>🚢 REGULAR</v>
      </c>
      <c r="E2910" s="3" t="str">
        <f ca="1">IFERROR(__xludf.UNSUPPORTED("""COMPUTED_VALUE"""),"🚛 LIBERADO")</f>
        <v>🚛 LIBERADO</v>
      </c>
      <c r="F2910" s="5">
        <f ca="1">IFERROR(__xludf.UNSUPPORTED("""COMPUTED_VALUE"""),0)</f>
        <v>0</v>
      </c>
      <c r="G2910" s="3" t="str">
        <f ca="1">IFERROR(__xludf.UNSUPPORTED("""COMPUTED_VALUE"""),"Normalidade")</f>
        <v>Normalidade</v>
      </c>
      <c r="H2910" s="4">
        <f ca="1">IFERROR(__xludf.UNSUPPORTED("""COMPUTED_VALUE"""),45116.4762037037)</f>
        <v>45116.4762037037</v>
      </c>
      <c r="I2910" s="3">
        <f ca="1">IFERROR(__xludf.UNSUPPORTED("""COMPUTED_VALUE"""),24)</f>
        <v>24</v>
      </c>
      <c r="J2910" s="4">
        <f ca="1">IFERROR(__xludf.UNSUPPORTED("""COMPUTED_VALUE"""),45117.4762037037)</f>
        <v>45117.4762037037</v>
      </c>
      <c r="L2910" s="3" t="str">
        <f ca="1">IFERROR(__xludf.UNSUPPORTED("""COMPUTED_VALUE"""),"Normalidade")</f>
        <v>Normalidade</v>
      </c>
    </row>
    <row r="2911" spans="1:12" ht="12.75">
      <c r="A2911" s="3" t="str">
        <f ca="1">IFERROR(__xludf.UNSUPPORTED("""COMPUTED_VALUE"""),"26f3d050")</f>
        <v>26f3d050</v>
      </c>
      <c r="B2911" s="4">
        <f ca="1">IFERROR(__xludf.UNSUPPORTED("""COMPUTED_VALUE"""),45117.4724074074)</f>
        <v>45117.472407407397</v>
      </c>
      <c r="C2911" s="7" t="str">
        <f ca="1">IFERROR(__xludf.UNSUPPORTED("""COMPUTED_VALUE"""),"Terminal Aquaviário de Madre de Deus")</f>
        <v>Terminal Aquaviário de Madre de Deus</v>
      </c>
      <c r="D2911" s="3" t="str">
        <f ca="1">IFERROR(__xludf.UNSUPPORTED("""COMPUTED_VALUE"""),"🚢 REGULAR")</f>
        <v>🚢 REGULAR</v>
      </c>
      <c r="E2911" s="3" t="str">
        <f ca="1">IFERROR(__xludf.UNSUPPORTED("""COMPUTED_VALUE"""),"🚛 LIBERADO")</f>
        <v>🚛 LIBERADO</v>
      </c>
      <c r="F2911" s="5">
        <f ca="1">IFERROR(__xludf.UNSUPPORTED("""COMPUTED_VALUE"""),0)</f>
        <v>0</v>
      </c>
      <c r="G2911" s="3" t="str">
        <f ca="1">IFERROR(__xludf.UNSUPPORTED("""COMPUTED_VALUE"""),"Normalidade")</f>
        <v>Normalidade</v>
      </c>
      <c r="H2911" s="4">
        <f ca="1">IFERROR(__xludf.UNSUPPORTED("""COMPUTED_VALUE"""),45117.4724074074)</f>
        <v>45117.472407407397</v>
      </c>
      <c r="I2911" s="3">
        <f ca="1">IFERROR(__xludf.UNSUPPORTED("""COMPUTED_VALUE"""),24)</f>
        <v>24</v>
      </c>
      <c r="J2911" s="4">
        <f ca="1">IFERROR(__xludf.UNSUPPORTED("""COMPUTED_VALUE"""),45118.4724074074)</f>
        <v>45118.472407407397</v>
      </c>
      <c r="L2911" s="3" t="str">
        <f ca="1">IFERROR(__xludf.UNSUPPORTED("""COMPUTED_VALUE"""),"Normalidade")</f>
        <v>Normalidade</v>
      </c>
    </row>
    <row r="2912" spans="1:12" ht="12.75">
      <c r="A2912" s="3" t="str">
        <f ca="1">IFERROR(__xludf.UNSUPPORTED("""COMPUTED_VALUE"""),"9e901dcc")</f>
        <v>9e901dcc</v>
      </c>
      <c r="B2912" s="4">
        <f ca="1">IFERROR(__xludf.UNSUPPORTED("""COMPUTED_VALUE"""),45119.5891550925)</f>
        <v>45119.589155092501</v>
      </c>
      <c r="C2912" s="8" t="str">
        <f ca="1">IFERROR(__xludf.UNSUPPORTED("""COMPUTED_VALUE"""),"Terminal Aquaviário de Madre de Deus")</f>
        <v>Terminal Aquaviário de Madre de Deus</v>
      </c>
      <c r="D2912" s="3" t="str">
        <f ca="1">IFERROR(__xludf.UNSUPPORTED("""COMPUTED_VALUE"""),"🚢 REGULAR")</f>
        <v>🚢 REGULAR</v>
      </c>
      <c r="E2912" s="3" t="str">
        <f ca="1">IFERROR(__xludf.UNSUPPORTED("""COMPUTED_VALUE"""),"🚛 LIBERADO")</f>
        <v>🚛 LIBERADO</v>
      </c>
      <c r="F2912" s="5">
        <f ca="1">IFERROR(__xludf.UNSUPPORTED("""COMPUTED_VALUE"""),0)</f>
        <v>0</v>
      </c>
      <c r="G2912" s="3" t="str">
        <f ca="1">IFERROR(__xludf.UNSUPPORTED("""COMPUTED_VALUE"""),"Normalidade")</f>
        <v>Normalidade</v>
      </c>
      <c r="H2912" s="4">
        <f ca="1">IFERROR(__xludf.UNSUPPORTED("""COMPUTED_VALUE"""),45119.5891550925)</f>
        <v>45119.589155092501</v>
      </c>
      <c r="I2912" s="3">
        <f ca="1">IFERROR(__xludf.UNSUPPORTED("""COMPUTED_VALUE"""),24)</f>
        <v>24</v>
      </c>
      <c r="J2912" s="4">
        <f ca="1">IFERROR(__xludf.UNSUPPORTED("""COMPUTED_VALUE"""),45120.5891550925)</f>
        <v>45120.589155092501</v>
      </c>
      <c r="L2912" s="3" t="str">
        <f ca="1">IFERROR(__xludf.UNSUPPORTED("""COMPUTED_VALUE"""),"Normalidade")</f>
        <v>Normalidade</v>
      </c>
    </row>
    <row r="2913" spans="1:12" ht="12.75">
      <c r="A2913" s="3" t="str">
        <f ca="1">IFERROR(__xludf.UNSUPPORTED("""COMPUTED_VALUE"""),"2d5212a5")</f>
        <v>2d5212a5</v>
      </c>
      <c r="B2913" s="4">
        <f ca="1">IFERROR(__xludf.UNSUPPORTED("""COMPUTED_VALUE"""),45121.4064467592)</f>
        <v>45121.406446759203</v>
      </c>
      <c r="C2913" s="8" t="str">
        <f ca="1">IFERROR(__xludf.UNSUPPORTED("""COMPUTED_VALUE"""),"Terminal Aquaviário de Madre de Deus")</f>
        <v>Terminal Aquaviário de Madre de Deus</v>
      </c>
      <c r="D2913" s="3" t="str">
        <f ca="1">IFERROR(__xludf.UNSUPPORTED("""COMPUTED_VALUE"""),"🚢 REGULAR")</f>
        <v>🚢 REGULAR</v>
      </c>
      <c r="E2913" s="3" t="str">
        <f ca="1">IFERROR(__xludf.UNSUPPORTED("""COMPUTED_VALUE"""),"🚛 LIBERADO")</f>
        <v>🚛 LIBERADO</v>
      </c>
      <c r="F2913" s="5">
        <f ca="1">IFERROR(__xludf.UNSUPPORTED("""COMPUTED_VALUE"""),0)</f>
        <v>0</v>
      </c>
      <c r="G2913" s="3" t="str">
        <f ca="1">IFERROR(__xludf.UNSUPPORTED("""COMPUTED_VALUE"""),"Normalidade")</f>
        <v>Normalidade</v>
      </c>
      <c r="H2913" s="4">
        <f ca="1">IFERROR(__xludf.UNSUPPORTED("""COMPUTED_VALUE"""),45121.4064467592)</f>
        <v>45121.406446759203</v>
      </c>
      <c r="I2913" s="3">
        <f ca="1">IFERROR(__xludf.UNSUPPORTED("""COMPUTED_VALUE"""),24)</f>
        <v>24</v>
      </c>
      <c r="J2913" s="4">
        <f ca="1">IFERROR(__xludf.UNSUPPORTED("""COMPUTED_VALUE"""),45122.4064467592)</f>
        <v>45122.406446759203</v>
      </c>
      <c r="L2913" s="3" t="str">
        <f ca="1">IFERROR(__xludf.UNSUPPORTED("""COMPUTED_VALUE"""),"Normalidade")</f>
        <v>Normalidade</v>
      </c>
    </row>
    <row r="2914" spans="1:12" ht="12.75">
      <c r="A2914" s="3" t="str">
        <f ca="1">IFERROR(__xludf.UNSUPPORTED("""COMPUTED_VALUE"""),"807b4751")</f>
        <v>807b4751</v>
      </c>
      <c r="B2914" s="4">
        <f ca="1">IFERROR(__xludf.UNSUPPORTED("""COMPUTED_VALUE"""),45124.7277662037)</f>
        <v>45124.727766203701</v>
      </c>
      <c r="C2914" s="7" t="str">
        <f ca="1">IFERROR(__xludf.UNSUPPORTED("""COMPUTED_VALUE"""),"Terminal Aquaviário de Madre de Deus")</f>
        <v>Terminal Aquaviário de Madre de Deus</v>
      </c>
      <c r="D2914" s="3" t="str">
        <f ca="1">IFERROR(__xludf.UNSUPPORTED("""COMPUTED_VALUE"""),"🚢 REGULAR")</f>
        <v>🚢 REGULAR</v>
      </c>
      <c r="E2914" s="3" t="str">
        <f ca="1">IFERROR(__xludf.UNSUPPORTED("""COMPUTED_VALUE"""),"🚛 LIBERADO")</f>
        <v>🚛 LIBERADO</v>
      </c>
      <c r="F2914" s="5">
        <f ca="1">IFERROR(__xludf.UNSUPPORTED("""COMPUTED_VALUE"""),0)</f>
        <v>0</v>
      </c>
      <c r="G2914" s="3" t="str">
        <f ca="1">IFERROR(__xludf.UNSUPPORTED("""COMPUTED_VALUE"""),"Normalidade")</f>
        <v>Normalidade</v>
      </c>
      <c r="H2914" s="4">
        <f ca="1">IFERROR(__xludf.UNSUPPORTED("""COMPUTED_VALUE"""),45124.7277662037)</f>
        <v>45124.727766203701</v>
      </c>
      <c r="I2914" s="3">
        <f ca="1">IFERROR(__xludf.UNSUPPORTED("""COMPUTED_VALUE"""),24)</f>
        <v>24</v>
      </c>
      <c r="J2914" s="4">
        <f ca="1">IFERROR(__xludf.UNSUPPORTED("""COMPUTED_VALUE"""),45125.7277662037)</f>
        <v>45125.727766203701</v>
      </c>
      <c r="L2914" s="3" t="str">
        <f ca="1">IFERROR(__xludf.UNSUPPORTED("""COMPUTED_VALUE"""),"Normalidade")</f>
        <v>Normalidade</v>
      </c>
    </row>
    <row r="2915" spans="1:12" ht="12.75">
      <c r="A2915" s="3" t="str">
        <f ca="1">IFERROR(__xludf.UNSUPPORTED("""COMPUTED_VALUE"""),"663f6af6")</f>
        <v>663f6af6</v>
      </c>
      <c r="B2915" s="4">
        <f ca="1">IFERROR(__xludf.UNSUPPORTED("""COMPUTED_VALUE"""),45126.4324884259)</f>
        <v>45126.432488425897</v>
      </c>
      <c r="C2915" s="7" t="str">
        <f ca="1">IFERROR(__xludf.UNSUPPORTED("""COMPUTED_VALUE"""),"Terminal Aquaviário de Madre de Deus")</f>
        <v>Terminal Aquaviário de Madre de Deus</v>
      </c>
      <c r="D2915" s="3" t="str">
        <f ca="1">IFERROR(__xludf.UNSUPPORTED("""COMPUTED_VALUE"""),"🚢 REGULAR")</f>
        <v>🚢 REGULAR</v>
      </c>
      <c r="E2915" s="3" t="str">
        <f ca="1">IFERROR(__xludf.UNSUPPORTED("""COMPUTED_VALUE"""),"🚛 LIBERADO")</f>
        <v>🚛 LIBERADO</v>
      </c>
      <c r="F2915" s="5">
        <f ca="1">IFERROR(__xludf.UNSUPPORTED("""COMPUTED_VALUE"""),0)</f>
        <v>0</v>
      </c>
      <c r="G2915" s="3" t="str">
        <f ca="1">IFERROR(__xludf.UNSUPPORTED("""COMPUTED_VALUE"""),"Normalidade")</f>
        <v>Normalidade</v>
      </c>
      <c r="H2915" s="4">
        <f ca="1">IFERROR(__xludf.UNSUPPORTED("""COMPUTED_VALUE"""),45126.4324884259)</f>
        <v>45126.432488425897</v>
      </c>
      <c r="I2915" s="3">
        <f ca="1">IFERROR(__xludf.UNSUPPORTED("""COMPUTED_VALUE"""),24)</f>
        <v>24</v>
      </c>
      <c r="J2915" s="4">
        <f ca="1">IFERROR(__xludf.UNSUPPORTED("""COMPUTED_VALUE"""),45127.4324884259)</f>
        <v>45127.432488425897</v>
      </c>
      <c r="L2915" s="3" t="str">
        <f ca="1">IFERROR(__xludf.UNSUPPORTED("""COMPUTED_VALUE"""),"Normalidade")</f>
        <v>Normalidade</v>
      </c>
    </row>
    <row r="2916" spans="1:12" ht="12.75">
      <c r="A2916" s="3" t="str">
        <f ca="1">IFERROR(__xludf.UNSUPPORTED("""COMPUTED_VALUE"""),"dfc4df1f")</f>
        <v>dfc4df1f</v>
      </c>
      <c r="B2916" s="4">
        <f ca="1">IFERROR(__xludf.UNSUPPORTED("""COMPUTED_VALUE"""),45128.3892939814)</f>
        <v>45128.389293981403</v>
      </c>
      <c r="C2916" s="8" t="str">
        <f ca="1">IFERROR(__xludf.UNSUPPORTED("""COMPUTED_VALUE"""),"Terminal Aquaviário de Madre de Deus")</f>
        <v>Terminal Aquaviário de Madre de Deus</v>
      </c>
      <c r="D2916" s="3" t="str">
        <f ca="1">IFERROR(__xludf.UNSUPPORTED("""COMPUTED_VALUE"""),"🚢 REGULAR")</f>
        <v>🚢 REGULAR</v>
      </c>
      <c r="E2916" s="3" t="str">
        <f ca="1">IFERROR(__xludf.UNSUPPORTED("""COMPUTED_VALUE"""),"🚛 LIBERADO")</f>
        <v>🚛 LIBERADO</v>
      </c>
      <c r="F2916" s="5">
        <f ca="1">IFERROR(__xludf.UNSUPPORTED("""COMPUTED_VALUE"""),0)</f>
        <v>0</v>
      </c>
      <c r="G2916" s="3" t="str">
        <f ca="1">IFERROR(__xludf.UNSUPPORTED("""COMPUTED_VALUE"""),"Normalidade")</f>
        <v>Normalidade</v>
      </c>
      <c r="H2916" s="4">
        <f ca="1">IFERROR(__xludf.UNSUPPORTED("""COMPUTED_VALUE"""),45128.3892939814)</f>
        <v>45128.389293981403</v>
      </c>
      <c r="I2916" s="3">
        <f ca="1">IFERROR(__xludf.UNSUPPORTED("""COMPUTED_VALUE"""),24)</f>
        <v>24</v>
      </c>
      <c r="J2916" s="4">
        <f ca="1">IFERROR(__xludf.UNSUPPORTED("""COMPUTED_VALUE"""),45129.3892939814)</f>
        <v>45129.389293981403</v>
      </c>
      <c r="L2916" s="3" t="str">
        <f ca="1">IFERROR(__xludf.UNSUPPORTED("""COMPUTED_VALUE"""),"Normalidade")</f>
        <v>Normalidade</v>
      </c>
    </row>
    <row r="2917" spans="1:12" ht="12.75">
      <c r="A2917" s="3" t="str">
        <f ca="1">IFERROR(__xludf.UNSUPPORTED("""COMPUTED_VALUE"""),"e0a261fb")</f>
        <v>e0a261fb</v>
      </c>
      <c r="B2917" s="4">
        <f ca="1">IFERROR(__xludf.UNSUPPORTED("""COMPUTED_VALUE"""),45131.526886574)</f>
        <v>45131.526886574</v>
      </c>
      <c r="C2917" s="8" t="str">
        <f ca="1">IFERROR(__xludf.UNSUPPORTED("""COMPUTED_VALUE"""),"Terminal Aquaviário de Madre de Deus")</f>
        <v>Terminal Aquaviário de Madre de Deus</v>
      </c>
      <c r="D2917" s="3" t="str">
        <f ca="1">IFERROR(__xludf.UNSUPPORTED("""COMPUTED_VALUE"""),"🚢 REGULAR")</f>
        <v>🚢 REGULAR</v>
      </c>
      <c r="E2917" s="3" t="str">
        <f ca="1">IFERROR(__xludf.UNSUPPORTED("""COMPUTED_VALUE"""),"🚛 LIBERADO")</f>
        <v>🚛 LIBERADO</v>
      </c>
      <c r="F2917" s="5">
        <f ca="1">IFERROR(__xludf.UNSUPPORTED("""COMPUTED_VALUE"""),0)</f>
        <v>0</v>
      </c>
      <c r="G2917" s="3" t="str">
        <f ca="1">IFERROR(__xludf.UNSUPPORTED("""COMPUTED_VALUE"""),"Normalidade")</f>
        <v>Normalidade</v>
      </c>
      <c r="H2917" s="4">
        <f ca="1">IFERROR(__xludf.UNSUPPORTED("""COMPUTED_VALUE"""),45131.526886574)</f>
        <v>45131.526886574</v>
      </c>
      <c r="I2917" s="3">
        <f ca="1">IFERROR(__xludf.UNSUPPORTED("""COMPUTED_VALUE"""),24)</f>
        <v>24</v>
      </c>
      <c r="J2917" s="4">
        <f ca="1">IFERROR(__xludf.UNSUPPORTED("""COMPUTED_VALUE"""),45132.526886574)</f>
        <v>45132.526886574</v>
      </c>
      <c r="L2917" s="3" t="str">
        <f ca="1">IFERROR(__xludf.UNSUPPORTED("""COMPUTED_VALUE"""),"Normalidade")</f>
        <v>Normalidade</v>
      </c>
    </row>
    <row r="2918" spans="1:12" ht="12.75">
      <c r="A2918" s="3" t="str">
        <f ca="1">IFERROR(__xludf.UNSUPPORTED("""COMPUTED_VALUE"""),"7025661f")</f>
        <v>7025661f</v>
      </c>
      <c r="B2918" s="4">
        <f ca="1">IFERROR(__xludf.UNSUPPORTED("""COMPUTED_VALUE"""),45133.6800925925)</f>
        <v>45133.680092592498</v>
      </c>
      <c r="C2918" s="8" t="str">
        <f ca="1">IFERROR(__xludf.UNSUPPORTED("""COMPUTED_VALUE"""),"Terminal Aquaviário de Madre de Deus")</f>
        <v>Terminal Aquaviário de Madre de Deus</v>
      </c>
      <c r="D2918" s="3" t="str">
        <f ca="1">IFERROR(__xludf.UNSUPPORTED("""COMPUTED_VALUE"""),"🚢 REGULAR")</f>
        <v>🚢 REGULAR</v>
      </c>
      <c r="E2918" s="3" t="str">
        <f ca="1">IFERROR(__xludf.UNSUPPORTED("""COMPUTED_VALUE"""),"🚛 LIBERADO")</f>
        <v>🚛 LIBERADO</v>
      </c>
      <c r="F2918" s="5">
        <f ca="1">IFERROR(__xludf.UNSUPPORTED("""COMPUTED_VALUE"""),0)</f>
        <v>0</v>
      </c>
      <c r="G2918" s="3" t="str">
        <f ca="1">IFERROR(__xludf.UNSUPPORTED("""COMPUTED_VALUE"""),"Normalidade")</f>
        <v>Normalidade</v>
      </c>
      <c r="H2918" s="4">
        <f ca="1">IFERROR(__xludf.UNSUPPORTED("""COMPUTED_VALUE"""),45133.6800925925)</f>
        <v>45133.680092592498</v>
      </c>
      <c r="I2918" s="3">
        <f ca="1">IFERROR(__xludf.UNSUPPORTED("""COMPUTED_VALUE"""),24)</f>
        <v>24</v>
      </c>
      <c r="J2918" s="4">
        <f ca="1">IFERROR(__xludf.UNSUPPORTED("""COMPUTED_VALUE"""),45134.6800925925)</f>
        <v>45134.680092592498</v>
      </c>
      <c r="L2918" s="3" t="str">
        <f ca="1">IFERROR(__xludf.UNSUPPORTED("""COMPUTED_VALUE"""),"Normalidade")</f>
        <v>Normalidade</v>
      </c>
    </row>
    <row r="2919" spans="1:12" ht="12.75">
      <c r="A2919" s="3" t="str">
        <f ca="1">IFERROR(__xludf.UNSUPPORTED("""COMPUTED_VALUE"""),"40d15094")</f>
        <v>40d15094</v>
      </c>
      <c r="B2919" s="4">
        <f ca="1">IFERROR(__xludf.UNSUPPORTED("""COMPUTED_VALUE"""),45134.721574074)</f>
        <v>45134.721574073999</v>
      </c>
      <c r="C2919" s="7" t="str">
        <f ca="1">IFERROR(__xludf.UNSUPPORTED("""COMPUTED_VALUE"""),"Terminal Aquaviário de Madre de Deus")</f>
        <v>Terminal Aquaviário de Madre de Deus</v>
      </c>
      <c r="D2919" s="3" t="str">
        <f ca="1">IFERROR(__xludf.UNSUPPORTED("""COMPUTED_VALUE"""),"🚢 REGULAR")</f>
        <v>🚢 REGULAR</v>
      </c>
      <c r="E2919" s="3" t="str">
        <f ca="1">IFERROR(__xludf.UNSUPPORTED("""COMPUTED_VALUE"""),"🚛 LIBERADO")</f>
        <v>🚛 LIBERADO</v>
      </c>
      <c r="F2919" s="5">
        <f ca="1">IFERROR(__xludf.UNSUPPORTED("""COMPUTED_VALUE"""),0)</f>
        <v>0</v>
      </c>
      <c r="G2919" s="3" t="str">
        <f ca="1">IFERROR(__xludf.UNSUPPORTED("""COMPUTED_VALUE"""),"Normalidade")</f>
        <v>Normalidade</v>
      </c>
      <c r="H2919" s="4">
        <f ca="1">IFERROR(__xludf.UNSUPPORTED("""COMPUTED_VALUE"""),45134.721574074)</f>
        <v>45134.721574073999</v>
      </c>
      <c r="I2919" s="3">
        <f ca="1">IFERROR(__xludf.UNSUPPORTED("""COMPUTED_VALUE"""),24)</f>
        <v>24</v>
      </c>
      <c r="J2919" s="4">
        <f ca="1">IFERROR(__xludf.UNSUPPORTED("""COMPUTED_VALUE"""),45135.721574074)</f>
        <v>45135.721574073999</v>
      </c>
      <c r="L2919" s="3" t="str">
        <f ca="1">IFERROR(__xludf.UNSUPPORTED("""COMPUTED_VALUE"""),"Normalidade")</f>
        <v>Normalidade</v>
      </c>
    </row>
    <row r="2920" spans="1:12" ht="12.75">
      <c r="A2920" s="3" t="str">
        <f ca="1">IFERROR(__xludf.UNSUPPORTED("""COMPUTED_VALUE"""),"f56ab0e2")</f>
        <v>f56ab0e2</v>
      </c>
      <c r="B2920" s="4">
        <f ca="1">IFERROR(__xludf.UNSUPPORTED("""COMPUTED_VALUE"""),45138.2749074074)</f>
        <v>45138.274907407402</v>
      </c>
      <c r="C2920" s="7" t="str">
        <f ca="1">IFERROR(__xludf.UNSUPPORTED("""COMPUTED_VALUE"""),"Terminal Aquaviário de Madre de Deus")</f>
        <v>Terminal Aquaviário de Madre de Deus</v>
      </c>
      <c r="D2920" s="3" t="str">
        <f ca="1">IFERROR(__xludf.UNSUPPORTED("""COMPUTED_VALUE"""),"🚢 REGULAR")</f>
        <v>🚢 REGULAR</v>
      </c>
      <c r="E2920" s="3" t="str">
        <f ca="1">IFERROR(__xludf.UNSUPPORTED("""COMPUTED_VALUE"""),"🚛 LIBERADO")</f>
        <v>🚛 LIBERADO</v>
      </c>
      <c r="F2920" s="5">
        <f ca="1">IFERROR(__xludf.UNSUPPORTED("""COMPUTED_VALUE"""),0)</f>
        <v>0</v>
      </c>
      <c r="G2920" s="3" t="str">
        <f ca="1">IFERROR(__xludf.UNSUPPORTED("""COMPUTED_VALUE"""),"Normalidade")</f>
        <v>Normalidade</v>
      </c>
      <c r="H2920" s="4">
        <f ca="1">IFERROR(__xludf.UNSUPPORTED("""COMPUTED_VALUE"""),45138.2749074074)</f>
        <v>45138.274907407402</v>
      </c>
      <c r="I2920" s="3">
        <f ca="1">IFERROR(__xludf.UNSUPPORTED("""COMPUTED_VALUE"""),24)</f>
        <v>24</v>
      </c>
      <c r="J2920" s="4">
        <f ca="1">IFERROR(__xludf.UNSUPPORTED("""COMPUTED_VALUE"""),45139.2749074074)</f>
        <v>45139.274907407402</v>
      </c>
      <c r="L2920" s="3" t="str">
        <f ca="1">IFERROR(__xludf.UNSUPPORTED("""COMPUTED_VALUE"""),"Normalidade")</f>
        <v>Normalidade</v>
      </c>
    </row>
    <row r="2921" spans="1:12" ht="12.75">
      <c r="A2921" s="3" t="str">
        <f ca="1">IFERROR(__xludf.UNSUPPORTED("""COMPUTED_VALUE"""),"eddbdc72")</f>
        <v>eddbdc72</v>
      </c>
      <c r="B2921" s="4">
        <f ca="1">IFERROR(__xludf.UNSUPPORTED("""COMPUTED_VALUE"""),45140.3443402777)</f>
        <v>45140.344340277697</v>
      </c>
      <c r="C2921" s="7" t="str">
        <f ca="1">IFERROR(__xludf.UNSUPPORTED("""COMPUTED_VALUE"""),"Terminal Aquaviário de Madre de Deus")</f>
        <v>Terminal Aquaviário de Madre de Deus</v>
      </c>
      <c r="D2921" s="3" t="str">
        <f ca="1">IFERROR(__xludf.UNSUPPORTED("""COMPUTED_VALUE"""),"🚢 REGULAR")</f>
        <v>🚢 REGULAR</v>
      </c>
      <c r="E2921" s="3" t="str">
        <f ca="1">IFERROR(__xludf.UNSUPPORTED("""COMPUTED_VALUE"""),"🚛 LIBERADO")</f>
        <v>🚛 LIBERADO</v>
      </c>
      <c r="F2921" s="5">
        <f ca="1">IFERROR(__xludf.UNSUPPORTED("""COMPUTED_VALUE"""),0)</f>
        <v>0</v>
      </c>
      <c r="G2921" s="3" t="str">
        <f ca="1">IFERROR(__xludf.UNSUPPORTED("""COMPUTED_VALUE"""),"Normalidade")</f>
        <v>Normalidade</v>
      </c>
      <c r="H2921" s="4">
        <f ca="1">IFERROR(__xludf.UNSUPPORTED("""COMPUTED_VALUE"""),45140.3443402777)</f>
        <v>45140.344340277697</v>
      </c>
      <c r="I2921" s="3">
        <f ca="1">IFERROR(__xludf.UNSUPPORTED("""COMPUTED_VALUE"""),24)</f>
        <v>24</v>
      </c>
      <c r="J2921" s="4">
        <f ca="1">IFERROR(__xludf.UNSUPPORTED("""COMPUTED_VALUE"""),45141.3443402777)</f>
        <v>45141.344340277697</v>
      </c>
      <c r="L2921" s="3" t="str">
        <f ca="1">IFERROR(__xludf.UNSUPPORTED("""COMPUTED_VALUE"""),"Normalidade")</f>
        <v>Normalidade</v>
      </c>
    </row>
    <row r="2922" spans="1:12" ht="12.75">
      <c r="A2922" s="3" t="str">
        <f ca="1">IFERROR(__xludf.UNSUPPORTED("""COMPUTED_VALUE"""),"c993bf73")</f>
        <v>c993bf73</v>
      </c>
      <c r="B2922" s="4">
        <f ca="1">IFERROR(__xludf.UNSUPPORTED("""COMPUTED_VALUE"""),45141.2966898148)</f>
        <v>45141.296689814801</v>
      </c>
      <c r="C2922" s="7" t="str">
        <f ca="1">IFERROR(__xludf.UNSUPPORTED("""COMPUTED_VALUE"""),"Terminal Aquaviário de Madre de Deus")</f>
        <v>Terminal Aquaviário de Madre de Deus</v>
      </c>
      <c r="D2922" s="3" t="str">
        <f ca="1">IFERROR(__xludf.UNSUPPORTED("""COMPUTED_VALUE"""),"🚢 REGULAR")</f>
        <v>🚢 REGULAR</v>
      </c>
      <c r="E2922" s="3" t="str">
        <f ca="1">IFERROR(__xludf.UNSUPPORTED("""COMPUTED_VALUE"""),"🚛 LIBERADO")</f>
        <v>🚛 LIBERADO</v>
      </c>
      <c r="F2922" s="5">
        <f ca="1">IFERROR(__xludf.UNSUPPORTED("""COMPUTED_VALUE"""),0)</f>
        <v>0</v>
      </c>
      <c r="G2922" s="3" t="str">
        <f ca="1">IFERROR(__xludf.UNSUPPORTED("""COMPUTED_VALUE"""),"Normalidade")</f>
        <v>Normalidade</v>
      </c>
      <c r="H2922" s="4">
        <f ca="1">IFERROR(__xludf.UNSUPPORTED("""COMPUTED_VALUE"""),45141.2966898148)</f>
        <v>45141.296689814801</v>
      </c>
      <c r="I2922" s="3">
        <f ca="1">IFERROR(__xludf.UNSUPPORTED("""COMPUTED_VALUE"""),24)</f>
        <v>24</v>
      </c>
      <c r="J2922" s="4">
        <f ca="1">IFERROR(__xludf.UNSUPPORTED("""COMPUTED_VALUE"""),45142.2966898148)</f>
        <v>45142.296689814801</v>
      </c>
      <c r="L2922" s="3" t="str">
        <f ca="1">IFERROR(__xludf.UNSUPPORTED("""COMPUTED_VALUE"""),"Normalidade")</f>
        <v>Normalidade</v>
      </c>
    </row>
    <row r="2923" spans="1:12" ht="12.75">
      <c r="A2923" s="3" t="str">
        <f ca="1">IFERROR(__xludf.UNSUPPORTED("""COMPUTED_VALUE"""),"6a1f81b8")</f>
        <v>6a1f81b8</v>
      </c>
      <c r="B2923" s="4">
        <f ca="1">IFERROR(__xludf.UNSUPPORTED("""COMPUTED_VALUE"""),45145.5827893518)</f>
        <v>45145.5827893518</v>
      </c>
      <c r="C2923" s="8" t="str">
        <f ca="1">IFERROR(__xludf.UNSUPPORTED("""COMPUTED_VALUE"""),"Terminal Aquaviário de Madre de Deus")</f>
        <v>Terminal Aquaviário de Madre de Deus</v>
      </c>
      <c r="D2923" s="3" t="str">
        <f ca="1">IFERROR(__xludf.UNSUPPORTED("""COMPUTED_VALUE"""),"🚢 REGULAR")</f>
        <v>🚢 REGULAR</v>
      </c>
      <c r="E2923" s="3" t="str">
        <f ca="1">IFERROR(__xludf.UNSUPPORTED("""COMPUTED_VALUE"""),"🚛 LIBERADO")</f>
        <v>🚛 LIBERADO</v>
      </c>
      <c r="F2923" s="5">
        <f ca="1">IFERROR(__xludf.UNSUPPORTED("""COMPUTED_VALUE"""),0)</f>
        <v>0</v>
      </c>
      <c r="G2923" s="3" t="str">
        <f ca="1">IFERROR(__xludf.UNSUPPORTED("""COMPUTED_VALUE"""),"Normalidade")</f>
        <v>Normalidade</v>
      </c>
      <c r="H2923" s="4">
        <f ca="1">IFERROR(__xludf.UNSUPPORTED("""COMPUTED_VALUE"""),45145.5827893518)</f>
        <v>45145.5827893518</v>
      </c>
      <c r="I2923" s="3">
        <f ca="1">IFERROR(__xludf.UNSUPPORTED("""COMPUTED_VALUE"""),24)</f>
        <v>24</v>
      </c>
      <c r="J2923" s="4">
        <f ca="1">IFERROR(__xludf.UNSUPPORTED("""COMPUTED_VALUE"""),45146.5827893518)</f>
        <v>45146.5827893518</v>
      </c>
      <c r="L2923" s="3" t="str">
        <f ca="1">IFERROR(__xludf.UNSUPPORTED("""COMPUTED_VALUE"""),"Normalidade")</f>
        <v>Normalidade</v>
      </c>
    </row>
    <row r="2924" spans="1:12" ht="12.75">
      <c r="A2924" s="3" t="str">
        <f ca="1">IFERROR(__xludf.UNSUPPORTED("""COMPUTED_VALUE"""),"7fe0eb1e")</f>
        <v>7fe0eb1e</v>
      </c>
      <c r="B2924" s="4">
        <f ca="1">IFERROR(__xludf.UNSUPPORTED("""COMPUTED_VALUE"""),45146.2321527777)</f>
        <v>45146.232152777702</v>
      </c>
      <c r="C2924" s="8" t="str">
        <f ca="1">IFERROR(__xludf.UNSUPPORTED("""COMPUTED_VALUE"""),"Terminal Aquaviário de Madre de Deus")</f>
        <v>Terminal Aquaviário de Madre de Deus</v>
      </c>
      <c r="D2924" s="3" t="str">
        <f ca="1">IFERROR(__xludf.UNSUPPORTED("""COMPUTED_VALUE"""),"🚢 REGULAR")</f>
        <v>🚢 REGULAR</v>
      </c>
      <c r="E2924" s="3" t="str">
        <f ca="1">IFERROR(__xludf.UNSUPPORTED("""COMPUTED_VALUE"""),"🚛 LIBERADO")</f>
        <v>🚛 LIBERADO</v>
      </c>
      <c r="F2924" s="5">
        <f ca="1">IFERROR(__xludf.UNSUPPORTED("""COMPUTED_VALUE"""),0)</f>
        <v>0</v>
      </c>
      <c r="G2924" s="3" t="str">
        <f ca="1">IFERROR(__xludf.UNSUPPORTED("""COMPUTED_VALUE"""),"Normalidade")</f>
        <v>Normalidade</v>
      </c>
      <c r="H2924" s="4">
        <f ca="1">IFERROR(__xludf.UNSUPPORTED("""COMPUTED_VALUE"""),45146.2321527777)</f>
        <v>45146.232152777702</v>
      </c>
      <c r="I2924" s="3">
        <f ca="1">IFERROR(__xludf.UNSUPPORTED("""COMPUTED_VALUE"""),24)</f>
        <v>24</v>
      </c>
      <c r="J2924" s="4">
        <f ca="1">IFERROR(__xludf.UNSUPPORTED("""COMPUTED_VALUE"""),45147.2321527777)</f>
        <v>45147.232152777702</v>
      </c>
      <c r="L2924" s="3" t="str">
        <f ca="1">IFERROR(__xludf.UNSUPPORTED("""COMPUTED_VALUE"""),"Normalidade")</f>
        <v>Normalidade</v>
      </c>
    </row>
    <row r="2925" spans="1:12" ht="12.75">
      <c r="A2925" s="3" t="str">
        <f ca="1">IFERROR(__xludf.UNSUPPORTED("""COMPUTED_VALUE"""),"862e46de")</f>
        <v>862e46de</v>
      </c>
      <c r="B2925" s="4">
        <f ca="1">IFERROR(__xludf.UNSUPPORTED("""COMPUTED_VALUE"""),45148.4907291666)</f>
        <v>45148.490729166602</v>
      </c>
      <c r="C2925" s="7" t="str">
        <f ca="1">IFERROR(__xludf.UNSUPPORTED("""COMPUTED_VALUE"""),"Terminal Aquaviário de Madre de Deus")</f>
        <v>Terminal Aquaviário de Madre de Deus</v>
      </c>
      <c r="D2925" s="3" t="str">
        <f ca="1">IFERROR(__xludf.UNSUPPORTED("""COMPUTED_VALUE"""),"🚢 REGULAR")</f>
        <v>🚢 REGULAR</v>
      </c>
      <c r="E2925" s="3" t="str">
        <f ca="1">IFERROR(__xludf.UNSUPPORTED("""COMPUTED_VALUE"""),"🚛 LIBERADO")</f>
        <v>🚛 LIBERADO</v>
      </c>
      <c r="F2925" s="5">
        <f ca="1">IFERROR(__xludf.UNSUPPORTED("""COMPUTED_VALUE"""),0)</f>
        <v>0</v>
      </c>
      <c r="G2925" s="3" t="str">
        <f ca="1">IFERROR(__xludf.UNSUPPORTED("""COMPUTED_VALUE"""),"Normalidade")</f>
        <v>Normalidade</v>
      </c>
      <c r="H2925" s="4">
        <f ca="1">IFERROR(__xludf.UNSUPPORTED("""COMPUTED_VALUE"""),45148.4907291666)</f>
        <v>45148.490729166602</v>
      </c>
      <c r="I2925" s="3">
        <f ca="1">IFERROR(__xludf.UNSUPPORTED("""COMPUTED_VALUE"""),24)</f>
        <v>24</v>
      </c>
      <c r="J2925" s="4">
        <f ca="1">IFERROR(__xludf.UNSUPPORTED("""COMPUTED_VALUE"""),45149.4907291666)</f>
        <v>45149.490729166602</v>
      </c>
      <c r="L2925" s="3" t="str">
        <f ca="1">IFERROR(__xludf.UNSUPPORTED("""COMPUTED_VALUE"""),"Normalidade")</f>
        <v>Normalidade</v>
      </c>
    </row>
    <row r="2926" spans="1:12" ht="12.75">
      <c r="A2926" s="3" t="str">
        <f ca="1">IFERROR(__xludf.UNSUPPORTED("""COMPUTED_VALUE"""),"39860ae7")</f>
        <v>39860ae7</v>
      </c>
      <c r="B2926" s="4">
        <f ca="1">IFERROR(__xludf.UNSUPPORTED("""COMPUTED_VALUE"""),45152.503912037)</f>
        <v>45152.503912036998</v>
      </c>
      <c r="C2926" s="7" t="str">
        <f ca="1">IFERROR(__xludf.UNSUPPORTED("""COMPUTED_VALUE"""),"Terminal Aquaviário de Madre de Deus")</f>
        <v>Terminal Aquaviário de Madre de Deus</v>
      </c>
      <c r="D2926" s="3" t="str">
        <f ca="1">IFERROR(__xludf.UNSUPPORTED("""COMPUTED_VALUE"""),"🚢 REGULAR")</f>
        <v>🚢 REGULAR</v>
      </c>
      <c r="E2926" s="3" t="str">
        <f ca="1">IFERROR(__xludf.UNSUPPORTED("""COMPUTED_VALUE"""),"🚛 LIBERADO")</f>
        <v>🚛 LIBERADO</v>
      </c>
      <c r="F2926" s="5">
        <f ca="1">IFERROR(__xludf.UNSUPPORTED("""COMPUTED_VALUE"""),0)</f>
        <v>0</v>
      </c>
      <c r="G2926" s="3" t="str">
        <f ca="1">IFERROR(__xludf.UNSUPPORTED("""COMPUTED_VALUE"""),"Normalidade")</f>
        <v>Normalidade</v>
      </c>
      <c r="H2926" s="4">
        <f ca="1">IFERROR(__xludf.UNSUPPORTED("""COMPUTED_VALUE"""),45152.503912037)</f>
        <v>45152.503912036998</v>
      </c>
      <c r="I2926" s="3">
        <f ca="1">IFERROR(__xludf.UNSUPPORTED("""COMPUTED_VALUE"""),24)</f>
        <v>24</v>
      </c>
      <c r="J2926" s="4">
        <f ca="1">IFERROR(__xludf.UNSUPPORTED("""COMPUTED_VALUE"""),45153.503912037)</f>
        <v>45153.503912036998</v>
      </c>
      <c r="L2926" s="3" t="str">
        <f ca="1">IFERROR(__xludf.UNSUPPORTED("""COMPUTED_VALUE"""),"Normalidade")</f>
        <v>Normalidade</v>
      </c>
    </row>
    <row r="2927" spans="1:12" ht="12.75">
      <c r="A2927" s="3" t="str">
        <f ca="1">IFERROR(__xludf.UNSUPPORTED("""COMPUTED_VALUE"""),"df258e6a")</f>
        <v>df258e6a</v>
      </c>
      <c r="B2927" s="4">
        <f ca="1">IFERROR(__xludf.UNSUPPORTED("""COMPUTED_VALUE"""),45155.6840856481)</f>
        <v>45155.684085648099</v>
      </c>
      <c r="C2927" s="7" t="str">
        <f ca="1">IFERROR(__xludf.UNSUPPORTED("""COMPUTED_VALUE"""),"Terminal Aquaviário de Madre de Deus")</f>
        <v>Terminal Aquaviário de Madre de Deus</v>
      </c>
      <c r="D2927" s="3" t="str">
        <f ca="1">IFERROR(__xludf.UNSUPPORTED("""COMPUTED_VALUE"""),"🚢 REGULAR")</f>
        <v>🚢 REGULAR</v>
      </c>
      <c r="E2927" s="3" t="str">
        <f ca="1">IFERROR(__xludf.UNSUPPORTED("""COMPUTED_VALUE"""),"🚛 LIBERADO")</f>
        <v>🚛 LIBERADO</v>
      </c>
      <c r="F2927" s="5">
        <f ca="1">IFERROR(__xludf.UNSUPPORTED("""COMPUTED_VALUE"""),0)</f>
        <v>0</v>
      </c>
      <c r="G2927" s="3" t="str">
        <f ca="1">IFERROR(__xludf.UNSUPPORTED("""COMPUTED_VALUE"""),"Normalidade")</f>
        <v>Normalidade</v>
      </c>
      <c r="H2927" s="4">
        <f ca="1">IFERROR(__xludf.UNSUPPORTED("""COMPUTED_VALUE"""),45155.6840856481)</f>
        <v>45155.684085648099</v>
      </c>
      <c r="I2927" s="3">
        <f ca="1">IFERROR(__xludf.UNSUPPORTED("""COMPUTED_VALUE"""),24)</f>
        <v>24</v>
      </c>
      <c r="J2927" s="4">
        <f ca="1">IFERROR(__xludf.UNSUPPORTED("""COMPUTED_VALUE"""),45156.6840856481)</f>
        <v>45156.684085648099</v>
      </c>
      <c r="L2927" s="3" t="str">
        <f ca="1">IFERROR(__xludf.UNSUPPORTED("""COMPUTED_VALUE"""),"Normalidade")</f>
        <v>Normalidade</v>
      </c>
    </row>
    <row r="2928" spans="1:12" ht="12.75">
      <c r="A2928" s="3" t="str">
        <f ca="1">IFERROR(__xludf.UNSUPPORTED("""COMPUTED_VALUE"""),"2a22f57f")</f>
        <v>2a22f57f</v>
      </c>
      <c r="B2928" s="4">
        <f ca="1">IFERROR(__xludf.UNSUPPORTED("""COMPUTED_VALUE"""),45159.3577083333)</f>
        <v>45159.3577083333</v>
      </c>
      <c r="C2928" s="8" t="str">
        <f ca="1">IFERROR(__xludf.UNSUPPORTED("""COMPUTED_VALUE"""),"Terminal Aquaviário de Madre de Deus")</f>
        <v>Terminal Aquaviário de Madre de Deus</v>
      </c>
      <c r="D2928" s="3" t="str">
        <f ca="1">IFERROR(__xludf.UNSUPPORTED("""COMPUTED_VALUE"""),"🚢 REGULAR")</f>
        <v>🚢 REGULAR</v>
      </c>
      <c r="E2928" s="3" t="str">
        <f ca="1">IFERROR(__xludf.UNSUPPORTED("""COMPUTED_VALUE"""),"🚛 LIBERADO")</f>
        <v>🚛 LIBERADO</v>
      </c>
      <c r="F2928" s="5">
        <f ca="1">IFERROR(__xludf.UNSUPPORTED("""COMPUTED_VALUE"""),0)</f>
        <v>0</v>
      </c>
      <c r="G2928" s="3" t="str">
        <f ca="1">IFERROR(__xludf.UNSUPPORTED("""COMPUTED_VALUE"""),"Normalidade")</f>
        <v>Normalidade</v>
      </c>
      <c r="H2928" s="4">
        <f ca="1">IFERROR(__xludf.UNSUPPORTED("""COMPUTED_VALUE"""),45159.3577083333)</f>
        <v>45159.3577083333</v>
      </c>
      <c r="I2928" s="3">
        <f ca="1">IFERROR(__xludf.UNSUPPORTED("""COMPUTED_VALUE"""),24)</f>
        <v>24</v>
      </c>
      <c r="J2928" s="4">
        <f ca="1">IFERROR(__xludf.UNSUPPORTED("""COMPUTED_VALUE"""),45160.3577083333)</f>
        <v>45160.3577083333</v>
      </c>
      <c r="L2928" s="3" t="str">
        <f ca="1">IFERROR(__xludf.UNSUPPORTED("""COMPUTED_VALUE"""),"Normalidade")</f>
        <v>Normalidade</v>
      </c>
    </row>
    <row r="2929" spans="1:12" ht="12.75">
      <c r="A2929" s="3" t="str">
        <f ca="1">IFERROR(__xludf.UNSUPPORTED("""COMPUTED_VALUE"""),"6f8d90d4")</f>
        <v>6f8d90d4</v>
      </c>
      <c r="B2929" s="4">
        <f ca="1">IFERROR(__xludf.UNSUPPORTED("""COMPUTED_VALUE"""),45161.6299421295)</f>
        <v>45161.629942129497</v>
      </c>
      <c r="C2929" s="7" t="str">
        <f ca="1">IFERROR(__xludf.UNSUPPORTED("""COMPUTED_VALUE"""),"Terminal Aquaviário de Madre de Deus")</f>
        <v>Terminal Aquaviário de Madre de Deus</v>
      </c>
      <c r="D2929" s="3" t="str">
        <f ca="1">IFERROR(__xludf.UNSUPPORTED("""COMPUTED_VALUE"""),"🚢 REGULAR")</f>
        <v>🚢 REGULAR</v>
      </c>
      <c r="E2929" s="3" t="str">
        <f ca="1">IFERROR(__xludf.UNSUPPORTED("""COMPUTED_VALUE"""),"🚛 LIBERADO")</f>
        <v>🚛 LIBERADO</v>
      </c>
      <c r="F2929" s="5">
        <f ca="1">IFERROR(__xludf.UNSUPPORTED("""COMPUTED_VALUE"""),0)</f>
        <v>0</v>
      </c>
      <c r="G2929" s="3" t="str">
        <f ca="1">IFERROR(__xludf.UNSUPPORTED("""COMPUTED_VALUE"""),"Normalidade")</f>
        <v>Normalidade</v>
      </c>
      <c r="H2929" s="4">
        <f ca="1">IFERROR(__xludf.UNSUPPORTED("""COMPUTED_VALUE"""),45161.6299421295)</f>
        <v>45161.629942129497</v>
      </c>
      <c r="I2929" s="3">
        <f ca="1">IFERROR(__xludf.UNSUPPORTED("""COMPUTED_VALUE"""),24)</f>
        <v>24</v>
      </c>
      <c r="J2929" s="4">
        <f ca="1">IFERROR(__xludf.UNSUPPORTED("""COMPUTED_VALUE"""),45162.6299421295)</f>
        <v>45162.629942129497</v>
      </c>
      <c r="L2929" s="3" t="str">
        <f ca="1">IFERROR(__xludf.UNSUPPORTED("""COMPUTED_VALUE"""),"Normalidade")</f>
        <v>Normalidade</v>
      </c>
    </row>
    <row r="2930" spans="1:12" ht="12.75">
      <c r="A2930" s="3" t="str">
        <f ca="1">IFERROR(__xludf.UNSUPPORTED("""COMPUTED_VALUE"""),"cf6a5978")</f>
        <v>cf6a5978</v>
      </c>
      <c r="B2930" s="4">
        <f ca="1">IFERROR(__xludf.UNSUPPORTED("""COMPUTED_VALUE"""),45167.4228472222)</f>
        <v>45167.422847222202</v>
      </c>
      <c r="C2930" s="7" t="str">
        <f ca="1">IFERROR(__xludf.UNSUPPORTED("""COMPUTED_VALUE"""),"Terminal Aquaviário de Madre de Deus")</f>
        <v>Terminal Aquaviário de Madre de Deus</v>
      </c>
      <c r="D2930" s="3" t="str">
        <f ca="1">IFERROR(__xludf.UNSUPPORTED("""COMPUTED_VALUE"""),"🚢 REGULAR")</f>
        <v>🚢 REGULAR</v>
      </c>
      <c r="E2930" s="3" t="str">
        <f ca="1">IFERROR(__xludf.UNSUPPORTED("""COMPUTED_VALUE"""),"🚛 LIBERADO")</f>
        <v>🚛 LIBERADO</v>
      </c>
      <c r="F2930" s="5">
        <f ca="1">IFERROR(__xludf.UNSUPPORTED("""COMPUTED_VALUE"""),0)</f>
        <v>0</v>
      </c>
      <c r="G2930" s="3" t="str">
        <f ca="1">IFERROR(__xludf.UNSUPPORTED("""COMPUTED_VALUE"""),"Normalidade")</f>
        <v>Normalidade</v>
      </c>
      <c r="H2930" s="4">
        <f ca="1">IFERROR(__xludf.UNSUPPORTED("""COMPUTED_VALUE"""),45167.4228472222)</f>
        <v>45167.422847222202</v>
      </c>
      <c r="I2930" s="3">
        <f ca="1">IFERROR(__xludf.UNSUPPORTED("""COMPUTED_VALUE"""),24)</f>
        <v>24</v>
      </c>
      <c r="J2930" s="4">
        <f ca="1">IFERROR(__xludf.UNSUPPORTED("""COMPUTED_VALUE"""),45168.4228472222)</f>
        <v>45168.422847222202</v>
      </c>
      <c r="L2930" s="3" t="str">
        <f ca="1">IFERROR(__xludf.UNSUPPORTED("""COMPUTED_VALUE"""),"Normalidade")</f>
        <v>Normalidade</v>
      </c>
    </row>
    <row r="2931" spans="1:12" ht="12.75">
      <c r="A2931" s="3" t="str">
        <f ca="1">IFERROR(__xludf.UNSUPPORTED("""COMPUTED_VALUE"""),"ed1763cf")</f>
        <v>ed1763cf</v>
      </c>
      <c r="B2931" s="4">
        <f ca="1">IFERROR(__xludf.UNSUPPORTED("""COMPUTED_VALUE"""),45166.5378125)</f>
        <v>45166.537812499999</v>
      </c>
      <c r="C2931" s="7" t="str">
        <f ca="1">IFERROR(__xludf.UNSUPPORTED("""COMPUTED_VALUE"""),"Terminal Aquaviário de Madre de Deus")</f>
        <v>Terminal Aquaviário de Madre de Deus</v>
      </c>
      <c r="D2931" s="3" t="str">
        <f ca="1">IFERROR(__xludf.UNSUPPORTED("""COMPUTED_VALUE"""),"🚢 REGULAR")</f>
        <v>🚢 REGULAR</v>
      </c>
      <c r="E2931" s="3" t="str">
        <f ca="1">IFERROR(__xludf.UNSUPPORTED("""COMPUTED_VALUE"""),"🚛 LIBERADO")</f>
        <v>🚛 LIBERADO</v>
      </c>
      <c r="F2931" s="5">
        <f ca="1">IFERROR(__xludf.UNSUPPORTED("""COMPUTED_VALUE"""),0)</f>
        <v>0</v>
      </c>
      <c r="G2931" s="3" t="str">
        <f ca="1">IFERROR(__xludf.UNSUPPORTED("""COMPUTED_VALUE"""),"Normalidade")</f>
        <v>Normalidade</v>
      </c>
      <c r="H2931" s="4">
        <f ca="1">IFERROR(__xludf.UNSUPPORTED("""COMPUTED_VALUE"""),45166.5378125)</f>
        <v>45166.537812499999</v>
      </c>
      <c r="I2931" s="3">
        <f ca="1">IFERROR(__xludf.UNSUPPORTED("""COMPUTED_VALUE"""),24)</f>
        <v>24</v>
      </c>
      <c r="J2931" s="4">
        <f ca="1">IFERROR(__xludf.UNSUPPORTED("""COMPUTED_VALUE"""),45167.5378125)</f>
        <v>45167.537812499999</v>
      </c>
      <c r="L2931" s="3" t="str">
        <f ca="1">IFERROR(__xludf.UNSUPPORTED("""COMPUTED_VALUE"""),"Normalidade")</f>
        <v>Normalidade</v>
      </c>
    </row>
    <row r="2932" spans="1:12" ht="12.75">
      <c r="A2932" s="3" t="str">
        <f ca="1">IFERROR(__xludf.UNSUPPORTED("""COMPUTED_VALUE"""),"2ef1d5ca")</f>
        <v>2ef1d5ca</v>
      </c>
      <c r="B2932" s="4">
        <f ca="1">IFERROR(__xludf.UNSUPPORTED("""COMPUTED_VALUE"""),45181.5394907407)</f>
        <v>45181.539490740703</v>
      </c>
      <c r="C2932" s="7" t="str">
        <f ca="1">IFERROR(__xludf.UNSUPPORTED("""COMPUTED_VALUE"""),"Terminal Aquaviário de Madre de Deus")</f>
        <v>Terminal Aquaviário de Madre de Deus</v>
      </c>
      <c r="D2932" s="3" t="str">
        <f ca="1">IFERROR(__xludf.UNSUPPORTED("""COMPUTED_VALUE"""),"🚢 REGULAR")</f>
        <v>🚢 REGULAR</v>
      </c>
      <c r="E2932" s="3" t="str">
        <f ca="1">IFERROR(__xludf.UNSUPPORTED("""COMPUTED_VALUE"""),"🚛 LIBERADO")</f>
        <v>🚛 LIBERADO</v>
      </c>
      <c r="F2932" s="5">
        <f ca="1">IFERROR(__xludf.UNSUPPORTED("""COMPUTED_VALUE"""),0)</f>
        <v>0</v>
      </c>
      <c r="G2932" s="3" t="str">
        <f ca="1">IFERROR(__xludf.UNSUPPORTED("""COMPUTED_VALUE"""),"Normalidade")</f>
        <v>Normalidade</v>
      </c>
      <c r="H2932" s="4">
        <f ca="1">IFERROR(__xludf.UNSUPPORTED("""COMPUTED_VALUE"""),45181.5394907407)</f>
        <v>45181.539490740703</v>
      </c>
      <c r="I2932" s="3">
        <f ca="1">IFERROR(__xludf.UNSUPPORTED("""COMPUTED_VALUE"""),24)</f>
        <v>24</v>
      </c>
      <c r="J2932" s="4">
        <f ca="1">IFERROR(__xludf.UNSUPPORTED("""COMPUTED_VALUE"""),45182.5394907407)</f>
        <v>45182.539490740703</v>
      </c>
      <c r="L2932" s="3" t="str">
        <f ca="1">IFERROR(__xludf.UNSUPPORTED("""COMPUTED_VALUE"""),"Normalidade")</f>
        <v>Normalidade</v>
      </c>
    </row>
    <row r="2933" spans="1:12" ht="12.75">
      <c r="A2933" s="3" t="str">
        <f ca="1">IFERROR(__xludf.UNSUPPORTED("""COMPUTED_VALUE"""),"b77b763f")</f>
        <v>b77b763f</v>
      </c>
      <c r="B2933" s="4">
        <f ca="1">IFERROR(__xludf.UNSUPPORTED("""COMPUTED_VALUE"""),45182.3565856481)</f>
        <v>45182.3565856481</v>
      </c>
      <c r="C2933" s="8" t="str">
        <f ca="1">IFERROR(__xludf.UNSUPPORTED("""COMPUTED_VALUE"""),"Terminal Aquaviário de Madre de Deus")</f>
        <v>Terminal Aquaviário de Madre de Deus</v>
      </c>
      <c r="D2933" s="3" t="str">
        <f ca="1">IFERROR(__xludf.UNSUPPORTED("""COMPUTED_VALUE"""),"🚢 REGULAR")</f>
        <v>🚢 REGULAR</v>
      </c>
      <c r="E2933" s="3" t="str">
        <f ca="1">IFERROR(__xludf.UNSUPPORTED("""COMPUTED_VALUE"""),"🚛 LIBERADO")</f>
        <v>🚛 LIBERADO</v>
      </c>
      <c r="F2933" s="5">
        <f ca="1">IFERROR(__xludf.UNSUPPORTED("""COMPUTED_VALUE"""),0)</f>
        <v>0</v>
      </c>
      <c r="G2933" s="3" t="str">
        <f ca="1">IFERROR(__xludf.UNSUPPORTED("""COMPUTED_VALUE"""),"Normalidade")</f>
        <v>Normalidade</v>
      </c>
      <c r="H2933" s="4">
        <f ca="1">IFERROR(__xludf.UNSUPPORTED("""COMPUTED_VALUE"""),45182.3565856481)</f>
        <v>45182.3565856481</v>
      </c>
      <c r="I2933" s="3">
        <f ca="1">IFERROR(__xludf.UNSUPPORTED("""COMPUTED_VALUE"""),24)</f>
        <v>24</v>
      </c>
      <c r="J2933" s="4">
        <f ca="1">IFERROR(__xludf.UNSUPPORTED("""COMPUTED_VALUE"""),45183.3565856481)</f>
        <v>45183.3565856481</v>
      </c>
      <c r="L2933" s="3" t="str">
        <f ca="1">IFERROR(__xludf.UNSUPPORTED("""COMPUTED_VALUE"""),"Normalidade")</f>
        <v>Normalidade</v>
      </c>
    </row>
    <row r="2934" spans="1:12" ht="12.75">
      <c r="A2934" s="3" t="str">
        <f ca="1">IFERROR(__xludf.UNSUPPORTED("""COMPUTED_VALUE"""),"bb75577b")</f>
        <v>bb75577b</v>
      </c>
      <c r="B2934" s="4">
        <f ca="1">IFERROR(__xludf.UNSUPPORTED("""COMPUTED_VALUE"""),45183.5654861111)</f>
        <v>45183.565486111103</v>
      </c>
      <c r="C2934" s="7" t="str">
        <f ca="1">IFERROR(__xludf.UNSUPPORTED("""COMPUTED_VALUE"""),"Terminal Aquaviário de Madre de Deus")</f>
        <v>Terminal Aquaviário de Madre de Deus</v>
      </c>
      <c r="D2934" s="3" t="str">
        <f ca="1">IFERROR(__xludf.UNSUPPORTED("""COMPUTED_VALUE"""),"🚢 REGULAR")</f>
        <v>🚢 REGULAR</v>
      </c>
      <c r="E2934" s="3" t="str">
        <f ca="1">IFERROR(__xludf.UNSUPPORTED("""COMPUTED_VALUE"""),"🚛 LIBERADO")</f>
        <v>🚛 LIBERADO</v>
      </c>
      <c r="F2934" s="5">
        <f ca="1">IFERROR(__xludf.UNSUPPORTED("""COMPUTED_VALUE"""),0)</f>
        <v>0</v>
      </c>
      <c r="G2934" s="3" t="str">
        <f ca="1">IFERROR(__xludf.UNSUPPORTED("""COMPUTED_VALUE"""),"Normalidade")</f>
        <v>Normalidade</v>
      </c>
      <c r="H2934" s="4">
        <f ca="1">IFERROR(__xludf.UNSUPPORTED("""COMPUTED_VALUE"""),45183.5654861111)</f>
        <v>45183.565486111103</v>
      </c>
      <c r="I2934" s="3">
        <f ca="1">IFERROR(__xludf.UNSUPPORTED("""COMPUTED_VALUE"""),24)</f>
        <v>24</v>
      </c>
      <c r="J2934" s="4">
        <f ca="1">IFERROR(__xludf.UNSUPPORTED("""COMPUTED_VALUE"""),45184.5654861111)</f>
        <v>45184.565486111103</v>
      </c>
      <c r="L2934" s="3" t="str">
        <f ca="1">IFERROR(__xludf.UNSUPPORTED("""COMPUTED_VALUE"""),"Normalidade")</f>
        <v>Normalidade</v>
      </c>
    </row>
    <row r="2935" spans="1:12" ht="12.75">
      <c r="A2935" s="3" t="str">
        <f ca="1">IFERROR(__xludf.UNSUPPORTED("""COMPUTED_VALUE"""),"b91103df")</f>
        <v>b91103df</v>
      </c>
      <c r="B2935" s="4">
        <f ca="1">IFERROR(__xludf.UNSUPPORTED("""COMPUTED_VALUE"""),45184.3461805555)</f>
        <v>45184.346180555498</v>
      </c>
      <c r="C2935" s="8" t="str">
        <f ca="1">IFERROR(__xludf.UNSUPPORTED("""COMPUTED_VALUE"""),"Terminal Aquaviário de Madre de Deus")</f>
        <v>Terminal Aquaviário de Madre de Deus</v>
      </c>
      <c r="D2935" s="3" t="str">
        <f ca="1">IFERROR(__xludf.UNSUPPORTED("""COMPUTED_VALUE"""),"🚢 REGULAR")</f>
        <v>🚢 REGULAR</v>
      </c>
      <c r="E2935" s="3" t="str">
        <f ca="1">IFERROR(__xludf.UNSUPPORTED("""COMPUTED_VALUE"""),"🚛 LIBERADO")</f>
        <v>🚛 LIBERADO</v>
      </c>
      <c r="F2935" s="5">
        <f ca="1">IFERROR(__xludf.UNSUPPORTED("""COMPUTED_VALUE"""),0)</f>
        <v>0</v>
      </c>
      <c r="G2935" s="3" t="str">
        <f ca="1">IFERROR(__xludf.UNSUPPORTED("""COMPUTED_VALUE"""),"Normalidade")</f>
        <v>Normalidade</v>
      </c>
      <c r="H2935" s="4">
        <f ca="1">IFERROR(__xludf.UNSUPPORTED("""COMPUTED_VALUE"""),45184.3461805555)</f>
        <v>45184.346180555498</v>
      </c>
      <c r="I2935" s="3">
        <f ca="1">IFERROR(__xludf.UNSUPPORTED("""COMPUTED_VALUE"""),24)</f>
        <v>24</v>
      </c>
      <c r="J2935" s="4">
        <f ca="1">IFERROR(__xludf.UNSUPPORTED("""COMPUTED_VALUE"""),45185.3461805555)</f>
        <v>45185.346180555498</v>
      </c>
      <c r="L2935" s="3" t="str">
        <f ca="1">IFERROR(__xludf.UNSUPPORTED("""COMPUTED_VALUE"""),"Normalidade")</f>
        <v>Normalidade</v>
      </c>
    </row>
    <row r="2936" spans="1:12" ht="12.75">
      <c r="A2936" s="3" t="str">
        <f ca="1">IFERROR(__xludf.UNSUPPORTED("""COMPUTED_VALUE"""),"8ced5375")</f>
        <v>8ced5375</v>
      </c>
      <c r="B2936" s="4">
        <f ca="1">IFERROR(__xludf.UNSUPPORTED("""COMPUTED_VALUE"""),45187.2632291666)</f>
        <v>45187.263229166601</v>
      </c>
      <c r="C2936" s="7" t="str">
        <f ca="1">IFERROR(__xludf.UNSUPPORTED("""COMPUTED_VALUE"""),"Terminal Aquaviário de Madre de Deus")</f>
        <v>Terminal Aquaviário de Madre de Deus</v>
      </c>
      <c r="D2936" s="3" t="str">
        <f ca="1">IFERROR(__xludf.UNSUPPORTED("""COMPUTED_VALUE"""),"🚢 REGULAR")</f>
        <v>🚢 REGULAR</v>
      </c>
      <c r="E2936" s="3" t="str">
        <f ca="1">IFERROR(__xludf.UNSUPPORTED("""COMPUTED_VALUE"""),"🚛 LIBERADO")</f>
        <v>🚛 LIBERADO</v>
      </c>
      <c r="F2936" s="5">
        <f ca="1">IFERROR(__xludf.UNSUPPORTED("""COMPUTED_VALUE"""),0)</f>
        <v>0</v>
      </c>
      <c r="G2936" s="3" t="str">
        <f ca="1">IFERROR(__xludf.UNSUPPORTED("""COMPUTED_VALUE"""),"Normalidade")</f>
        <v>Normalidade</v>
      </c>
      <c r="H2936" s="4">
        <f ca="1">IFERROR(__xludf.UNSUPPORTED("""COMPUTED_VALUE"""),45187.2632291666)</f>
        <v>45187.263229166601</v>
      </c>
      <c r="I2936" s="3">
        <f ca="1">IFERROR(__xludf.UNSUPPORTED("""COMPUTED_VALUE"""),24)</f>
        <v>24</v>
      </c>
      <c r="J2936" s="4">
        <f ca="1">IFERROR(__xludf.UNSUPPORTED("""COMPUTED_VALUE"""),45188.2632291666)</f>
        <v>45188.263229166601</v>
      </c>
      <c r="L2936" s="3" t="str">
        <f ca="1">IFERROR(__xludf.UNSUPPORTED("""COMPUTED_VALUE"""),"Normalidade")</f>
        <v>Normalidade</v>
      </c>
    </row>
    <row r="2937" spans="1:12" ht="12.75">
      <c r="A2937" s="3" t="str">
        <f ca="1">IFERROR(__xludf.UNSUPPORTED("""COMPUTED_VALUE"""),"c637944c")</f>
        <v>c637944c</v>
      </c>
      <c r="B2937" s="4">
        <f ca="1">IFERROR(__xludf.UNSUPPORTED("""COMPUTED_VALUE"""),45188.286099537)</f>
        <v>45188.286099536999</v>
      </c>
      <c r="C2937" s="7" t="str">
        <f ca="1">IFERROR(__xludf.UNSUPPORTED("""COMPUTED_VALUE"""),"Terminal Aquaviário de Madre de Deus")</f>
        <v>Terminal Aquaviário de Madre de Deus</v>
      </c>
      <c r="D2937" s="3" t="str">
        <f ca="1">IFERROR(__xludf.UNSUPPORTED("""COMPUTED_VALUE"""),"🚢 REGULAR")</f>
        <v>🚢 REGULAR</v>
      </c>
      <c r="E2937" s="3" t="str">
        <f ca="1">IFERROR(__xludf.UNSUPPORTED("""COMPUTED_VALUE"""),"🚛 LIBERADO")</f>
        <v>🚛 LIBERADO</v>
      </c>
      <c r="F2937" s="5">
        <f ca="1">IFERROR(__xludf.UNSUPPORTED("""COMPUTED_VALUE"""),0)</f>
        <v>0</v>
      </c>
      <c r="G2937" s="3" t="str">
        <f ca="1">IFERROR(__xludf.UNSUPPORTED("""COMPUTED_VALUE"""),"Normalidade")</f>
        <v>Normalidade</v>
      </c>
      <c r="H2937" s="4">
        <f ca="1">IFERROR(__xludf.UNSUPPORTED("""COMPUTED_VALUE"""),45188.286099537)</f>
        <v>45188.286099536999</v>
      </c>
      <c r="I2937" s="3">
        <f ca="1">IFERROR(__xludf.UNSUPPORTED("""COMPUTED_VALUE"""),24)</f>
        <v>24</v>
      </c>
      <c r="J2937" s="4">
        <f ca="1">IFERROR(__xludf.UNSUPPORTED("""COMPUTED_VALUE"""),45189.286099537)</f>
        <v>45189.286099536999</v>
      </c>
      <c r="L2937" s="3" t="str">
        <f ca="1">IFERROR(__xludf.UNSUPPORTED("""COMPUTED_VALUE"""),"Normalidade")</f>
        <v>Normalidade</v>
      </c>
    </row>
    <row r="2938" spans="1:12" ht="12.75">
      <c r="A2938" s="3" t="str">
        <f ca="1">IFERROR(__xludf.UNSUPPORTED("""COMPUTED_VALUE"""),"0e3cd069")</f>
        <v>0e3cd069</v>
      </c>
      <c r="B2938" s="4">
        <f ca="1">IFERROR(__xludf.UNSUPPORTED("""COMPUTED_VALUE"""),45190.3311574074)</f>
        <v>45190.331157407403</v>
      </c>
      <c r="C2938" s="7" t="str">
        <f ca="1">IFERROR(__xludf.UNSUPPORTED("""COMPUTED_VALUE"""),"Terminal Aquaviário de Madre de Deus")</f>
        <v>Terminal Aquaviário de Madre de Deus</v>
      </c>
      <c r="D2938" s="3" t="str">
        <f ca="1">IFERROR(__xludf.UNSUPPORTED("""COMPUTED_VALUE"""),"🚢 REGULAR")</f>
        <v>🚢 REGULAR</v>
      </c>
      <c r="E2938" s="3" t="str">
        <f ca="1">IFERROR(__xludf.UNSUPPORTED("""COMPUTED_VALUE"""),"🚛 LIBERADO")</f>
        <v>🚛 LIBERADO</v>
      </c>
      <c r="F2938" s="5">
        <f ca="1">IFERROR(__xludf.UNSUPPORTED("""COMPUTED_VALUE"""),0)</f>
        <v>0</v>
      </c>
      <c r="G2938" s="3" t="str">
        <f ca="1">IFERROR(__xludf.UNSUPPORTED("""COMPUTED_VALUE"""),"Normalidade")</f>
        <v>Normalidade</v>
      </c>
      <c r="H2938" s="4">
        <f ca="1">IFERROR(__xludf.UNSUPPORTED("""COMPUTED_VALUE"""),45190.3311574074)</f>
        <v>45190.331157407403</v>
      </c>
      <c r="I2938" s="3">
        <f ca="1">IFERROR(__xludf.UNSUPPORTED("""COMPUTED_VALUE"""),24)</f>
        <v>24</v>
      </c>
      <c r="J2938" s="4">
        <f ca="1">IFERROR(__xludf.UNSUPPORTED("""COMPUTED_VALUE"""),45191.3311574074)</f>
        <v>45191.331157407403</v>
      </c>
      <c r="L2938" s="3" t="str">
        <f ca="1">IFERROR(__xludf.UNSUPPORTED("""COMPUTED_VALUE"""),"Normalidade")</f>
        <v>Normalidade</v>
      </c>
    </row>
    <row r="2939" spans="1:12" ht="12.75">
      <c r="A2939" s="3" t="str">
        <f ca="1">IFERROR(__xludf.UNSUPPORTED("""COMPUTED_VALUE"""),"1a946943")</f>
        <v>1a946943</v>
      </c>
      <c r="B2939" s="4">
        <f ca="1">IFERROR(__xludf.UNSUPPORTED("""COMPUTED_VALUE"""),45191.2865046296)</f>
        <v>45191.286504629599</v>
      </c>
      <c r="C2939" s="7" t="str">
        <f ca="1">IFERROR(__xludf.UNSUPPORTED("""COMPUTED_VALUE"""),"Terminal Aquaviário de Madre de Deus")</f>
        <v>Terminal Aquaviário de Madre de Deus</v>
      </c>
      <c r="D2939" s="3" t="str">
        <f ca="1">IFERROR(__xludf.UNSUPPORTED("""COMPUTED_VALUE"""),"🚢 REGULAR")</f>
        <v>🚢 REGULAR</v>
      </c>
      <c r="E2939" s="3" t="str">
        <f ca="1">IFERROR(__xludf.UNSUPPORTED("""COMPUTED_VALUE"""),"🚛 LIBERADO")</f>
        <v>🚛 LIBERADO</v>
      </c>
      <c r="F2939" s="5">
        <f ca="1">IFERROR(__xludf.UNSUPPORTED("""COMPUTED_VALUE"""),0)</f>
        <v>0</v>
      </c>
      <c r="G2939" s="3" t="str">
        <f ca="1">IFERROR(__xludf.UNSUPPORTED("""COMPUTED_VALUE"""),"Normalidade")</f>
        <v>Normalidade</v>
      </c>
      <c r="H2939" s="4">
        <f ca="1">IFERROR(__xludf.UNSUPPORTED("""COMPUTED_VALUE"""),45191.2865046296)</f>
        <v>45191.286504629599</v>
      </c>
      <c r="I2939" s="3">
        <f ca="1">IFERROR(__xludf.UNSUPPORTED("""COMPUTED_VALUE"""),24)</f>
        <v>24</v>
      </c>
      <c r="J2939" s="4">
        <f ca="1">IFERROR(__xludf.UNSUPPORTED("""COMPUTED_VALUE"""),45192.2865046296)</f>
        <v>45192.286504629599</v>
      </c>
      <c r="L2939" s="3" t="str">
        <f ca="1">IFERROR(__xludf.UNSUPPORTED("""COMPUTED_VALUE"""),"Normalidade")</f>
        <v>Normalidade</v>
      </c>
    </row>
    <row r="2940" spans="1:12" ht="12.75">
      <c r="A2940" s="3" t="str">
        <f ca="1">IFERROR(__xludf.UNSUPPORTED("""COMPUTED_VALUE"""),"095c1453")</f>
        <v>095c1453</v>
      </c>
      <c r="B2940" s="4">
        <f ca="1">IFERROR(__xludf.UNSUPPORTED("""COMPUTED_VALUE"""),45194.2410532407)</f>
        <v>45194.241053240701</v>
      </c>
      <c r="C2940" s="8" t="str">
        <f ca="1">IFERROR(__xludf.UNSUPPORTED("""COMPUTED_VALUE"""),"Terminal Aquaviário de Madre de Deus")</f>
        <v>Terminal Aquaviário de Madre de Deus</v>
      </c>
      <c r="D2940" s="3" t="str">
        <f ca="1">IFERROR(__xludf.UNSUPPORTED("""COMPUTED_VALUE"""),"🚢 REGULAR")</f>
        <v>🚢 REGULAR</v>
      </c>
      <c r="E2940" s="3" t="str">
        <f ca="1">IFERROR(__xludf.UNSUPPORTED("""COMPUTED_VALUE"""),"🚛 LIBERADO")</f>
        <v>🚛 LIBERADO</v>
      </c>
      <c r="F2940" s="5">
        <f ca="1">IFERROR(__xludf.UNSUPPORTED("""COMPUTED_VALUE"""),0)</f>
        <v>0</v>
      </c>
      <c r="G2940" s="3" t="str">
        <f ca="1">IFERROR(__xludf.UNSUPPORTED("""COMPUTED_VALUE"""),"Normalidade")</f>
        <v>Normalidade</v>
      </c>
      <c r="H2940" s="4">
        <f ca="1">IFERROR(__xludf.UNSUPPORTED("""COMPUTED_VALUE"""),45194.2410532407)</f>
        <v>45194.241053240701</v>
      </c>
      <c r="I2940" s="3">
        <f ca="1">IFERROR(__xludf.UNSUPPORTED("""COMPUTED_VALUE"""),24)</f>
        <v>24</v>
      </c>
      <c r="J2940" s="4">
        <f ca="1">IFERROR(__xludf.UNSUPPORTED("""COMPUTED_VALUE"""),45195.2410532407)</f>
        <v>45195.241053240701</v>
      </c>
      <c r="L2940" s="3" t="str">
        <f ca="1">IFERROR(__xludf.UNSUPPORTED("""COMPUTED_VALUE"""),"Normalidade")</f>
        <v>Normalidade</v>
      </c>
    </row>
    <row r="2941" spans="1:12" ht="12.75">
      <c r="A2941" s="3" t="str">
        <f ca="1">IFERROR(__xludf.UNSUPPORTED("""COMPUTED_VALUE"""),"873d1bba")</f>
        <v>873d1bba</v>
      </c>
      <c r="B2941" s="4">
        <f ca="1">IFERROR(__xludf.UNSUPPORTED("""COMPUTED_VALUE"""),45196.5022453702)</f>
        <v>45196.502245370197</v>
      </c>
      <c r="C2941" s="7" t="str">
        <f ca="1">IFERROR(__xludf.UNSUPPORTED("""COMPUTED_VALUE"""),"Terminal Aquaviário de Madre de Deus")</f>
        <v>Terminal Aquaviário de Madre de Deus</v>
      </c>
      <c r="D2941" s="3" t="str">
        <f ca="1">IFERROR(__xludf.UNSUPPORTED("""COMPUTED_VALUE"""),"🚢 REGULAR")</f>
        <v>🚢 REGULAR</v>
      </c>
      <c r="E2941" s="3" t="str">
        <f ca="1">IFERROR(__xludf.UNSUPPORTED("""COMPUTED_VALUE"""),"🚛 LIBERADO")</f>
        <v>🚛 LIBERADO</v>
      </c>
      <c r="F2941" s="5">
        <f ca="1">IFERROR(__xludf.UNSUPPORTED("""COMPUTED_VALUE"""),0)</f>
        <v>0</v>
      </c>
      <c r="G2941" s="3" t="str">
        <f ca="1">IFERROR(__xludf.UNSUPPORTED("""COMPUTED_VALUE"""),"Normalidade")</f>
        <v>Normalidade</v>
      </c>
      <c r="H2941" s="4">
        <f ca="1">IFERROR(__xludf.UNSUPPORTED("""COMPUTED_VALUE"""),45196.5022453702)</f>
        <v>45196.502245370197</v>
      </c>
      <c r="I2941" s="3">
        <f ca="1">IFERROR(__xludf.UNSUPPORTED("""COMPUTED_VALUE"""),24)</f>
        <v>24</v>
      </c>
      <c r="J2941" s="4">
        <f ca="1">IFERROR(__xludf.UNSUPPORTED("""COMPUTED_VALUE"""),45197.5022453702)</f>
        <v>45197.502245370197</v>
      </c>
      <c r="L2941" s="3" t="str">
        <f ca="1">IFERROR(__xludf.UNSUPPORTED("""COMPUTED_VALUE"""),"Normalidade")</f>
        <v>Normalidade</v>
      </c>
    </row>
    <row r="2942" spans="1:12" ht="12.75">
      <c r="A2942" s="3" t="str">
        <f ca="1">IFERROR(__xludf.UNSUPPORTED("""COMPUTED_VALUE"""),"bcce234f")</f>
        <v>bcce234f</v>
      </c>
      <c r="B2942" s="4">
        <f ca="1">IFERROR(__xludf.UNSUPPORTED("""COMPUTED_VALUE"""),45197.2794328703)</f>
        <v>45197.279432870302</v>
      </c>
      <c r="C2942" s="7" t="str">
        <f ca="1">IFERROR(__xludf.UNSUPPORTED("""COMPUTED_VALUE"""),"Terminal Aquaviário de Madre de Deus")</f>
        <v>Terminal Aquaviário de Madre de Deus</v>
      </c>
      <c r="D2942" s="3" t="str">
        <f ca="1">IFERROR(__xludf.UNSUPPORTED("""COMPUTED_VALUE"""),"🚢 REGULAR")</f>
        <v>🚢 REGULAR</v>
      </c>
      <c r="E2942" s="3" t="str">
        <f ca="1">IFERROR(__xludf.UNSUPPORTED("""COMPUTED_VALUE"""),"🚛 LIBERADO")</f>
        <v>🚛 LIBERADO</v>
      </c>
      <c r="F2942" s="5">
        <f ca="1">IFERROR(__xludf.UNSUPPORTED("""COMPUTED_VALUE"""),0)</f>
        <v>0</v>
      </c>
      <c r="G2942" s="3" t="str">
        <f ca="1">IFERROR(__xludf.UNSUPPORTED("""COMPUTED_VALUE"""),"Normalidade")</f>
        <v>Normalidade</v>
      </c>
      <c r="H2942" s="4">
        <f ca="1">IFERROR(__xludf.UNSUPPORTED("""COMPUTED_VALUE"""),45197.2794328703)</f>
        <v>45197.279432870302</v>
      </c>
      <c r="I2942" s="3">
        <f ca="1">IFERROR(__xludf.UNSUPPORTED("""COMPUTED_VALUE"""),24)</f>
        <v>24</v>
      </c>
      <c r="J2942" s="4">
        <f ca="1">IFERROR(__xludf.UNSUPPORTED("""COMPUTED_VALUE"""),45198.2794328703)</f>
        <v>45198.279432870302</v>
      </c>
      <c r="L2942" s="3" t="str">
        <f ca="1">IFERROR(__xludf.UNSUPPORTED("""COMPUTED_VALUE"""),"Normalidade")</f>
        <v>Normalidade</v>
      </c>
    </row>
    <row r="2943" spans="1:12" ht="12.75">
      <c r="A2943" s="3" t="str">
        <f ca="1">IFERROR(__xludf.UNSUPPORTED("""COMPUTED_VALUE"""),"ddcc6819")</f>
        <v>ddcc6819</v>
      </c>
      <c r="B2943" s="4">
        <f ca="1">IFERROR(__xludf.UNSUPPORTED("""COMPUTED_VALUE"""),45198.4503009259)</f>
        <v>45198.450300925899</v>
      </c>
      <c r="C2943" s="7" t="str">
        <f ca="1">IFERROR(__xludf.UNSUPPORTED("""COMPUTED_VALUE"""),"Terminal Aquaviário de Madre de Deus")</f>
        <v>Terminal Aquaviário de Madre de Deus</v>
      </c>
      <c r="D2943" s="3" t="str">
        <f ca="1">IFERROR(__xludf.UNSUPPORTED("""COMPUTED_VALUE"""),"🚢 REGULAR")</f>
        <v>🚢 REGULAR</v>
      </c>
      <c r="E2943" s="3" t="str">
        <f ca="1">IFERROR(__xludf.UNSUPPORTED("""COMPUTED_VALUE"""),"🚛 LIBERADO")</f>
        <v>🚛 LIBERADO</v>
      </c>
      <c r="F2943" s="5">
        <f ca="1">IFERROR(__xludf.UNSUPPORTED("""COMPUTED_VALUE"""),0)</f>
        <v>0</v>
      </c>
      <c r="G2943" s="3" t="str">
        <f ca="1">IFERROR(__xludf.UNSUPPORTED("""COMPUTED_VALUE"""),"Normalidade")</f>
        <v>Normalidade</v>
      </c>
      <c r="H2943" s="4">
        <f ca="1">IFERROR(__xludf.UNSUPPORTED("""COMPUTED_VALUE"""),45198.4503009259)</f>
        <v>45198.450300925899</v>
      </c>
      <c r="I2943" s="3">
        <f ca="1">IFERROR(__xludf.UNSUPPORTED("""COMPUTED_VALUE"""),24)</f>
        <v>24</v>
      </c>
      <c r="J2943" s="4">
        <f ca="1">IFERROR(__xludf.UNSUPPORTED("""COMPUTED_VALUE"""),45199.4503009259)</f>
        <v>45199.450300925899</v>
      </c>
      <c r="L2943" s="3" t="str">
        <f ca="1">IFERROR(__xludf.UNSUPPORTED("""COMPUTED_VALUE"""),"Normalidade")</f>
        <v>Normalidade</v>
      </c>
    </row>
    <row r="2944" spans="1:12" ht="12.75">
      <c r="A2944" s="3" t="str">
        <f ca="1">IFERROR(__xludf.UNSUPPORTED("""COMPUTED_VALUE"""),"fc3e7d98")</f>
        <v>fc3e7d98</v>
      </c>
      <c r="B2944" s="4">
        <f ca="1">IFERROR(__xludf.UNSUPPORTED("""COMPUTED_VALUE"""),45201.6206018518)</f>
        <v>45201.620601851799</v>
      </c>
      <c r="C2944" s="8" t="str">
        <f ca="1">IFERROR(__xludf.UNSUPPORTED("""COMPUTED_VALUE"""),"Terminal Aquaviário de Madre de Deus")</f>
        <v>Terminal Aquaviário de Madre de Deus</v>
      </c>
      <c r="D2944" s="3" t="str">
        <f ca="1">IFERROR(__xludf.UNSUPPORTED("""COMPUTED_VALUE"""),"🚢 REGULAR")</f>
        <v>🚢 REGULAR</v>
      </c>
      <c r="E2944" s="3" t="str">
        <f ca="1">IFERROR(__xludf.UNSUPPORTED("""COMPUTED_VALUE"""),"🚛 LIBERADO")</f>
        <v>🚛 LIBERADO</v>
      </c>
      <c r="F2944" s="5">
        <f ca="1">IFERROR(__xludf.UNSUPPORTED("""COMPUTED_VALUE"""),0)</f>
        <v>0</v>
      </c>
      <c r="G2944" s="3" t="str">
        <f ca="1">IFERROR(__xludf.UNSUPPORTED("""COMPUTED_VALUE"""),"Normalidade")</f>
        <v>Normalidade</v>
      </c>
      <c r="H2944" s="4">
        <f ca="1">IFERROR(__xludf.UNSUPPORTED("""COMPUTED_VALUE"""),45201.6206018518)</f>
        <v>45201.620601851799</v>
      </c>
      <c r="I2944" s="3">
        <f ca="1">IFERROR(__xludf.UNSUPPORTED("""COMPUTED_VALUE"""),24)</f>
        <v>24</v>
      </c>
      <c r="J2944" s="4">
        <f ca="1">IFERROR(__xludf.UNSUPPORTED("""COMPUTED_VALUE"""),45202.6206018518)</f>
        <v>45202.620601851799</v>
      </c>
      <c r="L2944" s="3" t="str">
        <f ca="1">IFERROR(__xludf.UNSUPPORTED("""COMPUTED_VALUE"""),"Normalidade")</f>
        <v>Normalidade</v>
      </c>
    </row>
    <row r="2945" spans="1:12" ht="12.75">
      <c r="A2945" s="3" t="str">
        <f ca="1">IFERROR(__xludf.UNSUPPORTED("""COMPUTED_VALUE"""),"f3b83cdb")</f>
        <v>f3b83cdb</v>
      </c>
      <c r="B2945" s="4">
        <f ca="1">IFERROR(__xludf.UNSUPPORTED("""COMPUTED_VALUE"""),45202.3309606481)</f>
        <v>45202.330960648098</v>
      </c>
      <c r="C2945" s="8" t="str">
        <f ca="1">IFERROR(__xludf.UNSUPPORTED("""COMPUTED_VALUE"""),"Terminal Aquaviário de Madre de Deus")</f>
        <v>Terminal Aquaviário de Madre de Deus</v>
      </c>
      <c r="D2945" s="3" t="str">
        <f ca="1">IFERROR(__xludf.UNSUPPORTED("""COMPUTED_VALUE"""),"🚢 REGULAR")</f>
        <v>🚢 REGULAR</v>
      </c>
      <c r="E2945" s="3" t="str">
        <f ca="1">IFERROR(__xludf.UNSUPPORTED("""COMPUTED_VALUE"""),"🚛 LIBERADO")</f>
        <v>🚛 LIBERADO</v>
      </c>
      <c r="F2945" s="5">
        <f ca="1">IFERROR(__xludf.UNSUPPORTED("""COMPUTED_VALUE"""),0)</f>
        <v>0</v>
      </c>
      <c r="G2945" s="3" t="str">
        <f ca="1">IFERROR(__xludf.UNSUPPORTED("""COMPUTED_VALUE"""),"Normalidade")</f>
        <v>Normalidade</v>
      </c>
      <c r="H2945" s="4">
        <f ca="1">IFERROR(__xludf.UNSUPPORTED("""COMPUTED_VALUE"""),45202.3309606481)</f>
        <v>45202.330960648098</v>
      </c>
      <c r="I2945" s="3">
        <f ca="1">IFERROR(__xludf.UNSUPPORTED("""COMPUTED_VALUE"""),24)</f>
        <v>24</v>
      </c>
      <c r="J2945" s="4">
        <f ca="1">IFERROR(__xludf.UNSUPPORTED("""COMPUTED_VALUE"""),45203.3309606481)</f>
        <v>45203.330960648098</v>
      </c>
      <c r="L2945" s="3" t="str">
        <f ca="1">IFERROR(__xludf.UNSUPPORTED("""COMPUTED_VALUE"""),"Normalidade")</f>
        <v>Normalidade</v>
      </c>
    </row>
    <row r="2946" spans="1:12" ht="12.75">
      <c r="A2946" s="3" t="str">
        <f ca="1">IFERROR(__xludf.UNSUPPORTED("""COMPUTED_VALUE"""),"808c7c6e")</f>
        <v>808c7c6e</v>
      </c>
      <c r="B2946" s="4">
        <f ca="1">IFERROR(__xludf.UNSUPPORTED("""COMPUTED_VALUE"""),45203.3842361111)</f>
        <v>45203.384236111102</v>
      </c>
      <c r="C2946" s="7" t="str">
        <f ca="1">IFERROR(__xludf.UNSUPPORTED("""COMPUTED_VALUE"""),"Terminal Aquaviário de Madre de Deus")</f>
        <v>Terminal Aquaviário de Madre de Deus</v>
      </c>
      <c r="D2946" s="3" t="str">
        <f ca="1">IFERROR(__xludf.UNSUPPORTED("""COMPUTED_VALUE"""),"🚢 REGULAR")</f>
        <v>🚢 REGULAR</v>
      </c>
      <c r="E2946" s="3" t="str">
        <f ca="1">IFERROR(__xludf.UNSUPPORTED("""COMPUTED_VALUE"""),"🚛 LIBERADO")</f>
        <v>🚛 LIBERADO</v>
      </c>
      <c r="F2946" s="5">
        <f ca="1">IFERROR(__xludf.UNSUPPORTED("""COMPUTED_VALUE"""),0)</f>
        <v>0</v>
      </c>
      <c r="G2946" s="3" t="str">
        <f ca="1">IFERROR(__xludf.UNSUPPORTED("""COMPUTED_VALUE"""),"Normalidade")</f>
        <v>Normalidade</v>
      </c>
      <c r="H2946" s="4">
        <f ca="1">IFERROR(__xludf.UNSUPPORTED("""COMPUTED_VALUE"""),45203.3842361111)</f>
        <v>45203.384236111102</v>
      </c>
      <c r="I2946" s="3">
        <f ca="1">IFERROR(__xludf.UNSUPPORTED("""COMPUTED_VALUE"""),24)</f>
        <v>24</v>
      </c>
      <c r="J2946" s="4">
        <f ca="1">IFERROR(__xludf.UNSUPPORTED("""COMPUTED_VALUE"""),45204.3842361111)</f>
        <v>45204.384236111102</v>
      </c>
      <c r="L2946" s="3" t="str">
        <f ca="1">IFERROR(__xludf.UNSUPPORTED("""COMPUTED_VALUE"""),"Normalidade")</f>
        <v>Normalidade</v>
      </c>
    </row>
    <row r="2947" spans="1:12" ht="12.75">
      <c r="A2947" s="3" t="str">
        <f ca="1">IFERROR(__xludf.UNSUPPORTED("""COMPUTED_VALUE"""),"ee316061")</f>
        <v>ee316061</v>
      </c>
      <c r="B2947" s="4">
        <f ca="1">IFERROR(__xludf.UNSUPPORTED("""COMPUTED_VALUE"""),45204.4947685185)</f>
        <v>45204.494768518503</v>
      </c>
      <c r="C2947" s="7" t="str">
        <f ca="1">IFERROR(__xludf.UNSUPPORTED("""COMPUTED_VALUE"""),"Terminal Aquaviário de Madre de Deus")</f>
        <v>Terminal Aquaviário de Madre de Deus</v>
      </c>
      <c r="D2947" s="3" t="str">
        <f ca="1">IFERROR(__xludf.UNSUPPORTED("""COMPUTED_VALUE"""),"🚢 REGULAR")</f>
        <v>🚢 REGULAR</v>
      </c>
      <c r="E2947" s="3" t="str">
        <f ca="1">IFERROR(__xludf.UNSUPPORTED("""COMPUTED_VALUE"""),"🚛 LIBERADO")</f>
        <v>🚛 LIBERADO</v>
      </c>
      <c r="F2947" s="5">
        <f ca="1">IFERROR(__xludf.UNSUPPORTED("""COMPUTED_VALUE"""),0)</f>
        <v>0</v>
      </c>
      <c r="G2947" s="3" t="str">
        <f ca="1">IFERROR(__xludf.UNSUPPORTED("""COMPUTED_VALUE"""),"Normalidade")</f>
        <v>Normalidade</v>
      </c>
      <c r="H2947" s="4">
        <f ca="1">IFERROR(__xludf.UNSUPPORTED("""COMPUTED_VALUE"""),45204.4947685185)</f>
        <v>45204.494768518503</v>
      </c>
      <c r="I2947" s="3">
        <f ca="1">IFERROR(__xludf.UNSUPPORTED("""COMPUTED_VALUE"""),24)</f>
        <v>24</v>
      </c>
      <c r="J2947" s="4">
        <f ca="1">IFERROR(__xludf.UNSUPPORTED("""COMPUTED_VALUE"""),45205.4947685185)</f>
        <v>45205.494768518503</v>
      </c>
      <c r="L2947" s="3" t="str">
        <f ca="1">IFERROR(__xludf.UNSUPPORTED("""COMPUTED_VALUE"""),"Normalidade")</f>
        <v>Normalidade</v>
      </c>
    </row>
    <row r="2948" spans="1:12" ht="12.75">
      <c r="A2948" s="3" t="str">
        <f ca="1">IFERROR(__xludf.UNSUPPORTED("""COMPUTED_VALUE"""),"20db4ac4")</f>
        <v>20db4ac4</v>
      </c>
      <c r="B2948" s="4">
        <f ca="1">IFERROR(__xludf.UNSUPPORTED("""COMPUTED_VALUE"""),45205.3803356481)</f>
        <v>45205.3803356481</v>
      </c>
      <c r="C2948" s="7" t="str">
        <f ca="1">IFERROR(__xludf.UNSUPPORTED("""COMPUTED_VALUE"""),"Terminal Aquaviário de Madre de Deus")</f>
        <v>Terminal Aquaviário de Madre de Deus</v>
      </c>
      <c r="D2948" s="3" t="str">
        <f ca="1">IFERROR(__xludf.UNSUPPORTED("""COMPUTED_VALUE"""),"🚢 REGULAR")</f>
        <v>🚢 REGULAR</v>
      </c>
      <c r="E2948" s="3" t="str">
        <f ca="1">IFERROR(__xludf.UNSUPPORTED("""COMPUTED_VALUE"""),"🚛 LIBERADO")</f>
        <v>🚛 LIBERADO</v>
      </c>
      <c r="F2948" s="5">
        <f ca="1">IFERROR(__xludf.UNSUPPORTED("""COMPUTED_VALUE"""),0)</f>
        <v>0</v>
      </c>
      <c r="G2948" s="3" t="str">
        <f ca="1">IFERROR(__xludf.UNSUPPORTED("""COMPUTED_VALUE"""),"Normalidade")</f>
        <v>Normalidade</v>
      </c>
      <c r="H2948" s="4">
        <f ca="1">IFERROR(__xludf.UNSUPPORTED("""COMPUTED_VALUE"""),45205.3803356481)</f>
        <v>45205.3803356481</v>
      </c>
      <c r="I2948" s="3">
        <f ca="1">IFERROR(__xludf.UNSUPPORTED("""COMPUTED_VALUE"""),24)</f>
        <v>24</v>
      </c>
      <c r="J2948" s="4">
        <f ca="1">IFERROR(__xludf.UNSUPPORTED("""COMPUTED_VALUE"""),45206.3803356481)</f>
        <v>45206.3803356481</v>
      </c>
      <c r="L2948" s="3" t="str">
        <f ca="1">IFERROR(__xludf.UNSUPPORTED("""COMPUTED_VALUE"""),"Normalidade")</f>
        <v>Normalidade</v>
      </c>
    </row>
    <row r="2949" spans="1:12" ht="12.75">
      <c r="A2949" s="3" t="str">
        <f ca="1">IFERROR(__xludf.UNSUPPORTED("""COMPUTED_VALUE"""),"73f8b453")</f>
        <v>73f8b453</v>
      </c>
      <c r="B2949" s="4">
        <f ca="1">IFERROR(__xludf.UNSUPPORTED("""COMPUTED_VALUE"""),45208.5165393518)</f>
        <v>45208.516539351796</v>
      </c>
      <c r="C2949" s="7" t="str">
        <f ca="1">IFERROR(__xludf.UNSUPPORTED("""COMPUTED_VALUE"""),"Terminal Aquaviário de Madre de Deus")</f>
        <v>Terminal Aquaviário de Madre de Deus</v>
      </c>
      <c r="D2949" s="3" t="str">
        <f ca="1">IFERROR(__xludf.UNSUPPORTED("""COMPUTED_VALUE"""),"🚢 REGULAR")</f>
        <v>🚢 REGULAR</v>
      </c>
      <c r="E2949" s="3" t="str">
        <f ca="1">IFERROR(__xludf.UNSUPPORTED("""COMPUTED_VALUE"""),"🚛 LIBERADO")</f>
        <v>🚛 LIBERADO</v>
      </c>
      <c r="F2949" s="5">
        <f ca="1">IFERROR(__xludf.UNSUPPORTED("""COMPUTED_VALUE"""),0)</f>
        <v>0</v>
      </c>
      <c r="G2949" s="3" t="str">
        <f ca="1">IFERROR(__xludf.UNSUPPORTED("""COMPUTED_VALUE"""),"Normalidade")</f>
        <v>Normalidade</v>
      </c>
      <c r="H2949" s="4">
        <f ca="1">IFERROR(__xludf.UNSUPPORTED("""COMPUTED_VALUE"""),45208.5165393518)</f>
        <v>45208.516539351796</v>
      </c>
      <c r="I2949" s="3">
        <f ca="1">IFERROR(__xludf.UNSUPPORTED("""COMPUTED_VALUE"""),24)</f>
        <v>24</v>
      </c>
      <c r="J2949" s="4">
        <f ca="1">IFERROR(__xludf.UNSUPPORTED("""COMPUTED_VALUE"""),45209.5165393518)</f>
        <v>45209.516539351796</v>
      </c>
      <c r="L2949" s="3" t="str">
        <f ca="1">IFERROR(__xludf.UNSUPPORTED("""COMPUTED_VALUE"""),"Normalidade")</f>
        <v>Normalidade</v>
      </c>
    </row>
    <row r="2950" spans="1:12" ht="12.75">
      <c r="A2950" s="3" t="str">
        <f ca="1">IFERROR(__xludf.UNSUPPORTED("""COMPUTED_VALUE"""),"465dd2cf")</f>
        <v>465dd2cf</v>
      </c>
      <c r="B2950" s="4">
        <f ca="1">IFERROR(__xludf.UNSUPPORTED("""COMPUTED_VALUE"""),45209.4356712963)</f>
        <v>45209.435671296298</v>
      </c>
      <c r="C2950" s="7" t="str">
        <f ca="1">IFERROR(__xludf.UNSUPPORTED("""COMPUTED_VALUE"""),"Terminal Aquaviário de Madre de Deus")</f>
        <v>Terminal Aquaviário de Madre de Deus</v>
      </c>
      <c r="D2950" s="3" t="str">
        <f ca="1">IFERROR(__xludf.UNSUPPORTED("""COMPUTED_VALUE"""),"🚢 REGULAR")</f>
        <v>🚢 REGULAR</v>
      </c>
      <c r="E2950" s="3" t="str">
        <f ca="1">IFERROR(__xludf.UNSUPPORTED("""COMPUTED_VALUE"""),"🚛 LIBERADO")</f>
        <v>🚛 LIBERADO</v>
      </c>
      <c r="F2950" s="5">
        <f ca="1">IFERROR(__xludf.UNSUPPORTED("""COMPUTED_VALUE"""),0)</f>
        <v>0</v>
      </c>
      <c r="G2950" s="3" t="str">
        <f ca="1">IFERROR(__xludf.UNSUPPORTED("""COMPUTED_VALUE"""),"Normalidade")</f>
        <v>Normalidade</v>
      </c>
      <c r="H2950" s="4">
        <f ca="1">IFERROR(__xludf.UNSUPPORTED("""COMPUTED_VALUE"""),45209.4356712963)</f>
        <v>45209.435671296298</v>
      </c>
      <c r="I2950" s="3">
        <f ca="1">IFERROR(__xludf.UNSUPPORTED("""COMPUTED_VALUE"""),24)</f>
        <v>24</v>
      </c>
      <c r="J2950" s="4">
        <f ca="1">IFERROR(__xludf.UNSUPPORTED("""COMPUTED_VALUE"""),45210.4356712963)</f>
        <v>45210.435671296298</v>
      </c>
      <c r="L2950" s="3" t="str">
        <f ca="1">IFERROR(__xludf.UNSUPPORTED("""COMPUTED_VALUE"""),"Normalidade")</f>
        <v>Normalidade</v>
      </c>
    </row>
    <row r="2951" spans="1:12" ht="12.75">
      <c r="A2951" s="3" t="str">
        <f ca="1">IFERROR(__xludf.UNSUPPORTED("""COMPUTED_VALUE"""),"c75a0843")</f>
        <v>c75a0843</v>
      </c>
      <c r="B2951" s="4">
        <f ca="1">IFERROR(__xludf.UNSUPPORTED("""COMPUTED_VALUE"""),45212.4494097222)</f>
        <v>45212.449409722198</v>
      </c>
      <c r="C2951" s="8" t="str">
        <f ca="1">IFERROR(__xludf.UNSUPPORTED("""COMPUTED_VALUE"""),"Terminal Aquaviário de Madre de Deus")</f>
        <v>Terminal Aquaviário de Madre de Deus</v>
      </c>
      <c r="D2951" s="3" t="str">
        <f ca="1">IFERROR(__xludf.UNSUPPORTED("""COMPUTED_VALUE"""),"🚢 REGULAR")</f>
        <v>🚢 REGULAR</v>
      </c>
      <c r="E2951" s="3" t="str">
        <f ca="1">IFERROR(__xludf.UNSUPPORTED("""COMPUTED_VALUE"""),"🚛 LIBERADO")</f>
        <v>🚛 LIBERADO</v>
      </c>
      <c r="F2951" s="5">
        <f ca="1">IFERROR(__xludf.UNSUPPORTED("""COMPUTED_VALUE"""),0)</f>
        <v>0</v>
      </c>
      <c r="G2951" s="3" t="str">
        <f ca="1">IFERROR(__xludf.UNSUPPORTED("""COMPUTED_VALUE"""),"Normalidade")</f>
        <v>Normalidade</v>
      </c>
      <c r="H2951" s="4">
        <f ca="1">IFERROR(__xludf.UNSUPPORTED("""COMPUTED_VALUE"""),45212.4494097222)</f>
        <v>45212.449409722198</v>
      </c>
      <c r="I2951" s="3">
        <f ca="1">IFERROR(__xludf.UNSUPPORTED("""COMPUTED_VALUE"""),24)</f>
        <v>24</v>
      </c>
      <c r="J2951" s="4">
        <f ca="1">IFERROR(__xludf.UNSUPPORTED("""COMPUTED_VALUE"""),45213.4494097222)</f>
        <v>45213.449409722198</v>
      </c>
      <c r="L2951" s="3" t="str">
        <f ca="1">IFERROR(__xludf.UNSUPPORTED("""COMPUTED_VALUE"""),"Normalidade")</f>
        <v>Normalidade</v>
      </c>
    </row>
    <row r="2952" spans="1:12" ht="12.75">
      <c r="A2952" s="3" t="str">
        <f ca="1">IFERROR(__xludf.UNSUPPORTED("""COMPUTED_VALUE"""),"1f2f5145")</f>
        <v>1f2f5145</v>
      </c>
      <c r="B2952" s="4">
        <f ca="1">IFERROR(__xludf.UNSUPPORTED("""COMPUTED_VALUE"""),45215.2762847222)</f>
        <v>45215.276284722197</v>
      </c>
      <c r="C2952" s="8" t="str">
        <f ca="1">IFERROR(__xludf.UNSUPPORTED("""COMPUTED_VALUE"""),"Terminal Aquaviário de Madre de Deus")</f>
        <v>Terminal Aquaviário de Madre de Deus</v>
      </c>
      <c r="D2952" s="3" t="str">
        <f ca="1">IFERROR(__xludf.UNSUPPORTED("""COMPUTED_VALUE"""),"🚢 REGULAR")</f>
        <v>🚢 REGULAR</v>
      </c>
      <c r="E2952" s="3" t="str">
        <f ca="1">IFERROR(__xludf.UNSUPPORTED("""COMPUTED_VALUE"""),"🚛 LIBERADO")</f>
        <v>🚛 LIBERADO</v>
      </c>
      <c r="F2952" s="5">
        <f ca="1">IFERROR(__xludf.UNSUPPORTED("""COMPUTED_VALUE"""),0)</f>
        <v>0</v>
      </c>
      <c r="G2952" s="3" t="str">
        <f ca="1">IFERROR(__xludf.UNSUPPORTED("""COMPUTED_VALUE"""),"Normalidade")</f>
        <v>Normalidade</v>
      </c>
      <c r="H2952" s="4">
        <f ca="1">IFERROR(__xludf.UNSUPPORTED("""COMPUTED_VALUE"""),45215.2762847222)</f>
        <v>45215.276284722197</v>
      </c>
      <c r="I2952" s="3">
        <f ca="1">IFERROR(__xludf.UNSUPPORTED("""COMPUTED_VALUE"""),24)</f>
        <v>24</v>
      </c>
      <c r="J2952" s="4">
        <f ca="1">IFERROR(__xludf.UNSUPPORTED("""COMPUTED_VALUE"""),45216.2762847222)</f>
        <v>45216.276284722197</v>
      </c>
      <c r="L2952" s="3" t="str">
        <f ca="1">IFERROR(__xludf.UNSUPPORTED("""COMPUTED_VALUE"""),"Normalidade")</f>
        <v>Normalidade</v>
      </c>
    </row>
    <row r="2953" spans="1:12" ht="12.75">
      <c r="A2953" s="3" t="str">
        <f ca="1">IFERROR(__xludf.UNSUPPORTED("""COMPUTED_VALUE"""),"f7a81cef")</f>
        <v>f7a81cef</v>
      </c>
      <c r="B2953" s="4">
        <f ca="1">IFERROR(__xludf.UNSUPPORTED("""COMPUTED_VALUE"""),45216.332037037)</f>
        <v>45216.332037036998</v>
      </c>
      <c r="C2953" s="8" t="str">
        <f ca="1">IFERROR(__xludf.UNSUPPORTED("""COMPUTED_VALUE"""),"Terminal Aquaviário de Madre de Deus")</f>
        <v>Terminal Aquaviário de Madre de Deus</v>
      </c>
      <c r="D2953" s="3" t="str">
        <f ca="1">IFERROR(__xludf.UNSUPPORTED("""COMPUTED_VALUE"""),"🚢 REGULAR")</f>
        <v>🚢 REGULAR</v>
      </c>
      <c r="E2953" s="3" t="str">
        <f ca="1">IFERROR(__xludf.UNSUPPORTED("""COMPUTED_VALUE"""),"🚛 LIBERADO")</f>
        <v>🚛 LIBERADO</v>
      </c>
      <c r="F2953" s="5">
        <f ca="1">IFERROR(__xludf.UNSUPPORTED("""COMPUTED_VALUE"""),0)</f>
        <v>0</v>
      </c>
      <c r="G2953" s="3" t="str">
        <f ca="1">IFERROR(__xludf.UNSUPPORTED("""COMPUTED_VALUE"""),"Normalidade")</f>
        <v>Normalidade</v>
      </c>
      <c r="H2953" s="4">
        <f ca="1">IFERROR(__xludf.UNSUPPORTED("""COMPUTED_VALUE"""),45216.332037037)</f>
        <v>45216.332037036998</v>
      </c>
      <c r="I2953" s="3">
        <f ca="1">IFERROR(__xludf.UNSUPPORTED("""COMPUTED_VALUE"""),24)</f>
        <v>24</v>
      </c>
      <c r="J2953" s="4">
        <f ca="1">IFERROR(__xludf.UNSUPPORTED("""COMPUTED_VALUE"""),45217.332037037)</f>
        <v>45217.332037036998</v>
      </c>
      <c r="L2953" s="3" t="str">
        <f ca="1">IFERROR(__xludf.UNSUPPORTED("""COMPUTED_VALUE"""),"Normalidade")</f>
        <v>Normalidade</v>
      </c>
    </row>
    <row r="2954" spans="1:12" ht="12.75">
      <c r="A2954" s="3" t="str">
        <f ca="1">IFERROR(__xludf.UNSUPPORTED("""COMPUTED_VALUE"""),"09377ace")</f>
        <v>09377ace</v>
      </c>
      <c r="B2954" s="4">
        <f ca="1">IFERROR(__xludf.UNSUPPORTED("""COMPUTED_VALUE"""),45217.3597453703)</f>
        <v>45217.359745370297</v>
      </c>
      <c r="C2954" s="8" t="str">
        <f ca="1">IFERROR(__xludf.UNSUPPORTED("""COMPUTED_VALUE"""),"Terminal Aquaviário de Madre de Deus")</f>
        <v>Terminal Aquaviário de Madre de Deus</v>
      </c>
      <c r="D2954" s="3" t="str">
        <f ca="1">IFERROR(__xludf.UNSUPPORTED("""COMPUTED_VALUE"""),"🚢 REGULAR")</f>
        <v>🚢 REGULAR</v>
      </c>
      <c r="E2954" s="3" t="str">
        <f ca="1">IFERROR(__xludf.UNSUPPORTED("""COMPUTED_VALUE"""),"🚛 LIBERADO")</f>
        <v>🚛 LIBERADO</v>
      </c>
      <c r="F2954" s="5">
        <f ca="1">IFERROR(__xludf.UNSUPPORTED("""COMPUTED_VALUE"""),0)</f>
        <v>0</v>
      </c>
      <c r="G2954" s="3" t="str">
        <f ca="1">IFERROR(__xludf.UNSUPPORTED("""COMPUTED_VALUE"""),"Normalidade")</f>
        <v>Normalidade</v>
      </c>
      <c r="H2954" s="4">
        <f ca="1">IFERROR(__xludf.UNSUPPORTED("""COMPUTED_VALUE"""),45217.3597453703)</f>
        <v>45217.359745370297</v>
      </c>
      <c r="I2954" s="3">
        <f ca="1">IFERROR(__xludf.UNSUPPORTED("""COMPUTED_VALUE"""),24)</f>
        <v>24</v>
      </c>
      <c r="J2954" s="4">
        <f ca="1">IFERROR(__xludf.UNSUPPORTED("""COMPUTED_VALUE"""),45218.3597453703)</f>
        <v>45218.359745370297</v>
      </c>
      <c r="L2954" s="3" t="str">
        <f ca="1">IFERROR(__xludf.UNSUPPORTED("""COMPUTED_VALUE"""),"Normalidade")</f>
        <v>Normalidade</v>
      </c>
    </row>
    <row r="2955" spans="1:12" ht="12.75">
      <c r="A2955" s="3" t="str">
        <f ca="1">IFERROR(__xludf.UNSUPPORTED("""COMPUTED_VALUE"""),"ab05906b")</f>
        <v>ab05906b</v>
      </c>
      <c r="B2955" s="4">
        <f ca="1">IFERROR(__xludf.UNSUPPORTED("""COMPUTED_VALUE"""),45218.4141087962)</f>
        <v>45218.414108796198</v>
      </c>
      <c r="C2955" s="7" t="str">
        <f ca="1">IFERROR(__xludf.UNSUPPORTED("""COMPUTED_VALUE"""),"Terminal Aquaviário de Madre de Deus")</f>
        <v>Terminal Aquaviário de Madre de Deus</v>
      </c>
      <c r="D2955" s="3" t="str">
        <f ca="1">IFERROR(__xludf.UNSUPPORTED("""COMPUTED_VALUE"""),"🚢 REGULAR")</f>
        <v>🚢 REGULAR</v>
      </c>
      <c r="E2955" s="3" t="str">
        <f ca="1">IFERROR(__xludf.UNSUPPORTED("""COMPUTED_VALUE"""),"🚛 LIBERADO")</f>
        <v>🚛 LIBERADO</v>
      </c>
      <c r="F2955" s="5">
        <f ca="1">IFERROR(__xludf.UNSUPPORTED("""COMPUTED_VALUE"""),0)</f>
        <v>0</v>
      </c>
      <c r="G2955" s="3" t="str">
        <f ca="1">IFERROR(__xludf.UNSUPPORTED("""COMPUTED_VALUE"""),"Normalidade")</f>
        <v>Normalidade</v>
      </c>
      <c r="H2955" s="4">
        <f ca="1">IFERROR(__xludf.UNSUPPORTED("""COMPUTED_VALUE"""),45218.4141087962)</f>
        <v>45218.414108796198</v>
      </c>
      <c r="I2955" s="3">
        <f ca="1">IFERROR(__xludf.UNSUPPORTED("""COMPUTED_VALUE"""),24)</f>
        <v>24</v>
      </c>
      <c r="J2955" s="4">
        <f ca="1">IFERROR(__xludf.UNSUPPORTED("""COMPUTED_VALUE"""),45219.4141087962)</f>
        <v>45219.414108796198</v>
      </c>
      <c r="L2955" s="3" t="str">
        <f ca="1">IFERROR(__xludf.UNSUPPORTED("""COMPUTED_VALUE"""),"Normalidade")</f>
        <v>Normalidade</v>
      </c>
    </row>
    <row r="2956" spans="1:12" ht="12.75">
      <c r="A2956" s="3" t="str">
        <f ca="1">IFERROR(__xludf.UNSUPPORTED("""COMPUTED_VALUE"""),"99ff0c28")</f>
        <v>99ff0c28</v>
      </c>
      <c r="B2956" s="4">
        <f ca="1">IFERROR(__xludf.UNSUPPORTED("""COMPUTED_VALUE"""),45222.397199074)</f>
        <v>45222.397199074003</v>
      </c>
      <c r="C2956" s="7" t="str">
        <f ca="1">IFERROR(__xludf.UNSUPPORTED("""COMPUTED_VALUE"""),"Terminal Aquaviário de Madre de Deus")</f>
        <v>Terminal Aquaviário de Madre de Deus</v>
      </c>
      <c r="D2956" s="3" t="str">
        <f ca="1">IFERROR(__xludf.UNSUPPORTED("""COMPUTED_VALUE"""),"🚢 REGULAR")</f>
        <v>🚢 REGULAR</v>
      </c>
      <c r="E2956" s="3" t="str">
        <f ca="1">IFERROR(__xludf.UNSUPPORTED("""COMPUTED_VALUE"""),"🚛 LIBERADO")</f>
        <v>🚛 LIBERADO</v>
      </c>
      <c r="F2956" s="5">
        <f ca="1">IFERROR(__xludf.UNSUPPORTED("""COMPUTED_VALUE"""),0)</f>
        <v>0</v>
      </c>
      <c r="G2956" s="3" t="str">
        <f ca="1">IFERROR(__xludf.UNSUPPORTED("""COMPUTED_VALUE"""),"Normalidade")</f>
        <v>Normalidade</v>
      </c>
      <c r="H2956" s="4">
        <f ca="1">IFERROR(__xludf.UNSUPPORTED("""COMPUTED_VALUE"""),45222.397199074)</f>
        <v>45222.397199074003</v>
      </c>
      <c r="I2956" s="3">
        <f ca="1">IFERROR(__xludf.UNSUPPORTED("""COMPUTED_VALUE"""),24)</f>
        <v>24</v>
      </c>
      <c r="J2956" s="4">
        <f ca="1">IFERROR(__xludf.UNSUPPORTED("""COMPUTED_VALUE"""),45223.397199074)</f>
        <v>45223.397199074003</v>
      </c>
      <c r="L2956" s="3" t="str">
        <f ca="1">IFERROR(__xludf.UNSUPPORTED("""COMPUTED_VALUE"""),"Normalidade")</f>
        <v>Normalidade</v>
      </c>
    </row>
    <row r="2957" spans="1:12" ht="12.75">
      <c r="A2957" s="3" t="str">
        <f ca="1">IFERROR(__xludf.UNSUPPORTED("""COMPUTED_VALUE"""),"bace16b4")</f>
        <v>bace16b4</v>
      </c>
      <c r="B2957" s="4">
        <f ca="1">IFERROR(__xludf.UNSUPPORTED("""COMPUTED_VALUE"""),45224.5107407407)</f>
        <v>45224.510740740698</v>
      </c>
      <c r="C2957" s="7" t="str">
        <f ca="1">IFERROR(__xludf.UNSUPPORTED("""COMPUTED_VALUE"""),"Terminal Aquaviário de Madre de Deus")</f>
        <v>Terminal Aquaviário de Madre de Deus</v>
      </c>
      <c r="D2957" s="3" t="str">
        <f ca="1">IFERROR(__xludf.UNSUPPORTED("""COMPUTED_VALUE"""),"🚢 REGULAR")</f>
        <v>🚢 REGULAR</v>
      </c>
      <c r="E2957" s="3" t="str">
        <f ca="1">IFERROR(__xludf.UNSUPPORTED("""COMPUTED_VALUE"""),"🚛 LIBERADO")</f>
        <v>🚛 LIBERADO</v>
      </c>
      <c r="F2957" s="5">
        <f ca="1">IFERROR(__xludf.UNSUPPORTED("""COMPUTED_VALUE"""),0)</f>
        <v>0</v>
      </c>
      <c r="G2957" s="3" t="str">
        <f ca="1">IFERROR(__xludf.UNSUPPORTED("""COMPUTED_VALUE"""),"Normalidade")</f>
        <v>Normalidade</v>
      </c>
      <c r="H2957" s="4">
        <f ca="1">IFERROR(__xludf.UNSUPPORTED("""COMPUTED_VALUE"""),45224.5107407407)</f>
        <v>45224.510740740698</v>
      </c>
      <c r="I2957" s="3">
        <f ca="1">IFERROR(__xludf.UNSUPPORTED("""COMPUTED_VALUE"""),24)</f>
        <v>24</v>
      </c>
      <c r="J2957" s="4">
        <f ca="1">IFERROR(__xludf.UNSUPPORTED("""COMPUTED_VALUE"""),45225.5107407407)</f>
        <v>45225.510740740698</v>
      </c>
      <c r="L2957" s="3" t="str">
        <f ca="1">IFERROR(__xludf.UNSUPPORTED("""COMPUTED_VALUE"""),"Normalidade")</f>
        <v>Normalidade</v>
      </c>
    </row>
    <row r="2958" spans="1:12" ht="12.75">
      <c r="A2958" s="3" t="str">
        <f ca="1">IFERROR(__xludf.UNSUPPORTED("""COMPUTED_VALUE"""),"af5b6f09")</f>
        <v>af5b6f09</v>
      </c>
      <c r="B2958" s="4">
        <f ca="1">IFERROR(__xludf.UNSUPPORTED("""COMPUTED_VALUE"""),45225.5098726851)</f>
        <v>45225.509872685099</v>
      </c>
      <c r="C2958" s="8" t="str">
        <f ca="1">IFERROR(__xludf.UNSUPPORTED("""COMPUTED_VALUE"""),"Terminal Aquaviário de Madre de Deus")</f>
        <v>Terminal Aquaviário de Madre de Deus</v>
      </c>
      <c r="D2958" s="3" t="str">
        <f ca="1">IFERROR(__xludf.UNSUPPORTED("""COMPUTED_VALUE"""),"🚢 REGULAR")</f>
        <v>🚢 REGULAR</v>
      </c>
      <c r="E2958" s="3" t="str">
        <f ca="1">IFERROR(__xludf.UNSUPPORTED("""COMPUTED_VALUE"""),"🚛 LIBERADO")</f>
        <v>🚛 LIBERADO</v>
      </c>
      <c r="F2958" s="5">
        <f ca="1">IFERROR(__xludf.UNSUPPORTED("""COMPUTED_VALUE"""),0)</f>
        <v>0</v>
      </c>
      <c r="G2958" s="3" t="str">
        <f ca="1">IFERROR(__xludf.UNSUPPORTED("""COMPUTED_VALUE"""),"Normalidade")</f>
        <v>Normalidade</v>
      </c>
      <c r="H2958" s="4">
        <f ca="1">IFERROR(__xludf.UNSUPPORTED("""COMPUTED_VALUE"""),45225.5098726851)</f>
        <v>45225.509872685099</v>
      </c>
      <c r="I2958" s="3">
        <f ca="1">IFERROR(__xludf.UNSUPPORTED("""COMPUTED_VALUE"""),24)</f>
        <v>24</v>
      </c>
      <c r="J2958" s="4">
        <f ca="1">IFERROR(__xludf.UNSUPPORTED("""COMPUTED_VALUE"""),45226.5098726851)</f>
        <v>45226.509872685099</v>
      </c>
      <c r="L2958" s="3" t="str">
        <f ca="1">IFERROR(__xludf.UNSUPPORTED("""COMPUTED_VALUE"""),"Normalidade")</f>
        <v>Normalidade</v>
      </c>
    </row>
    <row r="2959" spans="1:12" ht="12.75">
      <c r="A2959" s="3" t="str">
        <f ca="1">IFERROR(__xludf.UNSUPPORTED("""COMPUTED_VALUE"""),"1a045a60")</f>
        <v>1a045a60</v>
      </c>
      <c r="B2959" s="4">
        <f ca="1">IFERROR(__xludf.UNSUPPORTED("""COMPUTED_VALUE"""),45226.2676273148)</f>
        <v>45226.267627314803</v>
      </c>
      <c r="C2959" s="7" t="str">
        <f ca="1">IFERROR(__xludf.UNSUPPORTED("""COMPUTED_VALUE"""),"Terminal Aquaviário de Madre de Deus")</f>
        <v>Terminal Aquaviário de Madre de Deus</v>
      </c>
      <c r="D2959" s="3" t="str">
        <f ca="1">IFERROR(__xludf.UNSUPPORTED("""COMPUTED_VALUE"""),"🚢 REGULAR")</f>
        <v>🚢 REGULAR</v>
      </c>
      <c r="E2959" s="3" t="str">
        <f ca="1">IFERROR(__xludf.UNSUPPORTED("""COMPUTED_VALUE"""),"🚛 LIBERADO")</f>
        <v>🚛 LIBERADO</v>
      </c>
      <c r="F2959" s="5">
        <f ca="1">IFERROR(__xludf.UNSUPPORTED("""COMPUTED_VALUE"""),0)</f>
        <v>0</v>
      </c>
      <c r="G2959" s="3" t="str">
        <f ca="1">IFERROR(__xludf.UNSUPPORTED("""COMPUTED_VALUE"""),"Normalidade")</f>
        <v>Normalidade</v>
      </c>
      <c r="H2959" s="4">
        <f ca="1">IFERROR(__xludf.UNSUPPORTED("""COMPUTED_VALUE"""),45226.2676273148)</f>
        <v>45226.267627314803</v>
      </c>
      <c r="I2959" s="3">
        <f ca="1">IFERROR(__xludf.UNSUPPORTED("""COMPUTED_VALUE"""),24)</f>
        <v>24</v>
      </c>
      <c r="J2959" s="4">
        <f ca="1">IFERROR(__xludf.UNSUPPORTED("""COMPUTED_VALUE"""),45227.2676273148)</f>
        <v>45227.267627314803</v>
      </c>
      <c r="L2959" s="3" t="str">
        <f ca="1">IFERROR(__xludf.UNSUPPORTED("""COMPUTED_VALUE"""),"Normalidade")</f>
        <v>Normalidade</v>
      </c>
    </row>
    <row r="2960" spans="1:12" ht="12.75">
      <c r="A2960" s="3" t="str">
        <f ca="1">IFERROR(__xludf.UNSUPPORTED("""COMPUTED_VALUE"""),"c5c1c342")</f>
        <v>c5c1c342</v>
      </c>
      <c r="B2960" s="4">
        <f ca="1">IFERROR(__xludf.UNSUPPORTED("""COMPUTED_VALUE"""),45229.7434722222)</f>
        <v>45229.743472222202</v>
      </c>
      <c r="C2960" s="8" t="str">
        <f ca="1">IFERROR(__xludf.UNSUPPORTED("""COMPUTED_VALUE"""),"Terminal Aquaviário de Madre de Deus")</f>
        <v>Terminal Aquaviário de Madre de Deus</v>
      </c>
      <c r="D2960" s="3" t="str">
        <f ca="1">IFERROR(__xludf.UNSUPPORTED("""COMPUTED_VALUE"""),"🚢 REGULAR")</f>
        <v>🚢 REGULAR</v>
      </c>
      <c r="E2960" s="3" t="str">
        <f ca="1">IFERROR(__xludf.UNSUPPORTED("""COMPUTED_VALUE"""),"🚛 LIBERADO")</f>
        <v>🚛 LIBERADO</v>
      </c>
      <c r="F2960" s="5">
        <f ca="1">IFERROR(__xludf.UNSUPPORTED("""COMPUTED_VALUE"""),0)</f>
        <v>0</v>
      </c>
      <c r="G2960" s="3" t="str">
        <f ca="1">IFERROR(__xludf.UNSUPPORTED("""COMPUTED_VALUE"""),"Normalidade")</f>
        <v>Normalidade</v>
      </c>
      <c r="H2960" s="4">
        <f ca="1">IFERROR(__xludf.UNSUPPORTED("""COMPUTED_VALUE"""),45229.7434722222)</f>
        <v>45229.743472222202</v>
      </c>
      <c r="I2960" s="3">
        <f ca="1">IFERROR(__xludf.UNSUPPORTED("""COMPUTED_VALUE"""),24)</f>
        <v>24</v>
      </c>
      <c r="J2960" s="4">
        <f ca="1">IFERROR(__xludf.UNSUPPORTED("""COMPUTED_VALUE"""),45230.7434722222)</f>
        <v>45230.743472222202</v>
      </c>
      <c r="L2960" s="3" t="str">
        <f ca="1">IFERROR(__xludf.UNSUPPORTED("""COMPUTED_VALUE"""),"Normalidade")</f>
        <v>Normalidade</v>
      </c>
    </row>
    <row r="2961" spans="1:12" ht="12.75">
      <c r="A2961" s="3" t="str">
        <f ca="1">IFERROR(__xludf.UNSUPPORTED("""COMPUTED_VALUE"""),"eb41c68a")</f>
        <v>eb41c68a</v>
      </c>
      <c r="B2961" s="4">
        <f ca="1">IFERROR(__xludf.UNSUPPORTED("""COMPUTED_VALUE"""),45231.485011574)</f>
        <v>45231.485011573997</v>
      </c>
      <c r="C2961" s="8" t="str">
        <f ca="1">IFERROR(__xludf.UNSUPPORTED("""COMPUTED_VALUE"""),"Terminal Aquaviário de Madre de Deus")</f>
        <v>Terminal Aquaviário de Madre de Deus</v>
      </c>
      <c r="D2961" s="3" t="str">
        <f ca="1">IFERROR(__xludf.UNSUPPORTED("""COMPUTED_VALUE"""),"🚢 REGULAR")</f>
        <v>🚢 REGULAR</v>
      </c>
      <c r="E2961" s="3" t="str">
        <f ca="1">IFERROR(__xludf.UNSUPPORTED("""COMPUTED_VALUE"""),"🚛 LIBERADO")</f>
        <v>🚛 LIBERADO</v>
      </c>
      <c r="F2961" s="5">
        <f ca="1">IFERROR(__xludf.UNSUPPORTED("""COMPUTED_VALUE"""),0)</f>
        <v>0</v>
      </c>
      <c r="G2961" s="3" t="str">
        <f ca="1">IFERROR(__xludf.UNSUPPORTED("""COMPUTED_VALUE"""),"Normalidade")</f>
        <v>Normalidade</v>
      </c>
      <c r="H2961" s="4">
        <f ca="1">IFERROR(__xludf.UNSUPPORTED("""COMPUTED_VALUE"""),45231.485011574)</f>
        <v>45231.485011573997</v>
      </c>
      <c r="I2961" s="3">
        <f ca="1">IFERROR(__xludf.UNSUPPORTED("""COMPUTED_VALUE"""),24)</f>
        <v>24</v>
      </c>
      <c r="J2961" s="4">
        <f ca="1">IFERROR(__xludf.UNSUPPORTED("""COMPUTED_VALUE"""),45232.485011574)</f>
        <v>45232.485011573997</v>
      </c>
      <c r="L2961" s="3" t="str">
        <f ca="1">IFERROR(__xludf.UNSUPPORTED("""COMPUTED_VALUE"""),"Normalidade")</f>
        <v>Normalidade</v>
      </c>
    </row>
    <row r="2962" spans="1:12" ht="12.75">
      <c r="A2962" s="3" t="str">
        <f ca="1">IFERROR(__xludf.UNSUPPORTED("""COMPUTED_VALUE"""),"36d4feca")</f>
        <v>36d4feca</v>
      </c>
      <c r="B2962" s="4">
        <f ca="1">IFERROR(__xludf.UNSUPPORTED("""COMPUTED_VALUE"""),45233.6969675925)</f>
        <v>45233.696967592499</v>
      </c>
      <c r="C2962" s="8" t="str">
        <f ca="1">IFERROR(__xludf.UNSUPPORTED("""COMPUTED_VALUE"""),"Terminal Aquaviário de Madre de Deus")</f>
        <v>Terminal Aquaviário de Madre de Deus</v>
      </c>
      <c r="D2962" s="3" t="str">
        <f ca="1">IFERROR(__xludf.UNSUPPORTED("""COMPUTED_VALUE"""),"🚢 REGULAR")</f>
        <v>🚢 REGULAR</v>
      </c>
      <c r="E2962" s="3" t="str">
        <f ca="1">IFERROR(__xludf.UNSUPPORTED("""COMPUTED_VALUE"""),"🚛 LIBERADO")</f>
        <v>🚛 LIBERADO</v>
      </c>
      <c r="F2962" s="5">
        <f ca="1">IFERROR(__xludf.UNSUPPORTED("""COMPUTED_VALUE"""),0)</f>
        <v>0</v>
      </c>
      <c r="G2962" s="3" t="str">
        <f ca="1">IFERROR(__xludf.UNSUPPORTED("""COMPUTED_VALUE"""),"Normalidade")</f>
        <v>Normalidade</v>
      </c>
      <c r="H2962" s="4">
        <f ca="1">IFERROR(__xludf.UNSUPPORTED("""COMPUTED_VALUE"""),45233.6969675925)</f>
        <v>45233.696967592499</v>
      </c>
      <c r="I2962" s="3">
        <f ca="1">IFERROR(__xludf.UNSUPPORTED("""COMPUTED_VALUE"""),24)</f>
        <v>24</v>
      </c>
      <c r="J2962" s="4">
        <f ca="1">IFERROR(__xludf.UNSUPPORTED("""COMPUTED_VALUE"""),45234.6969675925)</f>
        <v>45234.696967592499</v>
      </c>
      <c r="L2962" s="3" t="str">
        <f ca="1">IFERROR(__xludf.UNSUPPORTED("""COMPUTED_VALUE"""),"Normalidade")</f>
        <v>Normalidade</v>
      </c>
    </row>
    <row r="2963" spans="1:12" ht="12.75">
      <c r="A2963" s="3" t="str">
        <f ca="1">IFERROR(__xludf.UNSUPPORTED("""COMPUTED_VALUE"""),"e28ed06f")</f>
        <v>e28ed06f</v>
      </c>
      <c r="B2963" s="4">
        <f ca="1">IFERROR(__xludf.UNSUPPORTED("""COMPUTED_VALUE"""),45236.3692592591)</f>
        <v>45236.369259259103</v>
      </c>
      <c r="C2963" s="7" t="str">
        <f ca="1">IFERROR(__xludf.UNSUPPORTED("""COMPUTED_VALUE"""),"Terminal Aquaviário de Madre de Deus")</f>
        <v>Terminal Aquaviário de Madre de Deus</v>
      </c>
      <c r="D2963" s="3" t="str">
        <f ca="1">IFERROR(__xludf.UNSUPPORTED("""COMPUTED_VALUE"""),"🚢 REGULAR")</f>
        <v>🚢 REGULAR</v>
      </c>
      <c r="E2963" s="3" t="str">
        <f ca="1">IFERROR(__xludf.UNSUPPORTED("""COMPUTED_VALUE"""),"🚛 LIBERADO")</f>
        <v>🚛 LIBERADO</v>
      </c>
      <c r="F2963" s="5">
        <f ca="1">IFERROR(__xludf.UNSUPPORTED("""COMPUTED_VALUE"""),0)</f>
        <v>0</v>
      </c>
      <c r="G2963" s="3" t="str">
        <f ca="1">IFERROR(__xludf.UNSUPPORTED("""COMPUTED_VALUE"""),"Normalidade")</f>
        <v>Normalidade</v>
      </c>
      <c r="H2963" s="4">
        <f ca="1">IFERROR(__xludf.UNSUPPORTED("""COMPUTED_VALUE"""),45236.3692592591)</f>
        <v>45236.369259259103</v>
      </c>
      <c r="I2963" s="3">
        <f ca="1">IFERROR(__xludf.UNSUPPORTED("""COMPUTED_VALUE"""),24)</f>
        <v>24</v>
      </c>
      <c r="J2963" s="4">
        <f ca="1">IFERROR(__xludf.UNSUPPORTED("""COMPUTED_VALUE"""),45237.3692592591)</f>
        <v>45237.369259259103</v>
      </c>
      <c r="L2963" s="3" t="str">
        <f ca="1">IFERROR(__xludf.UNSUPPORTED("""COMPUTED_VALUE"""),"Normalidade")</f>
        <v>Normalidade</v>
      </c>
    </row>
    <row r="2964" spans="1:12" ht="12.75">
      <c r="A2964" s="3" t="str">
        <f ca="1">IFERROR(__xludf.UNSUPPORTED("""COMPUTED_VALUE"""),"93711bff")</f>
        <v>93711bff</v>
      </c>
      <c r="B2964" s="4">
        <f ca="1">IFERROR(__xludf.UNSUPPORTED("""COMPUTED_VALUE"""),45237.326412037)</f>
        <v>45237.326412037</v>
      </c>
      <c r="C2964" s="8" t="str">
        <f ca="1">IFERROR(__xludf.UNSUPPORTED("""COMPUTED_VALUE"""),"Terminal Aquaviário de Madre de Deus")</f>
        <v>Terminal Aquaviário de Madre de Deus</v>
      </c>
      <c r="D2964" s="3" t="str">
        <f ca="1">IFERROR(__xludf.UNSUPPORTED("""COMPUTED_VALUE"""),"🚢 REGULAR")</f>
        <v>🚢 REGULAR</v>
      </c>
      <c r="E2964" s="3" t="str">
        <f ca="1">IFERROR(__xludf.UNSUPPORTED("""COMPUTED_VALUE"""),"🚛 LIBERADO")</f>
        <v>🚛 LIBERADO</v>
      </c>
      <c r="F2964" s="5">
        <f ca="1">IFERROR(__xludf.UNSUPPORTED("""COMPUTED_VALUE"""),0)</f>
        <v>0</v>
      </c>
      <c r="G2964" s="3" t="str">
        <f ca="1">IFERROR(__xludf.UNSUPPORTED("""COMPUTED_VALUE"""),"Normalidade")</f>
        <v>Normalidade</v>
      </c>
      <c r="H2964" s="4">
        <f ca="1">IFERROR(__xludf.UNSUPPORTED("""COMPUTED_VALUE"""),45237.326412037)</f>
        <v>45237.326412037</v>
      </c>
      <c r="I2964" s="3">
        <f ca="1">IFERROR(__xludf.UNSUPPORTED("""COMPUTED_VALUE"""),24)</f>
        <v>24</v>
      </c>
      <c r="J2964" s="4">
        <f ca="1">IFERROR(__xludf.UNSUPPORTED("""COMPUTED_VALUE"""),45238.326412037)</f>
        <v>45238.326412037</v>
      </c>
      <c r="L2964" s="3" t="str">
        <f ca="1">IFERROR(__xludf.UNSUPPORTED("""COMPUTED_VALUE"""),"Normalidade")</f>
        <v>Normalidade</v>
      </c>
    </row>
    <row r="2965" spans="1:12" ht="12.75">
      <c r="A2965" s="3" t="str">
        <f ca="1">IFERROR(__xludf.UNSUPPORTED("""COMPUTED_VALUE"""),"6bbb5846")</f>
        <v>6bbb5846</v>
      </c>
      <c r="B2965" s="4">
        <f ca="1">IFERROR(__xludf.UNSUPPORTED("""COMPUTED_VALUE"""),45239.8229050925)</f>
        <v>45239.8229050925</v>
      </c>
      <c r="C2965" s="8" t="str">
        <f ca="1">IFERROR(__xludf.UNSUPPORTED("""COMPUTED_VALUE"""),"Terminal Aquaviário de Madre de Deus")</f>
        <v>Terminal Aquaviário de Madre de Deus</v>
      </c>
      <c r="D2965" s="3" t="str">
        <f ca="1">IFERROR(__xludf.UNSUPPORTED("""COMPUTED_VALUE"""),"🚢 REGULAR")</f>
        <v>🚢 REGULAR</v>
      </c>
      <c r="E2965" s="3" t="str">
        <f ca="1">IFERROR(__xludf.UNSUPPORTED("""COMPUTED_VALUE"""),"🚛 LIBERADO")</f>
        <v>🚛 LIBERADO</v>
      </c>
      <c r="F2965" s="5">
        <f ca="1">IFERROR(__xludf.UNSUPPORTED("""COMPUTED_VALUE"""),0)</f>
        <v>0</v>
      </c>
      <c r="G2965" s="3" t="str">
        <f ca="1">IFERROR(__xludf.UNSUPPORTED("""COMPUTED_VALUE"""),"Normalidade")</f>
        <v>Normalidade</v>
      </c>
      <c r="H2965" s="4">
        <f ca="1">IFERROR(__xludf.UNSUPPORTED("""COMPUTED_VALUE"""),45239.8229050925)</f>
        <v>45239.8229050925</v>
      </c>
      <c r="I2965" s="3">
        <f ca="1">IFERROR(__xludf.UNSUPPORTED("""COMPUTED_VALUE"""),24)</f>
        <v>24</v>
      </c>
      <c r="J2965" s="4">
        <f ca="1">IFERROR(__xludf.UNSUPPORTED("""COMPUTED_VALUE"""),45240.8229050925)</f>
        <v>45240.8229050925</v>
      </c>
      <c r="L2965" s="3" t="str">
        <f ca="1">IFERROR(__xludf.UNSUPPORTED("""COMPUTED_VALUE"""),"Normalidade")</f>
        <v>Normalidade</v>
      </c>
    </row>
    <row r="2966" spans="1:12" ht="12.75">
      <c r="A2966" s="3" t="str">
        <f ca="1">IFERROR(__xludf.UNSUPPORTED("""COMPUTED_VALUE"""),"38285231")</f>
        <v>38285231</v>
      </c>
      <c r="B2966" s="4">
        <f ca="1">IFERROR(__xludf.UNSUPPORTED("""COMPUTED_VALUE"""),45240.5962268518)</f>
        <v>45240.596226851798</v>
      </c>
      <c r="C2966" s="7" t="str">
        <f ca="1">IFERROR(__xludf.UNSUPPORTED("""COMPUTED_VALUE"""),"Terminal Aquaviário de Madre de Deus")</f>
        <v>Terminal Aquaviário de Madre de Deus</v>
      </c>
      <c r="D2966" s="3" t="str">
        <f ca="1">IFERROR(__xludf.UNSUPPORTED("""COMPUTED_VALUE"""),"🚢 REGULAR")</f>
        <v>🚢 REGULAR</v>
      </c>
      <c r="E2966" s="3" t="str">
        <f ca="1">IFERROR(__xludf.UNSUPPORTED("""COMPUTED_VALUE"""),"🚛 LIBERADO")</f>
        <v>🚛 LIBERADO</v>
      </c>
      <c r="F2966" s="5">
        <f ca="1">IFERROR(__xludf.UNSUPPORTED("""COMPUTED_VALUE"""),0)</f>
        <v>0</v>
      </c>
      <c r="G2966" s="3" t="str">
        <f ca="1">IFERROR(__xludf.UNSUPPORTED("""COMPUTED_VALUE"""),"Normalidade")</f>
        <v>Normalidade</v>
      </c>
      <c r="H2966" s="4">
        <f ca="1">IFERROR(__xludf.UNSUPPORTED("""COMPUTED_VALUE"""),45240.5962268518)</f>
        <v>45240.596226851798</v>
      </c>
      <c r="I2966" s="3">
        <f ca="1">IFERROR(__xludf.UNSUPPORTED("""COMPUTED_VALUE"""),24)</f>
        <v>24</v>
      </c>
      <c r="J2966" s="4">
        <f ca="1">IFERROR(__xludf.UNSUPPORTED("""COMPUTED_VALUE"""),45241.5962268518)</f>
        <v>45241.596226851798</v>
      </c>
      <c r="L2966" s="3" t="str">
        <f ca="1">IFERROR(__xludf.UNSUPPORTED("""COMPUTED_VALUE"""),"Normalidade")</f>
        <v>Normalidade</v>
      </c>
    </row>
    <row r="2967" spans="1:12" ht="12.75">
      <c r="A2967" s="3" t="str">
        <f ca="1">IFERROR(__xludf.UNSUPPORTED("""COMPUTED_VALUE"""),"861ebee0")</f>
        <v>861ebee0</v>
      </c>
      <c r="B2967" s="4">
        <f ca="1">IFERROR(__xludf.UNSUPPORTED("""COMPUTED_VALUE"""),45243.3113773148)</f>
        <v>45243.3113773148</v>
      </c>
      <c r="C2967" s="7" t="str">
        <f ca="1">IFERROR(__xludf.UNSUPPORTED("""COMPUTED_VALUE"""),"Terminal Aquaviário de Madre de Deus")</f>
        <v>Terminal Aquaviário de Madre de Deus</v>
      </c>
      <c r="D2967" s="3" t="str">
        <f ca="1">IFERROR(__xludf.UNSUPPORTED("""COMPUTED_VALUE"""),"🚢 REGULAR")</f>
        <v>🚢 REGULAR</v>
      </c>
      <c r="E2967" s="3" t="str">
        <f ca="1">IFERROR(__xludf.UNSUPPORTED("""COMPUTED_VALUE"""),"🚛 LIBERADO")</f>
        <v>🚛 LIBERADO</v>
      </c>
      <c r="F2967" s="5">
        <f ca="1">IFERROR(__xludf.UNSUPPORTED("""COMPUTED_VALUE"""),0)</f>
        <v>0</v>
      </c>
      <c r="G2967" s="3" t="str">
        <f ca="1">IFERROR(__xludf.UNSUPPORTED("""COMPUTED_VALUE"""),"Normalidade")</f>
        <v>Normalidade</v>
      </c>
      <c r="H2967" s="4">
        <f ca="1">IFERROR(__xludf.UNSUPPORTED("""COMPUTED_VALUE"""),45243.3113773148)</f>
        <v>45243.3113773148</v>
      </c>
      <c r="I2967" s="3">
        <f ca="1">IFERROR(__xludf.UNSUPPORTED("""COMPUTED_VALUE"""),24)</f>
        <v>24</v>
      </c>
      <c r="J2967" s="4">
        <f ca="1">IFERROR(__xludf.UNSUPPORTED("""COMPUTED_VALUE"""),45244.3113773148)</f>
        <v>45244.3113773148</v>
      </c>
      <c r="L2967" s="3" t="str">
        <f ca="1">IFERROR(__xludf.UNSUPPORTED("""COMPUTED_VALUE"""),"Normalidade")</f>
        <v>Normalidade</v>
      </c>
    </row>
    <row r="2968" spans="1:12" ht="12.75">
      <c r="A2968" s="3" t="str">
        <f ca="1">IFERROR(__xludf.UNSUPPORTED("""COMPUTED_VALUE"""),"2811e5b8")</f>
        <v>2811e5b8</v>
      </c>
      <c r="B2968" s="4">
        <f ca="1">IFERROR(__xludf.UNSUPPORTED("""COMPUTED_VALUE"""),45247.2979282407)</f>
        <v>45247.297928240703</v>
      </c>
      <c r="C2968" s="7" t="str">
        <f ca="1">IFERROR(__xludf.UNSUPPORTED("""COMPUTED_VALUE"""),"Terminal Aquaviário de Madre de Deus")</f>
        <v>Terminal Aquaviário de Madre de Deus</v>
      </c>
      <c r="D2968" s="3" t="str">
        <f ca="1">IFERROR(__xludf.UNSUPPORTED("""COMPUTED_VALUE"""),"🚢 REGULAR")</f>
        <v>🚢 REGULAR</v>
      </c>
      <c r="E2968" s="3" t="str">
        <f ca="1">IFERROR(__xludf.UNSUPPORTED("""COMPUTED_VALUE"""),"🚛 LIBERADO")</f>
        <v>🚛 LIBERADO</v>
      </c>
      <c r="F2968" s="5">
        <f ca="1">IFERROR(__xludf.UNSUPPORTED("""COMPUTED_VALUE"""),0)</f>
        <v>0</v>
      </c>
      <c r="G2968" s="3" t="str">
        <f ca="1">IFERROR(__xludf.UNSUPPORTED("""COMPUTED_VALUE"""),"Normalidade")</f>
        <v>Normalidade</v>
      </c>
      <c r="H2968" s="4">
        <f ca="1">IFERROR(__xludf.UNSUPPORTED("""COMPUTED_VALUE"""),45247.2979282407)</f>
        <v>45247.297928240703</v>
      </c>
      <c r="I2968" s="3">
        <f ca="1">IFERROR(__xludf.UNSUPPORTED("""COMPUTED_VALUE"""),24)</f>
        <v>24</v>
      </c>
      <c r="J2968" s="4">
        <f ca="1">IFERROR(__xludf.UNSUPPORTED("""COMPUTED_VALUE"""),45248.2979282407)</f>
        <v>45248.297928240703</v>
      </c>
      <c r="L2968" s="3" t="str">
        <f ca="1">IFERROR(__xludf.UNSUPPORTED("""COMPUTED_VALUE"""),"Normalidade")</f>
        <v>Normalidade</v>
      </c>
    </row>
    <row r="2969" spans="1:12" ht="12.75">
      <c r="A2969" s="3" t="str">
        <f ca="1">IFERROR(__xludf.UNSUPPORTED("""COMPUTED_VALUE"""),"eb2362ff")</f>
        <v>eb2362ff</v>
      </c>
      <c r="B2969" s="4">
        <f ca="1">IFERROR(__xludf.UNSUPPORTED("""COMPUTED_VALUE"""),45252.3401967592)</f>
        <v>45252.3401967592</v>
      </c>
      <c r="C2969" s="7" t="str">
        <f ca="1">IFERROR(__xludf.UNSUPPORTED("""COMPUTED_VALUE"""),"Terminal Aquaviário de Madre de Deus")</f>
        <v>Terminal Aquaviário de Madre de Deus</v>
      </c>
      <c r="D2969" s="3" t="str">
        <f ca="1">IFERROR(__xludf.UNSUPPORTED("""COMPUTED_VALUE"""),"🚢 REGULAR")</f>
        <v>🚢 REGULAR</v>
      </c>
      <c r="E2969" s="3" t="str">
        <f ca="1">IFERROR(__xludf.UNSUPPORTED("""COMPUTED_VALUE"""),"🚛 LIBERADO")</f>
        <v>🚛 LIBERADO</v>
      </c>
      <c r="F2969" s="5">
        <f ca="1">IFERROR(__xludf.UNSUPPORTED("""COMPUTED_VALUE"""),0)</f>
        <v>0</v>
      </c>
      <c r="G2969" s="3" t="str">
        <f ca="1">IFERROR(__xludf.UNSUPPORTED("""COMPUTED_VALUE"""),"Normalidade")</f>
        <v>Normalidade</v>
      </c>
      <c r="H2969" s="4">
        <f ca="1">IFERROR(__xludf.UNSUPPORTED("""COMPUTED_VALUE"""),45252.3401967592)</f>
        <v>45252.3401967592</v>
      </c>
      <c r="I2969" s="3">
        <f ca="1">IFERROR(__xludf.UNSUPPORTED("""COMPUTED_VALUE"""),24)</f>
        <v>24</v>
      </c>
      <c r="J2969" s="4">
        <f ca="1">IFERROR(__xludf.UNSUPPORTED("""COMPUTED_VALUE"""),45253.3401967592)</f>
        <v>45253.3401967592</v>
      </c>
      <c r="L2969" s="3" t="str">
        <f ca="1">IFERROR(__xludf.UNSUPPORTED("""COMPUTED_VALUE"""),"Normalidade")</f>
        <v>Normalidade</v>
      </c>
    </row>
    <row r="2970" spans="1:12" ht="12.75">
      <c r="A2970" s="3" t="str">
        <f ca="1">IFERROR(__xludf.UNSUPPORTED("""COMPUTED_VALUE"""),"c1701b6e")</f>
        <v>c1701b6e</v>
      </c>
      <c r="B2970" s="4">
        <f ca="1">IFERROR(__xludf.UNSUPPORTED("""COMPUTED_VALUE"""),45253.5723958333)</f>
        <v>45253.572395833296</v>
      </c>
      <c r="C2970" s="8" t="str">
        <f ca="1">IFERROR(__xludf.UNSUPPORTED("""COMPUTED_VALUE"""),"Terminal Aquaviário de Madre de Deus")</f>
        <v>Terminal Aquaviário de Madre de Deus</v>
      </c>
      <c r="D2970" s="3" t="str">
        <f ca="1">IFERROR(__xludf.UNSUPPORTED("""COMPUTED_VALUE"""),"🚢 REGULAR")</f>
        <v>🚢 REGULAR</v>
      </c>
      <c r="E2970" s="3" t="str">
        <f ca="1">IFERROR(__xludf.UNSUPPORTED("""COMPUTED_VALUE"""),"🚛 LIBERADO")</f>
        <v>🚛 LIBERADO</v>
      </c>
      <c r="F2970" s="5">
        <f ca="1">IFERROR(__xludf.UNSUPPORTED("""COMPUTED_VALUE"""),0)</f>
        <v>0</v>
      </c>
      <c r="G2970" s="3" t="str">
        <f ca="1">IFERROR(__xludf.UNSUPPORTED("""COMPUTED_VALUE"""),"Normalidade")</f>
        <v>Normalidade</v>
      </c>
      <c r="H2970" s="4">
        <f ca="1">IFERROR(__xludf.UNSUPPORTED("""COMPUTED_VALUE"""),45253.5723958333)</f>
        <v>45253.572395833296</v>
      </c>
      <c r="I2970" s="3">
        <f ca="1">IFERROR(__xludf.UNSUPPORTED("""COMPUTED_VALUE"""),24)</f>
        <v>24</v>
      </c>
      <c r="J2970" s="4">
        <f ca="1">IFERROR(__xludf.UNSUPPORTED("""COMPUTED_VALUE"""),45254.5723958333)</f>
        <v>45254.572395833296</v>
      </c>
      <c r="L2970" s="3" t="str">
        <f ca="1">IFERROR(__xludf.UNSUPPORTED("""COMPUTED_VALUE"""),"Normalidade")</f>
        <v>Normalidade</v>
      </c>
    </row>
    <row r="2971" spans="1:12" ht="12.75">
      <c r="A2971" s="3" t="str">
        <f ca="1">IFERROR(__xludf.UNSUPPORTED("""COMPUTED_VALUE"""),"a7ac695a")</f>
        <v>a7ac695a</v>
      </c>
      <c r="B2971" s="4">
        <f ca="1">IFERROR(__xludf.UNSUPPORTED("""COMPUTED_VALUE"""),45254.3777777777)</f>
        <v>45254.3777777777</v>
      </c>
      <c r="C2971" s="8" t="str">
        <f ca="1">IFERROR(__xludf.UNSUPPORTED("""COMPUTED_VALUE"""),"Terminal Aquaviário de Madre de Deus")</f>
        <v>Terminal Aquaviário de Madre de Deus</v>
      </c>
      <c r="D2971" s="3" t="str">
        <f ca="1">IFERROR(__xludf.UNSUPPORTED("""COMPUTED_VALUE"""),"🚢 REGULAR")</f>
        <v>🚢 REGULAR</v>
      </c>
      <c r="E2971" s="3" t="str">
        <f ca="1">IFERROR(__xludf.UNSUPPORTED("""COMPUTED_VALUE"""),"🚛 LIBERADO")</f>
        <v>🚛 LIBERADO</v>
      </c>
      <c r="F2971" s="5">
        <f ca="1">IFERROR(__xludf.UNSUPPORTED("""COMPUTED_VALUE"""),0)</f>
        <v>0</v>
      </c>
      <c r="G2971" s="3" t="str">
        <f ca="1">IFERROR(__xludf.UNSUPPORTED("""COMPUTED_VALUE"""),"Normalidade")</f>
        <v>Normalidade</v>
      </c>
      <c r="H2971" s="4">
        <f ca="1">IFERROR(__xludf.UNSUPPORTED("""COMPUTED_VALUE"""),45254.3777777777)</f>
        <v>45254.3777777777</v>
      </c>
      <c r="I2971" s="3">
        <f ca="1">IFERROR(__xludf.UNSUPPORTED("""COMPUTED_VALUE"""),24)</f>
        <v>24</v>
      </c>
      <c r="J2971" s="4">
        <f ca="1">IFERROR(__xludf.UNSUPPORTED("""COMPUTED_VALUE"""),45255.3777777777)</f>
        <v>45255.3777777777</v>
      </c>
      <c r="L2971" s="3" t="str">
        <f ca="1">IFERROR(__xludf.UNSUPPORTED("""COMPUTED_VALUE"""),"Normalidade")</f>
        <v>Normalidade</v>
      </c>
    </row>
    <row r="2972" spans="1:12" ht="12.75">
      <c r="A2972" s="3" t="str">
        <f ca="1">IFERROR(__xludf.UNSUPPORTED("""COMPUTED_VALUE"""),"85c52f0c")</f>
        <v>85c52f0c</v>
      </c>
      <c r="B2972" s="4">
        <f ca="1">IFERROR(__xludf.UNSUPPORTED("""COMPUTED_VALUE"""),45257.5451967592)</f>
        <v>45257.545196759202</v>
      </c>
      <c r="C2972" s="8" t="str">
        <f ca="1">IFERROR(__xludf.UNSUPPORTED("""COMPUTED_VALUE"""),"Terminal Aquaviário de Madre de Deus")</f>
        <v>Terminal Aquaviário de Madre de Deus</v>
      </c>
      <c r="D2972" s="3" t="str">
        <f ca="1">IFERROR(__xludf.UNSUPPORTED("""COMPUTED_VALUE"""),"🚢 REGULAR")</f>
        <v>🚢 REGULAR</v>
      </c>
      <c r="E2972" s="3" t="str">
        <f ca="1">IFERROR(__xludf.UNSUPPORTED("""COMPUTED_VALUE"""),"🚛 LIBERADO")</f>
        <v>🚛 LIBERADO</v>
      </c>
      <c r="F2972" s="5">
        <f ca="1">IFERROR(__xludf.UNSUPPORTED("""COMPUTED_VALUE"""),0)</f>
        <v>0</v>
      </c>
      <c r="G2972" s="3" t="str">
        <f ca="1">IFERROR(__xludf.UNSUPPORTED("""COMPUTED_VALUE"""),"Normalidade")</f>
        <v>Normalidade</v>
      </c>
      <c r="H2972" s="4">
        <f ca="1">IFERROR(__xludf.UNSUPPORTED("""COMPUTED_VALUE"""),45257.5451967592)</f>
        <v>45257.545196759202</v>
      </c>
      <c r="I2972" s="3">
        <f ca="1">IFERROR(__xludf.UNSUPPORTED("""COMPUTED_VALUE"""),24)</f>
        <v>24</v>
      </c>
      <c r="J2972" s="4">
        <f ca="1">IFERROR(__xludf.UNSUPPORTED("""COMPUTED_VALUE"""),45258.5451967592)</f>
        <v>45258.545196759202</v>
      </c>
      <c r="L2972" s="3" t="str">
        <f ca="1">IFERROR(__xludf.UNSUPPORTED("""COMPUTED_VALUE"""),"Normalidade")</f>
        <v>Normalidade</v>
      </c>
    </row>
    <row r="2973" spans="1:12" ht="12.75">
      <c r="A2973" s="3" t="str">
        <f ca="1">IFERROR(__xludf.UNSUPPORTED("""COMPUTED_VALUE"""),"68984b62")</f>
        <v>68984b62</v>
      </c>
      <c r="B2973" s="4">
        <f ca="1">IFERROR(__xludf.UNSUPPORTED("""COMPUTED_VALUE"""),45258.4334027777)</f>
        <v>45258.4334027777</v>
      </c>
      <c r="C2973" s="8" t="str">
        <f ca="1">IFERROR(__xludf.UNSUPPORTED("""COMPUTED_VALUE"""),"Terminal Aquaviário de Madre de Deus")</f>
        <v>Terminal Aquaviário de Madre de Deus</v>
      </c>
      <c r="D2973" s="3" t="str">
        <f ca="1">IFERROR(__xludf.UNSUPPORTED("""COMPUTED_VALUE"""),"🚢 REGULAR")</f>
        <v>🚢 REGULAR</v>
      </c>
      <c r="E2973" s="3" t="str">
        <f ca="1">IFERROR(__xludf.UNSUPPORTED("""COMPUTED_VALUE"""),"🚛 LIBERADO")</f>
        <v>🚛 LIBERADO</v>
      </c>
      <c r="F2973" s="5">
        <f ca="1">IFERROR(__xludf.UNSUPPORTED("""COMPUTED_VALUE"""),0)</f>
        <v>0</v>
      </c>
      <c r="G2973" s="3" t="str">
        <f ca="1">IFERROR(__xludf.UNSUPPORTED("""COMPUTED_VALUE"""),"Normalidade")</f>
        <v>Normalidade</v>
      </c>
      <c r="H2973" s="4">
        <f ca="1">IFERROR(__xludf.UNSUPPORTED("""COMPUTED_VALUE"""),45258.4334027777)</f>
        <v>45258.4334027777</v>
      </c>
      <c r="I2973" s="3">
        <f ca="1">IFERROR(__xludf.UNSUPPORTED("""COMPUTED_VALUE"""),24)</f>
        <v>24</v>
      </c>
      <c r="J2973" s="4">
        <f ca="1">IFERROR(__xludf.UNSUPPORTED("""COMPUTED_VALUE"""),45259.4334027777)</f>
        <v>45259.4334027777</v>
      </c>
      <c r="L2973" s="3" t="str">
        <f ca="1">IFERROR(__xludf.UNSUPPORTED("""COMPUTED_VALUE"""),"Normalidade")</f>
        <v>Normalidade</v>
      </c>
    </row>
    <row r="2974" spans="1:12" ht="12.75">
      <c r="A2974" s="3" t="str">
        <f ca="1">IFERROR(__xludf.UNSUPPORTED("""COMPUTED_VALUE"""),"8c2b3c60")</f>
        <v>8c2b3c60</v>
      </c>
      <c r="B2974" s="4">
        <f ca="1">IFERROR(__xludf.UNSUPPORTED("""COMPUTED_VALUE"""),45260.4101388888)</f>
        <v>45260.410138888801</v>
      </c>
      <c r="C2974" s="7" t="str">
        <f ca="1">IFERROR(__xludf.UNSUPPORTED("""COMPUTED_VALUE"""),"Terminal Aquaviário de Madre de Deus")</f>
        <v>Terminal Aquaviário de Madre de Deus</v>
      </c>
      <c r="D2974" s="3" t="str">
        <f ca="1">IFERROR(__xludf.UNSUPPORTED("""COMPUTED_VALUE"""),"🚢 REGULAR")</f>
        <v>🚢 REGULAR</v>
      </c>
      <c r="E2974" s="3" t="str">
        <f ca="1">IFERROR(__xludf.UNSUPPORTED("""COMPUTED_VALUE"""),"🚛 LIBERADO")</f>
        <v>🚛 LIBERADO</v>
      </c>
      <c r="F2974" s="5">
        <f ca="1">IFERROR(__xludf.UNSUPPORTED("""COMPUTED_VALUE"""),0)</f>
        <v>0</v>
      </c>
      <c r="G2974" s="3" t="str">
        <f ca="1">IFERROR(__xludf.UNSUPPORTED("""COMPUTED_VALUE"""),"Normalidade")</f>
        <v>Normalidade</v>
      </c>
      <c r="H2974" s="4">
        <f ca="1">IFERROR(__xludf.UNSUPPORTED("""COMPUTED_VALUE"""),45260.4101388888)</f>
        <v>45260.410138888801</v>
      </c>
      <c r="I2974" s="3">
        <f ca="1">IFERROR(__xludf.UNSUPPORTED("""COMPUTED_VALUE"""),24)</f>
        <v>24</v>
      </c>
      <c r="J2974" s="4">
        <f ca="1">IFERROR(__xludf.UNSUPPORTED("""COMPUTED_VALUE"""),45261.4101388888)</f>
        <v>45261.410138888801</v>
      </c>
      <c r="L2974" s="3" t="str">
        <f ca="1">IFERROR(__xludf.UNSUPPORTED("""COMPUTED_VALUE"""),"Normalidade")</f>
        <v>Normalidade</v>
      </c>
    </row>
    <row r="2975" spans="1:12" ht="12.75">
      <c r="A2975" s="3" t="str">
        <f ca="1">IFERROR(__xludf.UNSUPPORTED("""COMPUTED_VALUE"""),"08a99bd3")</f>
        <v>08a99bd3</v>
      </c>
      <c r="B2975" s="4">
        <f ca="1">IFERROR(__xludf.UNSUPPORTED("""COMPUTED_VALUE"""),45261.6150462963)</f>
        <v>45261.615046296298</v>
      </c>
      <c r="C2975" s="7" t="str">
        <f ca="1">IFERROR(__xludf.UNSUPPORTED("""COMPUTED_VALUE"""),"Terminal Aquaviário de Madre de Deus")</f>
        <v>Terminal Aquaviário de Madre de Deus</v>
      </c>
      <c r="D2975" s="3" t="str">
        <f ca="1">IFERROR(__xludf.UNSUPPORTED("""COMPUTED_VALUE"""),"🚢 REGULAR")</f>
        <v>🚢 REGULAR</v>
      </c>
      <c r="E2975" s="3" t="str">
        <f ca="1">IFERROR(__xludf.UNSUPPORTED("""COMPUTED_VALUE"""),"🚛 LIBERADO")</f>
        <v>🚛 LIBERADO</v>
      </c>
      <c r="F2975" s="5">
        <f ca="1">IFERROR(__xludf.UNSUPPORTED("""COMPUTED_VALUE"""),0)</f>
        <v>0</v>
      </c>
      <c r="G2975" s="3" t="str">
        <f ca="1">IFERROR(__xludf.UNSUPPORTED("""COMPUTED_VALUE"""),"Normalidade")</f>
        <v>Normalidade</v>
      </c>
      <c r="H2975" s="4">
        <f ca="1">IFERROR(__xludf.UNSUPPORTED("""COMPUTED_VALUE"""),45261.6150462963)</f>
        <v>45261.615046296298</v>
      </c>
      <c r="I2975" s="3">
        <f ca="1">IFERROR(__xludf.UNSUPPORTED("""COMPUTED_VALUE"""),24)</f>
        <v>24</v>
      </c>
      <c r="J2975" s="4">
        <f ca="1">IFERROR(__xludf.UNSUPPORTED("""COMPUTED_VALUE"""),45262.6150462963)</f>
        <v>45262.615046296298</v>
      </c>
      <c r="L2975" s="3" t="str">
        <f ca="1">IFERROR(__xludf.UNSUPPORTED("""COMPUTED_VALUE"""),"Normalidade")</f>
        <v>Normalidade</v>
      </c>
    </row>
    <row r="2976" spans="1:12" ht="12.75">
      <c r="A2976" s="3" t="str">
        <f ca="1">IFERROR(__xludf.UNSUPPORTED("""COMPUTED_VALUE"""),"33315389")</f>
        <v>33315389</v>
      </c>
      <c r="B2976" s="4">
        <f ca="1">IFERROR(__xludf.UNSUPPORTED("""COMPUTED_VALUE"""),45264.5681828703)</f>
        <v>45264.568182870302</v>
      </c>
      <c r="C2976" s="8" t="str">
        <f ca="1">IFERROR(__xludf.UNSUPPORTED("""COMPUTED_VALUE"""),"Terminal Aquaviário de Madre de Deus")</f>
        <v>Terminal Aquaviário de Madre de Deus</v>
      </c>
      <c r="D2976" s="3" t="str">
        <f ca="1">IFERROR(__xludf.UNSUPPORTED("""COMPUTED_VALUE"""),"🚢 REGULAR")</f>
        <v>🚢 REGULAR</v>
      </c>
      <c r="E2976" s="3" t="str">
        <f ca="1">IFERROR(__xludf.UNSUPPORTED("""COMPUTED_VALUE"""),"🚛 LIBERADO")</f>
        <v>🚛 LIBERADO</v>
      </c>
      <c r="F2976" s="5">
        <f ca="1">IFERROR(__xludf.UNSUPPORTED("""COMPUTED_VALUE"""),0)</f>
        <v>0</v>
      </c>
      <c r="G2976" s="3" t="str">
        <f ca="1">IFERROR(__xludf.UNSUPPORTED("""COMPUTED_VALUE"""),"Normalidade")</f>
        <v>Normalidade</v>
      </c>
      <c r="H2976" s="4">
        <f ca="1">IFERROR(__xludf.UNSUPPORTED("""COMPUTED_VALUE"""),45264.5681828703)</f>
        <v>45264.568182870302</v>
      </c>
      <c r="I2976" s="3">
        <f ca="1">IFERROR(__xludf.UNSUPPORTED("""COMPUTED_VALUE"""),24)</f>
        <v>24</v>
      </c>
      <c r="J2976" s="4">
        <f ca="1">IFERROR(__xludf.UNSUPPORTED("""COMPUTED_VALUE"""),45265.5681828703)</f>
        <v>45265.568182870302</v>
      </c>
      <c r="L2976" s="3" t="str">
        <f ca="1">IFERROR(__xludf.UNSUPPORTED("""COMPUTED_VALUE"""),"Normalidade")</f>
        <v>Normalidade</v>
      </c>
    </row>
    <row r="2977" spans="1:12" ht="12.75">
      <c r="A2977" s="3" t="str">
        <f ca="1">IFERROR(__xludf.UNSUPPORTED("""COMPUTED_VALUE"""),"f6ad5986")</f>
        <v>f6ad5986</v>
      </c>
      <c r="B2977" s="4">
        <f ca="1">IFERROR(__xludf.UNSUPPORTED("""COMPUTED_VALUE"""),45267.2587152777)</f>
        <v>45267.258715277698</v>
      </c>
      <c r="C2977" s="7" t="str">
        <f ca="1">IFERROR(__xludf.UNSUPPORTED("""COMPUTED_VALUE"""),"Terminal Aquaviário de Madre de Deus")</f>
        <v>Terminal Aquaviário de Madre de Deus</v>
      </c>
      <c r="D2977" s="3" t="str">
        <f ca="1">IFERROR(__xludf.UNSUPPORTED("""COMPUTED_VALUE"""),"🚢 REGULAR")</f>
        <v>🚢 REGULAR</v>
      </c>
      <c r="E2977" s="3" t="str">
        <f ca="1">IFERROR(__xludf.UNSUPPORTED("""COMPUTED_VALUE"""),"🚛 LIBERADO")</f>
        <v>🚛 LIBERADO</v>
      </c>
      <c r="F2977" s="5">
        <f ca="1">IFERROR(__xludf.UNSUPPORTED("""COMPUTED_VALUE"""),0)</f>
        <v>0</v>
      </c>
      <c r="G2977" s="3" t="str">
        <f ca="1">IFERROR(__xludf.UNSUPPORTED("""COMPUTED_VALUE"""),"Normalidade")</f>
        <v>Normalidade</v>
      </c>
      <c r="H2977" s="4">
        <f ca="1">IFERROR(__xludf.UNSUPPORTED("""COMPUTED_VALUE"""),45267.2587152777)</f>
        <v>45267.258715277698</v>
      </c>
      <c r="I2977" s="3">
        <f ca="1">IFERROR(__xludf.UNSUPPORTED("""COMPUTED_VALUE"""),24)</f>
        <v>24</v>
      </c>
      <c r="J2977" s="4">
        <f ca="1">IFERROR(__xludf.UNSUPPORTED("""COMPUTED_VALUE"""),45268.2587152777)</f>
        <v>45268.258715277698</v>
      </c>
      <c r="L2977" s="3" t="str">
        <f ca="1">IFERROR(__xludf.UNSUPPORTED("""COMPUTED_VALUE"""),"Normalidade")</f>
        <v>Normalidade</v>
      </c>
    </row>
    <row r="2978" spans="1:12" ht="12.75">
      <c r="A2978" s="3" t="str">
        <f ca="1">IFERROR(__xludf.UNSUPPORTED("""COMPUTED_VALUE"""),"a272ca42")</f>
        <v>a272ca42</v>
      </c>
      <c r="B2978" s="4">
        <f ca="1">IFERROR(__xludf.UNSUPPORTED("""COMPUTED_VALUE"""),45293.2396527777)</f>
        <v>45293.239652777702</v>
      </c>
      <c r="C2978" s="7" t="str">
        <f ca="1">IFERROR(__xludf.UNSUPPORTED("""COMPUTED_VALUE"""),"Terminal Aquaviário de Madre de Deus")</f>
        <v>Terminal Aquaviário de Madre de Deus</v>
      </c>
      <c r="D2978" s="3" t="str">
        <f ca="1">IFERROR(__xludf.UNSUPPORTED("""COMPUTED_VALUE"""),"🚢 REGULAR")</f>
        <v>🚢 REGULAR</v>
      </c>
      <c r="E2978" s="3" t="str">
        <f ca="1">IFERROR(__xludf.UNSUPPORTED("""COMPUTED_VALUE"""),"🚛 LIBERADO")</f>
        <v>🚛 LIBERADO</v>
      </c>
      <c r="F2978" s="5">
        <f ca="1">IFERROR(__xludf.UNSUPPORTED("""COMPUTED_VALUE"""),0)</f>
        <v>0</v>
      </c>
      <c r="G2978" s="3" t="str">
        <f ca="1">IFERROR(__xludf.UNSUPPORTED("""COMPUTED_VALUE"""),"Normalidade")</f>
        <v>Normalidade</v>
      </c>
      <c r="H2978" s="4">
        <f ca="1">IFERROR(__xludf.UNSUPPORTED("""COMPUTED_VALUE"""),45293.2396527777)</f>
        <v>45293.239652777702</v>
      </c>
      <c r="I2978" s="3">
        <f ca="1">IFERROR(__xludf.UNSUPPORTED("""COMPUTED_VALUE"""),24)</f>
        <v>24</v>
      </c>
      <c r="J2978" s="4">
        <f ca="1">IFERROR(__xludf.UNSUPPORTED("""COMPUTED_VALUE"""),45294.2396527777)</f>
        <v>45294.239652777702</v>
      </c>
      <c r="L2978" s="3" t="str">
        <f ca="1">IFERROR(__xludf.UNSUPPORTED("""COMPUTED_VALUE"""),"Normalidade")</f>
        <v>Normalidade</v>
      </c>
    </row>
    <row r="2979" spans="1:12" ht="12.75">
      <c r="A2979" s="3" t="str">
        <f ca="1">IFERROR(__xludf.UNSUPPORTED("""COMPUTED_VALUE"""),"94b93ea4")</f>
        <v>94b93ea4</v>
      </c>
      <c r="B2979" s="4">
        <f ca="1">IFERROR(__xludf.UNSUPPORTED("""COMPUTED_VALUE"""),45296.7076736111)</f>
        <v>45296.707673611098</v>
      </c>
      <c r="C2979" s="8" t="str">
        <f ca="1">IFERROR(__xludf.UNSUPPORTED("""COMPUTED_VALUE"""),"Terminal Aquaviário de Madre de Deus")</f>
        <v>Terminal Aquaviário de Madre de Deus</v>
      </c>
      <c r="D2979" s="3" t="str">
        <f ca="1">IFERROR(__xludf.UNSUPPORTED("""COMPUTED_VALUE"""),"🚢 REGULAR")</f>
        <v>🚢 REGULAR</v>
      </c>
      <c r="E2979" s="3" t="str">
        <f ca="1">IFERROR(__xludf.UNSUPPORTED("""COMPUTED_VALUE"""),"🚛 LIBERADO")</f>
        <v>🚛 LIBERADO</v>
      </c>
      <c r="F2979" s="5">
        <f ca="1">IFERROR(__xludf.UNSUPPORTED("""COMPUTED_VALUE"""),0)</f>
        <v>0</v>
      </c>
      <c r="G2979" s="3" t="str">
        <f ca="1">IFERROR(__xludf.UNSUPPORTED("""COMPUTED_VALUE"""),"Normalidade")</f>
        <v>Normalidade</v>
      </c>
      <c r="H2979" s="4">
        <f ca="1">IFERROR(__xludf.UNSUPPORTED("""COMPUTED_VALUE"""),45296.7076736111)</f>
        <v>45296.707673611098</v>
      </c>
      <c r="I2979" s="3">
        <f ca="1">IFERROR(__xludf.UNSUPPORTED("""COMPUTED_VALUE"""),24)</f>
        <v>24</v>
      </c>
      <c r="J2979" s="4">
        <f ca="1">IFERROR(__xludf.UNSUPPORTED("""COMPUTED_VALUE"""),45297.7076736111)</f>
        <v>45297.707673611098</v>
      </c>
      <c r="L2979" s="3" t="str">
        <f ca="1">IFERROR(__xludf.UNSUPPORTED("""COMPUTED_VALUE"""),"Normalidade")</f>
        <v>Normalidade</v>
      </c>
    </row>
    <row r="2980" spans="1:12" ht="12.75">
      <c r="A2980" s="3" t="str">
        <f ca="1">IFERROR(__xludf.UNSUPPORTED("""COMPUTED_VALUE"""),"7385f19c")</f>
        <v>7385f19c</v>
      </c>
      <c r="B2980" s="4">
        <f ca="1">IFERROR(__xludf.UNSUPPORTED("""COMPUTED_VALUE"""),45302.7978935185)</f>
        <v>45302.797893518502</v>
      </c>
      <c r="C2980" s="8" t="str">
        <f ca="1">IFERROR(__xludf.UNSUPPORTED("""COMPUTED_VALUE"""),"Terminal Aquaviário de Madre de Deus")</f>
        <v>Terminal Aquaviário de Madre de Deus</v>
      </c>
      <c r="D2980" s="3" t="str">
        <f ca="1">IFERROR(__xludf.UNSUPPORTED("""COMPUTED_VALUE"""),"🚢 REGULAR")</f>
        <v>🚢 REGULAR</v>
      </c>
      <c r="E2980" s="3" t="str">
        <f ca="1">IFERROR(__xludf.UNSUPPORTED("""COMPUTED_VALUE"""),"🚛 LIBERADO")</f>
        <v>🚛 LIBERADO</v>
      </c>
      <c r="F2980" s="5">
        <f ca="1">IFERROR(__xludf.UNSUPPORTED("""COMPUTED_VALUE"""),0)</f>
        <v>0</v>
      </c>
      <c r="G2980" s="3" t="str">
        <f ca="1">IFERROR(__xludf.UNSUPPORTED("""COMPUTED_VALUE"""),"Normalidade")</f>
        <v>Normalidade</v>
      </c>
      <c r="H2980" s="4">
        <f ca="1">IFERROR(__xludf.UNSUPPORTED("""COMPUTED_VALUE"""),45302.7978935185)</f>
        <v>45302.797893518502</v>
      </c>
      <c r="I2980" s="3">
        <f ca="1">IFERROR(__xludf.UNSUPPORTED("""COMPUTED_VALUE"""),24)</f>
        <v>24</v>
      </c>
      <c r="J2980" s="4">
        <f ca="1">IFERROR(__xludf.UNSUPPORTED("""COMPUTED_VALUE"""),45303.7978935185)</f>
        <v>45303.797893518502</v>
      </c>
      <c r="L2980" s="3" t="str">
        <f ca="1">IFERROR(__xludf.UNSUPPORTED("""COMPUTED_VALUE"""),"Normalidade")</f>
        <v>Normalidade</v>
      </c>
    </row>
    <row r="2981" spans="1:12" ht="12.75">
      <c r="A2981" s="3" t="str">
        <f ca="1">IFERROR(__xludf.UNSUPPORTED("""COMPUTED_VALUE"""),"ebaad9a8")</f>
        <v>ebaad9a8</v>
      </c>
      <c r="B2981" s="4">
        <f ca="1">IFERROR(__xludf.UNSUPPORTED("""COMPUTED_VALUE"""),45313.6765162037)</f>
        <v>45313.676516203697</v>
      </c>
      <c r="C2981" s="7" t="str">
        <f ca="1">IFERROR(__xludf.UNSUPPORTED("""COMPUTED_VALUE"""),"Terminal Aquaviário de Madre de Deus")</f>
        <v>Terminal Aquaviário de Madre de Deus</v>
      </c>
      <c r="D2981" s="3" t="str">
        <f ca="1">IFERROR(__xludf.UNSUPPORTED("""COMPUTED_VALUE"""),"🚢 REGULAR")</f>
        <v>🚢 REGULAR</v>
      </c>
      <c r="E2981" s="3" t="str">
        <f ca="1">IFERROR(__xludf.UNSUPPORTED("""COMPUTED_VALUE"""),"🚛 LIBERADO")</f>
        <v>🚛 LIBERADO</v>
      </c>
      <c r="F2981" s="5">
        <f ca="1">IFERROR(__xludf.UNSUPPORTED("""COMPUTED_VALUE"""),0)</f>
        <v>0</v>
      </c>
      <c r="G2981" s="3" t="str">
        <f ca="1">IFERROR(__xludf.UNSUPPORTED("""COMPUTED_VALUE"""),"Normalidade")</f>
        <v>Normalidade</v>
      </c>
      <c r="H2981" s="4">
        <f ca="1">IFERROR(__xludf.UNSUPPORTED("""COMPUTED_VALUE"""),45313.6765162037)</f>
        <v>45313.676516203697</v>
      </c>
      <c r="I2981" s="3">
        <f ca="1">IFERROR(__xludf.UNSUPPORTED("""COMPUTED_VALUE"""),24)</f>
        <v>24</v>
      </c>
      <c r="J2981" s="4">
        <f ca="1">IFERROR(__xludf.UNSUPPORTED("""COMPUTED_VALUE"""),45314.6765162037)</f>
        <v>45314.676516203697</v>
      </c>
      <c r="L2981" s="3" t="str">
        <f ca="1">IFERROR(__xludf.UNSUPPORTED("""COMPUTED_VALUE"""),"Normalidade")</f>
        <v>Normalidade</v>
      </c>
    </row>
    <row r="2982" spans="1:12" ht="12.75">
      <c r="A2982" s="3" t="str">
        <f ca="1">IFERROR(__xludf.UNSUPPORTED("""COMPUTED_VALUE"""),"0c9fe880")</f>
        <v>0c9fe880</v>
      </c>
      <c r="B2982" s="4">
        <f ca="1">IFERROR(__xludf.UNSUPPORTED("""COMPUTED_VALUE"""),45316.6725347222)</f>
        <v>45316.672534722202</v>
      </c>
      <c r="C2982" s="8" t="str">
        <f ca="1">IFERROR(__xludf.UNSUPPORTED("""COMPUTED_VALUE"""),"Terminal Aquaviário de Madre de Deus")</f>
        <v>Terminal Aquaviário de Madre de Deus</v>
      </c>
      <c r="D2982" s="3" t="str">
        <f ca="1">IFERROR(__xludf.UNSUPPORTED("""COMPUTED_VALUE"""),"🚢 REGULAR")</f>
        <v>🚢 REGULAR</v>
      </c>
      <c r="E2982" s="3" t="str">
        <f ca="1">IFERROR(__xludf.UNSUPPORTED("""COMPUTED_VALUE"""),"🚛 LIBERADO")</f>
        <v>🚛 LIBERADO</v>
      </c>
      <c r="F2982" s="5">
        <f ca="1">IFERROR(__xludf.UNSUPPORTED("""COMPUTED_VALUE"""),0)</f>
        <v>0</v>
      </c>
      <c r="G2982" s="3" t="str">
        <f ca="1">IFERROR(__xludf.UNSUPPORTED("""COMPUTED_VALUE"""),"Normalidade")</f>
        <v>Normalidade</v>
      </c>
      <c r="H2982" s="4">
        <f ca="1">IFERROR(__xludf.UNSUPPORTED("""COMPUTED_VALUE"""),45316.6725347222)</f>
        <v>45316.672534722202</v>
      </c>
      <c r="I2982" s="3">
        <f ca="1">IFERROR(__xludf.UNSUPPORTED("""COMPUTED_VALUE"""),24)</f>
        <v>24</v>
      </c>
      <c r="J2982" s="4">
        <f ca="1">IFERROR(__xludf.UNSUPPORTED("""COMPUTED_VALUE"""),45317.6725347222)</f>
        <v>45317.672534722202</v>
      </c>
      <c r="L2982" s="3" t="str">
        <f ca="1">IFERROR(__xludf.UNSUPPORTED("""COMPUTED_VALUE"""),"Normalidade")</f>
        <v>Normalidade</v>
      </c>
    </row>
    <row r="2983" spans="1:12" ht="12.75">
      <c r="A2983" s="3" t="str">
        <f ca="1">IFERROR(__xludf.UNSUPPORTED("""COMPUTED_VALUE"""),"85bc8aa1")</f>
        <v>85bc8aa1</v>
      </c>
      <c r="B2983" s="4">
        <f ca="1">IFERROR(__xludf.UNSUPPORTED("""COMPUTED_VALUE"""),45320.7482638888)</f>
        <v>45320.748263888803</v>
      </c>
      <c r="C2983" s="8" t="str">
        <f ca="1">IFERROR(__xludf.UNSUPPORTED("""COMPUTED_VALUE"""),"Terminal Aquaviário de Madre de Deus")</f>
        <v>Terminal Aquaviário de Madre de Deus</v>
      </c>
      <c r="D2983" s="3" t="str">
        <f ca="1">IFERROR(__xludf.UNSUPPORTED("""COMPUTED_VALUE"""),"🚢 REGULAR")</f>
        <v>🚢 REGULAR</v>
      </c>
      <c r="E2983" s="3" t="str">
        <f ca="1">IFERROR(__xludf.UNSUPPORTED("""COMPUTED_VALUE"""),"🚛 LIBERADO")</f>
        <v>🚛 LIBERADO</v>
      </c>
      <c r="F2983" s="5">
        <f ca="1">IFERROR(__xludf.UNSUPPORTED("""COMPUTED_VALUE"""),0)</f>
        <v>0</v>
      </c>
      <c r="G2983" s="3" t="str">
        <f ca="1">IFERROR(__xludf.UNSUPPORTED("""COMPUTED_VALUE"""),"Normalidade")</f>
        <v>Normalidade</v>
      </c>
      <c r="H2983" s="4">
        <f ca="1">IFERROR(__xludf.UNSUPPORTED("""COMPUTED_VALUE"""),45320.7482638888)</f>
        <v>45320.748263888803</v>
      </c>
      <c r="I2983" s="3">
        <f ca="1">IFERROR(__xludf.UNSUPPORTED("""COMPUTED_VALUE"""),24)</f>
        <v>24</v>
      </c>
      <c r="J2983" s="4">
        <f ca="1">IFERROR(__xludf.UNSUPPORTED("""COMPUTED_VALUE"""),45321.7482638888)</f>
        <v>45321.748263888803</v>
      </c>
      <c r="L2983" s="3" t="str">
        <f ca="1">IFERROR(__xludf.UNSUPPORTED("""COMPUTED_VALUE"""),"Normalidade")</f>
        <v>Normalidade</v>
      </c>
    </row>
    <row r="2984" spans="1:12" ht="12.75">
      <c r="A2984" s="3" t="str">
        <f ca="1">IFERROR(__xludf.UNSUPPORTED("""COMPUTED_VALUE"""),"aaf4bbbf")</f>
        <v>aaf4bbbf</v>
      </c>
      <c r="B2984" s="4">
        <f ca="1">IFERROR(__xludf.UNSUPPORTED("""COMPUTED_VALUE"""),45322.4710879629)</f>
        <v>45322.471087962898</v>
      </c>
      <c r="C2984" s="8" t="str">
        <f ca="1">IFERROR(__xludf.UNSUPPORTED("""COMPUTED_VALUE"""),"Terminal Aquaviário de Madre de Deus")</f>
        <v>Terminal Aquaviário de Madre de Deus</v>
      </c>
      <c r="D2984" s="3" t="str">
        <f ca="1">IFERROR(__xludf.UNSUPPORTED("""COMPUTED_VALUE"""),"🚢 REGULAR")</f>
        <v>🚢 REGULAR</v>
      </c>
      <c r="E2984" s="3" t="str">
        <f ca="1">IFERROR(__xludf.UNSUPPORTED("""COMPUTED_VALUE"""),"🚛 LIBERADO")</f>
        <v>🚛 LIBERADO</v>
      </c>
      <c r="F2984" s="5">
        <f ca="1">IFERROR(__xludf.UNSUPPORTED("""COMPUTED_VALUE"""),0)</f>
        <v>0</v>
      </c>
      <c r="G2984" s="3" t="str">
        <f ca="1">IFERROR(__xludf.UNSUPPORTED("""COMPUTED_VALUE"""),"Normalidade")</f>
        <v>Normalidade</v>
      </c>
      <c r="H2984" s="4">
        <f ca="1">IFERROR(__xludf.UNSUPPORTED("""COMPUTED_VALUE"""),45322.4710879629)</f>
        <v>45322.471087962898</v>
      </c>
      <c r="I2984" s="3">
        <f ca="1">IFERROR(__xludf.UNSUPPORTED("""COMPUTED_VALUE"""),24)</f>
        <v>24</v>
      </c>
      <c r="J2984" s="4">
        <f ca="1">IFERROR(__xludf.UNSUPPORTED("""COMPUTED_VALUE"""),45323.4710879629)</f>
        <v>45323.471087962898</v>
      </c>
      <c r="L2984" s="3" t="str">
        <f ca="1">IFERROR(__xludf.UNSUPPORTED("""COMPUTED_VALUE"""),"Normalidade")</f>
        <v>Normalidade</v>
      </c>
    </row>
    <row r="2985" spans="1:12" ht="12.75">
      <c r="A2985" s="3" t="str">
        <f ca="1">IFERROR(__xludf.UNSUPPORTED("""COMPUTED_VALUE"""),"d83bf957")</f>
        <v>d83bf957</v>
      </c>
      <c r="B2985" s="4">
        <f ca="1">IFERROR(__xludf.UNSUPPORTED("""COMPUTED_VALUE"""),45323.7138541666)</f>
        <v>45323.713854166599</v>
      </c>
      <c r="C2985" s="8" t="str">
        <f ca="1">IFERROR(__xludf.UNSUPPORTED("""COMPUTED_VALUE"""),"Terminal Aquaviário de Madre de Deus")</f>
        <v>Terminal Aquaviário de Madre de Deus</v>
      </c>
      <c r="D2985" s="3" t="str">
        <f ca="1">IFERROR(__xludf.UNSUPPORTED("""COMPUTED_VALUE"""),"🚢 REGULAR")</f>
        <v>🚢 REGULAR</v>
      </c>
      <c r="E2985" s="3" t="str">
        <f ca="1">IFERROR(__xludf.UNSUPPORTED("""COMPUTED_VALUE"""),"🚛 LIBERADO")</f>
        <v>🚛 LIBERADO</v>
      </c>
      <c r="F2985" s="5">
        <f ca="1">IFERROR(__xludf.UNSUPPORTED("""COMPUTED_VALUE"""),0)</f>
        <v>0</v>
      </c>
      <c r="G2985" s="3" t="str">
        <f ca="1">IFERROR(__xludf.UNSUPPORTED("""COMPUTED_VALUE"""),"Normalidade")</f>
        <v>Normalidade</v>
      </c>
      <c r="H2985" s="4">
        <f ca="1">IFERROR(__xludf.UNSUPPORTED("""COMPUTED_VALUE"""),45323.7138541666)</f>
        <v>45323.713854166599</v>
      </c>
      <c r="I2985" s="3">
        <f ca="1">IFERROR(__xludf.UNSUPPORTED("""COMPUTED_VALUE"""),24)</f>
        <v>24</v>
      </c>
      <c r="J2985" s="4">
        <f ca="1">IFERROR(__xludf.UNSUPPORTED("""COMPUTED_VALUE"""),45324.7138541666)</f>
        <v>45324.713854166599</v>
      </c>
      <c r="L2985" s="3" t="str">
        <f ca="1">IFERROR(__xludf.UNSUPPORTED("""COMPUTED_VALUE"""),"Normalidade")</f>
        <v>Normalidade</v>
      </c>
    </row>
    <row r="2986" spans="1:12" ht="12.75">
      <c r="A2986" s="3" t="str">
        <f ca="1">IFERROR(__xludf.UNSUPPORTED("""COMPUTED_VALUE"""),"b596c205")</f>
        <v>b596c205</v>
      </c>
      <c r="B2986" s="4">
        <f ca="1">IFERROR(__xludf.UNSUPPORTED("""COMPUTED_VALUE"""),45328.4756828703)</f>
        <v>45328.475682870303</v>
      </c>
      <c r="C2986" s="8" t="str">
        <f ca="1">IFERROR(__xludf.UNSUPPORTED("""COMPUTED_VALUE"""),"Terminal Aquaviário de Madre de Deus")</f>
        <v>Terminal Aquaviário de Madre de Deus</v>
      </c>
      <c r="D2986" s="3" t="str">
        <f ca="1">IFERROR(__xludf.UNSUPPORTED("""COMPUTED_VALUE"""),"🚢 REGULAR")</f>
        <v>🚢 REGULAR</v>
      </c>
      <c r="E2986" s="3" t="str">
        <f ca="1">IFERROR(__xludf.UNSUPPORTED("""COMPUTED_VALUE"""),"🚛 LIBERADO")</f>
        <v>🚛 LIBERADO</v>
      </c>
      <c r="F2986" s="5">
        <f ca="1">IFERROR(__xludf.UNSUPPORTED("""COMPUTED_VALUE"""),0)</f>
        <v>0</v>
      </c>
      <c r="G2986" s="3" t="str">
        <f ca="1">IFERROR(__xludf.UNSUPPORTED("""COMPUTED_VALUE"""),"Normalidade")</f>
        <v>Normalidade</v>
      </c>
      <c r="H2986" s="4">
        <f ca="1">IFERROR(__xludf.UNSUPPORTED("""COMPUTED_VALUE"""),45328.4756828703)</f>
        <v>45328.475682870303</v>
      </c>
      <c r="I2986" s="3">
        <f ca="1">IFERROR(__xludf.UNSUPPORTED("""COMPUTED_VALUE"""),24)</f>
        <v>24</v>
      </c>
      <c r="J2986" s="4">
        <f ca="1">IFERROR(__xludf.UNSUPPORTED("""COMPUTED_VALUE"""),45329.4756828703)</f>
        <v>45329.475682870303</v>
      </c>
      <c r="L2986" s="3" t="str">
        <f ca="1">IFERROR(__xludf.UNSUPPORTED("""COMPUTED_VALUE"""),"Normalidade")</f>
        <v>Normalidade</v>
      </c>
    </row>
    <row r="2987" spans="1:12" ht="12.75">
      <c r="A2987" s="3" t="str">
        <f ca="1">IFERROR(__xludf.UNSUPPORTED("""COMPUTED_VALUE"""),"fd53ca1c")</f>
        <v>fd53ca1c</v>
      </c>
      <c r="B2987" s="4">
        <f ca="1">IFERROR(__xludf.UNSUPPORTED("""COMPUTED_VALUE"""),45329.3097106481)</f>
        <v>45329.3097106481</v>
      </c>
      <c r="C2987" s="7" t="str">
        <f ca="1">IFERROR(__xludf.UNSUPPORTED("""COMPUTED_VALUE"""),"Terminal Aquaviário de Madre de Deus")</f>
        <v>Terminal Aquaviário de Madre de Deus</v>
      </c>
      <c r="D2987" s="3" t="str">
        <f ca="1">IFERROR(__xludf.UNSUPPORTED("""COMPUTED_VALUE"""),"🚢 REGULAR")</f>
        <v>🚢 REGULAR</v>
      </c>
      <c r="E2987" s="3" t="str">
        <f ca="1">IFERROR(__xludf.UNSUPPORTED("""COMPUTED_VALUE"""),"🚛 LIBERADO")</f>
        <v>🚛 LIBERADO</v>
      </c>
      <c r="F2987" s="5">
        <f ca="1">IFERROR(__xludf.UNSUPPORTED("""COMPUTED_VALUE"""),0)</f>
        <v>0</v>
      </c>
      <c r="G2987" s="3" t="str">
        <f ca="1">IFERROR(__xludf.UNSUPPORTED("""COMPUTED_VALUE"""),"Normalidade")</f>
        <v>Normalidade</v>
      </c>
      <c r="H2987" s="4">
        <f ca="1">IFERROR(__xludf.UNSUPPORTED("""COMPUTED_VALUE"""),45329.3097106481)</f>
        <v>45329.3097106481</v>
      </c>
      <c r="I2987" s="3">
        <f ca="1">IFERROR(__xludf.UNSUPPORTED("""COMPUTED_VALUE"""),24)</f>
        <v>24</v>
      </c>
      <c r="J2987" s="4">
        <f ca="1">IFERROR(__xludf.UNSUPPORTED("""COMPUTED_VALUE"""),45330.3097106481)</f>
        <v>45330.3097106481</v>
      </c>
      <c r="L2987" s="3" t="str">
        <f ca="1">IFERROR(__xludf.UNSUPPORTED("""COMPUTED_VALUE"""),"Normalidade")</f>
        <v>Normalidade</v>
      </c>
    </row>
    <row r="2988" spans="1:12" ht="12.75">
      <c r="A2988" s="3" t="str">
        <f ca="1">IFERROR(__xludf.UNSUPPORTED("""COMPUTED_VALUE"""),"2da41900")</f>
        <v>2da41900</v>
      </c>
      <c r="B2988" s="4">
        <f ca="1">IFERROR(__xludf.UNSUPPORTED("""COMPUTED_VALUE"""),45330.4757523148)</f>
        <v>45330.4757523148</v>
      </c>
      <c r="C2988" s="7" t="str">
        <f ca="1">IFERROR(__xludf.UNSUPPORTED("""COMPUTED_VALUE"""),"Terminal Aquaviário de Madre de Deus")</f>
        <v>Terminal Aquaviário de Madre de Deus</v>
      </c>
      <c r="D2988" s="3" t="str">
        <f ca="1">IFERROR(__xludf.UNSUPPORTED("""COMPUTED_VALUE"""),"🚢 REGULAR")</f>
        <v>🚢 REGULAR</v>
      </c>
      <c r="E2988" s="3" t="str">
        <f ca="1">IFERROR(__xludf.UNSUPPORTED("""COMPUTED_VALUE"""),"🚛 LIBERADO")</f>
        <v>🚛 LIBERADO</v>
      </c>
      <c r="F2988" s="5">
        <f ca="1">IFERROR(__xludf.UNSUPPORTED("""COMPUTED_VALUE"""),0)</f>
        <v>0</v>
      </c>
      <c r="G2988" s="3" t="str">
        <f ca="1">IFERROR(__xludf.UNSUPPORTED("""COMPUTED_VALUE"""),"Normalidade")</f>
        <v>Normalidade</v>
      </c>
      <c r="H2988" s="4">
        <f ca="1">IFERROR(__xludf.UNSUPPORTED("""COMPUTED_VALUE"""),45330.4757523148)</f>
        <v>45330.4757523148</v>
      </c>
      <c r="I2988" s="3">
        <f ca="1">IFERROR(__xludf.UNSUPPORTED("""COMPUTED_VALUE"""),24)</f>
        <v>24</v>
      </c>
      <c r="J2988" s="4">
        <f ca="1">IFERROR(__xludf.UNSUPPORTED("""COMPUTED_VALUE"""),45331.4757523148)</f>
        <v>45331.4757523148</v>
      </c>
      <c r="L2988" s="3" t="str">
        <f ca="1">IFERROR(__xludf.UNSUPPORTED("""COMPUTED_VALUE"""),"Normalidade")</f>
        <v>Normalidade</v>
      </c>
    </row>
    <row r="2989" spans="1:12" ht="12.75">
      <c r="A2989" s="3" t="str">
        <f ca="1">IFERROR(__xludf.UNSUPPORTED("""COMPUTED_VALUE"""),"239a56ac")</f>
        <v>239a56ac</v>
      </c>
      <c r="B2989" s="4">
        <f ca="1">IFERROR(__xludf.UNSUPPORTED("""COMPUTED_VALUE"""),45338.5315856481)</f>
        <v>45338.531585648103</v>
      </c>
      <c r="C2989" s="7" t="str">
        <f ca="1">IFERROR(__xludf.UNSUPPORTED("""COMPUTED_VALUE"""),"Terminal Aquaviário de Madre de Deus")</f>
        <v>Terminal Aquaviário de Madre de Deus</v>
      </c>
      <c r="D2989" s="3" t="str">
        <f ca="1">IFERROR(__xludf.UNSUPPORTED("""COMPUTED_VALUE"""),"🚢 REGULAR")</f>
        <v>🚢 REGULAR</v>
      </c>
      <c r="E2989" s="3" t="str">
        <f ca="1">IFERROR(__xludf.UNSUPPORTED("""COMPUTED_VALUE"""),"🚛 LIBERADO")</f>
        <v>🚛 LIBERADO</v>
      </c>
      <c r="F2989" s="5">
        <f ca="1">IFERROR(__xludf.UNSUPPORTED("""COMPUTED_VALUE"""),0)</f>
        <v>0</v>
      </c>
      <c r="G2989" s="3" t="str">
        <f ca="1">IFERROR(__xludf.UNSUPPORTED("""COMPUTED_VALUE"""),"Normalidade")</f>
        <v>Normalidade</v>
      </c>
      <c r="H2989" s="4">
        <f ca="1">IFERROR(__xludf.UNSUPPORTED("""COMPUTED_VALUE"""),45338.5315856481)</f>
        <v>45338.531585648103</v>
      </c>
      <c r="I2989" s="3">
        <f ca="1">IFERROR(__xludf.UNSUPPORTED("""COMPUTED_VALUE"""),24)</f>
        <v>24</v>
      </c>
      <c r="J2989" s="4">
        <f ca="1">IFERROR(__xludf.UNSUPPORTED("""COMPUTED_VALUE"""),45339.5315856481)</f>
        <v>45339.531585648103</v>
      </c>
      <c r="L2989" s="3" t="str">
        <f ca="1">IFERROR(__xludf.UNSUPPORTED("""COMPUTED_VALUE"""),"Normalidade")</f>
        <v>Normalidade</v>
      </c>
    </row>
    <row r="2990" spans="1:12" ht="12.75">
      <c r="A2990" s="3" t="str">
        <f ca="1">IFERROR(__xludf.UNSUPPORTED("""COMPUTED_VALUE"""),"19cbeb9f")</f>
        <v>19cbeb9f</v>
      </c>
      <c r="B2990" s="4">
        <f ca="1">IFERROR(__xludf.UNSUPPORTED("""COMPUTED_VALUE"""),45355.8196180555)</f>
        <v>45355.819618055502</v>
      </c>
      <c r="C2990" s="8" t="str">
        <f ca="1">IFERROR(__xludf.UNSUPPORTED("""COMPUTED_VALUE"""),"Terminal Aquaviário de Madre de Deus")</f>
        <v>Terminal Aquaviário de Madre de Deus</v>
      </c>
      <c r="D2990" s="3" t="str">
        <f ca="1">IFERROR(__xludf.UNSUPPORTED("""COMPUTED_VALUE"""),"🚢 REGULAR")</f>
        <v>🚢 REGULAR</v>
      </c>
      <c r="E2990" s="3" t="str">
        <f ca="1">IFERROR(__xludf.UNSUPPORTED("""COMPUTED_VALUE"""),"🚛 LIBERADO")</f>
        <v>🚛 LIBERADO</v>
      </c>
      <c r="F2990" s="5">
        <f ca="1">IFERROR(__xludf.UNSUPPORTED("""COMPUTED_VALUE"""),0)</f>
        <v>0</v>
      </c>
      <c r="G2990" s="3" t="str">
        <f ca="1">IFERROR(__xludf.UNSUPPORTED("""COMPUTED_VALUE"""),"Normalidade")</f>
        <v>Normalidade</v>
      </c>
      <c r="H2990" s="4">
        <f ca="1">IFERROR(__xludf.UNSUPPORTED("""COMPUTED_VALUE"""),45355.8196180555)</f>
        <v>45355.819618055502</v>
      </c>
      <c r="I2990" s="3">
        <f ca="1">IFERROR(__xludf.UNSUPPORTED("""COMPUTED_VALUE"""),24)</f>
        <v>24</v>
      </c>
      <c r="J2990" s="4">
        <f ca="1">IFERROR(__xludf.UNSUPPORTED("""COMPUTED_VALUE"""),45356.8196180555)</f>
        <v>45356.819618055502</v>
      </c>
      <c r="L2990" s="3" t="str">
        <f ca="1">IFERROR(__xludf.UNSUPPORTED("""COMPUTED_VALUE"""),"Normalidade")</f>
        <v>Normalidade</v>
      </c>
    </row>
    <row r="2991" spans="1:12" ht="12.75">
      <c r="A2991" s="3" t="str">
        <f ca="1">IFERROR(__xludf.UNSUPPORTED("""COMPUTED_VALUE"""),"494b7408")</f>
        <v>494b7408</v>
      </c>
      <c r="B2991" s="4">
        <f ca="1">IFERROR(__xludf.UNSUPPORTED("""COMPUTED_VALUE"""),45359.6500694444)</f>
        <v>45359.650069444397</v>
      </c>
      <c r="C2991" s="8" t="str">
        <f ca="1">IFERROR(__xludf.UNSUPPORTED("""COMPUTED_VALUE"""),"Terminal Aquaviário de Madre de Deus")</f>
        <v>Terminal Aquaviário de Madre de Deus</v>
      </c>
      <c r="D2991" s="3" t="str">
        <f ca="1">IFERROR(__xludf.UNSUPPORTED("""COMPUTED_VALUE"""),"🚢 REGULAR")</f>
        <v>🚢 REGULAR</v>
      </c>
      <c r="E2991" s="3" t="str">
        <f ca="1">IFERROR(__xludf.UNSUPPORTED("""COMPUTED_VALUE"""),"🚛 LIBERADO")</f>
        <v>🚛 LIBERADO</v>
      </c>
      <c r="F2991" s="5">
        <f ca="1">IFERROR(__xludf.UNSUPPORTED("""COMPUTED_VALUE"""),0)</f>
        <v>0</v>
      </c>
      <c r="G2991" s="3" t="str">
        <f ca="1">IFERROR(__xludf.UNSUPPORTED("""COMPUTED_VALUE"""),"Normalidade")</f>
        <v>Normalidade</v>
      </c>
      <c r="H2991" s="4">
        <f ca="1">IFERROR(__xludf.UNSUPPORTED("""COMPUTED_VALUE"""),45359.6500694444)</f>
        <v>45359.650069444397</v>
      </c>
      <c r="I2991" s="3">
        <f ca="1">IFERROR(__xludf.UNSUPPORTED("""COMPUTED_VALUE"""),24)</f>
        <v>24</v>
      </c>
      <c r="J2991" s="4">
        <f ca="1">IFERROR(__xludf.UNSUPPORTED("""COMPUTED_VALUE"""),45360.6500694444)</f>
        <v>45360.650069444397</v>
      </c>
      <c r="L2991" s="3" t="str">
        <f ca="1">IFERROR(__xludf.UNSUPPORTED("""COMPUTED_VALUE"""),"Normalidade")</f>
        <v>Normalidade</v>
      </c>
    </row>
    <row r="2992" spans="1:12" ht="12.75">
      <c r="A2992" s="3" t="str">
        <f ca="1">IFERROR(__xludf.UNSUPPORTED("""COMPUTED_VALUE"""),"fadf516a")</f>
        <v>fadf516a</v>
      </c>
      <c r="B2992" s="4">
        <f ca="1">IFERROR(__xludf.UNSUPPORTED("""COMPUTED_VALUE"""),45363.5747106481)</f>
        <v>45363.574710648099</v>
      </c>
      <c r="C2992" s="8" t="str">
        <f ca="1">IFERROR(__xludf.UNSUPPORTED("""COMPUTED_VALUE"""),"Terminal Aquaviário de Madre de Deus")</f>
        <v>Terminal Aquaviário de Madre de Deus</v>
      </c>
      <c r="D2992" s="3" t="str">
        <f ca="1">IFERROR(__xludf.UNSUPPORTED("""COMPUTED_VALUE"""),"🚢 REGULAR")</f>
        <v>🚢 REGULAR</v>
      </c>
      <c r="E2992" s="3" t="str">
        <f ca="1">IFERROR(__xludf.UNSUPPORTED("""COMPUTED_VALUE"""),"🚛 LIBERADO")</f>
        <v>🚛 LIBERADO</v>
      </c>
      <c r="F2992" s="5">
        <f ca="1">IFERROR(__xludf.UNSUPPORTED("""COMPUTED_VALUE"""),0)</f>
        <v>0</v>
      </c>
      <c r="G2992" s="3" t="str">
        <f ca="1">IFERROR(__xludf.UNSUPPORTED("""COMPUTED_VALUE"""),"Normalidade")</f>
        <v>Normalidade</v>
      </c>
      <c r="H2992" s="4">
        <f ca="1">IFERROR(__xludf.UNSUPPORTED("""COMPUTED_VALUE"""),45363.5747106481)</f>
        <v>45363.574710648099</v>
      </c>
      <c r="I2992" s="3">
        <f ca="1">IFERROR(__xludf.UNSUPPORTED("""COMPUTED_VALUE"""),24)</f>
        <v>24</v>
      </c>
      <c r="J2992" s="4">
        <f ca="1">IFERROR(__xludf.UNSUPPORTED("""COMPUTED_VALUE"""),45364.5747106481)</f>
        <v>45364.574710648099</v>
      </c>
      <c r="L2992" s="3" t="str">
        <f ca="1">IFERROR(__xludf.UNSUPPORTED("""COMPUTED_VALUE"""),"Normalidade")</f>
        <v>Normalidade</v>
      </c>
    </row>
    <row r="2993" spans="1:12" ht="12.75">
      <c r="A2993" s="3" t="str">
        <f ca="1">IFERROR(__xludf.UNSUPPORTED("""COMPUTED_VALUE"""),"1a7cf108")</f>
        <v>1a7cf108</v>
      </c>
      <c r="B2993" s="4">
        <f ca="1">IFERROR(__xludf.UNSUPPORTED("""COMPUTED_VALUE"""),45365.3954282407)</f>
        <v>45365.395428240699</v>
      </c>
      <c r="C2993" s="8" t="str">
        <f ca="1">IFERROR(__xludf.UNSUPPORTED("""COMPUTED_VALUE"""),"Terminal Aquaviário de Madre de Deus")</f>
        <v>Terminal Aquaviário de Madre de Deus</v>
      </c>
      <c r="D2993" s="3" t="str">
        <f ca="1">IFERROR(__xludf.UNSUPPORTED("""COMPUTED_VALUE"""),"🚢 REGULAR")</f>
        <v>🚢 REGULAR</v>
      </c>
      <c r="E2993" s="3" t="str">
        <f ca="1">IFERROR(__xludf.UNSUPPORTED("""COMPUTED_VALUE"""),"🚛 LIBERADO")</f>
        <v>🚛 LIBERADO</v>
      </c>
      <c r="F2993" s="5">
        <f ca="1">IFERROR(__xludf.UNSUPPORTED("""COMPUTED_VALUE"""),0)</f>
        <v>0</v>
      </c>
      <c r="G2993" s="3" t="str">
        <f ca="1">IFERROR(__xludf.UNSUPPORTED("""COMPUTED_VALUE"""),"Normalidade")</f>
        <v>Normalidade</v>
      </c>
      <c r="H2993" s="4">
        <f ca="1">IFERROR(__xludf.UNSUPPORTED("""COMPUTED_VALUE"""),45365.3954282407)</f>
        <v>45365.395428240699</v>
      </c>
      <c r="I2993" s="3">
        <f ca="1">IFERROR(__xludf.UNSUPPORTED("""COMPUTED_VALUE"""),24)</f>
        <v>24</v>
      </c>
      <c r="J2993" s="4">
        <f ca="1">IFERROR(__xludf.UNSUPPORTED("""COMPUTED_VALUE"""),45366.3954282407)</f>
        <v>45366.395428240699</v>
      </c>
      <c r="L2993" s="3" t="str">
        <f ca="1">IFERROR(__xludf.UNSUPPORTED("""COMPUTED_VALUE"""),"Normalidade")</f>
        <v>Normalidade</v>
      </c>
    </row>
    <row r="2994" spans="1:12" ht="12.75">
      <c r="A2994" s="3" t="str">
        <f ca="1">IFERROR(__xludf.UNSUPPORTED("""COMPUTED_VALUE"""),"7290c098")</f>
        <v>7290c098</v>
      </c>
      <c r="B2994" s="4">
        <f ca="1">IFERROR(__xludf.UNSUPPORTED("""COMPUTED_VALUE"""),45371.5321643518)</f>
        <v>45371.532164351796</v>
      </c>
      <c r="C2994" s="8" t="str">
        <f ca="1">IFERROR(__xludf.UNSUPPORTED("""COMPUTED_VALUE"""),"Terminal Aquaviário de Madre de Deus")</f>
        <v>Terminal Aquaviário de Madre de Deus</v>
      </c>
      <c r="D2994" s="3" t="str">
        <f ca="1">IFERROR(__xludf.UNSUPPORTED("""COMPUTED_VALUE"""),"🚢 REGULAR")</f>
        <v>🚢 REGULAR</v>
      </c>
      <c r="E2994" s="3" t="str">
        <f ca="1">IFERROR(__xludf.UNSUPPORTED("""COMPUTED_VALUE"""),"🚛 LIBERADO")</f>
        <v>🚛 LIBERADO</v>
      </c>
      <c r="F2994" s="5">
        <f ca="1">IFERROR(__xludf.UNSUPPORTED("""COMPUTED_VALUE"""),0)</f>
        <v>0</v>
      </c>
      <c r="G2994" s="3" t="str">
        <f ca="1">IFERROR(__xludf.UNSUPPORTED("""COMPUTED_VALUE"""),"Normalidade")</f>
        <v>Normalidade</v>
      </c>
      <c r="H2994" s="4">
        <f ca="1">IFERROR(__xludf.UNSUPPORTED("""COMPUTED_VALUE"""),45371.5321643518)</f>
        <v>45371.532164351796</v>
      </c>
      <c r="I2994" s="3">
        <f ca="1">IFERROR(__xludf.UNSUPPORTED("""COMPUTED_VALUE"""),24)</f>
        <v>24</v>
      </c>
      <c r="J2994" s="4">
        <f ca="1">IFERROR(__xludf.UNSUPPORTED("""COMPUTED_VALUE"""),45372.5321643518)</f>
        <v>45372.532164351796</v>
      </c>
      <c r="L2994" s="3" t="str">
        <f ca="1">IFERROR(__xludf.UNSUPPORTED("""COMPUTED_VALUE"""),"Normalidade")</f>
        <v>Normalidade</v>
      </c>
    </row>
    <row r="2995" spans="1:12" ht="12.75">
      <c r="A2995" s="3" t="str">
        <f ca="1">IFERROR(__xludf.UNSUPPORTED("""COMPUTED_VALUE"""),"e174c2dd")</f>
        <v>e174c2dd</v>
      </c>
      <c r="B2995" s="4">
        <f ca="1">IFERROR(__xludf.UNSUPPORTED("""COMPUTED_VALUE"""),45372.7509259259)</f>
        <v>45372.750925925902</v>
      </c>
      <c r="C2995" s="8" t="str">
        <f ca="1">IFERROR(__xludf.UNSUPPORTED("""COMPUTED_VALUE"""),"Terminal Aquaviário de Madre de Deus")</f>
        <v>Terminal Aquaviário de Madre de Deus</v>
      </c>
      <c r="D2995" s="3" t="str">
        <f ca="1">IFERROR(__xludf.UNSUPPORTED("""COMPUTED_VALUE"""),"🚢 REGULAR")</f>
        <v>🚢 REGULAR</v>
      </c>
      <c r="E2995" s="3" t="str">
        <f ca="1">IFERROR(__xludf.UNSUPPORTED("""COMPUTED_VALUE"""),"🚛 LIBERADO")</f>
        <v>🚛 LIBERADO</v>
      </c>
      <c r="F2995" s="5">
        <f ca="1">IFERROR(__xludf.UNSUPPORTED("""COMPUTED_VALUE"""),0)</f>
        <v>0</v>
      </c>
      <c r="G2995" s="3" t="str">
        <f ca="1">IFERROR(__xludf.UNSUPPORTED("""COMPUTED_VALUE"""),"Normalidade")</f>
        <v>Normalidade</v>
      </c>
      <c r="H2995" s="4">
        <f ca="1">IFERROR(__xludf.UNSUPPORTED("""COMPUTED_VALUE"""),45372.7509259259)</f>
        <v>45372.750925925902</v>
      </c>
      <c r="I2995" s="3">
        <f ca="1">IFERROR(__xludf.UNSUPPORTED("""COMPUTED_VALUE"""),24)</f>
        <v>24</v>
      </c>
      <c r="J2995" s="4">
        <f ca="1">IFERROR(__xludf.UNSUPPORTED("""COMPUTED_VALUE"""),45373.7509259259)</f>
        <v>45373.750925925902</v>
      </c>
      <c r="L2995" s="3" t="str">
        <f ca="1">IFERROR(__xludf.UNSUPPORTED("""COMPUTED_VALUE"""),"Normalidade")</f>
        <v>Normalidade</v>
      </c>
    </row>
    <row r="2996" spans="1:12" ht="12.75">
      <c r="A2996" s="3" t="str">
        <f ca="1">IFERROR(__xludf.UNSUPPORTED("""COMPUTED_VALUE"""),"13b11f83")</f>
        <v>13b11f83</v>
      </c>
      <c r="B2996" s="4">
        <f ca="1">IFERROR(__xludf.UNSUPPORTED("""COMPUTED_VALUE"""),45376.5038541666)</f>
        <v>45376.5038541666</v>
      </c>
      <c r="C2996" s="8" t="str">
        <f ca="1">IFERROR(__xludf.UNSUPPORTED("""COMPUTED_VALUE"""),"Terminal Aquaviário de Madre de Deus")</f>
        <v>Terminal Aquaviário de Madre de Deus</v>
      </c>
      <c r="D2996" s="3" t="str">
        <f ca="1">IFERROR(__xludf.UNSUPPORTED("""COMPUTED_VALUE"""),"🚢 REGULAR")</f>
        <v>🚢 REGULAR</v>
      </c>
      <c r="E2996" s="3" t="str">
        <f ca="1">IFERROR(__xludf.UNSUPPORTED("""COMPUTED_VALUE"""),"🚛 LIBERADO")</f>
        <v>🚛 LIBERADO</v>
      </c>
      <c r="F2996" s="5">
        <f ca="1">IFERROR(__xludf.UNSUPPORTED("""COMPUTED_VALUE"""),0)</f>
        <v>0</v>
      </c>
      <c r="G2996" s="3" t="str">
        <f ca="1">IFERROR(__xludf.UNSUPPORTED("""COMPUTED_VALUE"""),"Normalidade")</f>
        <v>Normalidade</v>
      </c>
      <c r="H2996" s="4">
        <f ca="1">IFERROR(__xludf.UNSUPPORTED("""COMPUTED_VALUE"""),45376.5038541666)</f>
        <v>45376.5038541666</v>
      </c>
      <c r="I2996" s="3">
        <f ca="1">IFERROR(__xludf.UNSUPPORTED("""COMPUTED_VALUE"""),24)</f>
        <v>24</v>
      </c>
      <c r="J2996" s="4">
        <f ca="1">IFERROR(__xludf.UNSUPPORTED("""COMPUTED_VALUE"""),45377.5038541666)</f>
        <v>45377.5038541666</v>
      </c>
      <c r="L2996" s="3" t="str">
        <f ca="1">IFERROR(__xludf.UNSUPPORTED("""COMPUTED_VALUE"""),"Normalidade")</f>
        <v>Normalidade</v>
      </c>
    </row>
    <row r="2997" spans="1:12" ht="12.75">
      <c r="A2997" s="3" t="str">
        <f ca="1">IFERROR(__xludf.UNSUPPORTED("""COMPUTED_VALUE"""),"d7bcfd03")</f>
        <v>d7bcfd03</v>
      </c>
      <c r="B2997" s="4">
        <f ca="1">IFERROR(__xludf.UNSUPPORTED("""COMPUTED_VALUE"""),45378.5035300925)</f>
        <v>45378.503530092501</v>
      </c>
      <c r="C2997" s="8" t="str">
        <f ca="1">IFERROR(__xludf.UNSUPPORTED("""COMPUTED_VALUE"""),"Terminal Aquaviário de Madre de Deus")</f>
        <v>Terminal Aquaviário de Madre de Deus</v>
      </c>
      <c r="D2997" s="3" t="str">
        <f ca="1">IFERROR(__xludf.UNSUPPORTED("""COMPUTED_VALUE"""),"🚢 REGULAR")</f>
        <v>🚢 REGULAR</v>
      </c>
      <c r="E2997" s="3" t="str">
        <f ca="1">IFERROR(__xludf.UNSUPPORTED("""COMPUTED_VALUE"""),"🚛 LIBERADO")</f>
        <v>🚛 LIBERADO</v>
      </c>
      <c r="F2997" s="5">
        <f ca="1">IFERROR(__xludf.UNSUPPORTED("""COMPUTED_VALUE"""),0)</f>
        <v>0</v>
      </c>
      <c r="G2997" s="3" t="str">
        <f ca="1">IFERROR(__xludf.UNSUPPORTED("""COMPUTED_VALUE"""),"Normalidade")</f>
        <v>Normalidade</v>
      </c>
      <c r="H2997" s="4">
        <f ca="1">IFERROR(__xludf.UNSUPPORTED("""COMPUTED_VALUE"""),45378.5035300925)</f>
        <v>45378.503530092501</v>
      </c>
      <c r="I2997" s="3">
        <f ca="1">IFERROR(__xludf.UNSUPPORTED("""COMPUTED_VALUE"""),24)</f>
        <v>24</v>
      </c>
      <c r="J2997" s="4">
        <f ca="1">IFERROR(__xludf.UNSUPPORTED("""COMPUTED_VALUE"""),45379.5035300925)</f>
        <v>45379.503530092501</v>
      </c>
      <c r="L2997" s="3" t="str">
        <f ca="1">IFERROR(__xludf.UNSUPPORTED("""COMPUTED_VALUE"""),"Normalidade")</f>
        <v>Normalidade</v>
      </c>
    </row>
    <row r="2998" spans="1:12" ht="12.75">
      <c r="A2998" s="3" t="str">
        <f ca="1">IFERROR(__xludf.UNSUPPORTED("""COMPUTED_VALUE"""),"24553280")</f>
        <v>24553280</v>
      </c>
      <c r="B2998" s="4">
        <f ca="1">IFERROR(__xludf.UNSUPPORTED("""COMPUTED_VALUE"""),45399.4988657407)</f>
        <v>45399.498865740701</v>
      </c>
      <c r="C2998" s="7" t="str">
        <f ca="1">IFERROR(__xludf.UNSUPPORTED("""COMPUTED_VALUE"""),"Terminal Aquaviário de Madre de Deus")</f>
        <v>Terminal Aquaviário de Madre de Deus</v>
      </c>
      <c r="D2998" s="3" t="str">
        <f ca="1">IFERROR(__xludf.UNSUPPORTED("""COMPUTED_VALUE"""),"🚢 REGULAR")</f>
        <v>🚢 REGULAR</v>
      </c>
      <c r="E2998" s="3" t="str">
        <f ca="1">IFERROR(__xludf.UNSUPPORTED("""COMPUTED_VALUE"""),"🚛 LIBERADO")</f>
        <v>🚛 LIBERADO</v>
      </c>
      <c r="F2998" s="5">
        <f ca="1">IFERROR(__xludf.UNSUPPORTED("""COMPUTED_VALUE"""),0)</f>
        <v>0</v>
      </c>
      <c r="G2998" s="3" t="str">
        <f ca="1">IFERROR(__xludf.UNSUPPORTED("""COMPUTED_VALUE"""),"Normalidade")</f>
        <v>Normalidade</v>
      </c>
      <c r="H2998" s="4">
        <f ca="1">IFERROR(__xludf.UNSUPPORTED("""COMPUTED_VALUE"""),45399.4988657407)</f>
        <v>45399.498865740701</v>
      </c>
      <c r="I2998" s="3">
        <f ca="1">IFERROR(__xludf.UNSUPPORTED("""COMPUTED_VALUE"""),24)</f>
        <v>24</v>
      </c>
      <c r="J2998" s="4">
        <f ca="1">IFERROR(__xludf.UNSUPPORTED("""COMPUTED_VALUE"""),45400.4988657407)</f>
        <v>45400.498865740701</v>
      </c>
      <c r="L2998" s="3" t="str">
        <f ca="1">IFERROR(__xludf.UNSUPPORTED("""COMPUTED_VALUE"""),"Normalidade")</f>
        <v>Normalidade</v>
      </c>
    </row>
    <row r="2999" spans="1:12" ht="12.75">
      <c r="A2999" s="3" t="str">
        <f ca="1">IFERROR(__xludf.UNSUPPORTED("""COMPUTED_VALUE"""),"6a5d41ee")</f>
        <v>6a5d41ee</v>
      </c>
      <c r="B2999" s="4">
        <f ca="1">IFERROR(__xludf.UNSUPPORTED("""COMPUTED_VALUE"""),45400.3760763888)</f>
        <v>45400.376076388799</v>
      </c>
      <c r="C2999" s="8" t="str">
        <f ca="1">IFERROR(__xludf.UNSUPPORTED("""COMPUTED_VALUE"""),"Terminal Aquaviário de Madre de Deus")</f>
        <v>Terminal Aquaviário de Madre de Deus</v>
      </c>
      <c r="D2999" s="3" t="str">
        <f ca="1">IFERROR(__xludf.UNSUPPORTED("""COMPUTED_VALUE"""),"🚢 REGULAR")</f>
        <v>🚢 REGULAR</v>
      </c>
      <c r="E2999" s="3" t="str">
        <f ca="1">IFERROR(__xludf.UNSUPPORTED("""COMPUTED_VALUE"""),"🚛 LIBERADO")</f>
        <v>🚛 LIBERADO</v>
      </c>
      <c r="F2999" s="5">
        <f ca="1">IFERROR(__xludf.UNSUPPORTED("""COMPUTED_VALUE"""),0)</f>
        <v>0</v>
      </c>
      <c r="G2999" s="3" t="str">
        <f ca="1">IFERROR(__xludf.UNSUPPORTED("""COMPUTED_VALUE"""),"Normalidade")</f>
        <v>Normalidade</v>
      </c>
      <c r="H2999" s="4">
        <f ca="1">IFERROR(__xludf.UNSUPPORTED("""COMPUTED_VALUE"""),45400.3760763888)</f>
        <v>45400.376076388799</v>
      </c>
      <c r="I2999" s="3">
        <f ca="1">IFERROR(__xludf.UNSUPPORTED("""COMPUTED_VALUE"""),24)</f>
        <v>24</v>
      </c>
      <c r="J2999" s="4">
        <f ca="1">IFERROR(__xludf.UNSUPPORTED("""COMPUTED_VALUE"""),45401.3760763888)</f>
        <v>45401.376076388799</v>
      </c>
      <c r="L2999" s="3" t="str">
        <f ca="1">IFERROR(__xludf.UNSUPPORTED("""COMPUTED_VALUE"""),"Normalidade")</f>
        <v>Normalidade</v>
      </c>
    </row>
    <row r="3000" spans="1:12" ht="12.75">
      <c r="A3000" s="3" t="str">
        <f ca="1">IFERROR(__xludf.UNSUPPORTED("""COMPUTED_VALUE"""),"a10d9b76")</f>
        <v>a10d9b76</v>
      </c>
      <c r="B3000" s="4">
        <f ca="1">IFERROR(__xludf.UNSUPPORTED("""COMPUTED_VALUE"""),45404.7908912037)</f>
        <v>45404.790891203702</v>
      </c>
      <c r="C3000" s="7" t="str">
        <f ca="1">IFERROR(__xludf.UNSUPPORTED("""COMPUTED_VALUE"""),"Terminal Aquaviário de Madre de Deus")</f>
        <v>Terminal Aquaviário de Madre de Deus</v>
      </c>
      <c r="D3000" s="3" t="str">
        <f ca="1">IFERROR(__xludf.UNSUPPORTED("""COMPUTED_VALUE"""),"🚢 REGULAR")</f>
        <v>🚢 REGULAR</v>
      </c>
      <c r="E3000" s="3" t="str">
        <f ca="1">IFERROR(__xludf.UNSUPPORTED("""COMPUTED_VALUE"""),"🚛 LIBERADO")</f>
        <v>🚛 LIBERADO</v>
      </c>
      <c r="F3000" s="5">
        <f ca="1">IFERROR(__xludf.UNSUPPORTED("""COMPUTED_VALUE"""),0)</f>
        <v>0</v>
      </c>
      <c r="G3000" s="3" t="str">
        <f ca="1">IFERROR(__xludf.UNSUPPORTED("""COMPUTED_VALUE"""),"Normalidade")</f>
        <v>Normalidade</v>
      </c>
      <c r="H3000" s="4">
        <f ca="1">IFERROR(__xludf.UNSUPPORTED("""COMPUTED_VALUE"""),45404.7908912037)</f>
        <v>45404.790891203702</v>
      </c>
      <c r="I3000" s="3">
        <f ca="1">IFERROR(__xludf.UNSUPPORTED("""COMPUTED_VALUE"""),24)</f>
        <v>24</v>
      </c>
      <c r="J3000" s="4">
        <f ca="1">IFERROR(__xludf.UNSUPPORTED("""COMPUTED_VALUE"""),45405.7908912037)</f>
        <v>45405.790891203702</v>
      </c>
      <c r="L3000" s="3" t="str">
        <f ca="1">IFERROR(__xludf.UNSUPPORTED("""COMPUTED_VALUE"""),"Normalidade")</f>
        <v>Normalidade</v>
      </c>
    </row>
    <row r="3001" spans="1:12" ht="12.75">
      <c r="A3001" s="3" t="str">
        <f ca="1">IFERROR(__xludf.UNSUPPORTED("""COMPUTED_VALUE"""),"a655c2c3")</f>
        <v>a655c2c3</v>
      </c>
      <c r="B3001" s="4">
        <f ca="1">IFERROR(__xludf.UNSUPPORTED("""COMPUTED_VALUE"""),45405.574375)</f>
        <v>45405.574374999997</v>
      </c>
      <c r="C3001" s="8" t="str">
        <f ca="1">IFERROR(__xludf.UNSUPPORTED("""COMPUTED_VALUE"""),"Terminal Aquaviário de Madre de Deus")</f>
        <v>Terminal Aquaviário de Madre de Deus</v>
      </c>
      <c r="D3001" s="3" t="str">
        <f ca="1">IFERROR(__xludf.UNSUPPORTED("""COMPUTED_VALUE"""),"🚢 REGULAR")</f>
        <v>🚢 REGULAR</v>
      </c>
      <c r="E3001" s="3" t="str">
        <f ca="1">IFERROR(__xludf.UNSUPPORTED("""COMPUTED_VALUE"""),"🚛 LIBERADO")</f>
        <v>🚛 LIBERADO</v>
      </c>
      <c r="F3001" s="5">
        <f ca="1">IFERROR(__xludf.UNSUPPORTED("""COMPUTED_VALUE"""),0)</f>
        <v>0</v>
      </c>
      <c r="G3001" s="3" t="str">
        <f ca="1">IFERROR(__xludf.UNSUPPORTED("""COMPUTED_VALUE"""),"Normalidade")</f>
        <v>Normalidade</v>
      </c>
      <c r="H3001" s="4">
        <f ca="1">IFERROR(__xludf.UNSUPPORTED("""COMPUTED_VALUE"""),45405.574375)</f>
        <v>45405.574374999997</v>
      </c>
      <c r="I3001" s="3">
        <f ca="1">IFERROR(__xludf.UNSUPPORTED("""COMPUTED_VALUE"""),24)</f>
        <v>24</v>
      </c>
      <c r="J3001" s="4">
        <f ca="1">IFERROR(__xludf.UNSUPPORTED("""COMPUTED_VALUE"""),45406.574375)</f>
        <v>45406.574374999997</v>
      </c>
      <c r="L3001" s="3" t="str">
        <f ca="1">IFERROR(__xludf.UNSUPPORTED("""COMPUTED_VALUE"""),"Normalidade")</f>
        <v>Normalidade</v>
      </c>
    </row>
    <row r="3002" spans="1:12" ht="12.75">
      <c r="A3002" s="3" t="str">
        <f ca="1">IFERROR(__xludf.UNSUPPORTED("""COMPUTED_VALUE"""),"e094e63b")</f>
        <v>e094e63b</v>
      </c>
      <c r="B3002" s="4">
        <f ca="1">IFERROR(__xludf.UNSUPPORTED("""COMPUTED_VALUE"""),45414.6253703703)</f>
        <v>45414.625370370297</v>
      </c>
      <c r="C3002" s="8" t="str">
        <f ca="1">IFERROR(__xludf.UNSUPPORTED("""COMPUTED_VALUE"""),"Terminal Aquaviário de Madre de Deus")</f>
        <v>Terminal Aquaviário de Madre de Deus</v>
      </c>
      <c r="D3002" s="3" t="str">
        <f ca="1">IFERROR(__xludf.UNSUPPORTED("""COMPUTED_VALUE"""),"🚢 REGULAR")</f>
        <v>🚢 REGULAR</v>
      </c>
      <c r="E3002" s="3" t="str">
        <f ca="1">IFERROR(__xludf.UNSUPPORTED("""COMPUTED_VALUE"""),"🚛 LIBERADO")</f>
        <v>🚛 LIBERADO</v>
      </c>
      <c r="F3002" s="5">
        <f ca="1">IFERROR(__xludf.UNSUPPORTED("""COMPUTED_VALUE"""),0)</f>
        <v>0</v>
      </c>
      <c r="G3002" s="3" t="str">
        <f ca="1">IFERROR(__xludf.UNSUPPORTED("""COMPUTED_VALUE"""),"Normalidade")</f>
        <v>Normalidade</v>
      </c>
      <c r="H3002" s="4">
        <f ca="1">IFERROR(__xludf.UNSUPPORTED("""COMPUTED_VALUE"""),45414.6253703703)</f>
        <v>45414.625370370297</v>
      </c>
      <c r="I3002" s="3">
        <f ca="1">IFERROR(__xludf.UNSUPPORTED("""COMPUTED_VALUE"""),24)</f>
        <v>24</v>
      </c>
      <c r="J3002" s="4">
        <f ca="1">IFERROR(__xludf.UNSUPPORTED("""COMPUTED_VALUE"""),45415.6253703703)</f>
        <v>45415.625370370297</v>
      </c>
      <c r="L3002" s="3" t="str">
        <f ca="1">IFERROR(__xludf.UNSUPPORTED("""COMPUTED_VALUE"""),"Normalidade")</f>
        <v>Normalidade</v>
      </c>
    </row>
    <row r="3003" spans="1:12" ht="12.75">
      <c r="A3003" s="3" t="str">
        <f ca="1">IFERROR(__xludf.UNSUPPORTED("""COMPUTED_VALUE"""),"b46eefa3")</f>
        <v>b46eefa3</v>
      </c>
      <c r="B3003" s="4">
        <f ca="1">IFERROR(__xludf.UNSUPPORTED("""COMPUTED_VALUE"""),45425.6680092592)</f>
        <v>45425.6680092592</v>
      </c>
      <c r="C3003" s="8" t="str">
        <f ca="1">IFERROR(__xludf.UNSUPPORTED("""COMPUTED_VALUE"""),"Terminal Aquaviário de Madre de Deus")</f>
        <v>Terminal Aquaviário de Madre de Deus</v>
      </c>
      <c r="D3003" s="3" t="str">
        <f ca="1">IFERROR(__xludf.UNSUPPORTED("""COMPUTED_VALUE"""),"🚢 REGULAR")</f>
        <v>🚢 REGULAR</v>
      </c>
      <c r="E3003" s="3" t="str">
        <f ca="1">IFERROR(__xludf.UNSUPPORTED("""COMPUTED_VALUE"""),"🚛 LIBERADO")</f>
        <v>🚛 LIBERADO</v>
      </c>
      <c r="F3003" s="5">
        <f ca="1">IFERROR(__xludf.UNSUPPORTED("""COMPUTED_VALUE"""),0)</f>
        <v>0</v>
      </c>
      <c r="G3003" s="3" t="str">
        <f ca="1">IFERROR(__xludf.UNSUPPORTED("""COMPUTED_VALUE"""),"Normalidade")</f>
        <v>Normalidade</v>
      </c>
      <c r="H3003" s="4">
        <f ca="1">IFERROR(__xludf.UNSUPPORTED("""COMPUTED_VALUE"""),45425.6680092592)</f>
        <v>45425.6680092592</v>
      </c>
      <c r="I3003" s="3">
        <f ca="1">IFERROR(__xludf.UNSUPPORTED("""COMPUTED_VALUE"""),24)</f>
        <v>24</v>
      </c>
      <c r="J3003" s="4">
        <f ca="1">IFERROR(__xludf.UNSUPPORTED("""COMPUTED_VALUE"""),45426.6680092592)</f>
        <v>45426.6680092592</v>
      </c>
      <c r="L3003" s="3" t="str">
        <f ca="1">IFERROR(__xludf.UNSUPPORTED("""COMPUTED_VALUE"""),"Normalidade")</f>
        <v>Normalidade</v>
      </c>
    </row>
    <row r="3004" spans="1:12" ht="12.75">
      <c r="A3004" s="3" t="str">
        <f ca="1">IFERROR(__xludf.UNSUPPORTED("""COMPUTED_VALUE"""),"381814df")</f>
        <v>381814df</v>
      </c>
      <c r="B3004" s="4">
        <f ca="1">IFERROR(__xludf.UNSUPPORTED("""COMPUTED_VALUE"""),45426.3604976851)</f>
        <v>45426.360497685098</v>
      </c>
      <c r="C3004" s="8" t="str">
        <f ca="1">IFERROR(__xludf.UNSUPPORTED("""COMPUTED_VALUE"""),"Terminal Aquaviário de Madre de Deus")</f>
        <v>Terminal Aquaviário de Madre de Deus</v>
      </c>
      <c r="D3004" s="3" t="str">
        <f ca="1">IFERROR(__xludf.UNSUPPORTED("""COMPUTED_VALUE"""),"🚢 REGULAR")</f>
        <v>🚢 REGULAR</v>
      </c>
      <c r="E3004" s="3" t="str">
        <f ca="1">IFERROR(__xludf.UNSUPPORTED("""COMPUTED_VALUE"""),"🚛 LIBERADO")</f>
        <v>🚛 LIBERADO</v>
      </c>
      <c r="F3004" s="5">
        <f ca="1">IFERROR(__xludf.UNSUPPORTED("""COMPUTED_VALUE"""),0)</f>
        <v>0</v>
      </c>
      <c r="G3004" s="3" t="str">
        <f ca="1">IFERROR(__xludf.UNSUPPORTED("""COMPUTED_VALUE"""),"Normalidade")</f>
        <v>Normalidade</v>
      </c>
      <c r="H3004" s="4">
        <f ca="1">IFERROR(__xludf.UNSUPPORTED("""COMPUTED_VALUE"""),45426.3604976851)</f>
        <v>45426.360497685098</v>
      </c>
      <c r="I3004" s="3">
        <f ca="1">IFERROR(__xludf.UNSUPPORTED("""COMPUTED_VALUE"""),24)</f>
        <v>24</v>
      </c>
      <c r="J3004" s="4">
        <f ca="1">IFERROR(__xludf.UNSUPPORTED("""COMPUTED_VALUE"""),45427.3604976851)</f>
        <v>45427.360497685098</v>
      </c>
      <c r="L3004" s="3" t="str">
        <f ca="1">IFERROR(__xludf.UNSUPPORTED("""COMPUTED_VALUE"""),"Normalidade")</f>
        <v>Normalidade</v>
      </c>
    </row>
    <row r="3005" spans="1:12" ht="12.75">
      <c r="A3005" s="3" t="str">
        <f ca="1">IFERROR(__xludf.UNSUPPORTED("""COMPUTED_VALUE"""),"3751bac6")</f>
        <v>3751bac6</v>
      </c>
      <c r="B3005" s="4">
        <f ca="1">IFERROR(__xludf.UNSUPPORTED("""COMPUTED_VALUE"""),45427.6566319444)</f>
        <v>45427.656631944403</v>
      </c>
      <c r="C3005" s="8" t="str">
        <f ca="1">IFERROR(__xludf.UNSUPPORTED("""COMPUTED_VALUE"""),"Terminal Aquaviário de Madre de Deus")</f>
        <v>Terminal Aquaviário de Madre de Deus</v>
      </c>
      <c r="D3005" s="3" t="str">
        <f ca="1">IFERROR(__xludf.UNSUPPORTED("""COMPUTED_VALUE"""),"🚢 REGULAR")</f>
        <v>🚢 REGULAR</v>
      </c>
      <c r="E3005" s="3" t="str">
        <f ca="1">IFERROR(__xludf.UNSUPPORTED("""COMPUTED_VALUE"""),"🚛 LIBERADO")</f>
        <v>🚛 LIBERADO</v>
      </c>
      <c r="F3005" s="5">
        <f ca="1">IFERROR(__xludf.UNSUPPORTED("""COMPUTED_VALUE"""),0)</f>
        <v>0</v>
      </c>
      <c r="G3005" s="3" t="str">
        <f ca="1">IFERROR(__xludf.UNSUPPORTED("""COMPUTED_VALUE"""),"Normalidade")</f>
        <v>Normalidade</v>
      </c>
      <c r="H3005" s="4">
        <f ca="1">IFERROR(__xludf.UNSUPPORTED("""COMPUTED_VALUE"""),45427.6566319444)</f>
        <v>45427.656631944403</v>
      </c>
      <c r="I3005" s="3">
        <f ca="1">IFERROR(__xludf.UNSUPPORTED("""COMPUTED_VALUE"""),24)</f>
        <v>24</v>
      </c>
      <c r="J3005" s="4">
        <f ca="1">IFERROR(__xludf.UNSUPPORTED("""COMPUTED_VALUE"""),45428.6566319444)</f>
        <v>45428.656631944403</v>
      </c>
      <c r="L3005" s="3" t="str">
        <f ca="1">IFERROR(__xludf.UNSUPPORTED("""COMPUTED_VALUE"""),"Normalidade")</f>
        <v>Normalidade</v>
      </c>
    </row>
    <row r="3006" spans="1:12" ht="12.75">
      <c r="A3006" s="3" t="str">
        <f ca="1">IFERROR(__xludf.UNSUPPORTED("""COMPUTED_VALUE"""),"6abd6c21")</f>
        <v>6abd6c21</v>
      </c>
      <c r="B3006" s="4">
        <f ca="1">IFERROR(__xludf.UNSUPPORTED("""COMPUTED_VALUE"""),45433.5735879629)</f>
        <v>45433.573587962899</v>
      </c>
      <c r="C3006" s="8" t="str">
        <f ca="1">IFERROR(__xludf.UNSUPPORTED("""COMPUTED_VALUE"""),"Terminal Aquaviário de Madre de Deus")</f>
        <v>Terminal Aquaviário de Madre de Deus</v>
      </c>
      <c r="D3006" s="3" t="str">
        <f ca="1">IFERROR(__xludf.UNSUPPORTED("""COMPUTED_VALUE"""),"🚢 REGULAR")</f>
        <v>🚢 REGULAR</v>
      </c>
      <c r="E3006" s="3" t="str">
        <f ca="1">IFERROR(__xludf.UNSUPPORTED("""COMPUTED_VALUE"""),"🚛 LIBERADO")</f>
        <v>🚛 LIBERADO</v>
      </c>
      <c r="F3006" s="5">
        <f ca="1">IFERROR(__xludf.UNSUPPORTED("""COMPUTED_VALUE"""),0)</f>
        <v>0</v>
      </c>
      <c r="G3006" s="3" t="str">
        <f ca="1">IFERROR(__xludf.UNSUPPORTED("""COMPUTED_VALUE"""),"Normalidade")</f>
        <v>Normalidade</v>
      </c>
      <c r="H3006" s="4">
        <f ca="1">IFERROR(__xludf.UNSUPPORTED("""COMPUTED_VALUE"""),45433.5735879629)</f>
        <v>45433.573587962899</v>
      </c>
      <c r="I3006" s="3">
        <f ca="1">IFERROR(__xludf.UNSUPPORTED("""COMPUTED_VALUE"""),24)</f>
        <v>24</v>
      </c>
      <c r="J3006" s="4">
        <f ca="1">IFERROR(__xludf.UNSUPPORTED("""COMPUTED_VALUE"""),45434.5735879629)</f>
        <v>45434.573587962899</v>
      </c>
      <c r="L3006" s="3" t="str">
        <f ca="1">IFERROR(__xludf.UNSUPPORTED("""COMPUTED_VALUE"""),"Normalidade")</f>
        <v>Normalidade</v>
      </c>
    </row>
    <row r="3007" spans="1:12" ht="12.75">
      <c r="A3007" s="3" t="str">
        <f ca="1">IFERROR(__xludf.UNSUPPORTED("""COMPUTED_VALUE"""),"2a72ac1f")</f>
        <v>2a72ac1f</v>
      </c>
      <c r="B3007" s="4">
        <f ca="1">IFERROR(__xludf.UNSUPPORTED("""COMPUTED_VALUE"""),45439.5884259259)</f>
        <v>45439.588425925896</v>
      </c>
      <c r="C3007" s="8" t="str">
        <f ca="1">IFERROR(__xludf.UNSUPPORTED("""COMPUTED_VALUE"""),"Terminal Aquaviário de Madre de Deus")</f>
        <v>Terminal Aquaviário de Madre de Deus</v>
      </c>
      <c r="D3007" s="3" t="str">
        <f ca="1">IFERROR(__xludf.UNSUPPORTED("""COMPUTED_VALUE"""),"🚢 REGULAR")</f>
        <v>🚢 REGULAR</v>
      </c>
      <c r="E3007" s="3" t="str">
        <f ca="1">IFERROR(__xludf.UNSUPPORTED("""COMPUTED_VALUE"""),"🚛 LIBERADO")</f>
        <v>🚛 LIBERADO</v>
      </c>
      <c r="F3007" s="5">
        <f ca="1">IFERROR(__xludf.UNSUPPORTED("""COMPUTED_VALUE"""),0)</f>
        <v>0</v>
      </c>
      <c r="G3007" s="3" t="str">
        <f ca="1">IFERROR(__xludf.UNSUPPORTED("""COMPUTED_VALUE"""),"Normalidade")</f>
        <v>Normalidade</v>
      </c>
      <c r="H3007" s="4">
        <f ca="1">IFERROR(__xludf.UNSUPPORTED("""COMPUTED_VALUE"""),45439.5884259259)</f>
        <v>45439.588425925896</v>
      </c>
      <c r="I3007" s="3">
        <f ca="1">IFERROR(__xludf.UNSUPPORTED("""COMPUTED_VALUE"""),24)</f>
        <v>24</v>
      </c>
      <c r="J3007" s="4">
        <f ca="1">IFERROR(__xludf.UNSUPPORTED("""COMPUTED_VALUE"""),45440.5884259259)</f>
        <v>45440.588425925896</v>
      </c>
      <c r="L3007" s="3" t="str">
        <f ca="1">IFERROR(__xludf.UNSUPPORTED("""COMPUTED_VALUE"""),"Normalidade")</f>
        <v>Normalidade</v>
      </c>
    </row>
    <row r="3008" spans="1:12" ht="12.75">
      <c r="A3008" s="3" t="str">
        <f ca="1">IFERROR(__xludf.UNSUPPORTED("""COMPUTED_VALUE"""),"4084f499")</f>
        <v>4084f499</v>
      </c>
      <c r="B3008" s="4">
        <f ca="1">IFERROR(__xludf.UNSUPPORTED("""COMPUTED_VALUE"""),45441.4565624999)</f>
        <v>45441.456562499901</v>
      </c>
      <c r="C3008" s="8" t="str">
        <f ca="1">IFERROR(__xludf.UNSUPPORTED("""COMPUTED_VALUE"""),"Terminal Aquaviário de Madre de Deus")</f>
        <v>Terminal Aquaviário de Madre de Deus</v>
      </c>
      <c r="D3008" s="3" t="str">
        <f ca="1">IFERROR(__xludf.UNSUPPORTED("""COMPUTED_VALUE"""),"🚢 REGULAR")</f>
        <v>🚢 REGULAR</v>
      </c>
      <c r="E3008" s="3" t="str">
        <f ca="1">IFERROR(__xludf.UNSUPPORTED("""COMPUTED_VALUE"""),"🚛 LIBERADO")</f>
        <v>🚛 LIBERADO</v>
      </c>
      <c r="F3008" s="5">
        <f ca="1">IFERROR(__xludf.UNSUPPORTED("""COMPUTED_VALUE"""),0)</f>
        <v>0</v>
      </c>
      <c r="G3008" s="3" t="str">
        <f ca="1">IFERROR(__xludf.UNSUPPORTED("""COMPUTED_VALUE"""),"Normalidade")</f>
        <v>Normalidade</v>
      </c>
      <c r="H3008" s="4">
        <f ca="1">IFERROR(__xludf.UNSUPPORTED("""COMPUTED_VALUE"""),45441.4565624999)</f>
        <v>45441.456562499901</v>
      </c>
      <c r="I3008" s="3">
        <f ca="1">IFERROR(__xludf.UNSUPPORTED("""COMPUTED_VALUE"""),24)</f>
        <v>24</v>
      </c>
      <c r="J3008" s="4">
        <f ca="1">IFERROR(__xludf.UNSUPPORTED("""COMPUTED_VALUE"""),45442.4565624999)</f>
        <v>45442.456562499901</v>
      </c>
      <c r="L3008" s="3" t="str">
        <f ca="1">IFERROR(__xludf.UNSUPPORTED("""COMPUTED_VALUE"""),"Normalidade")</f>
        <v>Normalidade</v>
      </c>
    </row>
    <row r="3009" spans="1:12" ht="12.75">
      <c r="A3009" s="3" t="str">
        <f ca="1">IFERROR(__xludf.UNSUPPORTED("""COMPUTED_VALUE"""),"a81feff8")</f>
        <v>a81feff8</v>
      </c>
      <c r="B3009" s="4">
        <f ca="1">IFERROR(__xludf.UNSUPPORTED("""COMPUTED_VALUE"""),45443.5648726851)</f>
        <v>45443.5648726851</v>
      </c>
      <c r="C3009" s="8" t="str">
        <f ca="1">IFERROR(__xludf.UNSUPPORTED("""COMPUTED_VALUE"""),"Terminal Aquaviário de Madre de Deus")</f>
        <v>Terminal Aquaviário de Madre de Deus</v>
      </c>
      <c r="D3009" s="3" t="str">
        <f ca="1">IFERROR(__xludf.UNSUPPORTED("""COMPUTED_VALUE"""),"🚢 REGULAR")</f>
        <v>🚢 REGULAR</v>
      </c>
      <c r="E3009" s="3" t="str">
        <f ca="1">IFERROR(__xludf.UNSUPPORTED("""COMPUTED_VALUE"""),"🚛 LIBERADO")</f>
        <v>🚛 LIBERADO</v>
      </c>
      <c r="F3009" s="5">
        <f ca="1">IFERROR(__xludf.UNSUPPORTED("""COMPUTED_VALUE"""),0)</f>
        <v>0</v>
      </c>
      <c r="G3009" s="3" t="str">
        <f ca="1">IFERROR(__xludf.UNSUPPORTED("""COMPUTED_VALUE"""),"Normalidade")</f>
        <v>Normalidade</v>
      </c>
      <c r="H3009" s="4">
        <f ca="1">IFERROR(__xludf.UNSUPPORTED("""COMPUTED_VALUE"""),45443.5648726851)</f>
        <v>45443.5648726851</v>
      </c>
      <c r="I3009" s="3">
        <f ca="1">IFERROR(__xludf.UNSUPPORTED("""COMPUTED_VALUE"""),24)</f>
        <v>24</v>
      </c>
      <c r="J3009" s="4">
        <f ca="1">IFERROR(__xludf.UNSUPPORTED("""COMPUTED_VALUE"""),45444.5648726851)</f>
        <v>45444.5648726851</v>
      </c>
      <c r="L3009" s="3" t="str">
        <f ca="1">IFERROR(__xludf.UNSUPPORTED("""COMPUTED_VALUE"""),"Normalidade")</f>
        <v>Normalidade</v>
      </c>
    </row>
    <row r="3010" spans="1:12" ht="12.75">
      <c r="A3010" s="3" t="str">
        <f ca="1">IFERROR(__xludf.UNSUPPORTED("""COMPUTED_VALUE"""),"e57def3c")</f>
        <v>e57def3c</v>
      </c>
      <c r="B3010" s="4">
        <f ca="1">IFERROR(__xludf.UNSUPPORTED("""COMPUTED_VALUE"""),45447.4503819444)</f>
        <v>45447.4503819444</v>
      </c>
      <c r="C3010" s="8" t="str">
        <f ca="1">IFERROR(__xludf.UNSUPPORTED("""COMPUTED_VALUE"""),"Terminal Aquaviário de Madre de Deus")</f>
        <v>Terminal Aquaviário de Madre de Deus</v>
      </c>
      <c r="D3010" s="3" t="str">
        <f ca="1">IFERROR(__xludf.UNSUPPORTED("""COMPUTED_VALUE"""),"🚢 REGULAR")</f>
        <v>🚢 REGULAR</v>
      </c>
      <c r="E3010" s="3" t="str">
        <f ca="1">IFERROR(__xludf.UNSUPPORTED("""COMPUTED_VALUE"""),"🚛 LIBERADO")</f>
        <v>🚛 LIBERADO</v>
      </c>
      <c r="F3010" s="5">
        <f ca="1">IFERROR(__xludf.UNSUPPORTED("""COMPUTED_VALUE"""),0)</f>
        <v>0</v>
      </c>
      <c r="G3010" s="3" t="str">
        <f ca="1">IFERROR(__xludf.UNSUPPORTED("""COMPUTED_VALUE"""),"Normalidade")</f>
        <v>Normalidade</v>
      </c>
      <c r="H3010" s="4">
        <f ca="1">IFERROR(__xludf.UNSUPPORTED("""COMPUTED_VALUE"""),45447.4503819444)</f>
        <v>45447.4503819444</v>
      </c>
      <c r="I3010" s="3">
        <f ca="1">IFERROR(__xludf.UNSUPPORTED("""COMPUTED_VALUE"""),24)</f>
        <v>24</v>
      </c>
      <c r="J3010" s="4">
        <f ca="1">IFERROR(__xludf.UNSUPPORTED("""COMPUTED_VALUE"""),45448.4503819444)</f>
        <v>45448.4503819444</v>
      </c>
      <c r="L3010" s="3" t="str">
        <f ca="1">IFERROR(__xludf.UNSUPPORTED("""COMPUTED_VALUE"""),"Normalidade")</f>
        <v>Normalidade</v>
      </c>
    </row>
    <row r="3011" spans="1:12" ht="12.75">
      <c r="A3011" s="3" t="str">
        <f ca="1">IFERROR(__xludf.UNSUPPORTED("""COMPUTED_VALUE"""),"3cbaa24e")</f>
        <v>3cbaa24e</v>
      </c>
      <c r="B3011" s="4">
        <f ca="1">IFERROR(__xludf.UNSUPPORTED("""COMPUTED_VALUE"""),45448.5683796296)</f>
        <v>45448.5683796296</v>
      </c>
      <c r="C3011" s="7" t="str">
        <f ca="1">IFERROR(__xludf.UNSUPPORTED("""COMPUTED_VALUE"""),"Terminal Aquaviário de Madre de Deus")</f>
        <v>Terminal Aquaviário de Madre de Deus</v>
      </c>
      <c r="D3011" s="3" t="str">
        <f ca="1">IFERROR(__xludf.UNSUPPORTED("""COMPUTED_VALUE"""),"🚢 REGULAR")</f>
        <v>🚢 REGULAR</v>
      </c>
      <c r="E3011" s="3" t="str">
        <f ca="1">IFERROR(__xludf.UNSUPPORTED("""COMPUTED_VALUE"""),"🚛 LIBERADO")</f>
        <v>🚛 LIBERADO</v>
      </c>
      <c r="F3011" s="5">
        <f ca="1">IFERROR(__xludf.UNSUPPORTED("""COMPUTED_VALUE"""),0)</f>
        <v>0</v>
      </c>
      <c r="G3011" s="3" t="str">
        <f ca="1">IFERROR(__xludf.UNSUPPORTED("""COMPUTED_VALUE"""),"Normalidade")</f>
        <v>Normalidade</v>
      </c>
      <c r="H3011" s="4">
        <f ca="1">IFERROR(__xludf.UNSUPPORTED("""COMPUTED_VALUE"""),45448.5683796296)</f>
        <v>45448.5683796296</v>
      </c>
      <c r="I3011" s="3">
        <f ca="1">IFERROR(__xludf.UNSUPPORTED("""COMPUTED_VALUE"""),24)</f>
        <v>24</v>
      </c>
      <c r="J3011" s="4">
        <f ca="1">IFERROR(__xludf.UNSUPPORTED("""COMPUTED_VALUE"""),45449.5683796296)</f>
        <v>45449.5683796296</v>
      </c>
      <c r="L3011" s="3" t="str">
        <f ca="1">IFERROR(__xludf.UNSUPPORTED("""COMPUTED_VALUE"""),"Normalidade")</f>
        <v>Normalidade</v>
      </c>
    </row>
    <row r="3012" spans="1:12" ht="12.75">
      <c r="A3012" s="3" t="str">
        <f ca="1">IFERROR(__xludf.UNSUPPORTED("""COMPUTED_VALUE"""),"ed4f3c55")</f>
        <v>ed4f3c55</v>
      </c>
      <c r="B3012" s="4">
        <f ca="1">IFERROR(__xludf.UNSUPPORTED("""COMPUTED_VALUE"""),45454.3282060185)</f>
        <v>45454.328206018501</v>
      </c>
      <c r="C3012" s="8" t="str">
        <f ca="1">IFERROR(__xludf.UNSUPPORTED("""COMPUTED_VALUE"""),"Terminal Aquaviário de Madre de Deus")</f>
        <v>Terminal Aquaviário de Madre de Deus</v>
      </c>
      <c r="D3012" s="3" t="str">
        <f ca="1">IFERROR(__xludf.UNSUPPORTED("""COMPUTED_VALUE"""),"🚢 REGULAR")</f>
        <v>🚢 REGULAR</v>
      </c>
      <c r="E3012" s="3" t="str">
        <f ca="1">IFERROR(__xludf.UNSUPPORTED("""COMPUTED_VALUE"""),"🚛 LIBERADO")</f>
        <v>🚛 LIBERADO</v>
      </c>
      <c r="F3012" s="5">
        <f ca="1">IFERROR(__xludf.UNSUPPORTED("""COMPUTED_VALUE"""),0)</f>
        <v>0</v>
      </c>
      <c r="G3012" s="3" t="str">
        <f ca="1">IFERROR(__xludf.UNSUPPORTED("""COMPUTED_VALUE"""),"Normalidade")</f>
        <v>Normalidade</v>
      </c>
      <c r="H3012" s="4">
        <f ca="1">IFERROR(__xludf.UNSUPPORTED("""COMPUTED_VALUE"""),45454.3282060185)</f>
        <v>45454.328206018501</v>
      </c>
      <c r="I3012" s="3">
        <f ca="1">IFERROR(__xludf.UNSUPPORTED("""COMPUTED_VALUE"""),24)</f>
        <v>24</v>
      </c>
      <c r="J3012" s="4">
        <f ca="1">IFERROR(__xludf.UNSUPPORTED("""COMPUTED_VALUE"""),45455.3282060185)</f>
        <v>45455.328206018501</v>
      </c>
      <c r="L3012" s="3" t="str">
        <f ca="1">IFERROR(__xludf.UNSUPPORTED("""COMPUTED_VALUE"""),"Normalidade")</f>
        <v>Normalidade</v>
      </c>
    </row>
    <row r="3013" spans="1:12" ht="12.75">
      <c r="A3013" s="3" t="str">
        <f ca="1">IFERROR(__xludf.UNSUPPORTED("""COMPUTED_VALUE"""),"c100d087")</f>
        <v>c100d087</v>
      </c>
      <c r="B3013" s="4">
        <f ca="1">IFERROR(__xludf.UNSUPPORTED("""COMPUTED_VALUE"""),45464.5563773148)</f>
        <v>45464.556377314802</v>
      </c>
      <c r="C3013" s="8" t="str">
        <f ca="1">IFERROR(__xludf.UNSUPPORTED("""COMPUTED_VALUE"""),"Terminal Aquaviário de Madre de Deus")</f>
        <v>Terminal Aquaviário de Madre de Deus</v>
      </c>
      <c r="D3013" s="3" t="str">
        <f ca="1">IFERROR(__xludf.UNSUPPORTED("""COMPUTED_VALUE"""),"🚢 REGULAR")</f>
        <v>🚢 REGULAR</v>
      </c>
      <c r="E3013" s="3" t="str">
        <f ca="1">IFERROR(__xludf.UNSUPPORTED("""COMPUTED_VALUE"""),"🚛 LIBERADO")</f>
        <v>🚛 LIBERADO</v>
      </c>
      <c r="F3013" s="5">
        <f ca="1">IFERROR(__xludf.UNSUPPORTED("""COMPUTED_VALUE"""),0)</f>
        <v>0</v>
      </c>
      <c r="G3013" s="3" t="str">
        <f ca="1">IFERROR(__xludf.UNSUPPORTED("""COMPUTED_VALUE"""),"Normalidade")</f>
        <v>Normalidade</v>
      </c>
      <c r="H3013" s="4">
        <f ca="1">IFERROR(__xludf.UNSUPPORTED("""COMPUTED_VALUE"""),45464.5563773148)</f>
        <v>45464.556377314802</v>
      </c>
      <c r="I3013" s="3">
        <f ca="1">IFERROR(__xludf.UNSUPPORTED("""COMPUTED_VALUE"""),24)</f>
        <v>24</v>
      </c>
      <c r="J3013" s="4">
        <f ca="1">IFERROR(__xludf.UNSUPPORTED("""COMPUTED_VALUE"""),45465.5563773148)</f>
        <v>45465.556377314802</v>
      </c>
      <c r="L3013" s="3" t="str">
        <f ca="1">IFERROR(__xludf.UNSUPPORTED("""COMPUTED_VALUE"""),"Normalidade")</f>
        <v>Normalidade</v>
      </c>
    </row>
    <row r="3014" spans="1:12" ht="12.75">
      <c r="A3014" s="3" t="str">
        <f ca="1">IFERROR(__xludf.UNSUPPORTED("""COMPUTED_VALUE"""),"0ee7490f")</f>
        <v>0ee7490f</v>
      </c>
      <c r="B3014" s="4">
        <f ca="1">IFERROR(__xludf.UNSUPPORTED("""COMPUTED_VALUE"""),45468.7345833333)</f>
        <v>45468.734583333302</v>
      </c>
      <c r="C3014" s="7" t="str">
        <f ca="1">IFERROR(__xludf.UNSUPPORTED("""COMPUTED_VALUE"""),"Terminal Aquaviário de Madre de Deus")</f>
        <v>Terminal Aquaviário de Madre de Deus</v>
      </c>
      <c r="D3014" s="3" t="str">
        <f ca="1">IFERROR(__xludf.UNSUPPORTED("""COMPUTED_VALUE"""),"🚢 REGULAR")</f>
        <v>🚢 REGULAR</v>
      </c>
      <c r="E3014" s="3" t="str">
        <f ca="1">IFERROR(__xludf.UNSUPPORTED("""COMPUTED_VALUE"""),"🚛 LIBERADO")</f>
        <v>🚛 LIBERADO</v>
      </c>
      <c r="F3014" s="5">
        <f ca="1">IFERROR(__xludf.UNSUPPORTED("""COMPUTED_VALUE"""),0)</f>
        <v>0</v>
      </c>
      <c r="G3014" s="3" t="str">
        <f ca="1">IFERROR(__xludf.UNSUPPORTED("""COMPUTED_VALUE"""),"Normalidade")</f>
        <v>Normalidade</v>
      </c>
      <c r="H3014" s="4">
        <f ca="1">IFERROR(__xludf.UNSUPPORTED("""COMPUTED_VALUE"""),45468.7345833333)</f>
        <v>45468.734583333302</v>
      </c>
      <c r="I3014" s="3">
        <f ca="1">IFERROR(__xludf.UNSUPPORTED("""COMPUTED_VALUE"""),24)</f>
        <v>24</v>
      </c>
      <c r="J3014" s="4">
        <f ca="1">IFERROR(__xludf.UNSUPPORTED("""COMPUTED_VALUE"""),45469.7345833333)</f>
        <v>45469.734583333302</v>
      </c>
      <c r="L3014" s="3" t="str">
        <f ca="1">IFERROR(__xludf.UNSUPPORTED("""COMPUTED_VALUE"""),"Normalidade")</f>
        <v>Normalidade</v>
      </c>
    </row>
    <row r="3015" spans="1:12" ht="12.75">
      <c r="A3015" s="3" t="str">
        <f ca="1">IFERROR(__xludf.UNSUPPORTED("""COMPUTED_VALUE"""),"a8ade053")</f>
        <v>a8ade053</v>
      </c>
      <c r="B3015" s="4">
        <f ca="1">IFERROR(__xludf.UNSUPPORTED("""COMPUTED_VALUE"""),45470.654074074)</f>
        <v>45470.654074074002</v>
      </c>
      <c r="C3015" s="7" t="str">
        <f ca="1">IFERROR(__xludf.UNSUPPORTED("""COMPUTED_VALUE"""),"Terminal Aquaviário de Madre de Deus")</f>
        <v>Terminal Aquaviário de Madre de Deus</v>
      </c>
      <c r="D3015" s="3" t="str">
        <f ca="1">IFERROR(__xludf.UNSUPPORTED("""COMPUTED_VALUE"""),"🚢 REGULAR")</f>
        <v>🚢 REGULAR</v>
      </c>
      <c r="E3015" s="3" t="str">
        <f ca="1">IFERROR(__xludf.UNSUPPORTED("""COMPUTED_VALUE"""),"🚛 LIBERADO")</f>
        <v>🚛 LIBERADO</v>
      </c>
      <c r="F3015" s="5">
        <f ca="1">IFERROR(__xludf.UNSUPPORTED("""COMPUTED_VALUE"""),0)</f>
        <v>0</v>
      </c>
      <c r="G3015" s="3" t="str">
        <f ca="1">IFERROR(__xludf.UNSUPPORTED("""COMPUTED_VALUE"""),"Normalidade")</f>
        <v>Normalidade</v>
      </c>
      <c r="H3015" s="4">
        <f ca="1">IFERROR(__xludf.UNSUPPORTED("""COMPUTED_VALUE"""),45470.654074074)</f>
        <v>45470.654074074002</v>
      </c>
      <c r="I3015" s="3">
        <f ca="1">IFERROR(__xludf.UNSUPPORTED("""COMPUTED_VALUE"""),24)</f>
        <v>24</v>
      </c>
      <c r="J3015" s="4">
        <f ca="1">IFERROR(__xludf.UNSUPPORTED("""COMPUTED_VALUE"""),45471.654074074)</f>
        <v>45471.654074074002</v>
      </c>
      <c r="L3015" s="3" t="str">
        <f ca="1">IFERROR(__xludf.UNSUPPORTED("""COMPUTED_VALUE"""),"Normalidade")</f>
        <v>Normalidade</v>
      </c>
    </row>
    <row r="3016" spans="1:12" ht="12.75">
      <c r="A3016" s="3" t="str">
        <f ca="1">IFERROR(__xludf.UNSUPPORTED("""COMPUTED_VALUE"""),"608fcf37")</f>
        <v>608fcf37</v>
      </c>
      <c r="B3016" s="4">
        <f ca="1">IFERROR(__xludf.UNSUPPORTED("""COMPUTED_VALUE"""),45474.5782060185)</f>
        <v>45474.578206018501</v>
      </c>
      <c r="C3016" s="7" t="str">
        <f ca="1">IFERROR(__xludf.UNSUPPORTED("""COMPUTED_VALUE"""),"Terminal Aquaviário de Madre de Deus")</f>
        <v>Terminal Aquaviário de Madre de Deus</v>
      </c>
      <c r="D3016" s="3" t="str">
        <f ca="1">IFERROR(__xludf.UNSUPPORTED("""COMPUTED_VALUE"""),"🚢 REGULAR")</f>
        <v>🚢 REGULAR</v>
      </c>
      <c r="E3016" s="3" t="str">
        <f ca="1">IFERROR(__xludf.UNSUPPORTED("""COMPUTED_VALUE"""),"🚛 LIBERADO")</f>
        <v>🚛 LIBERADO</v>
      </c>
      <c r="F3016" s="5">
        <f ca="1">IFERROR(__xludf.UNSUPPORTED("""COMPUTED_VALUE"""),0)</f>
        <v>0</v>
      </c>
      <c r="G3016" s="3" t="str">
        <f ca="1">IFERROR(__xludf.UNSUPPORTED("""COMPUTED_VALUE"""),"Normalidade")</f>
        <v>Normalidade</v>
      </c>
      <c r="H3016" s="4">
        <f ca="1">IFERROR(__xludf.UNSUPPORTED("""COMPUTED_VALUE"""),45474.5782060185)</f>
        <v>45474.578206018501</v>
      </c>
      <c r="I3016" s="3">
        <f ca="1">IFERROR(__xludf.UNSUPPORTED("""COMPUTED_VALUE"""),24)</f>
        <v>24</v>
      </c>
      <c r="J3016" s="4">
        <f ca="1">IFERROR(__xludf.UNSUPPORTED("""COMPUTED_VALUE"""),45475.5782060185)</f>
        <v>45475.578206018501</v>
      </c>
      <c r="L3016" s="3" t="str">
        <f ca="1">IFERROR(__xludf.UNSUPPORTED("""COMPUTED_VALUE"""),"Normalidade")</f>
        <v>Normalidade</v>
      </c>
    </row>
    <row r="3017" spans="1:12" ht="12.75">
      <c r="A3017" s="3" t="str">
        <f ca="1">IFERROR(__xludf.UNSUPPORTED("""COMPUTED_VALUE"""),"b8326062")</f>
        <v>b8326062</v>
      </c>
      <c r="B3017" s="4">
        <f ca="1">IFERROR(__xludf.UNSUPPORTED("""COMPUTED_VALUE"""),45476.4311226851)</f>
        <v>45476.431122685099</v>
      </c>
      <c r="C3017" s="7" t="str">
        <f ca="1">IFERROR(__xludf.UNSUPPORTED("""COMPUTED_VALUE"""),"Terminal Aquaviário de Madre de Deus")</f>
        <v>Terminal Aquaviário de Madre de Deus</v>
      </c>
      <c r="D3017" s="3" t="str">
        <f ca="1">IFERROR(__xludf.UNSUPPORTED("""COMPUTED_VALUE"""),"🚢 REGULAR")</f>
        <v>🚢 REGULAR</v>
      </c>
      <c r="E3017" s="3" t="str">
        <f ca="1">IFERROR(__xludf.UNSUPPORTED("""COMPUTED_VALUE"""),"🚛 LIBERADO")</f>
        <v>🚛 LIBERADO</v>
      </c>
      <c r="F3017" s="5">
        <f ca="1">IFERROR(__xludf.UNSUPPORTED("""COMPUTED_VALUE"""),0)</f>
        <v>0</v>
      </c>
      <c r="G3017" s="3" t="str">
        <f ca="1">IFERROR(__xludf.UNSUPPORTED("""COMPUTED_VALUE"""),"Normalidade")</f>
        <v>Normalidade</v>
      </c>
      <c r="H3017" s="4">
        <f ca="1">IFERROR(__xludf.UNSUPPORTED("""COMPUTED_VALUE"""),45476.4311226851)</f>
        <v>45476.431122685099</v>
      </c>
      <c r="I3017" s="3">
        <f ca="1">IFERROR(__xludf.UNSUPPORTED("""COMPUTED_VALUE"""),24)</f>
        <v>24</v>
      </c>
      <c r="J3017" s="4">
        <f ca="1">IFERROR(__xludf.UNSUPPORTED("""COMPUTED_VALUE"""),45477.4311226851)</f>
        <v>45477.431122685099</v>
      </c>
      <c r="L3017" s="3" t="str">
        <f ca="1">IFERROR(__xludf.UNSUPPORTED("""COMPUTED_VALUE"""),"Normalidade")</f>
        <v>Normalidade</v>
      </c>
    </row>
    <row r="3018" spans="1:12" ht="12.75">
      <c r="A3018" s="3" t="str">
        <f ca="1">IFERROR(__xludf.UNSUPPORTED("""COMPUTED_VALUE"""),"10b754f0")</f>
        <v>10b754f0</v>
      </c>
      <c r="B3018" s="4">
        <f ca="1">IFERROR(__xludf.UNSUPPORTED("""COMPUTED_VALUE"""),45482.546886574)</f>
        <v>45482.546886573997</v>
      </c>
      <c r="C3018" s="8" t="str">
        <f ca="1">IFERROR(__xludf.UNSUPPORTED("""COMPUTED_VALUE"""),"Terminal Aquaviário de Madre de Deus")</f>
        <v>Terminal Aquaviário de Madre de Deus</v>
      </c>
      <c r="D3018" s="3" t="str">
        <f ca="1">IFERROR(__xludf.UNSUPPORTED("""COMPUTED_VALUE"""),"🚢 REGULAR")</f>
        <v>🚢 REGULAR</v>
      </c>
      <c r="E3018" s="3" t="str">
        <f ca="1">IFERROR(__xludf.UNSUPPORTED("""COMPUTED_VALUE"""),"🚛 LIBERADO")</f>
        <v>🚛 LIBERADO</v>
      </c>
      <c r="F3018" s="5">
        <f ca="1">IFERROR(__xludf.UNSUPPORTED("""COMPUTED_VALUE"""),0)</f>
        <v>0</v>
      </c>
      <c r="G3018" s="3" t="str">
        <f ca="1">IFERROR(__xludf.UNSUPPORTED("""COMPUTED_VALUE"""),"Normalidade")</f>
        <v>Normalidade</v>
      </c>
      <c r="H3018" s="4">
        <f ca="1">IFERROR(__xludf.UNSUPPORTED("""COMPUTED_VALUE"""),45482.546886574)</f>
        <v>45482.546886573997</v>
      </c>
      <c r="I3018" s="3">
        <f ca="1">IFERROR(__xludf.UNSUPPORTED("""COMPUTED_VALUE"""),24)</f>
        <v>24</v>
      </c>
      <c r="J3018" s="4">
        <f ca="1">IFERROR(__xludf.UNSUPPORTED("""COMPUTED_VALUE"""),45483.546886574)</f>
        <v>45483.546886573997</v>
      </c>
      <c r="L3018" s="3" t="str">
        <f ca="1">IFERROR(__xludf.UNSUPPORTED("""COMPUTED_VALUE"""),"Normalidade")</f>
        <v>Normalidade</v>
      </c>
    </row>
    <row r="3019" spans="1:12" ht="12.75">
      <c r="A3019" s="3" t="str">
        <f ca="1">IFERROR(__xludf.UNSUPPORTED("""COMPUTED_VALUE"""),"ec1593af")</f>
        <v>ec1593af</v>
      </c>
      <c r="B3019" s="4">
        <f ca="1">IFERROR(__xludf.UNSUPPORTED("""COMPUTED_VALUE"""),45488.702349537)</f>
        <v>45488.702349537001</v>
      </c>
      <c r="C3019" s="7" t="str">
        <f ca="1">IFERROR(__xludf.UNSUPPORTED("""COMPUTED_VALUE"""),"Terminal Aquaviário de Madre de Deus")</f>
        <v>Terminal Aquaviário de Madre de Deus</v>
      </c>
      <c r="D3019" s="3" t="str">
        <f ca="1">IFERROR(__xludf.UNSUPPORTED("""COMPUTED_VALUE"""),"🚢 REGULAR")</f>
        <v>🚢 REGULAR</v>
      </c>
      <c r="E3019" s="3" t="str">
        <f ca="1">IFERROR(__xludf.UNSUPPORTED("""COMPUTED_VALUE"""),"🚛 LIBERADO")</f>
        <v>🚛 LIBERADO</v>
      </c>
      <c r="F3019" s="5">
        <f ca="1">IFERROR(__xludf.UNSUPPORTED("""COMPUTED_VALUE"""),0)</f>
        <v>0</v>
      </c>
      <c r="G3019" s="3" t="str">
        <f ca="1">IFERROR(__xludf.UNSUPPORTED("""COMPUTED_VALUE"""),"Normalidade")</f>
        <v>Normalidade</v>
      </c>
      <c r="H3019" s="4">
        <f ca="1">IFERROR(__xludf.UNSUPPORTED("""COMPUTED_VALUE"""),45488.702349537)</f>
        <v>45488.702349537001</v>
      </c>
      <c r="I3019" s="3">
        <f ca="1">IFERROR(__xludf.UNSUPPORTED("""COMPUTED_VALUE"""),24)</f>
        <v>24</v>
      </c>
      <c r="J3019" s="4">
        <f ca="1">IFERROR(__xludf.UNSUPPORTED("""COMPUTED_VALUE"""),45489.702349537)</f>
        <v>45489.702349537001</v>
      </c>
      <c r="L3019" s="3" t="str">
        <f ca="1">IFERROR(__xludf.UNSUPPORTED("""COMPUTED_VALUE"""),"Normalidade")</f>
        <v>Normalidade</v>
      </c>
    </row>
    <row r="3020" spans="1:12" ht="12.75">
      <c r="A3020" s="3" t="str">
        <f ca="1">IFERROR(__xludf.UNSUPPORTED("""COMPUTED_VALUE"""),"5c294bdf")</f>
        <v>5c294bdf</v>
      </c>
      <c r="B3020" s="4">
        <f ca="1">IFERROR(__xludf.UNSUPPORTED("""COMPUTED_VALUE"""),45495.4422569444)</f>
        <v>45495.4422569444</v>
      </c>
      <c r="C3020" s="7" t="str">
        <f ca="1">IFERROR(__xludf.UNSUPPORTED("""COMPUTED_VALUE"""),"Terminal Aquaviário de Madre de Deus")</f>
        <v>Terminal Aquaviário de Madre de Deus</v>
      </c>
      <c r="D3020" s="3" t="str">
        <f ca="1">IFERROR(__xludf.UNSUPPORTED("""COMPUTED_VALUE"""),"🚢 REGULAR")</f>
        <v>🚢 REGULAR</v>
      </c>
      <c r="E3020" s="3" t="str">
        <f ca="1">IFERROR(__xludf.UNSUPPORTED("""COMPUTED_VALUE"""),"🚛 LIBERADO")</f>
        <v>🚛 LIBERADO</v>
      </c>
      <c r="F3020" s="5">
        <f ca="1">IFERROR(__xludf.UNSUPPORTED("""COMPUTED_VALUE"""),0)</f>
        <v>0</v>
      </c>
      <c r="G3020" s="3" t="str">
        <f ca="1">IFERROR(__xludf.UNSUPPORTED("""COMPUTED_VALUE"""),"Normalidade")</f>
        <v>Normalidade</v>
      </c>
      <c r="H3020" s="4">
        <f ca="1">IFERROR(__xludf.UNSUPPORTED("""COMPUTED_VALUE"""),45495.4422569444)</f>
        <v>45495.4422569444</v>
      </c>
      <c r="I3020" s="3">
        <f ca="1">IFERROR(__xludf.UNSUPPORTED("""COMPUTED_VALUE"""),24)</f>
        <v>24</v>
      </c>
      <c r="J3020" s="4">
        <f ca="1">IFERROR(__xludf.UNSUPPORTED("""COMPUTED_VALUE"""),45496.4422569444)</f>
        <v>45496.4422569444</v>
      </c>
      <c r="L3020" s="3" t="str">
        <f ca="1">IFERROR(__xludf.UNSUPPORTED("""COMPUTED_VALUE"""),"Normalidade")</f>
        <v>Normalidade</v>
      </c>
    </row>
    <row r="3021" spans="1:12" ht="12.75">
      <c r="A3021" s="3" t="str">
        <f ca="1">IFERROR(__xludf.UNSUPPORTED("""COMPUTED_VALUE"""),"ebaa9380")</f>
        <v>ebaa9380</v>
      </c>
      <c r="B3021" s="4">
        <f ca="1">IFERROR(__xludf.UNSUPPORTED("""COMPUTED_VALUE"""),45496.4903819444)</f>
        <v>45496.490381944401</v>
      </c>
      <c r="C3021" s="7" t="str">
        <f ca="1">IFERROR(__xludf.UNSUPPORTED("""COMPUTED_VALUE"""),"Terminal Aquaviário de Madre de Deus")</f>
        <v>Terminal Aquaviário de Madre de Deus</v>
      </c>
      <c r="D3021" s="3" t="str">
        <f ca="1">IFERROR(__xludf.UNSUPPORTED("""COMPUTED_VALUE"""),"🚢 REGULAR")</f>
        <v>🚢 REGULAR</v>
      </c>
      <c r="E3021" s="3" t="str">
        <f ca="1">IFERROR(__xludf.UNSUPPORTED("""COMPUTED_VALUE"""),"🚛 LIBERADO")</f>
        <v>🚛 LIBERADO</v>
      </c>
      <c r="F3021" s="5">
        <f ca="1">IFERROR(__xludf.UNSUPPORTED("""COMPUTED_VALUE"""),0)</f>
        <v>0</v>
      </c>
      <c r="G3021" s="3" t="str">
        <f ca="1">IFERROR(__xludf.UNSUPPORTED("""COMPUTED_VALUE"""),"Normalidade")</f>
        <v>Normalidade</v>
      </c>
      <c r="H3021" s="4">
        <f ca="1">IFERROR(__xludf.UNSUPPORTED("""COMPUTED_VALUE"""),45496.4903819444)</f>
        <v>45496.490381944401</v>
      </c>
      <c r="I3021" s="3">
        <f ca="1">IFERROR(__xludf.UNSUPPORTED("""COMPUTED_VALUE"""),24)</f>
        <v>24</v>
      </c>
      <c r="J3021" s="4">
        <f ca="1">IFERROR(__xludf.UNSUPPORTED("""COMPUTED_VALUE"""),45497.4903819444)</f>
        <v>45497.490381944401</v>
      </c>
      <c r="L3021" s="3" t="str">
        <f ca="1">IFERROR(__xludf.UNSUPPORTED("""COMPUTED_VALUE"""),"Normalidade")</f>
        <v>Normalidade</v>
      </c>
    </row>
    <row r="3022" spans="1:12" ht="12.75">
      <c r="A3022" s="3" t="str">
        <f ca="1">IFERROR(__xludf.UNSUPPORTED("""COMPUTED_VALUE"""),"0e4e34a3")</f>
        <v>0e4e34a3</v>
      </c>
      <c r="B3022" s="4">
        <f ca="1">IFERROR(__xludf.UNSUPPORTED("""COMPUTED_VALUE"""),45503.6173148148)</f>
        <v>45503.617314814801</v>
      </c>
      <c r="C3022" s="7" t="str">
        <f ca="1">IFERROR(__xludf.UNSUPPORTED("""COMPUTED_VALUE"""),"Terminal Aquaviário de Madre de Deus")</f>
        <v>Terminal Aquaviário de Madre de Deus</v>
      </c>
      <c r="D3022" s="3" t="str">
        <f ca="1">IFERROR(__xludf.UNSUPPORTED("""COMPUTED_VALUE"""),"🚢 REGULAR")</f>
        <v>🚢 REGULAR</v>
      </c>
      <c r="E3022" s="3" t="str">
        <f ca="1">IFERROR(__xludf.UNSUPPORTED("""COMPUTED_VALUE"""),"🚛 LIBERADO")</f>
        <v>🚛 LIBERADO</v>
      </c>
      <c r="F3022" s="5">
        <f ca="1">IFERROR(__xludf.UNSUPPORTED("""COMPUTED_VALUE"""),0)</f>
        <v>0</v>
      </c>
      <c r="G3022" s="3" t="str">
        <f ca="1">IFERROR(__xludf.UNSUPPORTED("""COMPUTED_VALUE"""),"Normalidade")</f>
        <v>Normalidade</v>
      </c>
      <c r="H3022" s="4">
        <f ca="1">IFERROR(__xludf.UNSUPPORTED("""COMPUTED_VALUE"""),45503.6173148148)</f>
        <v>45503.617314814801</v>
      </c>
      <c r="I3022" s="3">
        <f ca="1">IFERROR(__xludf.UNSUPPORTED("""COMPUTED_VALUE"""),24)</f>
        <v>24</v>
      </c>
      <c r="J3022" s="4">
        <f ca="1">IFERROR(__xludf.UNSUPPORTED("""COMPUTED_VALUE"""),45504.6173148148)</f>
        <v>45504.617314814801</v>
      </c>
      <c r="L3022" s="3" t="str">
        <f ca="1">IFERROR(__xludf.UNSUPPORTED("""COMPUTED_VALUE"""),"Normalidade")</f>
        <v>Normalidade</v>
      </c>
    </row>
    <row r="3023" spans="1:12" ht="12.75">
      <c r="A3023" s="3" t="str">
        <f ca="1">IFERROR(__xludf.UNSUPPORTED("""COMPUTED_VALUE"""),"2bb1d11e")</f>
        <v>2bb1d11e</v>
      </c>
      <c r="B3023" s="4">
        <f ca="1">IFERROR(__xludf.UNSUPPORTED("""COMPUTED_VALUE"""),45510.4807638888)</f>
        <v>45510.480763888801</v>
      </c>
      <c r="C3023" s="7" t="str">
        <f ca="1">IFERROR(__xludf.UNSUPPORTED("""COMPUTED_VALUE"""),"Terminal Aquaviário de Madre de Deus")</f>
        <v>Terminal Aquaviário de Madre de Deus</v>
      </c>
      <c r="D3023" s="3" t="str">
        <f ca="1">IFERROR(__xludf.UNSUPPORTED("""COMPUTED_VALUE"""),"🚢 REGULAR")</f>
        <v>🚢 REGULAR</v>
      </c>
      <c r="E3023" s="3" t="str">
        <f ca="1">IFERROR(__xludf.UNSUPPORTED("""COMPUTED_VALUE"""),"🚛 LIBERADO")</f>
        <v>🚛 LIBERADO</v>
      </c>
      <c r="F3023" s="5">
        <f ca="1">IFERROR(__xludf.UNSUPPORTED("""COMPUTED_VALUE"""),0)</f>
        <v>0</v>
      </c>
      <c r="G3023" s="3" t="str">
        <f ca="1">IFERROR(__xludf.UNSUPPORTED("""COMPUTED_VALUE"""),"Normalidade")</f>
        <v>Normalidade</v>
      </c>
      <c r="H3023" s="4">
        <f ca="1">IFERROR(__xludf.UNSUPPORTED("""COMPUTED_VALUE"""),45510.4807638888)</f>
        <v>45510.480763888801</v>
      </c>
      <c r="I3023" s="3">
        <f ca="1">IFERROR(__xludf.UNSUPPORTED("""COMPUTED_VALUE"""),24)</f>
        <v>24</v>
      </c>
      <c r="J3023" s="4">
        <f ca="1">IFERROR(__xludf.UNSUPPORTED("""COMPUTED_VALUE"""),45511.4807638888)</f>
        <v>45511.480763888801</v>
      </c>
      <c r="L3023" s="3" t="str">
        <f ca="1">IFERROR(__xludf.UNSUPPORTED("""COMPUTED_VALUE"""),"Normalidade")</f>
        <v>Normalidade</v>
      </c>
    </row>
    <row r="3024" spans="1:12" ht="12.75">
      <c r="A3024" s="3" t="str">
        <f ca="1">IFERROR(__xludf.UNSUPPORTED("""COMPUTED_VALUE"""),"075c6c25")</f>
        <v>075c6c25</v>
      </c>
      <c r="B3024" s="4">
        <f ca="1">IFERROR(__xludf.UNSUPPORTED("""COMPUTED_VALUE"""),45512.4709374999)</f>
        <v>45512.4709374999</v>
      </c>
      <c r="C3024" s="8" t="str">
        <f ca="1">IFERROR(__xludf.UNSUPPORTED("""COMPUTED_VALUE"""),"Terminal Aquaviário de Madre de Deus")</f>
        <v>Terminal Aquaviário de Madre de Deus</v>
      </c>
      <c r="D3024" s="3" t="str">
        <f ca="1">IFERROR(__xludf.UNSUPPORTED("""COMPUTED_VALUE"""),"🚢 REGULAR")</f>
        <v>🚢 REGULAR</v>
      </c>
      <c r="E3024" s="3" t="str">
        <f ca="1">IFERROR(__xludf.UNSUPPORTED("""COMPUTED_VALUE"""),"🚛 LIBERADO")</f>
        <v>🚛 LIBERADO</v>
      </c>
      <c r="F3024" s="5">
        <f ca="1">IFERROR(__xludf.UNSUPPORTED("""COMPUTED_VALUE"""),0)</f>
        <v>0</v>
      </c>
      <c r="G3024" s="3" t="str">
        <f ca="1">IFERROR(__xludf.UNSUPPORTED("""COMPUTED_VALUE"""),"Normalidade")</f>
        <v>Normalidade</v>
      </c>
      <c r="H3024" s="4">
        <f ca="1">IFERROR(__xludf.UNSUPPORTED("""COMPUTED_VALUE"""),45512.4709374999)</f>
        <v>45512.4709374999</v>
      </c>
      <c r="I3024" s="3">
        <f ca="1">IFERROR(__xludf.UNSUPPORTED("""COMPUTED_VALUE"""),24)</f>
        <v>24</v>
      </c>
      <c r="J3024" s="4">
        <f ca="1">IFERROR(__xludf.UNSUPPORTED("""COMPUTED_VALUE"""),45513.4709374999)</f>
        <v>45513.4709374999</v>
      </c>
      <c r="L3024" s="3" t="str">
        <f ca="1">IFERROR(__xludf.UNSUPPORTED("""COMPUTED_VALUE"""),"Normalidade")</f>
        <v>Normalidade</v>
      </c>
    </row>
    <row r="3025" spans="1:12" ht="12.75">
      <c r="A3025" s="3" t="str">
        <f ca="1">IFERROR(__xludf.UNSUPPORTED("""COMPUTED_VALUE"""),"f9d11653")</f>
        <v>f9d11653</v>
      </c>
      <c r="B3025" s="4">
        <f ca="1">IFERROR(__xludf.UNSUPPORTED("""COMPUTED_VALUE"""),45516.5724421296)</f>
        <v>45516.572442129604</v>
      </c>
      <c r="C3025" s="7" t="str">
        <f ca="1">IFERROR(__xludf.UNSUPPORTED("""COMPUTED_VALUE"""),"Terminal Aquaviário de Madre de Deus")</f>
        <v>Terminal Aquaviário de Madre de Deus</v>
      </c>
      <c r="D3025" s="3" t="str">
        <f ca="1">IFERROR(__xludf.UNSUPPORTED("""COMPUTED_VALUE"""),"🚢 REGULAR")</f>
        <v>🚢 REGULAR</v>
      </c>
      <c r="E3025" s="3" t="str">
        <f ca="1">IFERROR(__xludf.UNSUPPORTED("""COMPUTED_VALUE"""),"🚛 LIBERADO")</f>
        <v>🚛 LIBERADO</v>
      </c>
      <c r="F3025" s="5">
        <f ca="1">IFERROR(__xludf.UNSUPPORTED("""COMPUTED_VALUE"""),0)</f>
        <v>0</v>
      </c>
      <c r="G3025" s="3" t="str">
        <f ca="1">IFERROR(__xludf.UNSUPPORTED("""COMPUTED_VALUE"""),"Normalidade")</f>
        <v>Normalidade</v>
      </c>
      <c r="H3025" s="4">
        <f ca="1">IFERROR(__xludf.UNSUPPORTED("""COMPUTED_VALUE"""),45516.5724421296)</f>
        <v>45516.572442129604</v>
      </c>
      <c r="I3025" s="3">
        <f ca="1">IFERROR(__xludf.UNSUPPORTED("""COMPUTED_VALUE"""),24)</f>
        <v>24</v>
      </c>
      <c r="J3025" s="4">
        <f ca="1">IFERROR(__xludf.UNSUPPORTED("""COMPUTED_VALUE"""),45517.5724421296)</f>
        <v>45517.572442129604</v>
      </c>
      <c r="L3025" s="3" t="str">
        <f ca="1">IFERROR(__xludf.UNSUPPORTED("""COMPUTED_VALUE"""),"Normalidade")</f>
        <v>Normalidade</v>
      </c>
    </row>
    <row r="3026" spans="1:12" ht="12.75">
      <c r="A3026" s="3" t="str">
        <f ca="1">IFERROR(__xludf.UNSUPPORTED("""COMPUTED_VALUE"""),"75cef7e3")</f>
        <v>75cef7e3</v>
      </c>
      <c r="B3026" s="4">
        <f ca="1">IFERROR(__xludf.UNSUPPORTED("""COMPUTED_VALUE"""),45525.5333217591)</f>
        <v>45525.533321759103</v>
      </c>
      <c r="C3026" s="7" t="str">
        <f ca="1">IFERROR(__xludf.UNSUPPORTED("""COMPUTED_VALUE"""),"Terminal Aquaviário de Madre de Deus")</f>
        <v>Terminal Aquaviário de Madre de Deus</v>
      </c>
      <c r="D3026" s="3" t="str">
        <f ca="1">IFERROR(__xludf.UNSUPPORTED("""COMPUTED_VALUE"""),"🚢 REGULAR")</f>
        <v>🚢 REGULAR</v>
      </c>
      <c r="E3026" s="3" t="str">
        <f ca="1">IFERROR(__xludf.UNSUPPORTED("""COMPUTED_VALUE"""),"🚛 LIBERADO")</f>
        <v>🚛 LIBERADO</v>
      </c>
      <c r="F3026" s="5">
        <f ca="1">IFERROR(__xludf.UNSUPPORTED("""COMPUTED_VALUE"""),0)</f>
        <v>0</v>
      </c>
      <c r="G3026" s="3" t="str">
        <f ca="1">IFERROR(__xludf.UNSUPPORTED("""COMPUTED_VALUE"""),"Normalidade")</f>
        <v>Normalidade</v>
      </c>
      <c r="H3026" s="4">
        <f ca="1">IFERROR(__xludf.UNSUPPORTED("""COMPUTED_VALUE"""),45525.5333217591)</f>
        <v>45525.533321759103</v>
      </c>
      <c r="I3026" s="3">
        <f ca="1">IFERROR(__xludf.UNSUPPORTED("""COMPUTED_VALUE"""),24)</f>
        <v>24</v>
      </c>
      <c r="J3026" s="4">
        <f ca="1">IFERROR(__xludf.UNSUPPORTED("""COMPUTED_VALUE"""),45526.5333217591)</f>
        <v>45526.533321759103</v>
      </c>
      <c r="L3026" s="3" t="str">
        <f ca="1">IFERROR(__xludf.UNSUPPORTED("""COMPUTED_VALUE"""),"Normalidade")</f>
        <v>Normalidade</v>
      </c>
    </row>
    <row r="3027" spans="1:12" ht="12.75">
      <c r="A3027" s="3" t="str">
        <f ca="1">IFERROR(__xludf.UNSUPPORTED("""COMPUTED_VALUE"""),"a573d5c1")</f>
        <v>a573d5c1</v>
      </c>
      <c r="B3027" s="4">
        <f ca="1">IFERROR(__xludf.UNSUPPORTED("""COMPUTED_VALUE"""),45530.4191435185)</f>
        <v>45530.419143518498</v>
      </c>
      <c r="C3027" s="8" t="str">
        <f ca="1">IFERROR(__xludf.UNSUPPORTED("""COMPUTED_VALUE"""),"Terminal Aquaviário de Madre de Deus")</f>
        <v>Terminal Aquaviário de Madre de Deus</v>
      </c>
      <c r="D3027" s="3" t="str">
        <f ca="1">IFERROR(__xludf.UNSUPPORTED("""COMPUTED_VALUE"""),"🚢 REGULAR")</f>
        <v>🚢 REGULAR</v>
      </c>
      <c r="E3027" s="3" t="str">
        <f ca="1">IFERROR(__xludf.UNSUPPORTED("""COMPUTED_VALUE"""),"🚛 LIBERADO")</f>
        <v>🚛 LIBERADO</v>
      </c>
      <c r="F3027" s="5">
        <f ca="1">IFERROR(__xludf.UNSUPPORTED("""COMPUTED_VALUE"""),0)</f>
        <v>0</v>
      </c>
      <c r="G3027" s="3" t="str">
        <f ca="1">IFERROR(__xludf.UNSUPPORTED("""COMPUTED_VALUE"""),"Normalidade")</f>
        <v>Normalidade</v>
      </c>
      <c r="H3027" s="4">
        <f ca="1">IFERROR(__xludf.UNSUPPORTED("""COMPUTED_VALUE"""),45530.4191435185)</f>
        <v>45530.419143518498</v>
      </c>
      <c r="I3027" s="3">
        <f ca="1">IFERROR(__xludf.UNSUPPORTED("""COMPUTED_VALUE"""),24)</f>
        <v>24</v>
      </c>
      <c r="J3027" s="4">
        <f ca="1">IFERROR(__xludf.UNSUPPORTED("""COMPUTED_VALUE"""),45531.4191435185)</f>
        <v>45531.419143518498</v>
      </c>
      <c r="L3027" s="3" t="str">
        <f ca="1">IFERROR(__xludf.UNSUPPORTED("""COMPUTED_VALUE"""),"Normalidade")</f>
        <v>Normalidade</v>
      </c>
    </row>
    <row r="3028" spans="1:12" ht="12.75">
      <c r="A3028" s="3" t="str">
        <f ca="1">IFERROR(__xludf.UNSUPPORTED("""COMPUTED_VALUE"""),"3b512e01")</f>
        <v>3b512e01</v>
      </c>
      <c r="B3028" s="4">
        <f ca="1">IFERROR(__xludf.UNSUPPORTED("""COMPUTED_VALUE"""),45531.7180092592)</f>
        <v>45531.718009259203</v>
      </c>
      <c r="C3028" s="8" t="str">
        <f ca="1">IFERROR(__xludf.UNSUPPORTED("""COMPUTED_VALUE"""),"Terminal Aquaviário de Madre de Deus")</f>
        <v>Terminal Aquaviário de Madre de Deus</v>
      </c>
      <c r="D3028" s="3" t="str">
        <f ca="1">IFERROR(__xludf.UNSUPPORTED("""COMPUTED_VALUE"""),"🚢 REGULAR")</f>
        <v>🚢 REGULAR</v>
      </c>
      <c r="E3028" s="3" t="str">
        <f ca="1">IFERROR(__xludf.UNSUPPORTED("""COMPUTED_VALUE"""),"🚛 LIBERADO")</f>
        <v>🚛 LIBERADO</v>
      </c>
      <c r="F3028" s="5">
        <f ca="1">IFERROR(__xludf.UNSUPPORTED("""COMPUTED_VALUE"""),0)</f>
        <v>0</v>
      </c>
      <c r="G3028" s="3" t="str">
        <f ca="1">IFERROR(__xludf.UNSUPPORTED("""COMPUTED_VALUE"""),"Normalidade")</f>
        <v>Normalidade</v>
      </c>
      <c r="H3028" s="4">
        <f ca="1">IFERROR(__xludf.UNSUPPORTED("""COMPUTED_VALUE"""),45531.7180092592)</f>
        <v>45531.718009259203</v>
      </c>
      <c r="I3028" s="3">
        <f ca="1">IFERROR(__xludf.UNSUPPORTED("""COMPUTED_VALUE"""),24)</f>
        <v>24</v>
      </c>
      <c r="J3028" s="4">
        <f ca="1">IFERROR(__xludf.UNSUPPORTED("""COMPUTED_VALUE"""),45532.7180092592)</f>
        <v>45532.718009259203</v>
      </c>
      <c r="L3028" s="3" t="str">
        <f ca="1">IFERROR(__xludf.UNSUPPORTED("""COMPUTED_VALUE"""),"Normalidade")</f>
        <v>Normalidade</v>
      </c>
    </row>
    <row r="3029" spans="1:12" ht="12.75">
      <c r="A3029" s="3" t="str">
        <f ca="1">IFERROR(__xludf.UNSUPPORTED("""COMPUTED_VALUE"""),"5a808ebf")</f>
        <v>5a808ebf</v>
      </c>
      <c r="B3029" s="4">
        <f ca="1">IFERROR(__xludf.UNSUPPORTED("""COMPUTED_VALUE"""),45532.471875)</f>
        <v>45532.471875000003</v>
      </c>
      <c r="C3029" s="7" t="str">
        <f ca="1">IFERROR(__xludf.UNSUPPORTED("""COMPUTED_VALUE"""),"Terminal Aquaviário de Madre de Deus")</f>
        <v>Terminal Aquaviário de Madre de Deus</v>
      </c>
      <c r="D3029" s="3" t="str">
        <f ca="1">IFERROR(__xludf.UNSUPPORTED("""COMPUTED_VALUE"""),"🚢 REGULAR")</f>
        <v>🚢 REGULAR</v>
      </c>
      <c r="E3029" s="3" t="str">
        <f ca="1">IFERROR(__xludf.UNSUPPORTED("""COMPUTED_VALUE"""),"🚛 LIBERADO")</f>
        <v>🚛 LIBERADO</v>
      </c>
      <c r="F3029" s="5">
        <f ca="1">IFERROR(__xludf.UNSUPPORTED("""COMPUTED_VALUE"""),0)</f>
        <v>0</v>
      </c>
      <c r="G3029" s="3" t="str">
        <f ca="1">IFERROR(__xludf.UNSUPPORTED("""COMPUTED_VALUE"""),"Normalidade")</f>
        <v>Normalidade</v>
      </c>
      <c r="H3029" s="4">
        <f ca="1">IFERROR(__xludf.UNSUPPORTED("""COMPUTED_VALUE"""),45532.471875)</f>
        <v>45532.471875000003</v>
      </c>
      <c r="I3029" s="3">
        <f ca="1">IFERROR(__xludf.UNSUPPORTED("""COMPUTED_VALUE"""),24)</f>
        <v>24</v>
      </c>
      <c r="J3029" s="4">
        <f ca="1">IFERROR(__xludf.UNSUPPORTED("""COMPUTED_VALUE"""),45533.471875)</f>
        <v>45533.471875000003</v>
      </c>
      <c r="L3029" s="3" t="str">
        <f ca="1">IFERROR(__xludf.UNSUPPORTED("""COMPUTED_VALUE"""),"Normalidade")</f>
        <v>Normalidade</v>
      </c>
    </row>
    <row r="3030" spans="1:12" ht="12.75">
      <c r="A3030" s="3" t="str">
        <f ca="1">IFERROR(__xludf.UNSUPPORTED("""COMPUTED_VALUE"""),"f72505e4")</f>
        <v>f72505e4</v>
      </c>
      <c r="B3030" s="4">
        <f ca="1">IFERROR(__xludf.UNSUPPORTED("""COMPUTED_VALUE"""),45533.430636574)</f>
        <v>45533.430636573998</v>
      </c>
      <c r="C3030" s="7" t="str">
        <f ca="1">IFERROR(__xludf.UNSUPPORTED("""COMPUTED_VALUE"""),"Terminal Aquaviário de Madre de Deus")</f>
        <v>Terminal Aquaviário de Madre de Deus</v>
      </c>
      <c r="D3030" s="3" t="str">
        <f ca="1">IFERROR(__xludf.UNSUPPORTED("""COMPUTED_VALUE"""),"🚢 REGULAR")</f>
        <v>🚢 REGULAR</v>
      </c>
      <c r="E3030" s="3" t="str">
        <f ca="1">IFERROR(__xludf.UNSUPPORTED("""COMPUTED_VALUE"""),"🚛 LIBERADO")</f>
        <v>🚛 LIBERADO</v>
      </c>
      <c r="F3030" s="5">
        <f ca="1">IFERROR(__xludf.UNSUPPORTED("""COMPUTED_VALUE"""),0)</f>
        <v>0</v>
      </c>
      <c r="G3030" s="3" t="str">
        <f ca="1">IFERROR(__xludf.UNSUPPORTED("""COMPUTED_VALUE"""),"Normalidade")</f>
        <v>Normalidade</v>
      </c>
      <c r="H3030" s="4">
        <f ca="1">IFERROR(__xludf.UNSUPPORTED("""COMPUTED_VALUE"""),45533.430636574)</f>
        <v>45533.430636573998</v>
      </c>
      <c r="I3030" s="3">
        <f ca="1">IFERROR(__xludf.UNSUPPORTED("""COMPUTED_VALUE"""),24)</f>
        <v>24</v>
      </c>
      <c r="J3030" s="4">
        <f ca="1">IFERROR(__xludf.UNSUPPORTED("""COMPUTED_VALUE"""),45534.430636574)</f>
        <v>45534.430636573998</v>
      </c>
      <c r="L3030" s="3" t="str">
        <f ca="1">IFERROR(__xludf.UNSUPPORTED("""COMPUTED_VALUE"""),"Normalidade")</f>
        <v>Normalidade</v>
      </c>
    </row>
    <row r="3031" spans="1:12" ht="12.75">
      <c r="A3031" s="3" t="str">
        <f ca="1">IFERROR(__xludf.UNSUPPORTED("""COMPUTED_VALUE"""),"97ffde35")</f>
        <v>97ffde35</v>
      </c>
      <c r="B3031" s="4">
        <f ca="1">IFERROR(__xludf.UNSUPPORTED("""COMPUTED_VALUE"""),45540.4969212963)</f>
        <v>45540.496921296297</v>
      </c>
      <c r="C3031" s="8" t="str">
        <f ca="1">IFERROR(__xludf.UNSUPPORTED("""COMPUTED_VALUE"""),"Terminal Aquaviário de Madre de Deus")</f>
        <v>Terminal Aquaviário de Madre de Deus</v>
      </c>
      <c r="D3031" s="3" t="str">
        <f ca="1">IFERROR(__xludf.UNSUPPORTED("""COMPUTED_VALUE"""),"🚢 REGULAR")</f>
        <v>🚢 REGULAR</v>
      </c>
      <c r="E3031" s="3" t="str">
        <f ca="1">IFERROR(__xludf.UNSUPPORTED("""COMPUTED_VALUE"""),"🚛 LIBERADO")</f>
        <v>🚛 LIBERADO</v>
      </c>
      <c r="F3031" s="5">
        <f ca="1">IFERROR(__xludf.UNSUPPORTED("""COMPUTED_VALUE"""),0)</f>
        <v>0</v>
      </c>
      <c r="G3031" s="3" t="str">
        <f ca="1">IFERROR(__xludf.UNSUPPORTED("""COMPUTED_VALUE"""),"Normalidade")</f>
        <v>Normalidade</v>
      </c>
      <c r="H3031" s="4">
        <f ca="1">IFERROR(__xludf.UNSUPPORTED("""COMPUTED_VALUE"""),45540.4969212963)</f>
        <v>45540.496921296297</v>
      </c>
      <c r="I3031" s="3">
        <f ca="1">IFERROR(__xludf.UNSUPPORTED("""COMPUTED_VALUE"""),24)</f>
        <v>24</v>
      </c>
      <c r="J3031" s="4">
        <f ca="1">IFERROR(__xludf.UNSUPPORTED("""COMPUTED_VALUE"""),45541.4969212963)</f>
        <v>45541.496921296297</v>
      </c>
      <c r="L3031" s="3" t="str">
        <f ca="1">IFERROR(__xludf.UNSUPPORTED("""COMPUTED_VALUE"""),"Normalidade")</f>
        <v>Normalidade</v>
      </c>
    </row>
    <row r="3032" spans="1:12" ht="12.75">
      <c r="A3032" s="3" t="str">
        <f ca="1">IFERROR(__xludf.UNSUPPORTED("""COMPUTED_VALUE"""),"04967ea3")</f>
        <v>04967ea3</v>
      </c>
      <c r="B3032" s="4">
        <f ca="1">IFERROR(__xludf.UNSUPPORTED("""COMPUTED_VALUE"""),45544.3959259259)</f>
        <v>45544.395925925899</v>
      </c>
      <c r="C3032" s="8" t="str">
        <f ca="1">IFERROR(__xludf.UNSUPPORTED("""COMPUTED_VALUE"""),"Terminal Aquaviário de Madre de Deus")</f>
        <v>Terminal Aquaviário de Madre de Deus</v>
      </c>
      <c r="D3032" s="3" t="str">
        <f ca="1">IFERROR(__xludf.UNSUPPORTED("""COMPUTED_VALUE"""),"🚢 REGULAR")</f>
        <v>🚢 REGULAR</v>
      </c>
      <c r="E3032" s="3" t="str">
        <f ca="1">IFERROR(__xludf.UNSUPPORTED("""COMPUTED_VALUE"""),"🚛 LIBERADO")</f>
        <v>🚛 LIBERADO</v>
      </c>
      <c r="F3032" s="5">
        <f ca="1">IFERROR(__xludf.UNSUPPORTED("""COMPUTED_VALUE"""),0)</f>
        <v>0</v>
      </c>
      <c r="G3032" s="3" t="str">
        <f ca="1">IFERROR(__xludf.UNSUPPORTED("""COMPUTED_VALUE"""),"Normalidade")</f>
        <v>Normalidade</v>
      </c>
      <c r="H3032" s="4">
        <f ca="1">IFERROR(__xludf.UNSUPPORTED("""COMPUTED_VALUE"""),45544.3959259259)</f>
        <v>45544.395925925899</v>
      </c>
      <c r="I3032" s="3">
        <f ca="1">IFERROR(__xludf.UNSUPPORTED("""COMPUTED_VALUE"""),24)</f>
        <v>24</v>
      </c>
      <c r="J3032" s="4">
        <f ca="1">IFERROR(__xludf.UNSUPPORTED("""COMPUTED_VALUE"""),45545.3959259259)</f>
        <v>45545.395925925899</v>
      </c>
      <c r="L3032" s="3" t="str">
        <f ca="1">IFERROR(__xludf.UNSUPPORTED("""COMPUTED_VALUE"""),"Normalidade")</f>
        <v>Normalidade</v>
      </c>
    </row>
    <row r="3033" spans="1:12" ht="12.75">
      <c r="A3033" s="3" t="str">
        <f ca="1">IFERROR(__xludf.UNSUPPORTED("""COMPUTED_VALUE"""),"e18857c5")</f>
        <v>e18857c5</v>
      </c>
      <c r="B3033" s="4">
        <f ca="1">IFERROR(__xludf.UNSUPPORTED("""COMPUTED_VALUE"""),45547.5082986111)</f>
        <v>45547.508298611101</v>
      </c>
      <c r="C3033" s="8" t="str">
        <f ca="1">IFERROR(__xludf.UNSUPPORTED("""COMPUTED_VALUE"""),"Terminal Aquaviário de Madre de Deus")</f>
        <v>Terminal Aquaviário de Madre de Deus</v>
      </c>
      <c r="D3033" s="3" t="str">
        <f ca="1">IFERROR(__xludf.UNSUPPORTED("""COMPUTED_VALUE"""),"🚢 REGULAR")</f>
        <v>🚢 REGULAR</v>
      </c>
      <c r="E3033" s="3" t="str">
        <f ca="1">IFERROR(__xludf.UNSUPPORTED("""COMPUTED_VALUE"""),"🚛 LIBERADO")</f>
        <v>🚛 LIBERADO</v>
      </c>
      <c r="F3033" s="5">
        <f ca="1">IFERROR(__xludf.UNSUPPORTED("""COMPUTED_VALUE"""),0)</f>
        <v>0</v>
      </c>
      <c r="G3033" s="3" t="str">
        <f ca="1">IFERROR(__xludf.UNSUPPORTED("""COMPUTED_VALUE"""),"Normalidade")</f>
        <v>Normalidade</v>
      </c>
      <c r="H3033" s="4">
        <f ca="1">IFERROR(__xludf.UNSUPPORTED("""COMPUTED_VALUE"""),45547.5082986111)</f>
        <v>45547.508298611101</v>
      </c>
      <c r="I3033" s="3">
        <f ca="1">IFERROR(__xludf.UNSUPPORTED("""COMPUTED_VALUE"""),24)</f>
        <v>24</v>
      </c>
      <c r="J3033" s="4">
        <f ca="1">IFERROR(__xludf.UNSUPPORTED("""COMPUTED_VALUE"""),45548.5082986111)</f>
        <v>45548.508298611101</v>
      </c>
      <c r="L3033" s="3" t="str">
        <f ca="1">IFERROR(__xludf.UNSUPPORTED("""COMPUTED_VALUE"""),"Normalidade")</f>
        <v>Normalidade</v>
      </c>
    </row>
    <row r="3034" spans="1:12" ht="12.75">
      <c r="A3034" s="3" t="str">
        <f ca="1">IFERROR(__xludf.UNSUPPORTED("""COMPUTED_VALUE"""),"b2fa6c84")</f>
        <v>b2fa6c84</v>
      </c>
      <c r="B3034" s="4">
        <f ca="1">IFERROR(__xludf.UNSUPPORTED("""COMPUTED_VALUE"""),45551.4513310185)</f>
        <v>45551.451331018499</v>
      </c>
      <c r="C3034" s="8" t="str">
        <f ca="1">IFERROR(__xludf.UNSUPPORTED("""COMPUTED_VALUE"""),"Terminal Aquaviário de Madre de Deus")</f>
        <v>Terminal Aquaviário de Madre de Deus</v>
      </c>
      <c r="D3034" s="3" t="str">
        <f ca="1">IFERROR(__xludf.UNSUPPORTED("""COMPUTED_VALUE"""),"🚢 REGULAR")</f>
        <v>🚢 REGULAR</v>
      </c>
      <c r="E3034" s="3" t="str">
        <f ca="1">IFERROR(__xludf.UNSUPPORTED("""COMPUTED_VALUE"""),"🚛 LIBERADO")</f>
        <v>🚛 LIBERADO</v>
      </c>
      <c r="F3034" s="5">
        <f ca="1">IFERROR(__xludf.UNSUPPORTED("""COMPUTED_VALUE"""),0)</f>
        <v>0</v>
      </c>
      <c r="G3034" s="3" t="str">
        <f ca="1">IFERROR(__xludf.UNSUPPORTED("""COMPUTED_VALUE"""),"Normalidade")</f>
        <v>Normalidade</v>
      </c>
      <c r="H3034" s="4">
        <f ca="1">IFERROR(__xludf.UNSUPPORTED("""COMPUTED_VALUE"""),45551.4513310185)</f>
        <v>45551.451331018499</v>
      </c>
      <c r="I3034" s="3">
        <f ca="1">IFERROR(__xludf.UNSUPPORTED("""COMPUTED_VALUE"""),24)</f>
        <v>24</v>
      </c>
      <c r="J3034" s="4">
        <f ca="1">IFERROR(__xludf.UNSUPPORTED("""COMPUTED_VALUE"""),45552.4513310185)</f>
        <v>45552.451331018499</v>
      </c>
      <c r="L3034" s="3" t="str">
        <f ca="1">IFERROR(__xludf.UNSUPPORTED("""COMPUTED_VALUE"""),"Normalidade")</f>
        <v>Normalidade</v>
      </c>
    </row>
    <row r="3035" spans="1:12" ht="12.75">
      <c r="A3035" s="3" t="str">
        <f ca="1">IFERROR(__xludf.UNSUPPORTED("""COMPUTED_VALUE"""),"9c1ccd23")</f>
        <v>9c1ccd23</v>
      </c>
      <c r="B3035" s="4">
        <f ca="1">IFERROR(__xludf.UNSUPPORTED("""COMPUTED_VALUE"""),45552.2855324074)</f>
        <v>45552.285532407397</v>
      </c>
      <c r="C3035" s="8" t="str">
        <f ca="1">IFERROR(__xludf.UNSUPPORTED("""COMPUTED_VALUE"""),"Terminal Aquaviário de Madre de Deus")</f>
        <v>Terminal Aquaviário de Madre de Deus</v>
      </c>
      <c r="D3035" s="3" t="str">
        <f ca="1">IFERROR(__xludf.UNSUPPORTED("""COMPUTED_VALUE"""),"🚢 REGULAR")</f>
        <v>🚢 REGULAR</v>
      </c>
      <c r="E3035" s="3" t="str">
        <f ca="1">IFERROR(__xludf.UNSUPPORTED("""COMPUTED_VALUE"""),"🚛 LIBERADO")</f>
        <v>🚛 LIBERADO</v>
      </c>
      <c r="F3035" s="5">
        <f ca="1">IFERROR(__xludf.UNSUPPORTED("""COMPUTED_VALUE"""),0)</f>
        <v>0</v>
      </c>
      <c r="G3035" s="3" t="str">
        <f ca="1">IFERROR(__xludf.UNSUPPORTED("""COMPUTED_VALUE"""),"Normalidade")</f>
        <v>Normalidade</v>
      </c>
      <c r="H3035" s="4">
        <f ca="1">IFERROR(__xludf.UNSUPPORTED("""COMPUTED_VALUE"""),45552.2855324074)</f>
        <v>45552.285532407397</v>
      </c>
      <c r="I3035" s="3">
        <f ca="1">IFERROR(__xludf.UNSUPPORTED("""COMPUTED_VALUE"""),24)</f>
        <v>24</v>
      </c>
      <c r="J3035" s="4">
        <f ca="1">IFERROR(__xludf.UNSUPPORTED("""COMPUTED_VALUE"""),45553.2855324074)</f>
        <v>45553.285532407397</v>
      </c>
      <c r="L3035" s="3" t="str">
        <f ca="1">IFERROR(__xludf.UNSUPPORTED("""COMPUTED_VALUE"""),"Normalidade")</f>
        <v>Normalidade</v>
      </c>
    </row>
    <row r="3036" spans="1:12" ht="12.75">
      <c r="A3036" s="3" t="str">
        <f ca="1">IFERROR(__xludf.UNSUPPORTED("""COMPUTED_VALUE"""),"c3b2ad50")</f>
        <v>c3b2ad50</v>
      </c>
      <c r="B3036" s="4">
        <f ca="1">IFERROR(__xludf.UNSUPPORTED("""COMPUTED_VALUE"""),45554.3809953703)</f>
        <v>45554.380995370302</v>
      </c>
      <c r="C3036" s="8" t="str">
        <f ca="1">IFERROR(__xludf.UNSUPPORTED("""COMPUTED_VALUE"""),"Terminal Aquaviário de Madre de Deus")</f>
        <v>Terminal Aquaviário de Madre de Deus</v>
      </c>
      <c r="D3036" s="3" t="str">
        <f ca="1">IFERROR(__xludf.UNSUPPORTED("""COMPUTED_VALUE"""),"🚢 REGULAR")</f>
        <v>🚢 REGULAR</v>
      </c>
      <c r="E3036" s="3" t="str">
        <f ca="1">IFERROR(__xludf.UNSUPPORTED("""COMPUTED_VALUE"""),"🚛 LIBERADO")</f>
        <v>🚛 LIBERADO</v>
      </c>
      <c r="F3036" s="5">
        <f ca="1">IFERROR(__xludf.UNSUPPORTED("""COMPUTED_VALUE"""),0)</f>
        <v>0</v>
      </c>
      <c r="G3036" s="3" t="str">
        <f ca="1">IFERROR(__xludf.UNSUPPORTED("""COMPUTED_VALUE"""),"Normalidade")</f>
        <v>Normalidade</v>
      </c>
      <c r="H3036" s="4">
        <f ca="1">IFERROR(__xludf.UNSUPPORTED("""COMPUTED_VALUE"""),45554.3809953703)</f>
        <v>45554.380995370302</v>
      </c>
      <c r="I3036" s="3">
        <f ca="1">IFERROR(__xludf.UNSUPPORTED("""COMPUTED_VALUE"""),24)</f>
        <v>24</v>
      </c>
      <c r="J3036" s="4">
        <f ca="1">IFERROR(__xludf.UNSUPPORTED("""COMPUTED_VALUE"""),45555.3809953703)</f>
        <v>45555.380995370302</v>
      </c>
      <c r="L3036" s="3" t="str">
        <f ca="1">IFERROR(__xludf.UNSUPPORTED("""COMPUTED_VALUE"""),"Normalidade")</f>
        <v>Normalidade</v>
      </c>
    </row>
    <row r="3037" spans="1:12" ht="12.75">
      <c r="A3037" s="3" t="str">
        <f ca="1">IFERROR(__xludf.UNSUPPORTED("""COMPUTED_VALUE"""),"7fc7051d")</f>
        <v>7fc7051d</v>
      </c>
      <c r="B3037" s="4">
        <f ca="1">IFERROR(__xludf.UNSUPPORTED("""COMPUTED_VALUE"""),45555.5927314814)</f>
        <v>45555.592731481403</v>
      </c>
      <c r="C3037" s="7" t="str">
        <f ca="1">IFERROR(__xludf.UNSUPPORTED("""COMPUTED_VALUE"""),"Terminal Aquaviário de Madre de Deus")</f>
        <v>Terminal Aquaviário de Madre de Deus</v>
      </c>
      <c r="D3037" s="3" t="str">
        <f ca="1">IFERROR(__xludf.UNSUPPORTED("""COMPUTED_VALUE"""),"🚢 REGULAR")</f>
        <v>🚢 REGULAR</v>
      </c>
      <c r="E3037" s="3" t="str">
        <f ca="1">IFERROR(__xludf.UNSUPPORTED("""COMPUTED_VALUE"""),"🚛 LIBERADO")</f>
        <v>🚛 LIBERADO</v>
      </c>
      <c r="F3037" s="5">
        <f ca="1">IFERROR(__xludf.UNSUPPORTED("""COMPUTED_VALUE"""),0)</f>
        <v>0</v>
      </c>
      <c r="G3037" s="3" t="str">
        <f ca="1">IFERROR(__xludf.UNSUPPORTED("""COMPUTED_VALUE"""),"Normalidade")</f>
        <v>Normalidade</v>
      </c>
      <c r="H3037" s="4">
        <f ca="1">IFERROR(__xludf.UNSUPPORTED("""COMPUTED_VALUE"""),45555.5927314814)</f>
        <v>45555.592731481403</v>
      </c>
      <c r="I3037" s="3">
        <f ca="1">IFERROR(__xludf.UNSUPPORTED("""COMPUTED_VALUE"""),24)</f>
        <v>24</v>
      </c>
      <c r="J3037" s="4">
        <f ca="1">IFERROR(__xludf.UNSUPPORTED("""COMPUTED_VALUE"""),45556.5927314814)</f>
        <v>45556.592731481403</v>
      </c>
      <c r="L3037" s="3" t="str">
        <f ca="1">IFERROR(__xludf.UNSUPPORTED("""COMPUTED_VALUE"""),"Normalidade")</f>
        <v>Normalidade</v>
      </c>
    </row>
    <row r="3038" spans="1:12" ht="12.75">
      <c r="A3038" s="3" t="str">
        <f ca="1">IFERROR(__xludf.UNSUPPORTED("""COMPUTED_VALUE"""),"c8538d1e")</f>
        <v>c8538d1e</v>
      </c>
      <c r="B3038" s="4">
        <f ca="1">IFERROR(__xludf.UNSUPPORTED("""COMPUTED_VALUE"""),45558.4681481481)</f>
        <v>45558.468148148102</v>
      </c>
      <c r="C3038" s="7" t="str">
        <f ca="1">IFERROR(__xludf.UNSUPPORTED("""COMPUTED_VALUE"""),"Terminal Aquaviário de Madre de Deus")</f>
        <v>Terminal Aquaviário de Madre de Deus</v>
      </c>
      <c r="D3038" s="3" t="str">
        <f ca="1">IFERROR(__xludf.UNSUPPORTED("""COMPUTED_VALUE"""),"🚢 REGULAR")</f>
        <v>🚢 REGULAR</v>
      </c>
      <c r="E3038" s="3" t="str">
        <f ca="1">IFERROR(__xludf.UNSUPPORTED("""COMPUTED_VALUE"""),"🚛 LIBERADO")</f>
        <v>🚛 LIBERADO</v>
      </c>
      <c r="F3038" s="5">
        <f ca="1">IFERROR(__xludf.UNSUPPORTED("""COMPUTED_VALUE"""),0)</f>
        <v>0</v>
      </c>
      <c r="G3038" s="3" t="str">
        <f ca="1">IFERROR(__xludf.UNSUPPORTED("""COMPUTED_VALUE"""),"Normalidade")</f>
        <v>Normalidade</v>
      </c>
      <c r="H3038" s="4">
        <f ca="1">IFERROR(__xludf.UNSUPPORTED("""COMPUTED_VALUE"""),45558.4681481481)</f>
        <v>45558.468148148102</v>
      </c>
      <c r="I3038" s="3">
        <f ca="1">IFERROR(__xludf.UNSUPPORTED("""COMPUTED_VALUE"""),24)</f>
        <v>24</v>
      </c>
      <c r="J3038" s="4">
        <f ca="1">IFERROR(__xludf.UNSUPPORTED("""COMPUTED_VALUE"""),45559.4681481481)</f>
        <v>45559.468148148102</v>
      </c>
      <c r="L3038" s="3" t="str">
        <f ca="1">IFERROR(__xludf.UNSUPPORTED("""COMPUTED_VALUE"""),"Normalidade")</f>
        <v>Normalidade</v>
      </c>
    </row>
    <row r="3039" spans="1:12" ht="12.75">
      <c r="A3039" s="3" t="str">
        <f ca="1">IFERROR(__xludf.UNSUPPORTED("""COMPUTED_VALUE"""),"842c2c41")</f>
        <v>842c2c41</v>
      </c>
      <c r="B3039" s="4">
        <f ca="1">IFERROR(__xludf.UNSUPPORTED("""COMPUTED_VALUE"""),45559.5098263888)</f>
        <v>45559.509826388799</v>
      </c>
      <c r="C3039" s="7" t="str">
        <f ca="1">IFERROR(__xludf.UNSUPPORTED("""COMPUTED_VALUE"""),"Terminal Aquaviário de Madre de Deus")</f>
        <v>Terminal Aquaviário de Madre de Deus</v>
      </c>
      <c r="D3039" s="3" t="str">
        <f ca="1">IFERROR(__xludf.UNSUPPORTED("""COMPUTED_VALUE"""),"🚢 REGULAR")</f>
        <v>🚢 REGULAR</v>
      </c>
      <c r="E3039" s="3" t="str">
        <f ca="1">IFERROR(__xludf.UNSUPPORTED("""COMPUTED_VALUE"""),"🚛 LIBERADO")</f>
        <v>🚛 LIBERADO</v>
      </c>
      <c r="F3039" s="5">
        <f ca="1">IFERROR(__xludf.UNSUPPORTED("""COMPUTED_VALUE"""),0)</f>
        <v>0</v>
      </c>
      <c r="G3039" s="3" t="str">
        <f ca="1">IFERROR(__xludf.UNSUPPORTED("""COMPUTED_VALUE"""),"Normalidade")</f>
        <v>Normalidade</v>
      </c>
      <c r="H3039" s="4">
        <f ca="1">IFERROR(__xludf.UNSUPPORTED("""COMPUTED_VALUE"""),45559.5098263888)</f>
        <v>45559.509826388799</v>
      </c>
      <c r="I3039" s="3">
        <f ca="1">IFERROR(__xludf.UNSUPPORTED("""COMPUTED_VALUE"""),24)</f>
        <v>24</v>
      </c>
      <c r="J3039" s="4">
        <f ca="1">IFERROR(__xludf.UNSUPPORTED("""COMPUTED_VALUE"""),45560.5098263888)</f>
        <v>45560.509826388799</v>
      </c>
      <c r="L3039" s="3" t="str">
        <f ca="1">IFERROR(__xludf.UNSUPPORTED("""COMPUTED_VALUE"""),"Normalidade")</f>
        <v>Normalidade</v>
      </c>
    </row>
    <row r="3040" spans="1:12" ht="12.75">
      <c r="A3040" s="3" t="str">
        <f ca="1">IFERROR(__xludf.UNSUPPORTED("""COMPUTED_VALUE"""),"46cba59d")</f>
        <v>46cba59d</v>
      </c>
      <c r="B3040" s="4">
        <f ca="1">IFERROR(__xludf.UNSUPPORTED("""COMPUTED_VALUE"""),45561.4738657406)</f>
        <v>45561.473865740598</v>
      </c>
      <c r="C3040" s="7" t="str">
        <f ca="1">IFERROR(__xludf.UNSUPPORTED("""COMPUTED_VALUE"""),"Terminal Aquaviário de Madre de Deus")</f>
        <v>Terminal Aquaviário de Madre de Deus</v>
      </c>
      <c r="D3040" s="3" t="str">
        <f ca="1">IFERROR(__xludf.UNSUPPORTED("""COMPUTED_VALUE"""),"🚢 REGULAR")</f>
        <v>🚢 REGULAR</v>
      </c>
      <c r="E3040" s="3" t="str">
        <f ca="1">IFERROR(__xludf.UNSUPPORTED("""COMPUTED_VALUE"""),"🚛 LIBERADO")</f>
        <v>🚛 LIBERADO</v>
      </c>
      <c r="F3040" s="5">
        <f ca="1">IFERROR(__xludf.UNSUPPORTED("""COMPUTED_VALUE"""),0)</f>
        <v>0</v>
      </c>
      <c r="G3040" s="3" t="str">
        <f ca="1">IFERROR(__xludf.UNSUPPORTED("""COMPUTED_VALUE"""),"Normalidade")</f>
        <v>Normalidade</v>
      </c>
      <c r="H3040" s="4">
        <f ca="1">IFERROR(__xludf.UNSUPPORTED("""COMPUTED_VALUE"""),45561.4738657406)</f>
        <v>45561.473865740598</v>
      </c>
      <c r="I3040" s="3">
        <f ca="1">IFERROR(__xludf.UNSUPPORTED("""COMPUTED_VALUE"""),24)</f>
        <v>24</v>
      </c>
      <c r="J3040" s="4">
        <f ca="1">IFERROR(__xludf.UNSUPPORTED("""COMPUTED_VALUE"""),45562.4738657406)</f>
        <v>45562.473865740598</v>
      </c>
      <c r="L3040" s="3" t="str">
        <f ca="1">IFERROR(__xludf.UNSUPPORTED("""COMPUTED_VALUE"""),"Normalidade")</f>
        <v>Normalidade</v>
      </c>
    </row>
    <row r="3041" spans="1:12" ht="12.75">
      <c r="A3041" s="3" t="str">
        <f ca="1">IFERROR(__xludf.UNSUPPORTED("""COMPUTED_VALUE"""),"0d68f2b4")</f>
        <v>0d68f2b4</v>
      </c>
      <c r="B3041" s="4">
        <f ca="1">IFERROR(__xludf.UNSUPPORTED("""COMPUTED_VALUE"""),45562.5006597222)</f>
        <v>45562.500659722202</v>
      </c>
      <c r="C3041" s="8" t="str">
        <f ca="1">IFERROR(__xludf.UNSUPPORTED("""COMPUTED_VALUE"""),"Terminal Aquaviário de Madre de Deus")</f>
        <v>Terminal Aquaviário de Madre de Deus</v>
      </c>
      <c r="D3041" s="3" t="str">
        <f ca="1">IFERROR(__xludf.UNSUPPORTED("""COMPUTED_VALUE"""),"🚢 REGULAR")</f>
        <v>🚢 REGULAR</v>
      </c>
      <c r="E3041" s="3" t="str">
        <f ca="1">IFERROR(__xludf.UNSUPPORTED("""COMPUTED_VALUE"""),"🚛 LIBERADO")</f>
        <v>🚛 LIBERADO</v>
      </c>
      <c r="F3041" s="5">
        <f ca="1">IFERROR(__xludf.UNSUPPORTED("""COMPUTED_VALUE"""),0)</f>
        <v>0</v>
      </c>
      <c r="G3041" s="3" t="str">
        <f ca="1">IFERROR(__xludf.UNSUPPORTED("""COMPUTED_VALUE"""),"Normalidade")</f>
        <v>Normalidade</v>
      </c>
      <c r="H3041" s="4">
        <f ca="1">IFERROR(__xludf.UNSUPPORTED("""COMPUTED_VALUE"""),45562.5006597222)</f>
        <v>45562.500659722202</v>
      </c>
      <c r="I3041" s="3">
        <f ca="1">IFERROR(__xludf.UNSUPPORTED("""COMPUTED_VALUE"""),24)</f>
        <v>24</v>
      </c>
      <c r="J3041" s="4">
        <f ca="1">IFERROR(__xludf.UNSUPPORTED("""COMPUTED_VALUE"""),45563.5006597222)</f>
        <v>45563.500659722202</v>
      </c>
      <c r="L3041" s="3" t="str">
        <f ca="1">IFERROR(__xludf.UNSUPPORTED("""COMPUTED_VALUE"""),"Normalidade")</f>
        <v>Normalidade</v>
      </c>
    </row>
    <row r="3042" spans="1:12" ht="12.75">
      <c r="A3042" s="3" t="str">
        <f ca="1">IFERROR(__xludf.UNSUPPORTED("""COMPUTED_VALUE"""),"d89aa7bf")</f>
        <v>d89aa7bf</v>
      </c>
      <c r="B3042" s="4">
        <f ca="1">IFERROR(__xludf.UNSUPPORTED("""COMPUTED_VALUE"""),45565.6176157407)</f>
        <v>45565.617615740703</v>
      </c>
      <c r="C3042" s="7" t="str">
        <f ca="1">IFERROR(__xludf.UNSUPPORTED("""COMPUTED_VALUE"""),"Terminal Aquaviário de Madre de Deus")</f>
        <v>Terminal Aquaviário de Madre de Deus</v>
      </c>
      <c r="D3042" s="3" t="str">
        <f ca="1">IFERROR(__xludf.UNSUPPORTED("""COMPUTED_VALUE"""),"🚢 REGULAR")</f>
        <v>🚢 REGULAR</v>
      </c>
      <c r="E3042" s="3" t="str">
        <f ca="1">IFERROR(__xludf.UNSUPPORTED("""COMPUTED_VALUE"""),"🚛 LIBERADO")</f>
        <v>🚛 LIBERADO</v>
      </c>
      <c r="F3042" s="5">
        <f ca="1">IFERROR(__xludf.UNSUPPORTED("""COMPUTED_VALUE"""),0)</f>
        <v>0</v>
      </c>
      <c r="G3042" s="3" t="str">
        <f ca="1">IFERROR(__xludf.UNSUPPORTED("""COMPUTED_VALUE"""),"Normalidade")</f>
        <v>Normalidade</v>
      </c>
      <c r="H3042" s="4">
        <f ca="1">IFERROR(__xludf.UNSUPPORTED("""COMPUTED_VALUE"""),45565.6176157407)</f>
        <v>45565.617615740703</v>
      </c>
      <c r="I3042" s="3">
        <f ca="1">IFERROR(__xludf.UNSUPPORTED("""COMPUTED_VALUE"""),24)</f>
        <v>24</v>
      </c>
      <c r="J3042" s="4">
        <f ca="1">IFERROR(__xludf.UNSUPPORTED("""COMPUTED_VALUE"""),45566.6176157407)</f>
        <v>45566.617615740703</v>
      </c>
      <c r="L3042" s="3" t="str">
        <f ca="1">IFERROR(__xludf.UNSUPPORTED("""COMPUTED_VALUE"""),"Normalidade")</f>
        <v>Normalidade</v>
      </c>
    </row>
    <row r="3043" spans="1:12" ht="12.75">
      <c r="A3043" s="3" t="str">
        <f ca="1">IFERROR(__xludf.UNSUPPORTED("""COMPUTED_VALUE"""),"da663ff0")</f>
        <v>da663ff0</v>
      </c>
      <c r="B3043" s="4">
        <f ca="1">IFERROR(__xludf.UNSUPPORTED("""COMPUTED_VALUE"""),45567.5829629629)</f>
        <v>45567.582962962901</v>
      </c>
      <c r="C3043" s="8" t="str">
        <f ca="1">IFERROR(__xludf.UNSUPPORTED("""COMPUTED_VALUE"""),"Terminal Aquaviário de Madre de Deus")</f>
        <v>Terminal Aquaviário de Madre de Deus</v>
      </c>
      <c r="D3043" s="3" t="str">
        <f ca="1">IFERROR(__xludf.UNSUPPORTED("""COMPUTED_VALUE"""),"🚢 REGULAR")</f>
        <v>🚢 REGULAR</v>
      </c>
      <c r="E3043" s="3" t="str">
        <f ca="1">IFERROR(__xludf.UNSUPPORTED("""COMPUTED_VALUE"""),"🚛 LIBERADO")</f>
        <v>🚛 LIBERADO</v>
      </c>
      <c r="F3043" s="5">
        <f ca="1">IFERROR(__xludf.UNSUPPORTED("""COMPUTED_VALUE"""),0)</f>
        <v>0</v>
      </c>
      <c r="G3043" s="3" t="str">
        <f ca="1">IFERROR(__xludf.UNSUPPORTED("""COMPUTED_VALUE"""),"Normalidade")</f>
        <v>Normalidade</v>
      </c>
      <c r="H3043" s="4">
        <f ca="1">IFERROR(__xludf.UNSUPPORTED("""COMPUTED_VALUE"""),45567.5829629629)</f>
        <v>45567.582962962901</v>
      </c>
      <c r="I3043" s="3">
        <f ca="1">IFERROR(__xludf.UNSUPPORTED("""COMPUTED_VALUE"""),24)</f>
        <v>24</v>
      </c>
      <c r="J3043" s="4">
        <f ca="1">IFERROR(__xludf.UNSUPPORTED("""COMPUTED_VALUE"""),45568.5829629629)</f>
        <v>45568.582962962901</v>
      </c>
      <c r="L3043" s="3" t="str">
        <f ca="1">IFERROR(__xludf.UNSUPPORTED("""COMPUTED_VALUE"""),"Normalidade")</f>
        <v>Normalidade</v>
      </c>
    </row>
    <row r="3044" spans="1:12" ht="12.75">
      <c r="A3044" s="3" t="str">
        <f ca="1">IFERROR(__xludf.UNSUPPORTED("""COMPUTED_VALUE"""),"9795c4b1")</f>
        <v>9795c4b1</v>
      </c>
      <c r="B3044" s="4">
        <f ca="1">IFERROR(__xludf.UNSUPPORTED("""COMPUTED_VALUE"""),45569.545324074)</f>
        <v>45569.545324074003</v>
      </c>
      <c r="C3044" s="8" t="str">
        <f ca="1">IFERROR(__xludf.UNSUPPORTED("""COMPUTED_VALUE"""),"Terminal Aquaviário de Madre de Deus")</f>
        <v>Terminal Aquaviário de Madre de Deus</v>
      </c>
      <c r="D3044" s="3" t="str">
        <f ca="1">IFERROR(__xludf.UNSUPPORTED("""COMPUTED_VALUE"""),"🚢 REGULAR")</f>
        <v>🚢 REGULAR</v>
      </c>
      <c r="E3044" s="3" t="str">
        <f ca="1">IFERROR(__xludf.UNSUPPORTED("""COMPUTED_VALUE"""),"🚛 LIBERADO")</f>
        <v>🚛 LIBERADO</v>
      </c>
      <c r="F3044" s="5">
        <f ca="1">IFERROR(__xludf.UNSUPPORTED("""COMPUTED_VALUE"""),0)</f>
        <v>0</v>
      </c>
      <c r="G3044" s="3" t="str">
        <f ca="1">IFERROR(__xludf.UNSUPPORTED("""COMPUTED_VALUE"""),"Normalidade")</f>
        <v>Normalidade</v>
      </c>
      <c r="H3044" s="4">
        <f ca="1">IFERROR(__xludf.UNSUPPORTED("""COMPUTED_VALUE"""),45569.545324074)</f>
        <v>45569.545324074003</v>
      </c>
      <c r="I3044" s="3">
        <f ca="1">IFERROR(__xludf.UNSUPPORTED("""COMPUTED_VALUE"""),24)</f>
        <v>24</v>
      </c>
      <c r="J3044" s="4">
        <f ca="1">IFERROR(__xludf.UNSUPPORTED("""COMPUTED_VALUE"""),45570.545324074)</f>
        <v>45570.545324074003</v>
      </c>
      <c r="L3044" s="3" t="str">
        <f ca="1">IFERROR(__xludf.UNSUPPORTED("""COMPUTED_VALUE"""),"Normalidade")</f>
        <v>Normalidade</v>
      </c>
    </row>
    <row r="3045" spans="1:12" ht="12.75">
      <c r="A3045" s="3" t="str">
        <f ca="1">IFERROR(__xludf.UNSUPPORTED("""COMPUTED_VALUE"""),"5ac4d38e")</f>
        <v>5ac4d38e</v>
      </c>
      <c r="B3045" s="4">
        <f ca="1">IFERROR(__xludf.UNSUPPORTED("""COMPUTED_VALUE"""),45572.5770949074)</f>
        <v>45572.577094907399</v>
      </c>
      <c r="C3045" s="7" t="str">
        <f ca="1">IFERROR(__xludf.UNSUPPORTED("""COMPUTED_VALUE"""),"Terminal Aquaviário de Madre de Deus")</f>
        <v>Terminal Aquaviário de Madre de Deus</v>
      </c>
      <c r="D3045" s="3" t="str">
        <f ca="1">IFERROR(__xludf.UNSUPPORTED("""COMPUTED_VALUE"""),"🚢 REGULAR")</f>
        <v>🚢 REGULAR</v>
      </c>
      <c r="E3045" s="3" t="str">
        <f ca="1">IFERROR(__xludf.UNSUPPORTED("""COMPUTED_VALUE"""),"🚛 LIBERADO")</f>
        <v>🚛 LIBERADO</v>
      </c>
      <c r="F3045" s="5">
        <f ca="1">IFERROR(__xludf.UNSUPPORTED("""COMPUTED_VALUE"""),0)</f>
        <v>0</v>
      </c>
      <c r="G3045" s="3" t="str">
        <f ca="1">IFERROR(__xludf.UNSUPPORTED("""COMPUTED_VALUE"""),"Normalidade")</f>
        <v>Normalidade</v>
      </c>
      <c r="H3045" s="4">
        <f ca="1">IFERROR(__xludf.UNSUPPORTED("""COMPUTED_VALUE"""),45572.5770949074)</f>
        <v>45572.577094907399</v>
      </c>
      <c r="I3045" s="3">
        <f ca="1">IFERROR(__xludf.UNSUPPORTED("""COMPUTED_VALUE"""),24)</f>
        <v>24</v>
      </c>
      <c r="J3045" s="4">
        <f ca="1">IFERROR(__xludf.UNSUPPORTED("""COMPUTED_VALUE"""),45573.5770949074)</f>
        <v>45573.577094907399</v>
      </c>
      <c r="L3045" s="3" t="str">
        <f ca="1">IFERROR(__xludf.UNSUPPORTED("""COMPUTED_VALUE"""),"Normalidade")</f>
        <v>Normalidade</v>
      </c>
    </row>
    <row r="3046" spans="1:12" ht="12.75">
      <c r="A3046" s="3" t="str">
        <f ca="1">IFERROR(__xludf.UNSUPPORTED("""COMPUTED_VALUE"""),"bad04115")</f>
        <v>bad04115</v>
      </c>
      <c r="B3046" s="4">
        <f ca="1">IFERROR(__xludf.UNSUPPORTED("""COMPUTED_VALUE"""),45575.4751736111)</f>
        <v>45575.475173611099</v>
      </c>
      <c r="C3046" s="8" t="str">
        <f ca="1">IFERROR(__xludf.UNSUPPORTED("""COMPUTED_VALUE"""),"Terminal Aquaviário de Madre de Deus")</f>
        <v>Terminal Aquaviário de Madre de Deus</v>
      </c>
      <c r="D3046" s="3" t="str">
        <f ca="1">IFERROR(__xludf.UNSUPPORTED("""COMPUTED_VALUE"""),"🚢 REGULAR")</f>
        <v>🚢 REGULAR</v>
      </c>
      <c r="E3046" s="3" t="str">
        <f ca="1">IFERROR(__xludf.UNSUPPORTED("""COMPUTED_VALUE"""),"🚛 LIBERADO")</f>
        <v>🚛 LIBERADO</v>
      </c>
      <c r="F3046" s="5">
        <f ca="1">IFERROR(__xludf.UNSUPPORTED("""COMPUTED_VALUE"""),0)</f>
        <v>0</v>
      </c>
      <c r="G3046" s="3" t="str">
        <f ca="1">IFERROR(__xludf.UNSUPPORTED("""COMPUTED_VALUE"""),"Normalidade")</f>
        <v>Normalidade</v>
      </c>
      <c r="H3046" s="4">
        <f ca="1">IFERROR(__xludf.UNSUPPORTED("""COMPUTED_VALUE"""),45575.4751736111)</f>
        <v>45575.475173611099</v>
      </c>
      <c r="I3046" s="3">
        <f ca="1">IFERROR(__xludf.UNSUPPORTED("""COMPUTED_VALUE"""),24)</f>
        <v>24</v>
      </c>
      <c r="J3046" s="4">
        <f ca="1">IFERROR(__xludf.UNSUPPORTED("""COMPUTED_VALUE"""),45576.4751736111)</f>
        <v>45576.475173611099</v>
      </c>
      <c r="L3046" s="3" t="str">
        <f ca="1">IFERROR(__xludf.UNSUPPORTED("""COMPUTED_VALUE"""),"Normalidade")</f>
        <v>Normalidade</v>
      </c>
    </row>
    <row r="3047" spans="1:12" ht="12.75">
      <c r="A3047" s="3" t="str">
        <f ca="1">IFERROR(__xludf.UNSUPPORTED("""COMPUTED_VALUE"""),"8bac952e")</f>
        <v>8bac952e</v>
      </c>
      <c r="B3047" s="4">
        <f ca="1">IFERROR(__xludf.UNSUPPORTED("""COMPUTED_VALUE"""),45587.3723726851)</f>
        <v>45587.372372685102</v>
      </c>
      <c r="C3047" s="7" t="str">
        <f ca="1">IFERROR(__xludf.UNSUPPORTED("""COMPUTED_VALUE"""),"Terminal Aquaviário de Madre de Deus")</f>
        <v>Terminal Aquaviário de Madre de Deus</v>
      </c>
      <c r="D3047" s="3" t="str">
        <f ca="1">IFERROR(__xludf.UNSUPPORTED("""COMPUTED_VALUE"""),"🚢 REGULAR")</f>
        <v>🚢 REGULAR</v>
      </c>
      <c r="E3047" s="3" t="str">
        <f ca="1">IFERROR(__xludf.UNSUPPORTED("""COMPUTED_VALUE"""),"🚛 LIBERADO")</f>
        <v>🚛 LIBERADO</v>
      </c>
      <c r="F3047" s="5">
        <f ca="1">IFERROR(__xludf.UNSUPPORTED("""COMPUTED_VALUE"""),0)</f>
        <v>0</v>
      </c>
      <c r="G3047" s="3" t="str">
        <f ca="1">IFERROR(__xludf.UNSUPPORTED("""COMPUTED_VALUE"""),"Normalidade")</f>
        <v>Normalidade</v>
      </c>
      <c r="H3047" s="4">
        <f ca="1">IFERROR(__xludf.UNSUPPORTED("""COMPUTED_VALUE"""),45587.3723726851)</f>
        <v>45587.372372685102</v>
      </c>
      <c r="I3047" s="3">
        <f ca="1">IFERROR(__xludf.UNSUPPORTED("""COMPUTED_VALUE"""),24)</f>
        <v>24</v>
      </c>
      <c r="J3047" s="4">
        <f ca="1">IFERROR(__xludf.UNSUPPORTED("""COMPUTED_VALUE"""),45588.3723726851)</f>
        <v>45588.372372685102</v>
      </c>
      <c r="L3047" s="3" t="str">
        <f ca="1">IFERROR(__xludf.UNSUPPORTED("""COMPUTED_VALUE"""),"Normalidade")</f>
        <v>Normalidade</v>
      </c>
    </row>
    <row r="3048" spans="1:12" ht="12.75">
      <c r="A3048" s="3" t="str">
        <f ca="1">IFERROR(__xludf.UNSUPPORTED("""COMPUTED_VALUE"""),"98aeee1b")</f>
        <v>98aeee1b</v>
      </c>
      <c r="B3048" s="4">
        <f ca="1">IFERROR(__xludf.UNSUPPORTED("""COMPUTED_VALUE"""),45589.5454050925)</f>
        <v>45589.545405092496</v>
      </c>
      <c r="C3048" s="7" t="str">
        <f ca="1">IFERROR(__xludf.UNSUPPORTED("""COMPUTED_VALUE"""),"Terminal Aquaviário de Madre de Deus")</f>
        <v>Terminal Aquaviário de Madre de Deus</v>
      </c>
      <c r="D3048" s="3" t="str">
        <f ca="1">IFERROR(__xludf.UNSUPPORTED("""COMPUTED_VALUE"""),"🚢 REGULAR")</f>
        <v>🚢 REGULAR</v>
      </c>
      <c r="E3048" s="3" t="str">
        <f ca="1">IFERROR(__xludf.UNSUPPORTED("""COMPUTED_VALUE"""),"🚛 LIBERADO")</f>
        <v>🚛 LIBERADO</v>
      </c>
      <c r="F3048" s="5">
        <f ca="1">IFERROR(__xludf.UNSUPPORTED("""COMPUTED_VALUE"""),0)</f>
        <v>0</v>
      </c>
      <c r="G3048" s="3" t="str">
        <f ca="1">IFERROR(__xludf.UNSUPPORTED("""COMPUTED_VALUE"""),"Normalidade")</f>
        <v>Normalidade</v>
      </c>
      <c r="H3048" s="4">
        <f ca="1">IFERROR(__xludf.UNSUPPORTED("""COMPUTED_VALUE"""),45589.5454050925)</f>
        <v>45589.545405092496</v>
      </c>
      <c r="I3048" s="3">
        <f ca="1">IFERROR(__xludf.UNSUPPORTED("""COMPUTED_VALUE"""),24)</f>
        <v>24</v>
      </c>
      <c r="J3048" s="4">
        <f ca="1">IFERROR(__xludf.UNSUPPORTED("""COMPUTED_VALUE"""),45590.5454050925)</f>
        <v>45590.545405092496</v>
      </c>
      <c r="L3048" s="3" t="str">
        <f ca="1">IFERROR(__xludf.UNSUPPORTED("""COMPUTED_VALUE"""),"Normalidade")</f>
        <v>Normalidade</v>
      </c>
    </row>
    <row r="3049" spans="1:12" ht="12.75">
      <c r="A3049" s="3" t="str">
        <f ca="1">IFERROR(__xludf.UNSUPPORTED("""COMPUTED_VALUE"""),"894978ff")</f>
        <v>894978ff</v>
      </c>
      <c r="B3049" s="4">
        <f ca="1">IFERROR(__xludf.UNSUPPORTED("""COMPUTED_VALUE"""),44866.4648611111)</f>
        <v>44866.464861111097</v>
      </c>
      <c r="C3049" s="7" t="str">
        <f ca="1">IFERROR(__xludf.UNSUPPORTED("""COMPUTED_VALUE"""),"Terminal Aquaviário de São Sebastião (Almirante Barroso)")</f>
        <v>Terminal Aquaviário de São Sebastião (Almirante Barroso)</v>
      </c>
      <c r="D3049" s="3" t="str">
        <f ca="1">IFERROR(__xludf.UNSUPPORTED("""COMPUTED_VALUE"""),"🚢 REGULAR")</f>
        <v>🚢 REGULAR</v>
      </c>
      <c r="E3049" s="3" t="str">
        <f ca="1">IFERROR(__xludf.UNSUPPORTED("""COMPUTED_VALUE"""),"🚛 LIBERADO")</f>
        <v>🚛 LIBERADO</v>
      </c>
      <c r="F3049" s="5">
        <f ca="1">IFERROR(__xludf.UNSUPPORTED("""COMPUTED_VALUE"""),0)</f>
        <v>0</v>
      </c>
      <c r="G3049" s="3" t="str">
        <f ca="1">IFERROR(__xludf.UNSUPPORTED("""COMPUTED_VALUE"""),"Terminal operando normalmente")</f>
        <v>Terminal operando normalmente</v>
      </c>
      <c r="H3049" s="4">
        <f ca="1">IFERROR(__xludf.UNSUPPORTED("""COMPUTED_VALUE"""),44866.4648611111)</f>
        <v>44866.464861111097</v>
      </c>
      <c r="I3049" s="3">
        <f ca="1">IFERROR(__xludf.UNSUPPORTED("""COMPUTED_VALUE"""),8)</f>
        <v>8</v>
      </c>
      <c r="J3049" s="4">
        <f ca="1">IFERROR(__xludf.UNSUPPORTED("""COMPUTED_VALUE"""),44866.7981944444)</f>
        <v>44866.798194444404</v>
      </c>
    </row>
    <row r="3050" spans="1:12" ht="12.75">
      <c r="A3050" s="3" t="str">
        <f ca="1">IFERROR(__xludf.UNSUPPORTED("""COMPUTED_VALUE"""),"c09b9300")</f>
        <v>c09b9300</v>
      </c>
      <c r="B3050" s="4">
        <f ca="1">IFERROR(__xludf.UNSUPPORTED("""COMPUTED_VALUE"""),44866.730636574)</f>
        <v>44866.730636574001</v>
      </c>
      <c r="C3050" s="8" t="str">
        <f ca="1">IFERROR(__xludf.UNSUPPORTED("""COMPUTED_VALUE"""),"Terminal Aquaviário de São Sebastião (Almirante Barroso)")</f>
        <v>Terminal Aquaviário de São Sebastião (Almirante Barroso)</v>
      </c>
      <c r="D3050" s="3" t="str">
        <f ca="1">IFERROR(__xludf.UNSUPPORTED("""COMPUTED_VALUE"""),"🚢 REGULAR")</f>
        <v>🚢 REGULAR</v>
      </c>
      <c r="E3050" s="3" t="str">
        <f ca="1">IFERROR(__xludf.UNSUPPORTED("""COMPUTED_VALUE"""),"🚛 LIBERADO")</f>
        <v>🚛 LIBERADO</v>
      </c>
      <c r="F3050" s="5">
        <f ca="1">IFERROR(__xludf.UNSUPPORTED("""COMPUTED_VALUE"""),0)</f>
        <v>0</v>
      </c>
      <c r="G3050" s="3" t="str">
        <f ca="1">IFERROR(__xludf.UNSUPPORTED("""COMPUTED_VALUE"""),"Operando normalmente.")</f>
        <v>Operando normalmente.</v>
      </c>
      <c r="H3050" s="4">
        <f ca="1">IFERROR(__xludf.UNSUPPORTED("""COMPUTED_VALUE"""),44866.730636574)</f>
        <v>44866.730636574001</v>
      </c>
      <c r="I3050" s="3">
        <f ca="1">IFERROR(__xludf.UNSUPPORTED("""COMPUTED_VALUE"""),6)</f>
        <v>6</v>
      </c>
      <c r="J3050" s="4">
        <f ca="1">IFERROR(__xludf.UNSUPPORTED("""COMPUTED_VALUE"""),44866.980636574)</f>
        <v>44866.980636574001</v>
      </c>
    </row>
    <row r="3051" spans="1:12" ht="12.75">
      <c r="A3051" s="3" t="str">
        <f ca="1">IFERROR(__xludf.UNSUPPORTED("""COMPUTED_VALUE"""),"b4871386")</f>
        <v>b4871386</v>
      </c>
      <c r="B3051" s="4">
        <f ca="1">IFERROR(__xludf.UNSUPPORTED("""COMPUTED_VALUE"""),44867.3315972222)</f>
        <v>44867.331597222197</v>
      </c>
      <c r="C3051" s="8" t="str">
        <f ca="1">IFERROR(__xludf.UNSUPPORTED("""COMPUTED_VALUE"""),"Terminal Aquaviário de São Sebastião (Almirante Barroso)")</f>
        <v>Terminal Aquaviário de São Sebastião (Almirante Barroso)</v>
      </c>
      <c r="D3051" s="3" t="str">
        <f ca="1">IFERROR(__xludf.UNSUPPORTED("""COMPUTED_VALUE"""),"🚢 REGULAR")</f>
        <v>🚢 REGULAR</v>
      </c>
      <c r="E3051" s="3" t="str">
        <f ca="1">IFERROR(__xludf.UNSUPPORTED("""COMPUTED_VALUE"""),"🚛 LIBERADO")</f>
        <v>🚛 LIBERADO</v>
      </c>
      <c r="F3051" s="5">
        <f ca="1">IFERROR(__xludf.UNSUPPORTED("""COMPUTED_VALUE"""),0)</f>
        <v>0</v>
      </c>
      <c r="G3051" s="3" t="str">
        <f ca="1">IFERROR(__xludf.UNSUPPORTED("""COMPUTED_VALUE"""),"Operando Normalmente")</f>
        <v>Operando Normalmente</v>
      </c>
      <c r="H3051" s="4">
        <f ca="1">IFERROR(__xludf.UNSUPPORTED("""COMPUTED_VALUE"""),44867.3315972222)</f>
        <v>44867.331597222197</v>
      </c>
      <c r="I3051" s="3">
        <f ca="1">IFERROR(__xludf.UNSUPPORTED("""COMPUTED_VALUE"""),6)</f>
        <v>6</v>
      </c>
      <c r="J3051" s="4">
        <f ca="1">IFERROR(__xludf.UNSUPPORTED("""COMPUTED_VALUE"""),44867.5815972222)</f>
        <v>44867.581597222197</v>
      </c>
    </row>
    <row r="3052" spans="1:12" ht="12.75">
      <c r="A3052" s="3" t="str">
        <f ca="1">IFERROR(__xludf.UNSUPPORTED("""COMPUTED_VALUE"""),"acc8c9e1")</f>
        <v>acc8c9e1</v>
      </c>
      <c r="B3052" s="4">
        <f ca="1">IFERROR(__xludf.UNSUPPORTED("""COMPUTED_VALUE"""),44867.5882523148)</f>
        <v>44867.588252314803</v>
      </c>
      <c r="C3052" s="8" t="str">
        <f ca="1">IFERROR(__xludf.UNSUPPORTED("""COMPUTED_VALUE"""),"Terminal Aquaviário de São Sebastião (Almirante Barroso)")</f>
        <v>Terminal Aquaviário de São Sebastião (Almirante Barroso)</v>
      </c>
      <c r="D3052" s="3" t="str">
        <f ca="1">IFERROR(__xludf.UNSUPPORTED("""COMPUTED_VALUE"""),"🚢 REGULAR")</f>
        <v>🚢 REGULAR</v>
      </c>
      <c r="E3052" s="3" t="str">
        <f ca="1">IFERROR(__xludf.UNSUPPORTED("""COMPUTED_VALUE"""),"🚛 LIBERADO")</f>
        <v>🚛 LIBERADO</v>
      </c>
      <c r="F3052" s="5">
        <f ca="1">IFERROR(__xludf.UNSUPPORTED("""COMPUTED_VALUE"""),0)</f>
        <v>0</v>
      </c>
      <c r="G3052" s="3" t="str">
        <f ca="1">IFERROR(__xludf.UNSUPPORTED("""COMPUTED_VALUE"""),"Operando normalmente.")</f>
        <v>Operando normalmente.</v>
      </c>
      <c r="H3052" s="4">
        <f ca="1">IFERROR(__xludf.UNSUPPORTED("""COMPUTED_VALUE"""),44867.5882523148)</f>
        <v>44867.588252314803</v>
      </c>
      <c r="I3052" s="3">
        <f ca="1">IFERROR(__xludf.UNSUPPORTED("""COMPUTED_VALUE"""),6)</f>
        <v>6</v>
      </c>
      <c r="J3052" s="4">
        <f ca="1">IFERROR(__xludf.UNSUPPORTED("""COMPUTED_VALUE"""),44867.8382523148)</f>
        <v>44867.838252314803</v>
      </c>
    </row>
    <row r="3053" spans="1:12" ht="12.75">
      <c r="A3053" s="3" t="str">
        <f ca="1">IFERROR(__xludf.UNSUPPORTED("""COMPUTED_VALUE"""),"d5f87a76")</f>
        <v>d5f87a76</v>
      </c>
      <c r="B3053" s="4">
        <f ca="1">IFERROR(__xludf.UNSUPPORTED("""COMPUTED_VALUE"""),44867.8312037037)</f>
        <v>44867.831203703703</v>
      </c>
      <c r="C3053" s="7" t="str">
        <f ca="1">IFERROR(__xludf.UNSUPPORTED("""COMPUTED_VALUE"""),"Terminal Aquaviário de São Sebastião (Almirante Barroso)")</f>
        <v>Terminal Aquaviário de São Sebastião (Almirante Barroso)</v>
      </c>
      <c r="D3053" s="3" t="str">
        <f ca="1">IFERROR(__xludf.UNSUPPORTED("""COMPUTED_VALUE"""),"🚢 REGULAR")</f>
        <v>🚢 REGULAR</v>
      </c>
      <c r="E3053" s="3" t="str">
        <f ca="1">IFERROR(__xludf.UNSUPPORTED("""COMPUTED_VALUE"""),"🚛 LIBERADO")</f>
        <v>🚛 LIBERADO</v>
      </c>
      <c r="F3053" s="5">
        <f ca="1">IFERROR(__xludf.UNSUPPORTED("""COMPUTED_VALUE"""),0)</f>
        <v>0</v>
      </c>
      <c r="G3053" s="3" t="str">
        <f ca="1">IFERROR(__xludf.UNSUPPORTED("""COMPUTED_VALUE"""),"Operação normal")</f>
        <v>Operação normal</v>
      </c>
      <c r="H3053" s="4">
        <f ca="1">IFERROR(__xludf.UNSUPPORTED("""COMPUTED_VALUE"""),44867.8312037037)</f>
        <v>44867.831203703703</v>
      </c>
      <c r="I3053" s="3">
        <f ca="1">IFERROR(__xludf.UNSUPPORTED("""COMPUTED_VALUE"""),12)</f>
        <v>12</v>
      </c>
      <c r="J3053" s="4">
        <f ca="1">IFERROR(__xludf.UNSUPPORTED("""COMPUTED_VALUE"""),44868.3312037037)</f>
        <v>44868.331203703703</v>
      </c>
    </row>
    <row r="3054" spans="1:12" ht="12.75">
      <c r="A3054" s="3" t="str">
        <f ca="1">IFERROR(__xludf.UNSUPPORTED("""COMPUTED_VALUE"""),"e30865e0")</f>
        <v>e30865e0</v>
      </c>
      <c r="B3054" s="4">
        <f ca="1">IFERROR(__xludf.UNSUPPORTED("""COMPUTED_VALUE"""),44868.2666782407)</f>
        <v>44868.266678240703</v>
      </c>
      <c r="C3054" s="8" t="str">
        <f ca="1">IFERROR(__xludf.UNSUPPORTED("""COMPUTED_VALUE"""),"Terminal Aquaviário de São Sebastião (Almirante Barroso)")</f>
        <v>Terminal Aquaviário de São Sebastião (Almirante Barroso)</v>
      </c>
      <c r="D3054" s="3" t="str">
        <f ca="1">IFERROR(__xludf.UNSUPPORTED("""COMPUTED_VALUE"""),"🚢 REGULAR")</f>
        <v>🚢 REGULAR</v>
      </c>
      <c r="E3054" s="3" t="str">
        <f ca="1">IFERROR(__xludf.UNSUPPORTED("""COMPUTED_VALUE"""),"🚛 LIBERADO")</f>
        <v>🚛 LIBERADO</v>
      </c>
      <c r="F3054" s="5">
        <f ca="1">IFERROR(__xludf.UNSUPPORTED("""COMPUTED_VALUE"""),0)</f>
        <v>0</v>
      </c>
      <c r="G3054" s="3" t="str">
        <f ca="1">IFERROR(__xludf.UNSUPPORTED("""COMPUTED_VALUE"""),"Operações Normais")</f>
        <v>Operações Normais</v>
      </c>
      <c r="H3054" s="4">
        <f ca="1">IFERROR(__xludf.UNSUPPORTED("""COMPUTED_VALUE"""),44868.2666782407)</f>
        <v>44868.266678240703</v>
      </c>
      <c r="I3054" s="3">
        <f ca="1">IFERROR(__xludf.UNSUPPORTED("""COMPUTED_VALUE"""),12)</f>
        <v>12</v>
      </c>
      <c r="J3054" s="4">
        <f ca="1">IFERROR(__xludf.UNSUPPORTED("""COMPUTED_VALUE"""),44868.7666782407)</f>
        <v>44868.766678240703</v>
      </c>
    </row>
    <row r="3055" spans="1:12" ht="12.75">
      <c r="A3055" s="3" t="str">
        <f ca="1">IFERROR(__xludf.UNSUPPORTED("""COMPUTED_VALUE"""),"1852b6c5")</f>
        <v>1852b6c5</v>
      </c>
      <c r="B3055" s="4">
        <f ca="1">IFERROR(__xludf.UNSUPPORTED("""COMPUTED_VALUE"""),44869.2876967592)</f>
        <v>44869.287696759202</v>
      </c>
      <c r="C3055" s="8" t="str">
        <f ca="1">IFERROR(__xludf.UNSUPPORTED("""COMPUTED_VALUE"""),"Terminal Aquaviário de São Sebastião (Almirante Barroso)")</f>
        <v>Terminal Aquaviário de São Sebastião (Almirante Barroso)</v>
      </c>
      <c r="D3055" s="3" t="str">
        <f ca="1">IFERROR(__xludf.UNSUPPORTED("""COMPUTED_VALUE"""),"🚢 REGULAR")</f>
        <v>🚢 REGULAR</v>
      </c>
      <c r="E3055" s="3" t="str">
        <f ca="1">IFERROR(__xludf.UNSUPPORTED("""COMPUTED_VALUE"""),"🚛 LIBERADO")</f>
        <v>🚛 LIBERADO</v>
      </c>
      <c r="F3055" s="5">
        <f ca="1">IFERROR(__xludf.UNSUPPORTED("""COMPUTED_VALUE"""),0)</f>
        <v>0</v>
      </c>
      <c r="G3055" s="3" t="str">
        <f ca="1">IFERROR(__xludf.UNSUPPORTED("""COMPUTED_VALUE"""),"Operação normal")</f>
        <v>Operação normal</v>
      </c>
      <c r="H3055" s="4">
        <f ca="1">IFERROR(__xludf.UNSUPPORTED("""COMPUTED_VALUE"""),44869.2876967592)</f>
        <v>44869.287696759202</v>
      </c>
      <c r="I3055" s="3">
        <f ca="1">IFERROR(__xludf.UNSUPPORTED("""COMPUTED_VALUE"""),12)</f>
        <v>12</v>
      </c>
      <c r="J3055" s="4">
        <f ca="1">IFERROR(__xludf.UNSUPPORTED("""COMPUTED_VALUE"""),44869.7876967592)</f>
        <v>44869.787696759202</v>
      </c>
    </row>
    <row r="3056" spans="1:12" ht="12.75">
      <c r="A3056" s="3" t="str">
        <f ca="1">IFERROR(__xludf.UNSUPPORTED("""COMPUTED_VALUE"""),"722b7735")</f>
        <v>722b7735</v>
      </c>
      <c r="B3056" s="4">
        <f ca="1">IFERROR(__xludf.UNSUPPORTED("""COMPUTED_VALUE"""),44870.5160416666)</f>
        <v>44870.516041666597</v>
      </c>
      <c r="C3056" s="7" t="str">
        <f ca="1">IFERROR(__xludf.UNSUPPORTED("""COMPUTED_VALUE"""),"Terminal Aquaviário de São Sebastião (Almirante Barroso)")</f>
        <v>Terminal Aquaviário de São Sebastião (Almirante Barroso)</v>
      </c>
      <c r="D3056" s="3" t="str">
        <f ca="1">IFERROR(__xludf.UNSUPPORTED("""COMPUTED_VALUE"""),"🚢 REGULAR")</f>
        <v>🚢 REGULAR</v>
      </c>
      <c r="E3056" s="3" t="str">
        <f ca="1">IFERROR(__xludf.UNSUPPORTED("""COMPUTED_VALUE"""),"🚛 LIBERADO")</f>
        <v>🚛 LIBERADO</v>
      </c>
      <c r="F3056" s="5">
        <f ca="1">IFERROR(__xludf.UNSUPPORTED("""COMPUTED_VALUE"""),0)</f>
        <v>0</v>
      </c>
      <c r="G3056" s="3" t="str">
        <f ca="1">IFERROR(__xludf.UNSUPPORTED("""COMPUTED_VALUE"""),"Operação Normal")</f>
        <v>Operação Normal</v>
      </c>
      <c r="H3056" s="4">
        <f ca="1">IFERROR(__xludf.UNSUPPORTED("""COMPUTED_VALUE"""),44870.5160416666)</f>
        <v>44870.516041666597</v>
      </c>
      <c r="I3056" s="3">
        <f ca="1">IFERROR(__xludf.UNSUPPORTED("""COMPUTED_VALUE"""),12)</f>
        <v>12</v>
      </c>
      <c r="J3056" s="4">
        <f ca="1">IFERROR(__xludf.UNSUPPORTED("""COMPUTED_VALUE"""),44871.0160416666)</f>
        <v>44871.016041666597</v>
      </c>
    </row>
    <row r="3057" spans="1:10" ht="12.75">
      <c r="A3057" s="3" t="str">
        <f ca="1">IFERROR(__xludf.UNSUPPORTED("""COMPUTED_VALUE"""),"20ed5615")</f>
        <v>20ed5615</v>
      </c>
      <c r="B3057" s="4">
        <f ca="1">IFERROR(__xludf.UNSUPPORTED("""COMPUTED_VALUE"""),44871.3984606481)</f>
        <v>44871.398460648103</v>
      </c>
      <c r="C3057" s="8" t="str">
        <f ca="1">IFERROR(__xludf.UNSUPPORTED("""COMPUTED_VALUE"""),"Terminal Aquaviário de São Sebastião (Almirante Barroso)")</f>
        <v>Terminal Aquaviário de São Sebastião (Almirante Barroso)</v>
      </c>
      <c r="D3057" s="3" t="str">
        <f ca="1">IFERROR(__xludf.UNSUPPORTED("""COMPUTED_VALUE"""),"🚢 REGULAR")</f>
        <v>🚢 REGULAR</v>
      </c>
      <c r="E3057" s="3" t="str">
        <f ca="1">IFERROR(__xludf.UNSUPPORTED("""COMPUTED_VALUE"""),"🚛 LIBERADO")</f>
        <v>🚛 LIBERADO</v>
      </c>
      <c r="F3057" s="5">
        <f ca="1">IFERROR(__xludf.UNSUPPORTED("""COMPUTED_VALUE"""),0)</f>
        <v>0</v>
      </c>
      <c r="G3057" s="3" t="str">
        <f ca="1">IFERROR(__xludf.UNSUPPORTED("""COMPUTED_VALUE"""),"Operação Normal")</f>
        <v>Operação Normal</v>
      </c>
      <c r="H3057" s="4">
        <f ca="1">IFERROR(__xludf.UNSUPPORTED("""COMPUTED_VALUE"""),44871.3984606481)</f>
        <v>44871.398460648103</v>
      </c>
      <c r="I3057" s="3">
        <f ca="1">IFERROR(__xludf.UNSUPPORTED("""COMPUTED_VALUE"""),12)</f>
        <v>12</v>
      </c>
      <c r="J3057" s="4">
        <f ca="1">IFERROR(__xludf.UNSUPPORTED("""COMPUTED_VALUE"""),44871.8984606481)</f>
        <v>44871.898460648103</v>
      </c>
    </row>
    <row r="3058" spans="1:10" ht="12.75">
      <c r="A3058" s="3" t="str">
        <f ca="1">IFERROR(__xludf.UNSUPPORTED("""COMPUTED_VALUE"""),"6f3fe12a")</f>
        <v>6f3fe12a</v>
      </c>
      <c r="B3058" s="4">
        <f ca="1">IFERROR(__xludf.UNSUPPORTED("""COMPUTED_VALUE"""),44872.4090856481)</f>
        <v>44872.409085648098</v>
      </c>
      <c r="C3058" s="8" t="str">
        <f ca="1">IFERROR(__xludf.UNSUPPORTED("""COMPUTED_VALUE"""),"Terminal Aquaviário de São Sebastião (Almirante Barroso)")</f>
        <v>Terminal Aquaviário de São Sebastião (Almirante Barroso)</v>
      </c>
      <c r="D3058" s="3" t="str">
        <f ca="1">IFERROR(__xludf.UNSUPPORTED("""COMPUTED_VALUE"""),"🚢 REGULAR")</f>
        <v>🚢 REGULAR</v>
      </c>
      <c r="E3058" s="3" t="str">
        <f ca="1">IFERROR(__xludf.UNSUPPORTED("""COMPUTED_VALUE"""),"🚛 LIBERADO")</f>
        <v>🚛 LIBERADO</v>
      </c>
      <c r="F3058" s="5">
        <f ca="1">IFERROR(__xludf.UNSUPPORTED("""COMPUTED_VALUE"""),0)</f>
        <v>0</v>
      </c>
      <c r="G3058" s="3" t="str">
        <f ca="1">IFERROR(__xludf.UNSUPPORTED("""COMPUTED_VALUE"""),"Operação normal")</f>
        <v>Operação normal</v>
      </c>
      <c r="H3058" s="4">
        <f ca="1">IFERROR(__xludf.UNSUPPORTED("""COMPUTED_VALUE"""),44872.4090856481)</f>
        <v>44872.409085648098</v>
      </c>
      <c r="I3058" s="3">
        <f ca="1">IFERROR(__xludf.UNSUPPORTED("""COMPUTED_VALUE"""),24)</f>
        <v>24</v>
      </c>
      <c r="J3058" s="4">
        <f ca="1">IFERROR(__xludf.UNSUPPORTED("""COMPUTED_VALUE"""),44873.4090856481)</f>
        <v>44873.409085648098</v>
      </c>
    </row>
    <row r="3059" spans="1:10" ht="12.75">
      <c r="A3059" s="3" t="str">
        <f ca="1">IFERROR(__xludf.UNSUPPORTED("""COMPUTED_VALUE"""),"cb6b95c7")</f>
        <v>cb6b95c7</v>
      </c>
      <c r="B3059" s="4">
        <f ca="1">IFERROR(__xludf.UNSUPPORTED("""COMPUTED_VALUE"""),44873.3210069444)</f>
        <v>44873.321006944403</v>
      </c>
      <c r="C3059" s="8" t="str">
        <f ca="1">IFERROR(__xludf.UNSUPPORTED("""COMPUTED_VALUE"""),"Terminal Aquaviário de São Sebastião (Almirante Barroso)")</f>
        <v>Terminal Aquaviário de São Sebastião (Almirante Barroso)</v>
      </c>
      <c r="D3059" s="3" t="str">
        <f ca="1">IFERROR(__xludf.UNSUPPORTED("""COMPUTED_VALUE"""),"🚢 REGULAR")</f>
        <v>🚢 REGULAR</v>
      </c>
      <c r="E3059" s="3" t="str">
        <f ca="1">IFERROR(__xludf.UNSUPPORTED("""COMPUTED_VALUE"""),"🚛 LIBERADO")</f>
        <v>🚛 LIBERADO</v>
      </c>
      <c r="F3059" s="5">
        <f ca="1">IFERROR(__xludf.UNSUPPORTED("""COMPUTED_VALUE"""),0)</f>
        <v>0</v>
      </c>
      <c r="G3059" s="3" t="str">
        <f ca="1">IFERROR(__xludf.UNSUPPORTED("""COMPUTED_VALUE"""),"Normal")</f>
        <v>Normal</v>
      </c>
      <c r="H3059" s="4">
        <f ca="1">IFERROR(__xludf.UNSUPPORTED("""COMPUTED_VALUE"""),44873.3210069444)</f>
        <v>44873.321006944403</v>
      </c>
      <c r="I3059" s="3">
        <f ca="1">IFERROR(__xludf.UNSUPPORTED("""COMPUTED_VALUE"""),1)</f>
        <v>1</v>
      </c>
      <c r="J3059" s="4">
        <f ca="1">IFERROR(__xludf.UNSUPPORTED("""COMPUTED_VALUE"""),44873.3626736111)</f>
        <v>44873.362673611096</v>
      </c>
    </row>
    <row r="3060" spans="1:10" ht="12.75">
      <c r="A3060" s="3" t="str">
        <f ca="1">IFERROR(__xludf.UNSUPPORTED("""COMPUTED_VALUE"""),"2f064b4d")</f>
        <v>2f064b4d</v>
      </c>
      <c r="B3060" s="4">
        <f ca="1">IFERROR(__xludf.UNSUPPORTED("""COMPUTED_VALUE"""),44874.6348263888)</f>
        <v>44874.634826388799</v>
      </c>
      <c r="C3060" s="7" t="str">
        <f ca="1">IFERROR(__xludf.UNSUPPORTED("""COMPUTED_VALUE"""),"Terminal Aquaviário de São Sebastião (Almirante Barroso)")</f>
        <v>Terminal Aquaviário de São Sebastião (Almirante Barroso)</v>
      </c>
      <c r="D3060" s="3" t="str">
        <f ca="1">IFERROR(__xludf.UNSUPPORTED("""COMPUTED_VALUE"""),"🚢 REGULAR")</f>
        <v>🚢 REGULAR</v>
      </c>
      <c r="E3060" s="3" t="str">
        <f ca="1">IFERROR(__xludf.UNSUPPORTED("""COMPUTED_VALUE"""),"🚛 LIBERADO")</f>
        <v>🚛 LIBERADO</v>
      </c>
      <c r="F3060" s="5">
        <f ca="1">IFERROR(__xludf.UNSUPPORTED("""COMPUTED_VALUE"""),0)</f>
        <v>0</v>
      </c>
      <c r="G3060" s="3" t="str">
        <f ca="1">IFERROR(__xludf.UNSUPPORTED("""COMPUTED_VALUE"""),"Normal")</f>
        <v>Normal</v>
      </c>
      <c r="H3060" s="4">
        <f ca="1">IFERROR(__xludf.UNSUPPORTED("""COMPUTED_VALUE"""),44874.6348263888)</f>
        <v>44874.634826388799</v>
      </c>
      <c r="I3060" s="3">
        <f ca="1">IFERROR(__xludf.UNSUPPORTED("""COMPUTED_VALUE"""),1)</f>
        <v>1</v>
      </c>
      <c r="J3060" s="4">
        <f ca="1">IFERROR(__xludf.UNSUPPORTED("""COMPUTED_VALUE"""),44874.6764930555)</f>
        <v>44874.6764930555</v>
      </c>
    </row>
    <row r="3061" spans="1:10" ht="12.75">
      <c r="A3061" s="3" t="str">
        <f ca="1">IFERROR(__xludf.UNSUPPORTED("""COMPUTED_VALUE"""),"da56deab")</f>
        <v>da56deab</v>
      </c>
      <c r="B3061" s="4">
        <f ca="1">IFERROR(__xludf.UNSUPPORTED("""COMPUTED_VALUE"""),44881.3409722222)</f>
        <v>44881.340972222199</v>
      </c>
      <c r="C3061" s="7" t="str">
        <f ca="1">IFERROR(__xludf.UNSUPPORTED("""COMPUTED_VALUE"""),"Terminal Aquaviário de São Sebastião (Almirante Barroso)")</f>
        <v>Terminal Aquaviário de São Sebastião (Almirante Barroso)</v>
      </c>
      <c r="D3061" s="3" t="str">
        <f ca="1">IFERROR(__xludf.UNSUPPORTED("""COMPUTED_VALUE"""),"🚢 REGULAR")</f>
        <v>🚢 REGULAR</v>
      </c>
      <c r="E3061" s="3" t="str">
        <f ca="1">IFERROR(__xludf.UNSUPPORTED("""COMPUTED_VALUE"""),"🚛 LIBERADO")</f>
        <v>🚛 LIBERADO</v>
      </c>
      <c r="F3061" s="5">
        <f ca="1">IFERROR(__xludf.UNSUPPORTED("""COMPUTED_VALUE"""),0)</f>
        <v>0</v>
      </c>
      <c r="G3061" s="3" t="str">
        <f ca="1">IFERROR(__xludf.UNSUPPORTED("""COMPUTED_VALUE"""),"Normal")</f>
        <v>Normal</v>
      </c>
      <c r="H3061" s="4">
        <f ca="1">IFERROR(__xludf.UNSUPPORTED("""COMPUTED_VALUE"""),44881.3409722222)</f>
        <v>44881.340972222199</v>
      </c>
      <c r="I3061" s="3">
        <f ca="1">IFERROR(__xludf.UNSUPPORTED("""COMPUTED_VALUE"""),1)</f>
        <v>1</v>
      </c>
      <c r="J3061" s="4">
        <f ca="1">IFERROR(__xludf.UNSUPPORTED("""COMPUTED_VALUE"""),44881.3826388888)</f>
        <v>44881.382638888797</v>
      </c>
    </row>
    <row r="3062" spans="1:10" ht="12.75">
      <c r="A3062" s="3" t="str">
        <f ca="1">IFERROR(__xludf.UNSUPPORTED("""COMPUTED_VALUE"""),"872d27d8")</f>
        <v>872d27d8</v>
      </c>
      <c r="B3062" s="4">
        <f ca="1">IFERROR(__xludf.UNSUPPORTED("""COMPUTED_VALUE"""),44883.5412037037)</f>
        <v>44883.541203703702</v>
      </c>
      <c r="C3062" s="8" t="str">
        <f ca="1">IFERROR(__xludf.UNSUPPORTED("""COMPUTED_VALUE"""),"Terminal Aquaviário de São Sebastião (Almirante Barroso)")</f>
        <v>Terminal Aquaviário de São Sebastião (Almirante Barroso)</v>
      </c>
      <c r="D3062" s="3" t="str">
        <f ca="1">IFERROR(__xludf.UNSUPPORTED("""COMPUTED_VALUE"""),"🚢 REGULAR")</f>
        <v>🚢 REGULAR</v>
      </c>
      <c r="E3062" s="3" t="str">
        <f ca="1">IFERROR(__xludf.UNSUPPORTED("""COMPUTED_VALUE"""),"🚛 LIBERADO")</f>
        <v>🚛 LIBERADO</v>
      </c>
      <c r="F3062" s="5">
        <f ca="1">IFERROR(__xludf.UNSUPPORTED("""COMPUTED_VALUE"""),0)</f>
        <v>0</v>
      </c>
      <c r="G3062" s="3" t="str">
        <f ca="1">IFERROR(__xludf.UNSUPPORTED("""COMPUTED_VALUE"""),"Normal")</f>
        <v>Normal</v>
      </c>
      <c r="H3062" s="4">
        <f ca="1">IFERROR(__xludf.UNSUPPORTED("""COMPUTED_VALUE"""),44883.5412037037)</f>
        <v>44883.541203703702</v>
      </c>
      <c r="I3062" s="3">
        <f ca="1">IFERROR(__xludf.UNSUPPORTED("""COMPUTED_VALUE"""),1)</f>
        <v>1</v>
      </c>
      <c r="J3062" s="4">
        <f ca="1">IFERROR(__xludf.UNSUPPORTED("""COMPUTED_VALUE"""),44883.5828703703)</f>
        <v>44883.582870370301</v>
      </c>
    </row>
    <row r="3063" spans="1:10" ht="12.75">
      <c r="A3063" s="3" t="str">
        <f ca="1">IFERROR(__xludf.UNSUPPORTED("""COMPUTED_VALUE"""),"cdad34eb")</f>
        <v>cdad34eb</v>
      </c>
      <c r="B3063" s="4">
        <f ca="1">IFERROR(__xludf.UNSUPPORTED("""COMPUTED_VALUE"""),44886.3509722222)</f>
        <v>44886.350972222201</v>
      </c>
      <c r="C3063" s="7" t="str">
        <f ca="1">IFERROR(__xludf.UNSUPPORTED("""COMPUTED_VALUE"""),"Terminal Aquaviário de São Sebastião (Almirante Barroso)")</f>
        <v>Terminal Aquaviário de São Sebastião (Almirante Barroso)</v>
      </c>
      <c r="D3063" s="3" t="str">
        <f ca="1">IFERROR(__xludf.UNSUPPORTED("""COMPUTED_VALUE"""),"🚢 REGULAR")</f>
        <v>🚢 REGULAR</v>
      </c>
      <c r="E3063" s="3" t="str">
        <f ca="1">IFERROR(__xludf.UNSUPPORTED("""COMPUTED_VALUE"""),"🚛 LIBERADO")</f>
        <v>🚛 LIBERADO</v>
      </c>
      <c r="F3063" s="5">
        <f ca="1">IFERROR(__xludf.UNSUPPORTED("""COMPUTED_VALUE"""),0)</f>
        <v>0</v>
      </c>
      <c r="G3063" s="3" t="str">
        <f ca="1">IFERROR(__xludf.UNSUPPORTED("""COMPUTED_VALUE"""),"Normal")</f>
        <v>Normal</v>
      </c>
      <c r="H3063" s="4">
        <f ca="1">IFERROR(__xludf.UNSUPPORTED("""COMPUTED_VALUE"""),44886.3509722222)</f>
        <v>44886.350972222201</v>
      </c>
      <c r="I3063" s="3">
        <f ca="1">IFERROR(__xludf.UNSUPPORTED("""COMPUTED_VALUE"""),1)</f>
        <v>1</v>
      </c>
      <c r="J3063" s="4">
        <f ca="1">IFERROR(__xludf.UNSUPPORTED("""COMPUTED_VALUE"""),44886.3926388888)</f>
        <v>44886.392638888799</v>
      </c>
    </row>
    <row r="3064" spans="1:10" ht="12.75">
      <c r="A3064" s="3" t="str">
        <f ca="1">IFERROR(__xludf.UNSUPPORTED("""COMPUTED_VALUE"""),"fa55202f")</f>
        <v>fa55202f</v>
      </c>
      <c r="B3064" s="4">
        <f ca="1">IFERROR(__xludf.UNSUPPORTED("""COMPUTED_VALUE"""),44887.3939699074)</f>
        <v>44887.393969907404</v>
      </c>
      <c r="C3064" s="7" t="str">
        <f ca="1">IFERROR(__xludf.UNSUPPORTED("""COMPUTED_VALUE"""),"Terminal Aquaviário de São Sebastião (Almirante Barroso)")</f>
        <v>Terminal Aquaviário de São Sebastião (Almirante Barroso)</v>
      </c>
      <c r="D3064" s="3" t="str">
        <f ca="1">IFERROR(__xludf.UNSUPPORTED("""COMPUTED_VALUE"""),"🚢 REGULAR")</f>
        <v>🚢 REGULAR</v>
      </c>
      <c r="E3064" s="3" t="str">
        <f ca="1">IFERROR(__xludf.UNSUPPORTED("""COMPUTED_VALUE"""),"🚛 LIBERADO")</f>
        <v>🚛 LIBERADO</v>
      </c>
      <c r="F3064" s="5">
        <f ca="1">IFERROR(__xludf.UNSUPPORTED("""COMPUTED_VALUE"""),0)</f>
        <v>0</v>
      </c>
      <c r="G3064" s="3" t="str">
        <f ca="1">IFERROR(__xludf.UNSUPPORTED("""COMPUTED_VALUE"""),"Normal")</f>
        <v>Normal</v>
      </c>
      <c r="H3064" s="4">
        <f ca="1">IFERROR(__xludf.UNSUPPORTED("""COMPUTED_VALUE"""),44887.3939699074)</f>
        <v>44887.393969907404</v>
      </c>
      <c r="I3064" s="3">
        <f ca="1">IFERROR(__xludf.UNSUPPORTED("""COMPUTED_VALUE"""),1)</f>
        <v>1</v>
      </c>
      <c r="J3064" s="4">
        <f ca="1">IFERROR(__xludf.UNSUPPORTED("""COMPUTED_VALUE"""),44887.435636574)</f>
        <v>44887.435636574002</v>
      </c>
    </row>
    <row r="3065" spans="1:10" ht="12.75">
      <c r="A3065" s="3" t="str">
        <f ca="1">IFERROR(__xludf.UNSUPPORTED("""COMPUTED_VALUE"""),"99028ee0")</f>
        <v>99028ee0</v>
      </c>
      <c r="B3065" s="4">
        <f ca="1">IFERROR(__xludf.UNSUPPORTED("""COMPUTED_VALUE"""),44888.4000347222)</f>
        <v>44888.400034722203</v>
      </c>
      <c r="C3065" s="7" t="str">
        <f ca="1">IFERROR(__xludf.UNSUPPORTED("""COMPUTED_VALUE"""),"Terminal Aquaviário de São Sebastião (Almirante Barroso)")</f>
        <v>Terminal Aquaviário de São Sebastião (Almirante Barroso)</v>
      </c>
      <c r="D3065" s="3" t="str">
        <f ca="1">IFERROR(__xludf.UNSUPPORTED("""COMPUTED_VALUE"""),"🚢 REGULAR")</f>
        <v>🚢 REGULAR</v>
      </c>
      <c r="E3065" s="3" t="str">
        <f ca="1">IFERROR(__xludf.UNSUPPORTED("""COMPUTED_VALUE"""),"🚛 LIBERADO")</f>
        <v>🚛 LIBERADO</v>
      </c>
      <c r="F3065" s="5">
        <f ca="1">IFERROR(__xludf.UNSUPPORTED("""COMPUTED_VALUE"""),0)</f>
        <v>0</v>
      </c>
      <c r="G3065" s="3" t="str">
        <f ca="1">IFERROR(__xludf.UNSUPPORTED("""COMPUTED_VALUE"""),"Normal")</f>
        <v>Normal</v>
      </c>
      <c r="H3065" s="4">
        <f ca="1">IFERROR(__xludf.UNSUPPORTED("""COMPUTED_VALUE"""),44888.4000347222)</f>
        <v>44888.400034722203</v>
      </c>
      <c r="I3065" s="3">
        <f ca="1">IFERROR(__xludf.UNSUPPORTED("""COMPUTED_VALUE"""),1)</f>
        <v>1</v>
      </c>
      <c r="J3065" s="4">
        <f ca="1">IFERROR(__xludf.UNSUPPORTED("""COMPUTED_VALUE"""),44888.4417013888)</f>
        <v>44888.441701388801</v>
      </c>
    </row>
    <row r="3066" spans="1:10" ht="12.75">
      <c r="A3066" s="3" t="str">
        <f ca="1">IFERROR(__xludf.UNSUPPORTED("""COMPUTED_VALUE"""),"5c7da489")</f>
        <v>5c7da489</v>
      </c>
      <c r="B3066" s="4">
        <f ca="1">IFERROR(__xludf.UNSUPPORTED("""COMPUTED_VALUE"""),44889.3443981481)</f>
        <v>44889.344398148103</v>
      </c>
      <c r="C3066" s="8" t="str">
        <f ca="1">IFERROR(__xludf.UNSUPPORTED("""COMPUTED_VALUE"""),"Terminal Aquaviário de São Sebastião (Almirante Barroso)")</f>
        <v>Terminal Aquaviário de São Sebastião (Almirante Barroso)</v>
      </c>
      <c r="D3066" s="3" t="str">
        <f ca="1">IFERROR(__xludf.UNSUPPORTED("""COMPUTED_VALUE"""),"🚢 REGULAR")</f>
        <v>🚢 REGULAR</v>
      </c>
      <c r="E3066" s="3" t="str">
        <f ca="1">IFERROR(__xludf.UNSUPPORTED("""COMPUTED_VALUE"""),"🚛 LIBERADO")</f>
        <v>🚛 LIBERADO</v>
      </c>
      <c r="F3066" s="5">
        <f ca="1">IFERROR(__xludf.UNSUPPORTED("""COMPUTED_VALUE"""),0)</f>
        <v>0</v>
      </c>
      <c r="G3066" s="3" t="str">
        <f ca="1">IFERROR(__xludf.UNSUPPORTED("""COMPUTED_VALUE"""),"Normal")</f>
        <v>Normal</v>
      </c>
      <c r="H3066" s="4">
        <f ca="1">IFERROR(__xludf.UNSUPPORTED("""COMPUTED_VALUE"""),44889.3443981481)</f>
        <v>44889.344398148103</v>
      </c>
      <c r="I3066" s="3">
        <f ca="1">IFERROR(__xludf.UNSUPPORTED("""COMPUTED_VALUE"""),1)</f>
        <v>1</v>
      </c>
      <c r="J3066" s="4">
        <f ca="1">IFERROR(__xludf.UNSUPPORTED("""COMPUTED_VALUE"""),44889.3860648148)</f>
        <v>44889.386064814797</v>
      </c>
    </row>
    <row r="3067" spans="1:10" ht="12.75">
      <c r="A3067" s="3" t="str">
        <f ca="1">IFERROR(__xludf.UNSUPPORTED("""COMPUTED_VALUE"""),"c89dc03a")</f>
        <v>c89dc03a</v>
      </c>
      <c r="B3067" s="4">
        <f ca="1">IFERROR(__xludf.UNSUPPORTED("""COMPUTED_VALUE"""),44890.4065393518)</f>
        <v>44890.406539351803</v>
      </c>
      <c r="C3067" s="7" t="str">
        <f ca="1">IFERROR(__xludf.UNSUPPORTED("""COMPUTED_VALUE"""),"Terminal Aquaviário de São Sebastião (Almirante Barroso)")</f>
        <v>Terminal Aquaviário de São Sebastião (Almirante Barroso)</v>
      </c>
      <c r="D3067" s="3" t="str">
        <f ca="1">IFERROR(__xludf.UNSUPPORTED("""COMPUTED_VALUE"""),"🚢 REGULAR")</f>
        <v>🚢 REGULAR</v>
      </c>
      <c r="E3067" s="3" t="str">
        <f ca="1">IFERROR(__xludf.UNSUPPORTED("""COMPUTED_VALUE"""),"🚛 LIBERADO")</f>
        <v>🚛 LIBERADO</v>
      </c>
      <c r="F3067" s="5">
        <f ca="1">IFERROR(__xludf.UNSUPPORTED("""COMPUTED_VALUE"""),0)</f>
        <v>0</v>
      </c>
      <c r="G3067" s="3" t="str">
        <f ca="1">IFERROR(__xludf.UNSUPPORTED("""COMPUTED_VALUE"""),"Normal")</f>
        <v>Normal</v>
      </c>
      <c r="H3067" s="4">
        <f ca="1">IFERROR(__xludf.UNSUPPORTED("""COMPUTED_VALUE"""),44890.4065393518)</f>
        <v>44890.406539351803</v>
      </c>
      <c r="I3067" s="3">
        <f ca="1">IFERROR(__xludf.UNSUPPORTED("""COMPUTED_VALUE"""),1)</f>
        <v>1</v>
      </c>
      <c r="J3067" s="4">
        <f ca="1">IFERROR(__xludf.UNSUPPORTED("""COMPUTED_VALUE"""),44890.4482060185)</f>
        <v>44890.448206018496</v>
      </c>
    </row>
    <row r="3068" spans="1:10" ht="12.75">
      <c r="A3068" s="3" t="str">
        <f ca="1">IFERROR(__xludf.UNSUPPORTED("""COMPUTED_VALUE"""),"285a06b2")</f>
        <v>285a06b2</v>
      </c>
      <c r="B3068" s="4">
        <f ca="1">IFERROR(__xludf.UNSUPPORTED("""COMPUTED_VALUE"""),44893.3789814814)</f>
        <v>44893.378981481401</v>
      </c>
      <c r="C3068" s="7" t="str">
        <f ca="1">IFERROR(__xludf.UNSUPPORTED("""COMPUTED_VALUE"""),"Terminal Aquaviário de São Sebastião (Almirante Barroso)")</f>
        <v>Terminal Aquaviário de São Sebastião (Almirante Barroso)</v>
      </c>
      <c r="D3068" s="3" t="str">
        <f ca="1">IFERROR(__xludf.UNSUPPORTED("""COMPUTED_VALUE"""),"🚢 REGULAR")</f>
        <v>🚢 REGULAR</v>
      </c>
      <c r="E3068" s="3" t="str">
        <f ca="1">IFERROR(__xludf.UNSUPPORTED("""COMPUTED_VALUE"""),"🚛 LIBERADO")</f>
        <v>🚛 LIBERADO</v>
      </c>
      <c r="F3068" s="5">
        <f ca="1">IFERROR(__xludf.UNSUPPORTED("""COMPUTED_VALUE"""),0)</f>
        <v>0</v>
      </c>
      <c r="G3068" s="3" t="str">
        <f ca="1">IFERROR(__xludf.UNSUPPORTED("""COMPUTED_VALUE"""),"Normal")</f>
        <v>Normal</v>
      </c>
      <c r="H3068" s="4">
        <f ca="1">IFERROR(__xludf.UNSUPPORTED("""COMPUTED_VALUE"""),44893.3789814814)</f>
        <v>44893.378981481401</v>
      </c>
      <c r="I3068" s="3">
        <f ca="1">IFERROR(__xludf.UNSUPPORTED("""COMPUTED_VALUE"""),1)</f>
        <v>1</v>
      </c>
      <c r="J3068" s="4">
        <f ca="1">IFERROR(__xludf.UNSUPPORTED("""COMPUTED_VALUE"""),44893.4206481481)</f>
        <v>44893.420648148101</v>
      </c>
    </row>
    <row r="3069" spans="1:10" ht="12.75">
      <c r="A3069" s="3" t="str">
        <f ca="1">IFERROR(__xludf.UNSUPPORTED("""COMPUTED_VALUE"""),"ca593b33")</f>
        <v>ca593b33</v>
      </c>
      <c r="B3069" s="4">
        <f ca="1">IFERROR(__xludf.UNSUPPORTED("""COMPUTED_VALUE"""),44894.3761574074)</f>
        <v>44894.376157407401</v>
      </c>
      <c r="C3069" s="7" t="str">
        <f ca="1">IFERROR(__xludf.UNSUPPORTED("""COMPUTED_VALUE"""),"Terminal Aquaviário de São Sebastião (Almirante Barroso)")</f>
        <v>Terminal Aquaviário de São Sebastião (Almirante Barroso)</v>
      </c>
      <c r="D3069" s="3" t="str">
        <f ca="1">IFERROR(__xludf.UNSUPPORTED("""COMPUTED_VALUE"""),"🚢 REGULAR")</f>
        <v>🚢 REGULAR</v>
      </c>
      <c r="E3069" s="3" t="str">
        <f ca="1">IFERROR(__xludf.UNSUPPORTED("""COMPUTED_VALUE"""),"🚛 LIBERADO")</f>
        <v>🚛 LIBERADO</v>
      </c>
      <c r="F3069" s="5">
        <f ca="1">IFERROR(__xludf.UNSUPPORTED("""COMPUTED_VALUE"""),0)</f>
        <v>0</v>
      </c>
      <c r="G3069" s="3" t="str">
        <f ca="1">IFERROR(__xludf.UNSUPPORTED("""COMPUTED_VALUE"""),"normal")</f>
        <v>normal</v>
      </c>
      <c r="H3069" s="4">
        <f ca="1">IFERROR(__xludf.UNSUPPORTED("""COMPUTED_VALUE"""),44894.3761574074)</f>
        <v>44894.376157407401</v>
      </c>
      <c r="I3069" s="3">
        <f ca="1">IFERROR(__xludf.UNSUPPORTED("""COMPUTED_VALUE"""),1)</f>
        <v>1</v>
      </c>
      <c r="J3069" s="4">
        <f ca="1">IFERROR(__xludf.UNSUPPORTED("""COMPUTED_VALUE"""),44894.417824074)</f>
        <v>44894.417824074</v>
      </c>
    </row>
    <row r="3070" spans="1:10" ht="12.75">
      <c r="A3070" s="3" t="str">
        <f ca="1">IFERROR(__xludf.UNSUPPORTED("""COMPUTED_VALUE"""),"e71e742a")</f>
        <v>e71e742a</v>
      </c>
      <c r="B3070" s="4">
        <f ca="1">IFERROR(__xludf.UNSUPPORTED("""COMPUTED_VALUE"""),44895.4261689814)</f>
        <v>44895.426168981401</v>
      </c>
      <c r="C3070" s="7" t="str">
        <f ca="1">IFERROR(__xludf.UNSUPPORTED("""COMPUTED_VALUE"""),"Terminal Aquaviário de São Sebastião (Almirante Barroso)")</f>
        <v>Terminal Aquaviário de São Sebastião (Almirante Barroso)</v>
      </c>
      <c r="D3070" s="3" t="str">
        <f ca="1">IFERROR(__xludf.UNSUPPORTED("""COMPUTED_VALUE"""),"🚢 REGULAR")</f>
        <v>🚢 REGULAR</v>
      </c>
      <c r="E3070" s="3" t="str">
        <f ca="1">IFERROR(__xludf.UNSUPPORTED("""COMPUTED_VALUE"""),"🚛 LIBERADO")</f>
        <v>🚛 LIBERADO</v>
      </c>
      <c r="F3070" s="5">
        <f ca="1">IFERROR(__xludf.UNSUPPORTED("""COMPUTED_VALUE"""),0)</f>
        <v>0</v>
      </c>
      <c r="G3070" s="3" t="str">
        <f ca="1">IFERROR(__xludf.UNSUPPORTED("""COMPUTED_VALUE"""),"Normal")</f>
        <v>Normal</v>
      </c>
      <c r="H3070" s="4">
        <f ca="1">IFERROR(__xludf.UNSUPPORTED("""COMPUTED_VALUE"""),44895.4261689814)</f>
        <v>44895.426168981401</v>
      </c>
      <c r="I3070" s="3">
        <f ca="1">IFERROR(__xludf.UNSUPPORTED("""COMPUTED_VALUE"""),1)</f>
        <v>1</v>
      </c>
      <c r="J3070" s="4">
        <f ca="1">IFERROR(__xludf.UNSUPPORTED("""COMPUTED_VALUE"""),44895.4678356481)</f>
        <v>44895.467835648102</v>
      </c>
    </row>
    <row r="3071" spans="1:10" ht="12.75">
      <c r="A3071" s="3" t="str">
        <f ca="1">IFERROR(__xludf.UNSUPPORTED("""COMPUTED_VALUE"""),"733bf7ab")</f>
        <v>733bf7ab</v>
      </c>
      <c r="B3071" s="4">
        <f ca="1">IFERROR(__xludf.UNSUPPORTED("""COMPUTED_VALUE"""),44896.375011574)</f>
        <v>44896.375011573997</v>
      </c>
      <c r="C3071" s="7" t="str">
        <f ca="1">IFERROR(__xludf.UNSUPPORTED("""COMPUTED_VALUE"""),"Terminal Aquaviário de São Sebastião (Almirante Barroso)")</f>
        <v>Terminal Aquaviário de São Sebastião (Almirante Barroso)</v>
      </c>
      <c r="D3071" s="3" t="str">
        <f ca="1">IFERROR(__xludf.UNSUPPORTED("""COMPUTED_VALUE"""),"🚢 REGULAR")</f>
        <v>🚢 REGULAR</v>
      </c>
      <c r="E3071" s="3" t="str">
        <f ca="1">IFERROR(__xludf.UNSUPPORTED("""COMPUTED_VALUE"""),"🚛 LIBERADO")</f>
        <v>🚛 LIBERADO</v>
      </c>
      <c r="F3071" s="5">
        <f ca="1">IFERROR(__xludf.UNSUPPORTED("""COMPUTED_VALUE"""),0)</f>
        <v>0</v>
      </c>
      <c r="G3071" s="3" t="str">
        <f ca="1">IFERROR(__xludf.UNSUPPORTED("""COMPUTED_VALUE"""),"normal")</f>
        <v>normal</v>
      </c>
      <c r="H3071" s="4">
        <f ca="1">IFERROR(__xludf.UNSUPPORTED("""COMPUTED_VALUE"""),44896.375011574)</f>
        <v>44896.375011573997</v>
      </c>
      <c r="I3071" s="3">
        <f ca="1">IFERROR(__xludf.UNSUPPORTED("""COMPUTED_VALUE"""),1)</f>
        <v>1</v>
      </c>
      <c r="J3071" s="4">
        <f ca="1">IFERROR(__xludf.UNSUPPORTED("""COMPUTED_VALUE"""),44896.4166782407)</f>
        <v>44896.416678240697</v>
      </c>
    </row>
    <row r="3072" spans="1:10" ht="12.75">
      <c r="A3072" s="3" t="str">
        <f ca="1">IFERROR(__xludf.UNSUPPORTED("""COMPUTED_VALUE"""),"f5285f68")</f>
        <v>f5285f68</v>
      </c>
      <c r="B3072" s="4">
        <f ca="1">IFERROR(__xludf.UNSUPPORTED("""COMPUTED_VALUE"""),44897.4183217592)</f>
        <v>44897.4183217592</v>
      </c>
      <c r="C3072" s="8" t="str">
        <f ca="1">IFERROR(__xludf.UNSUPPORTED("""COMPUTED_VALUE"""),"Terminal Aquaviário de São Sebastião (Almirante Barroso)")</f>
        <v>Terminal Aquaviário de São Sebastião (Almirante Barroso)</v>
      </c>
      <c r="D3072" s="3" t="str">
        <f ca="1">IFERROR(__xludf.UNSUPPORTED("""COMPUTED_VALUE"""),"🚢 REGULAR")</f>
        <v>🚢 REGULAR</v>
      </c>
      <c r="E3072" s="3" t="str">
        <f ca="1">IFERROR(__xludf.UNSUPPORTED("""COMPUTED_VALUE"""),"🚛 LIBERADO")</f>
        <v>🚛 LIBERADO</v>
      </c>
      <c r="F3072" s="5">
        <f ca="1">IFERROR(__xludf.UNSUPPORTED("""COMPUTED_VALUE"""),0)</f>
        <v>0</v>
      </c>
      <c r="G3072" s="3" t="str">
        <f ca="1">IFERROR(__xludf.UNSUPPORTED("""COMPUTED_VALUE"""),"NORMAL")</f>
        <v>NORMAL</v>
      </c>
      <c r="H3072" s="4">
        <f ca="1">IFERROR(__xludf.UNSUPPORTED("""COMPUTED_VALUE"""),44897.4183217592)</f>
        <v>44897.4183217592</v>
      </c>
      <c r="I3072" s="3">
        <f ca="1">IFERROR(__xludf.UNSUPPORTED("""COMPUTED_VALUE"""),1)</f>
        <v>1</v>
      </c>
      <c r="J3072" s="4">
        <f ca="1">IFERROR(__xludf.UNSUPPORTED("""COMPUTED_VALUE"""),44897.4599884259)</f>
        <v>44897.459988425901</v>
      </c>
    </row>
    <row r="3073" spans="1:12" ht="12.75">
      <c r="A3073" s="3" t="str">
        <f ca="1">IFERROR(__xludf.UNSUPPORTED("""COMPUTED_VALUE"""),"d5f84a26")</f>
        <v>d5f84a26</v>
      </c>
      <c r="B3073" s="4">
        <f ca="1">IFERROR(__xludf.UNSUPPORTED("""COMPUTED_VALUE"""),44900.3869097222)</f>
        <v>44900.386909722198</v>
      </c>
      <c r="C3073" s="8" t="str">
        <f ca="1">IFERROR(__xludf.UNSUPPORTED("""COMPUTED_VALUE"""),"Terminal Aquaviário de São Sebastião (Almirante Barroso)")</f>
        <v>Terminal Aquaviário de São Sebastião (Almirante Barroso)</v>
      </c>
      <c r="D3073" s="3" t="str">
        <f ca="1">IFERROR(__xludf.UNSUPPORTED("""COMPUTED_VALUE"""),"🚢 REGULAR")</f>
        <v>🚢 REGULAR</v>
      </c>
      <c r="E3073" s="3" t="str">
        <f ca="1">IFERROR(__xludf.UNSUPPORTED("""COMPUTED_VALUE"""),"🚛 LIBERADO")</f>
        <v>🚛 LIBERADO</v>
      </c>
      <c r="F3073" s="5">
        <f ca="1">IFERROR(__xludf.UNSUPPORTED("""COMPUTED_VALUE"""),0)</f>
        <v>0</v>
      </c>
      <c r="G3073" s="3" t="str">
        <f ca="1">IFERROR(__xludf.UNSUPPORTED("""COMPUTED_VALUE"""),"NORMAL")</f>
        <v>NORMAL</v>
      </c>
      <c r="H3073" s="4">
        <f ca="1">IFERROR(__xludf.UNSUPPORTED("""COMPUTED_VALUE"""),44900.3869097222)</f>
        <v>44900.386909722198</v>
      </c>
      <c r="I3073" s="3">
        <f ca="1">IFERROR(__xludf.UNSUPPORTED("""COMPUTED_VALUE"""),1)</f>
        <v>1</v>
      </c>
      <c r="J3073" s="4">
        <f ca="1">IFERROR(__xludf.UNSUPPORTED("""COMPUTED_VALUE"""),44900.4285763888)</f>
        <v>44900.428576388797</v>
      </c>
    </row>
    <row r="3074" spans="1:12" ht="12.75">
      <c r="A3074" s="3" t="str">
        <f ca="1">IFERROR(__xludf.UNSUPPORTED("""COMPUTED_VALUE"""),"039e42e5")</f>
        <v>039e42e5</v>
      </c>
      <c r="B3074" s="4">
        <f ca="1">IFERROR(__xludf.UNSUPPORTED("""COMPUTED_VALUE"""),44901.4219212962)</f>
        <v>44901.421921296198</v>
      </c>
      <c r="C3074" s="8" t="str">
        <f ca="1">IFERROR(__xludf.UNSUPPORTED("""COMPUTED_VALUE"""),"Terminal Aquaviário de São Sebastião (Almirante Barroso)")</f>
        <v>Terminal Aquaviário de São Sebastião (Almirante Barroso)</v>
      </c>
      <c r="D3074" s="3" t="str">
        <f ca="1">IFERROR(__xludf.UNSUPPORTED("""COMPUTED_VALUE"""),"🚢 REGULAR")</f>
        <v>🚢 REGULAR</v>
      </c>
      <c r="E3074" s="3" t="str">
        <f ca="1">IFERROR(__xludf.UNSUPPORTED("""COMPUTED_VALUE"""),"🚛 LIBERADO")</f>
        <v>🚛 LIBERADO</v>
      </c>
      <c r="F3074" s="5">
        <f ca="1">IFERROR(__xludf.UNSUPPORTED("""COMPUTED_VALUE"""),0)</f>
        <v>0</v>
      </c>
      <c r="G3074" s="3" t="str">
        <f ca="1">IFERROR(__xludf.UNSUPPORTED("""COMPUTED_VALUE"""),"Normal")</f>
        <v>Normal</v>
      </c>
      <c r="H3074" s="4">
        <f ca="1">IFERROR(__xludf.UNSUPPORTED("""COMPUTED_VALUE"""),44901.4219212962)</f>
        <v>44901.421921296198</v>
      </c>
      <c r="I3074" s="3">
        <f ca="1">IFERROR(__xludf.UNSUPPORTED("""COMPUTED_VALUE"""),1)</f>
        <v>1</v>
      </c>
      <c r="J3074" s="4">
        <f ca="1">IFERROR(__xludf.UNSUPPORTED("""COMPUTED_VALUE"""),44901.4635879629)</f>
        <v>44901.463587962899</v>
      </c>
    </row>
    <row r="3075" spans="1:12" ht="12.75">
      <c r="A3075" s="3" t="str">
        <f ca="1">IFERROR(__xludf.UNSUPPORTED("""COMPUTED_VALUE"""),"34c3f5bb")</f>
        <v>34c3f5bb</v>
      </c>
      <c r="B3075" s="4">
        <f ca="1">IFERROR(__xludf.UNSUPPORTED("""COMPUTED_VALUE"""),44902.4309606481)</f>
        <v>44902.430960648097</v>
      </c>
      <c r="C3075" s="8" t="str">
        <f ca="1">IFERROR(__xludf.UNSUPPORTED("""COMPUTED_VALUE"""),"Terminal Aquaviário de São Sebastião (Almirante Barroso)")</f>
        <v>Terminal Aquaviário de São Sebastião (Almirante Barroso)</v>
      </c>
      <c r="D3075" s="3" t="str">
        <f ca="1">IFERROR(__xludf.UNSUPPORTED("""COMPUTED_VALUE"""),"🚢 REGULAR")</f>
        <v>🚢 REGULAR</v>
      </c>
      <c r="E3075" s="3" t="str">
        <f ca="1">IFERROR(__xludf.UNSUPPORTED("""COMPUTED_VALUE"""),"🚛 LIBERADO")</f>
        <v>🚛 LIBERADO</v>
      </c>
      <c r="F3075" s="5">
        <f ca="1">IFERROR(__xludf.UNSUPPORTED("""COMPUTED_VALUE"""),0)</f>
        <v>0</v>
      </c>
      <c r="G3075" s="3" t="str">
        <f ca="1">IFERROR(__xludf.UNSUPPORTED("""COMPUTED_VALUE"""),"normal")</f>
        <v>normal</v>
      </c>
      <c r="H3075" s="4">
        <f ca="1">IFERROR(__xludf.UNSUPPORTED("""COMPUTED_VALUE"""),44902.4309606481)</f>
        <v>44902.430960648097</v>
      </c>
      <c r="I3075" s="3">
        <f ca="1">IFERROR(__xludf.UNSUPPORTED("""COMPUTED_VALUE"""),1)</f>
        <v>1</v>
      </c>
      <c r="J3075" s="4">
        <f ca="1">IFERROR(__xludf.UNSUPPORTED("""COMPUTED_VALUE"""),44902.4726273148)</f>
        <v>44902.472627314797</v>
      </c>
    </row>
    <row r="3076" spans="1:12" ht="12.75">
      <c r="A3076" s="3" t="str">
        <f ca="1">IFERROR(__xludf.UNSUPPORTED("""COMPUTED_VALUE"""),"8c73603b")</f>
        <v>8c73603b</v>
      </c>
      <c r="B3076" s="4">
        <f ca="1">IFERROR(__xludf.UNSUPPORTED("""COMPUTED_VALUE"""),44923.386412037)</f>
        <v>44923.386412036998</v>
      </c>
      <c r="C3076" s="8" t="str">
        <f ca="1">IFERROR(__xludf.UNSUPPORTED("""COMPUTED_VALUE"""),"Terminal Aquaviário de São Sebastião (Almirante Barroso)")</f>
        <v>Terminal Aquaviário de São Sebastião (Almirante Barroso)</v>
      </c>
      <c r="D3076" s="3" t="str">
        <f ca="1">IFERROR(__xludf.UNSUPPORTED("""COMPUTED_VALUE"""),"🚢 REGULAR")</f>
        <v>🚢 REGULAR</v>
      </c>
      <c r="E3076" s="3" t="str">
        <f ca="1">IFERROR(__xludf.UNSUPPORTED("""COMPUTED_VALUE"""),"🚛 LIBERADO")</f>
        <v>🚛 LIBERADO</v>
      </c>
      <c r="F3076" s="5">
        <f ca="1">IFERROR(__xludf.UNSUPPORTED("""COMPUTED_VALUE"""),0)</f>
        <v>0</v>
      </c>
      <c r="G3076" s="3" t="str">
        <f ca="1">IFERROR(__xludf.UNSUPPORTED("""COMPUTED_VALUE"""),"normal")</f>
        <v>normal</v>
      </c>
      <c r="H3076" s="4">
        <f ca="1">IFERROR(__xludf.UNSUPPORTED("""COMPUTED_VALUE"""),44923.386412037)</f>
        <v>44923.386412036998</v>
      </c>
      <c r="I3076" s="3">
        <f ca="1">IFERROR(__xludf.UNSUPPORTED("""COMPUTED_VALUE"""),1)</f>
        <v>1</v>
      </c>
      <c r="J3076" s="4">
        <f ca="1">IFERROR(__xludf.UNSUPPORTED("""COMPUTED_VALUE"""),44923.4280787037)</f>
        <v>44923.428078703699</v>
      </c>
    </row>
    <row r="3077" spans="1:12" ht="12.75">
      <c r="A3077" s="3" t="str">
        <f ca="1">IFERROR(__xludf.UNSUPPORTED("""COMPUTED_VALUE"""),"eab5b441")</f>
        <v>eab5b441</v>
      </c>
      <c r="B3077" s="4">
        <f ca="1">IFERROR(__xludf.UNSUPPORTED("""COMPUTED_VALUE"""),44935.3413657407)</f>
        <v>44935.3413657407</v>
      </c>
      <c r="C3077" s="8" t="str">
        <f ca="1">IFERROR(__xludf.UNSUPPORTED("""COMPUTED_VALUE"""),"Terminal Aquaviário de São Sebastião (Almirante Barroso)")</f>
        <v>Terminal Aquaviário de São Sebastião (Almirante Barroso)</v>
      </c>
      <c r="D3077" s="3" t="str">
        <f ca="1">IFERROR(__xludf.UNSUPPORTED("""COMPUTED_VALUE"""),"🚢 REGULAR")</f>
        <v>🚢 REGULAR</v>
      </c>
      <c r="E3077" s="3" t="str">
        <f ca="1">IFERROR(__xludf.UNSUPPORTED("""COMPUTED_VALUE"""),"🚛 LIBERADO")</f>
        <v>🚛 LIBERADO</v>
      </c>
      <c r="F3077" s="5">
        <f ca="1">IFERROR(__xludf.UNSUPPORTED("""COMPUTED_VALUE"""),0)</f>
        <v>0</v>
      </c>
      <c r="G3077" s="3" t="str">
        <f ca="1">IFERROR(__xludf.UNSUPPORTED("""COMPUTED_VALUE"""),"Normalidade")</f>
        <v>Normalidade</v>
      </c>
      <c r="H3077" s="4">
        <f ca="1">IFERROR(__xludf.UNSUPPORTED("""COMPUTED_VALUE"""),44935.3413657407)</f>
        <v>44935.3413657407</v>
      </c>
      <c r="I3077" s="3">
        <f ca="1">IFERROR(__xludf.UNSUPPORTED("""COMPUTED_VALUE"""),24)</f>
        <v>24</v>
      </c>
      <c r="J3077" s="4">
        <f ca="1">IFERROR(__xludf.UNSUPPORTED("""COMPUTED_VALUE"""),44936.3413657407)</f>
        <v>44936.3413657407</v>
      </c>
      <c r="L3077" s="3" t="str">
        <f ca="1">IFERROR(__xludf.UNSUPPORTED("""COMPUTED_VALUE"""),"Normalidade")</f>
        <v>Normalidade</v>
      </c>
    </row>
    <row r="3078" spans="1:12" ht="12.75">
      <c r="A3078" s="3" t="str">
        <f ca="1">IFERROR(__xludf.UNSUPPORTED("""COMPUTED_VALUE"""),"c333c704")</f>
        <v>c333c704</v>
      </c>
      <c r="B3078" s="4">
        <f ca="1">IFERROR(__xludf.UNSUPPORTED("""COMPUTED_VALUE"""),44979.5405787037)</f>
        <v>44979.540578703702</v>
      </c>
      <c r="C3078" s="7" t="str">
        <f ca="1">IFERROR(__xludf.UNSUPPORTED("""COMPUTED_VALUE"""),"Terminal Aquaviário de São Sebastião (Almirante Barroso)")</f>
        <v>Terminal Aquaviário de São Sebastião (Almirante Barroso)</v>
      </c>
      <c r="D3078" s="3" t="str">
        <f ca="1">IFERROR(__xludf.UNSUPPORTED("""COMPUTED_VALUE"""),"🚢 REGULAR")</f>
        <v>🚢 REGULAR</v>
      </c>
      <c r="E3078" s="3" t="str">
        <f ca="1">IFERROR(__xludf.UNSUPPORTED("""COMPUTED_VALUE"""),"🚛 LIBERADO")</f>
        <v>🚛 LIBERADO</v>
      </c>
      <c r="F3078" s="5">
        <f ca="1">IFERROR(__xludf.UNSUPPORTED("""COMPUTED_VALUE"""),0)</f>
        <v>0</v>
      </c>
      <c r="G3078" s="3" t="str">
        <f ca="1">IFERROR(__xludf.UNSUPPORTED("""COMPUTED_VALUE"""),"Normalidade")</f>
        <v>Normalidade</v>
      </c>
      <c r="H3078" s="4">
        <f ca="1">IFERROR(__xludf.UNSUPPORTED("""COMPUTED_VALUE"""),44979.5405787037)</f>
        <v>44979.540578703702</v>
      </c>
      <c r="I3078" s="3">
        <f ca="1">IFERROR(__xludf.UNSUPPORTED("""COMPUTED_VALUE"""),24)</f>
        <v>24</v>
      </c>
      <c r="J3078" s="4">
        <f ca="1">IFERROR(__xludf.UNSUPPORTED("""COMPUTED_VALUE"""),44980.5405787037)</f>
        <v>44980.540578703702</v>
      </c>
    </row>
    <row r="3079" spans="1:12" ht="12.75">
      <c r="A3079" s="3" t="str">
        <f ca="1">IFERROR(__xludf.UNSUPPORTED("""COMPUTED_VALUE"""),"fdfbd1aa")</f>
        <v>fdfbd1aa</v>
      </c>
      <c r="B3079" s="4">
        <f ca="1">IFERROR(__xludf.UNSUPPORTED("""COMPUTED_VALUE"""),45120.6792592592)</f>
        <v>45120.679259259203</v>
      </c>
      <c r="C3079" s="7" t="str">
        <f ca="1">IFERROR(__xludf.UNSUPPORTED("""COMPUTED_VALUE"""),"Terminal Aquaviário de São Sebastião (Almirante Barroso)")</f>
        <v>Terminal Aquaviário de São Sebastião (Almirante Barroso)</v>
      </c>
      <c r="D3079" s="3" t="str">
        <f ca="1">IFERROR(__xludf.UNSUPPORTED("""COMPUTED_VALUE"""),"🚢 REGULAR")</f>
        <v>🚢 REGULAR</v>
      </c>
      <c r="E3079" s="3" t="str">
        <f ca="1">IFERROR(__xludf.UNSUPPORTED("""COMPUTED_VALUE"""),"🚛 LIBERADO")</f>
        <v>🚛 LIBERADO</v>
      </c>
      <c r="F3079" s="5">
        <f ca="1">IFERROR(__xludf.UNSUPPORTED("""COMPUTED_VALUE"""),0)</f>
        <v>0</v>
      </c>
      <c r="G3079" s="3" t="str">
        <f ca="1">IFERROR(__xludf.UNSUPPORTED("""COMPUTED_VALUE"""),"Normalidade")</f>
        <v>Normalidade</v>
      </c>
      <c r="H3079" s="4">
        <f ca="1">IFERROR(__xludf.UNSUPPORTED("""COMPUTED_VALUE"""),45120.6792592592)</f>
        <v>45120.679259259203</v>
      </c>
      <c r="I3079" s="3">
        <f ca="1">IFERROR(__xludf.UNSUPPORTED("""COMPUTED_VALUE"""),24)</f>
        <v>24</v>
      </c>
      <c r="J3079" s="4">
        <f ca="1">IFERROR(__xludf.UNSUPPORTED("""COMPUTED_VALUE"""),45121.6792592592)</f>
        <v>45121.679259259203</v>
      </c>
      <c r="L3079" s="3" t="str">
        <f ca="1">IFERROR(__xludf.UNSUPPORTED("""COMPUTED_VALUE"""),"Normalidade")</f>
        <v>Normalidade</v>
      </c>
    </row>
    <row r="3080" spans="1:12" ht="12.75">
      <c r="A3080" s="3" t="str">
        <f ca="1">IFERROR(__xludf.UNSUPPORTED("""COMPUTED_VALUE"""),"e0dee801")</f>
        <v>e0dee801</v>
      </c>
      <c r="B3080" s="4">
        <f ca="1">IFERROR(__xludf.UNSUPPORTED("""COMPUTED_VALUE"""),45121.5559259259)</f>
        <v>45121.555925925903</v>
      </c>
      <c r="C3080" s="7" t="str">
        <f ca="1">IFERROR(__xludf.UNSUPPORTED("""COMPUTED_VALUE"""),"Terminal Aquaviário de São Sebastião (Almirante Barroso)")</f>
        <v>Terminal Aquaviário de São Sebastião (Almirante Barroso)</v>
      </c>
      <c r="D3080" s="3" t="str">
        <f ca="1">IFERROR(__xludf.UNSUPPORTED("""COMPUTED_VALUE"""),"❗️ PARALISADA")</f>
        <v>❗️ PARALISADA</v>
      </c>
      <c r="E3080" s="3" t="str">
        <f ca="1">IFERROR(__xludf.UNSUPPORTED("""COMPUTED_VALUE"""),"🚛 LIBERADO")</f>
        <v>🚛 LIBERADO</v>
      </c>
      <c r="F3080" s="5">
        <f ca="1">IFERROR(__xludf.UNSUPPORTED("""COMPUTED_VALUE"""),0.25)</f>
        <v>0.25</v>
      </c>
      <c r="G3080" s="3" t="str">
        <f ca="1">IFERROR(__xludf.UNSUPPORTED("""COMPUTED_VALUE"""),"Em virtude  das condições meteorológicas, , o CANAL DO PORTO DE SÃO SEBASTIÃO na condição de *IMPRATICABILIDADE*")</f>
        <v>Em virtude  das condições meteorológicas, , o CANAL DO PORTO DE SÃO SEBASTIÃO na condição de *IMPRATICABILIDADE*</v>
      </c>
      <c r="H3080" s="4">
        <f ca="1">IFERROR(__xludf.UNSUPPORTED("""COMPUTED_VALUE"""),45121.5559259259)</f>
        <v>45121.555925925903</v>
      </c>
      <c r="I3080" s="3">
        <f ca="1">IFERROR(__xludf.UNSUPPORTED("""COMPUTED_VALUE"""),24)</f>
        <v>24</v>
      </c>
      <c r="J3080" s="4">
        <f ca="1">IFERROR(__xludf.UNSUPPORTED("""COMPUTED_VALUE"""),45122.5559259259)</f>
        <v>45122.555925925903</v>
      </c>
      <c r="K3080" s="3" t="str">
        <f ca="1">IFERROR(__xludf.UNSUPPORTED("""COMPUTED_VALUE"""),"Delegacia da Capitania de São Sebastião-SP")</f>
        <v>Delegacia da Capitania de São Sebastião-SP</v>
      </c>
      <c r="L3080" s="3" t="str">
        <f ca="1">IFERROR(__xludf.UNSUPPORTED("""COMPUTED_VALUE"""),"Crítico")</f>
        <v>Crítico</v>
      </c>
    </row>
    <row r="3081" spans="1:12" ht="12.75">
      <c r="A3081" s="3" t="str">
        <f ca="1">IFERROR(__xludf.UNSUPPORTED("""COMPUTED_VALUE"""),"7beb2d35")</f>
        <v>7beb2d35</v>
      </c>
      <c r="B3081" s="4">
        <f ca="1">IFERROR(__xludf.UNSUPPORTED("""COMPUTED_VALUE"""),45121.8280439814)</f>
        <v>45121.828043981397</v>
      </c>
      <c r="C3081" s="7" t="str">
        <f ca="1">IFERROR(__xludf.UNSUPPORTED("""COMPUTED_VALUE"""),"Terminal Aquaviário de São Sebastião (Almirante Barroso)")</f>
        <v>Terminal Aquaviário de São Sebastião (Almirante Barroso)</v>
      </c>
      <c r="D3081" s="3" t="str">
        <f ca="1">IFERROR(__xludf.UNSUPPORTED("""COMPUTED_VALUE"""),"🚢 REGULAR")</f>
        <v>🚢 REGULAR</v>
      </c>
      <c r="E3081" s="3" t="str">
        <f ca="1">IFERROR(__xludf.UNSUPPORTED("""COMPUTED_VALUE"""),"🚛 LIBERADO")</f>
        <v>🚛 LIBERADO</v>
      </c>
      <c r="F3081" s="5">
        <f ca="1">IFERROR(__xludf.UNSUPPORTED("""COMPUTED_VALUE"""),0.25)</f>
        <v>0.25</v>
      </c>
      <c r="G3081" s="3" t="str">
        <f ca="1">IFERROR(__xludf.UNSUPPORTED("""COMPUTED_VALUE"""),"DECLARAÇÃO DE PRATICABILIDADE
Em decorrência das informações recebidas da Praticagem de São Sebastião, por meio do
comunicado nº 08-B/2023, de 14 de julho de 2023, incumbiu-me o Delegado da Capitania dos Portos em
São Sebastião de declarar “Praticabilidad"&amp;"e” das manobras no Cais Comercial, a partir das 18h00 do
dia 14/07/2023, em virtude de melhora nas condições meteorológicas, conforme preconizado no item
0231, 0232 da NORMAM (Normas da Autoridade Marítima para Serviço de Praticagem) No 12 (1a Revisão) e "&amp;"item 0418 da NPCP-SP (Normas e Procedimentos da Capitania dos Portos de São Paulo).")</f>
        <v>DECLARAÇÃO DE PRATICABILIDADE
Em decorrência das informações recebidas da Praticagem de São Sebastião, por meio do
comunicado nº 08-B/2023, de 14 de julho de 2023, incumbiu-me o Delegado da Capitania dos Portos em
São Sebastião de declarar “Praticabilidade” das manobras no Cais Comercial, a partir das 18h00 do
dia 14/07/2023, em virtude de melhora nas condições meteorológicas, conforme preconizado no item
0231, 0232 da NORMAM (Normas da Autoridade Marítima para Serviço de Praticagem) No 12 (1a Revisão) e item 0418 da NPCP-SP (Normas e Procedimentos da Capitania dos Portos de São Paulo).</v>
      </c>
      <c r="H3081" s="4">
        <f ca="1">IFERROR(__xludf.UNSUPPORTED("""COMPUTED_VALUE"""),45121.8280439814)</f>
        <v>45121.828043981397</v>
      </c>
      <c r="I3081" s="3">
        <f ca="1">IFERROR(__xludf.UNSUPPORTED("""COMPUTED_VALUE"""),6)</f>
        <v>6</v>
      </c>
      <c r="J3081" s="4">
        <f ca="1">IFERROR(__xludf.UNSUPPORTED("""COMPUTED_VALUE"""),45122.0780439814)</f>
        <v>45122.078043981397</v>
      </c>
      <c r="K3081" s="3" t="str">
        <f ca="1">IFERROR(__xludf.UNSUPPORTED("""COMPUTED_VALUE"""),"Delegacia da Capitania dos Portos São Sebastião-SP")</f>
        <v>Delegacia da Capitania dos Portos São Sebastião-SP</v>
      </c>
      <c r="L3081" s="3" t="str">
        <f ca="1">IFERROR(__xludf.UNSUPPORTED("""COMPUTED_VALUE"""),"Crítico")</f>
        <v>Crítico</v>
      </c>
    </row>
    <row r="3082" spans="1:12" ht="12.75">
      <c r="A3082" s="3" t="str">
        <f ca="1">IFERROR(__xludf.UNSUPPORTED("""COMPUTED_VALUE"""),"44ce53b9")</f>
        <v>44ce53b9</v>
      </c>
      <c r="B3082" s="4">
        <f ca="1">IFERROR(__xludf.UNSUPPORTED("""COMPUTED_VALUE"""),45146.3078819444)</f>
        <v>45146.307881944398</v>
      </c>
      <c r="C3082" s="8" t="str">
        <f ca="1">IFERROR(__xludf.UNSUPPORTED("""COMPUTED_VALUE"""),"Terminal Aquaviário de São Sebastião (Almirante Barroso)")</f>
        <v>Terminal Aquaviário de São Sebastião (Almirante Barroso)</v>
      </c>
      <c r="D3082" s="3" t="str">
        <f ca="1">IFERROR(__xludf.UNSUPPORTED("""COMPUTED_VALUE"""),"🚢 REGULAR")</f>
        <v>🚢 REGULAR</v>
      </c>
      <c r="E3082" s="3" t="str">
        <f ca="1">IFERROR(__xludf.UNSUPPORTED("""COMPUTED_VALUE"""),"🚛 LIBERADO")</f>
        <v>🚛 LIBERADO</v>
      </c>
      <c r="F3082" s="5">
        <f ca="1">IFERROR(__xludf.UNSUPPORTED("""COMPUTED_VALUE"""),0.25)</f>
        <v>0.25</v>
      </c>
      <c r="G3082" s="3" t="str">
        <f ca="1">IFERROR(__xludf.UNSUPPORTED("""COMPUTED_VALUE"""),"O Delegado da Capitania dos Portos em São Sebastião declarou condições de Implaticabilidade para realização de manobras no: fundeadores Norte e Sul, PP1, PP2, PP3 e PP4 do Tebar, cais Comercial, a partir da 02hs do dia 08/08/23.")</f>
        <v>O Delegado da Capitania dos Portos em São Sebastião declarou condições de Implaticabilidade para realização de manobras no: fundeadores Norte e Sul, PP1, PP2, PP3 e PP4 do Tebar, cais Comercial, a partir da 02hs do dia 08/08/23.</v>
      </c>
      <c r="H3082" s="4">
        <f ca="1">IFERROR(__xludf.UNSUPPORTED("""COMPUTED_VALUE"""),45146.3078819444)</f>
        <v>45146.307881944398</v>
      </c>
      <c r="I3082" s="3">
        <f ca="1">IFERROR(__xludf.UNSUPPORTED("""COMPUTED_VALUE"""),6)</f>
        <v>6</v>
      </c>
      <c r="J3082" s="4">
        <f ca="1">IFERROR(__xludf.UNSUPPORTED("""COMPUTED_VALUE"""),45146.5578819444)</f>
        <v>45146.557881944398</v>
      </c>
      <c r="K3082" s="3" t="str">
        <f ca="1">IFERROR(__xludf.UNSUPPORTED("""COMPUTED_VALUE"""),"Delegacia da Capitania dos Portos em São Sebastião")</f>
        <v>Delegacia da Capitania dos Portos em São Sebastião</v>
      </c>
      <c r="L3082" s="3" t="str">
        <f ca="1">IFERROR(__xludf.UNSUPPORTED("""COMPUTED_VALUE"""),"Crítico")</f>
        <v>Crítico</v>
      </c>
    </row>
    <row r="3083" spans="1:12" ht="12.75">
      <c r="A3083" s="3" t="str">
        <f ca="1">IFERROR(__xludf.UNSUPPORTED("""COMPUTED_VALUE"""),"6d6d73c3")</f>
        <v>6d6d73c3</v>
      </c>
      <c r="B3083" s="4">
        <f ca="1">IFERROR(__xludf.UNSUPPORTED("""COMPUTED_VALUE"""),45147.6421296296)</f>
        <v>45147.642129629603</v>
      </c>
      <c r="C3083" s="7" t="str">
        <f ca="1">IFERROR(__xludf.UNSUPPORTED("""COMPUTED_VALUE"""),"Terminal Aquaviário de São Sebastião (Almirante Barroso)")</f>
        <v>Terminal Aquaviário de São Sebastião (Almirante Barroso)</v>
      </c>
      <c r="D3083" s="3" t="str">
        <f ca="1">IFERROR(__xludf.UNSUPPORTED("""COMPUTED_VALUE"""),"🚢 REGULAR")</f>
        <v>🚢 REGULAR</v>
      </c>
      <c r="E3083" s="3" t="str">
        <f ca="1">IFERROR(__xludf.UNSUPPORTED("""COMPUTED_VALUE"""),"🚛 LIBERADO")</f>
        <v>🚛 LIBERADO</v>
      </c>
      <c r="F3083" s="5">
        <f ca="1">IFERROR(__xludf.UNSUPPORTED("""COMPUTED_VALUE"""),0)</f>
        <v>0</v>
      </c>
      <c r="G3083" s="3" t="str">
        <f ca="1">IFERROR(__xludf.UNSUPPORTED("""COMPUTED_VALUE"""),"Normalidade")</f>
        <v>Normalidade</v>
      </c>
      <c r="H3083" s="4">
        <f ca="1">IFERROR(__xludf.UNSUPPORTED("""COMPUTED_VALUE"""),45147.6421296296)</f>
        <v>45147.642129629603</v>
      </c>
      <c r="I3083" s="3">
        <f ca="1">IFERROR(__xludf.UNSUPPORTED("""COMPUTED_VALUE"""),24)</f>
        <v>24</v>
      </c>
      <c r="J3083" s="4">
        <f ca="1">IFERROR(__xludf.UNSUPPORTED("""COMPUTED_VALUE"""),45148.6421296296)</f>
        <v>45148.642129629603</v>
      </c>
      <c r="L3083" s="3" t="str">
        <f ca="1">IFERROR(__xludf.UNSUPPORTED("""COMPUTED_VALUE"""),"Normalidade")</f>
        <v>Normalidade</v>
      </c>
    </row>
    <row r="3084" spans="1:12" ht="12.75">
      <c r="A3084" s="3" t="str">
        <f ca="1">IFERROR(__xludf.UNSUPPORTED("""COMPUTED_VALUE"""),"32a4bfaf")</f>
        <v>32a4bfaf</v>
      </c>
      <c r="B3084" s="4">
        <f ca="1">IFERROR(__xludf.UNSUPPORTED("""COMPUTED_VALUE"""),45152.218136574)</f>
        <v>45152.218136574003</v>
      </c>
      <c r="C3084" s="8" t="str">
        <f ca="1">IFERROR(__xludf.UNSUPPORTED("""COMPUTED_VALUE"""),"Terminal Aquaviário de São Sebastião (Almirante Barroso)")</f>
        <v>Terminal Aquaviário de São Sebastião (Almirante Barroso)</v>
      </c>
      <c r="D3084" s="3" t="str">
        <f ca="1">IFERROR(__xludf.UNSUPPORTED("""COMPUTED_VALUE"""),"🚢 REGULAR")</f>
        <v>🚢 REGULAR</v>
      </c>
      <c r="E3084" s="3" t="str">
        <f ca="1">IFERROR(__xludf.UNSUPPORTED("""COMPUTED_VALUE"""),"🚛 LIBERADO")</f>
        <v>🚛 LIBERADO</v>
      </c>
      <c r="F3084" s="5">
        <f ca="1">IFERROR(__xludf.UNSUPPORTED("""COMPUTED_VALUE"""),0)</f>
        <v>0</v>
      </c>
      <c r="G3084" s="3" t="str">
        <f ca="1">IFERROR(__xludf.UNSUPPORTED("""COMPUTED_VALUE"""),"Normalidade")</f>
        <v>Normalidade</v>
      </c>
      <c r="H3084" s="4">
        <f ca="1">IFERROR(__xludf.UNSUPPORTED("""COMPUTED_VALUE"""),45152.218136574)</f>
        <v>45152.218136574003</v>
      </c>
      <c r="I3084" s="3">
        <f ca="1">IFERROR(__xludf.UNSUPPORTED("""COMPUTED_VALUE"""),24)</f>
        <v>24</v>
      </c>
      <c r="J3084" s="4">
        <f ca="1">IFERROR(__xludf.UNSUPPORTED("""COMPUTED_VALUE"""),45153.218136574)</f>
        <v>45153.218136574003</v>
      </c>
      <c r="L3084" s="3" t="str">
        <f ca="1">IFERROR(__xludf.UNSUPPORTED("""COMPUTED_VALUE"""),"Normalidade")</f>
        <v>Normalidade</v>
      </c>
    </row>
    <row r="3085" spans="1:12" ht="12.75">
      <c r="A3085" s="3" t="str">
        <f ca="1">IFERROR(__xludf.UNSUPPORTED("""COMPUTED_VALUE"""),"0b7a1821")</f>
        <v>0b7a1821</v>
      </c>
      <c r="B3085" s="4">
        <f ca="1">IFERROR(__xludf.UNSUPPORTED("""COMPUTED_VALUE"""),45157.5425578703)</f>
        <v>45157.5425578703</v>
      </c>
      <c r="C3085" s="7" t="str">
        <f ca="1">IFERROR(__xludf.UNSUPPORTED("""COMPUTED_VALUE"""),"Terminal Aquaviário de São Sebastião (Almirante Barroso)")</f>
        <v>Terminal Aquaviário de São Sebastião (Almirante Barroso)</v>
      </c>
      <c r="D3085" s="3" t="str">
        <f ca="1">IFERROR(__xludf.UNSUPPORTED("""COMPUTED_VALUE"""),"🚢 REGULAR")</f>
        <v>🚢 REGULAR</v>
      </c>
      <c r="E3085" s="3" t="str">
        <f ca="1">IFERROR(__xludf.UNSUPPORTED("""COMPUTED_VALUE"""),"🚛 LIBERADO")</f>
        <v>🚛 LIBERADO</v>
      </c>
      <c r="F3085" s="5">
        <f ca="1">IFERROR(__xludf.UNSUPPORTED("""COMPUTED_VALUE"""),0)</f>
        <v>0</v>
      </c>
      <c r="G3085" s="3" t="str">
        <f ca="1">IFERROR(__xludf.UNSUPPORTED("""COMPUTED_VALUE"""),"Normalidade")</f>
        <v>Normalidade</v>
      </c>
      <c r="H3085" s="4">
        <f ca="1">IFERROR(__xludf.UNSUPPORTED("""COMPUTED_VALUE"""),45157.5425578703)</f>
        <v>45157.5425578703</v>
      </c>
      <c r="I3085" s="3">
        <f ca="1">IFERROR(__xludf.UNSUPPORTED("""COMPUTED_VALUE"""),24)</f>
        <v>24</v>
      </c>
      <c r="J3085" s="4">
        <f ca="1">IFERROR(__xludf.UNSUPPORTED("""COMPUTED_VALUE"""),45158.5425578703)</f>
        <v>45158.5425578703</v>
      </c>
      <c r="L3085" s="3" t="str">
        <f ca="1">IFERROR(__xludf.UNSUPPORTED("""COMPUTED_VALUE"""),"Normalidade")</f>
        <v>Normalidade</v>
      </c>
    </row>
    <row r="3086" spans="1:12" ht="12.75">
      <c r="A3086" s="3" t="str">
        <f ca="1">IFERROR(__xludf.UNSUPPORTED("""COMPUTED_VALUE"""),"9b70e74f")</f>
        <v>9b70e74f</v>
      </c>
      <c r="B3086" s="4">
        <f ca="1">IFERROR(__xludf.UNSUPPORTED("""COMPUTED_VALUE"""),45172.8562384259)</f>
        <v>45172.856238425898</v>
      </c>
      <c r="C3086" s="7" t="str">
        <f ca="1">IFERROR(__xludf.UNSUPPORTED("""COMPUTED_VALUE"""),"Terminal Aquaviário de São Sebastião (Almirante Barroso)")</f>
        <v>Terminal Aquaviário de São Sebastião (Almirante Barroso)</v>
      </c>
      <c r="D3086" s="3" t="str">
        <f ca="1">IFERROR(__xludf.UNSUPPORTED("""COMPUTED_VALUE"""),"🚢 REGULAR")</f>
        <v>🚢 REGULAR</v>
      </c>
      <c r="E3086" s="3" t="str">
        <f ca="1">IFERROR(__xludf.UNSUPPORTED("""COMPUTED_VALUE"""),"🚛 LIBERADO")</f>
        <v>🚛 LIBERADO</v>
      </c>
      <c r="F3086" s="5">
        <f ca="1">IFERROR(__xludf.UNSUPPORTED("""COMPUTED_VALUE"""),0)</f>
        <v>0</v>
      </c>
      <c r="G3086" s="3" t="str">
        <f ca="1">IFERROR(__xludf.UNSUPPORTED("""COMPUTED_VALUE"""),"Normalidade")</f>
        <v>Normalidade</v>
      </c>
      <c r="H3086" s="4">
        <f ca="1">IFERROR(__xludf.UNSUPPORTED("""COMPUTED_VALUE"""),45172.8562384259)</f>
        <v>45172.856238425898</v>
      </c>
      <c r="I3086" s="3">
        <f ca="1">IFERROR(__xludf.UNSUPPORTED("""COMPUTED_VALUE"""),24)</f>
        <v>24</v>
      </c>
      <c r="J3086" s="4">
        <f ca="1">IFERROR(__xludf.UNSUPPORTED("""COMPUTED_VALUE"""),45173.8562384259)</f>
        <v>45173.856238425898</v>
      </c>
      <c r="L3086" s="3" t="str">
        <f ca="1">IFERROR(__xludf.UNSUPPORTED("""COMPUTED_VALUE"""),"Normalidade")</f>
        <v>Normalidade</v>
      </c>
    </row>
    <row r="3087" spans="1:12" ht="12.75">
      <c r="A3087" s="3" t="str">
        <f ca="1">IFERROR(__xludf.UNSUPPORTED("""COMPUTED_VALUE"""),"38830caa")</f>
        <v>38830caa</v>
      </c>
      <c r="B3087" s="4">
        <f ca="1">IFERROR(__xludf.UNSUPPORTED("""COMPUTED_VALUE"""),45174.4950578703)</f>
        <v>45174.495057870299</v>
      </c>
      <c r="C3087" s="7" t="str">
        <f ca="1">IFERROR(__xludf.UNSUPPORTED("""COMPUTED_VALUE"""),"Terminal Aquaviário de São Sebastião (Almirante Barroso)")</f>
        <v>Terminal Aquaviário de São Sebastião (Almirante Barroso)</v>
      </c>
      <c r="D3087" s="3" t="str">
        <f ca="1">IFERROR(__xludf.UNSUPPORTED("""COMPUTED_VALUE"""),"🚢 REGULAR")</f>
        <v>🚢 REGULAR</v>
      </c>
      <c r="E3087" s="3" t="str">
        <f ca="1">IFERROR(__xludf.UNSUPPORTED("""COMPUTED_VALUE"""),"🚛 LIBERADO")</f>
        <v>🚛 LIBERADO</v>
      </c>
      <c r="F3087" s="5">
        <f ca="1">IFERROR(__xludf.UNSUPPORTED("""COMPUTED_VALUE"""),0)</f>
        <v>0</v>
      </c>
      <c r="G3087" s="3" t="str">
        <f ca="1">IFERROR(__xludf.UNSUPPORTED("""COMPUTED_VALUE"""),"Normalidade")</f>
        <v>Normalidade</v>
      </c>
      <c r="H3087" s="4">
        <f ca="1">IFERROR(__xludf.UNSUPPORTED("""COMPUTED_VALUE"""),45174.4950578703)</f>
        <v>45174.495057870299</v>
      </c>
      <c r="I3087" s="3">
        <f ca="1">IFERROR(__xludf.UNSUPPORTED("""COMPUTED_VALUE"""),24)</f>
        <v>24</v>
      </c>
      <c r="J3087" s="4">
        <f ca="1">IFERROR(__xludf.UNSUPPORTED("""COMPUTED_VALUE"""),45175.4950578703)</f>
        <v>45175.495057870299</v>
      </c>
      <c r="L3087" s="3" t="str">
        <f ca="1">IFERROR(__xludf.UNSUPPORTED("""COMPUTED_VALUE"""),"Normalidade")</f>
        <v>Normalidade</v>
      </c>
    </row>
    <row r="3088" spans="1:12" ht="12.75">
      <c r="A3088" s="3" t="str">
        <f ca="1">IFERROR(__xludf.UNSUPPORTED("""COMPUTED_VALUE"""),"3eec1903")</f>
        <v>3eec1903</v>
      </c>
      <c r="B3088" s="4">
        <f ca="1">IFERROR(__xludf.UNSUPPORTED("""COMPUTED_VALUE"""),45212.5141435185)</f>
        <v>45212.5141435185</v>
      </c>
      <c r="C3088" s="8" t="str">
        <f ca="1">IFERROR(__xludf.UNSUPPORTED("""COMPUTED_VALUE"""),"Terminal Aquaviário de São Sebastião (Almirante Barroso)")</f>
        <v>Terminal Aquaviário de São Sebastião (Almirante Barroso)</v>
      </c>
      <c r="D3088" s="3" t="str">
        <f ca="1">IFERROR(__xludf.UNSUPPORTED("""COMPUTED_VALUE"""),"🚢 REGULAR")</f>
        <v>🚢 REGULAR</v>
      </c>
      <c r="E3088" s="3" t="str">
        <f ca="1">IFERROR(__xludf.UNSUPPORTED("""COMPUTED_VALUE"""),"🚛 LIBERADO")</f>
        <v>🚛 LIBERADO</v>
      </c>
      <c r="F3088" s="5">
        <f ca="1">IFERROR(__xludf.UNSUPPORTED("""COMPUTED_VALUE"""),0)</f>
        <v>0</v>
      </c>
      <c r="G3088" s="3" t="str">
        <f ca="1">IFERROR(__xludf.UNSUPPORTED("""COMPUTED_VALUE"""),"Normalidade")</f>
        <v>Normalidade</v>
      </c>
      <c r="H3088" s="4">
        <f ca="1">IFERROR(__xludf.UNSUPPORTED("""COMPUTED_VALUE"""),45212.5141435185)</f>
        <v>45212.5141435185</v>
      </c>
      <c r="I3088" s="3">
        <f ca="1">IFERROR(__xludf.UNSUPPORTED("""COMPUTED_VALUE"""),24)</f>
        <v>24</v>
      </c>
      <c r="J3088" s="4">
        <f ca="1">IFERROR(__xludf.UNSUPPORTED("""COMPUTED_VALUE"""),45213.5141435185)</f>
        <v>45213.5141435185</v>
      </c>
      <c r="L3088" s="3" t="str">
        <f ca="1">IFERROR(__xludf.UNSUPPORTED("""COMPUTED_VALUE"""),"Normalidade")</f>
        <v>Normalidade</v>
      </c>
    </row>
    <row r="3089" spans="1:10" ht="12.75">
      <c r="A3089" s="3" t="str">
        <f ca="1">IFERROR(__xludf.UNSUPPORTED("""COMPUTED_VALUE"""),"9f4fb488")</f>
        <v>9f4fb488</v>
      </c>
      <c r="B3089" s="4">
        <f ca="1">IFERROR(__xludf.UNSUPPORTED("""COMPUTED_VALUE"""),44866.420474537)</f>
        <v>44866.420474537001</v>
      </c>
      <c r="C3089" s="7" t="str">
        <f ca="1">IFERROR(__xludf.UNSUPPORTED("""COMPUTED_VALUE"""),"Terminal Portuário do Pecém")</f>
        <v>Terminal Portuário do Pecém</v>
      </c>
      <c r="D3089" s="3" t="str">
        <f ca="1">IFERROR(__xludf.UNSUPPORTED("""COMPUTED_VALUE"""),"🚢 REGULAR")</f>
        <v>🚢 REGULAR</v>
      </c>
      <c r="E3089" s="3" t="str">
        <f ca="1">IFERROR(__xludf.UNSUPPORTED("""COMPUTED_VALUE"""),"🚛 LIBERADO")</f>
        <v>🚛 LIBERADO</v>
      </c>
      <c r="F3089" s="5">
        <f ca="1">IFERROR(__xludf.UNSUPPORTED("""COMPUTED_VALUE"""),0)</f>
        <v>0</v>
      </c>
      <c r="G3089" s="3" t="str">
        <f ca="1">IFERROR(__xludf.UNSUPPORTED("""COMPUTED_VALUE"""),"operação normal")</f>
        <v>operação normal</v>
      </c>
      <c r="H3089" s="4">
        <f ca="1">IFERROR(__xludf.UNSUPPORTED("""COMPUTED_VALUE"""),44871.8125)</f>
        <v>44871.8125</v>
      </c>
      <c r="I3089" s="3">
        <f ca="1">IFERROR(__xludf.UNSUPPORTED("""COMPUTED_VALUE"""),24)</f>
        <v>24</v>
      </c>
      <c r="J3089" s="4">
        <f ca="1">IFERROR(__xludf.UNSUPPORTED("""COMPUTED_VALUE"""),44872.8125)</f>
        <v>44872.8125</v>
      </c>
    </row>
    <row r="3090" spans="1:10" ht="12.75">
      <c r="A3090" s="3" t="str">
        <f ca="1">IFERROR(__xludf.UNSUPPORTED("""COMPUTED_VALUE"""),"30ee9ff5")</f>
        <v>30ee9ff5</v>
      </c>
      <c r="B3090" s="4">
        <f ca="1">IFERROR(__xludf.UNSUPPORTED("""COMPUTED_VALUE"""),44884.4566898148)</f>
        <v>44884.456689814797</v>
      </c>
      <c r="C3090" s="7" t="str">
        <f ca="1">IFERROR(__xludf.UNSUPPORTED("""COMPUTED_VALUE"""),"Terminal Portuário do Pecém")</f>
        <v>Terminal Portuário do Pecém</v>
      </c>
      <c r="D3090" s="3" t="str">
        <f ca="1">IFERROR(__xludf.UNSUPPORTED("""COMPUTED_VALUE"""),"🚢 REGULAR")</f>
        <v>🚢 REGULAR</v>
      </c>
      <c r="E3090" s="3" t="str">
        <f ca="1">IFERROR(__xludf.UNSUPPORTED("""COMPUTED_VALUE"""),"🚛 LIBERADO")</f>
        <v>🚛 LIBERADO</v>
      </c>
      <c r="F3090" s="5">
        <f ca="1">IFERROR(__xludf.UNSUPPORTED("""COMPUTED_VALUE"""),0)</f>
        <v>0</v>
      </c>
      <c r="G3090" s="3" t="str">
        <f ca="1">IFERROR(__xludf.UNSUPPORTED("""COMPUTED_VALUE"""),"normal")</f>
        <v>normal</v>
      </c>
      <c r="H3090" s="4">
        <f ca="1">IFERROR(__xludf.UNSUPPORTED("""COMPUTED_VALUE"""),44884.4566898148)</f>
        <v>44884.456689814797</v>
      </c>
      <c r="I3090" s="3">
        <f ca="1">IFERROR(__xludf.UNSUPPORTED("""COMPUTED_VALUE"""),24)</f>
        <v>24</v>
      </c>
      <c r="J3090" s="4">
        <f ca="1">IFERROR(__xludf.UNSUPPORTED("""COMPUTED_VALUE"""),44885.4566898148)</f>
        <v>44885.456689814797</v>
      </c>
    </row>
    <row r="3091" spans="1:10" ht="12.75">
      <c r="A3091" s="3" t="str">
        <f ca="1">IFERROR(__xludf.UNSUPPORTED("""COMPUTED_VALUE"""),"d68c11d0")</f>
        <v>d68c11d0</v>
      </c>
      <c r="B3091" s="4">
        <f ca="1">IFERROR(__xludf.UNSUPPORTED("""COMPUTED_VALUE"""),44886.3922106481)</f>
        <v>44886.392210648097</v>
      </c>
      <c r="C3091" s="7" t="str">
        <f ca="1">IFERROR(__xludf.UNSUPPORTED("""COMPUTED_VALUE"""),"Terminal Portuário do Pecém")</f>
        <v>Terminal Portuário do Pecém</v>
      </c>
      <c r="D3091" s="3" t="str">
        <f ca="1">IFERROR(__xludf.UNSUPPORTED("""COMPUTED_VALUE"""),"🚢 REGULAR")</f>
        <v>🚢 REGULAR</v>
      </c>
      <c r="E3091" s="3" t="str">
        <f ca="1">IFERROR(__xludf.UNSUPPORTED("""COMPUTED_VALUE"""),"🚛 LIBERADO")</f>
        <v>🚛 LIBERADO</v>
      </c>
      <c r="F3091" s="5">
        <f ca="1">IFERROR(__xludf.UNSUPPORTED("""COMPUTED_VALUE"""),0)</f>
        <v>0</v>
      </c>
      <c r="G3091" s="3" t="str">
        <f ca="1">IFERROR(__xludf.UNSUPPORTED("""COMPUTED_VALUE"""),"normalidade")</f>
        <v>normalidade</v>
      </c>
      <c r="H3091" s="4">
        <f ca="1">IFERROR(__xludf.UNSUPPORTED("""COMPUTED_VALUE"""),44887.3922106481)</f>
        <v>44887.392210648097</v>
      </c>
      <c r="I3091" s="3">
        <f ca="1">IFERROR(__xludf.UNSUPPORTED("""COMPUTED_VALUE"""),24)</f>
        <v>24</v>
      </c>
      <c r="J3091" s="4">
        <f ca="1">IFERROR(__xludf.UNSUPPORTED("""COMPUTED_VALUE"""),44888.3922106481)</f>
        <v>44888.392210648097</v>
      </c>
    </row>
    <row r="3092" spans="1:10" ht="12.75">
      <c r="A3092" s="3" t="str">
        <f ca="1">IFERROR(__xludf.UNSUPPORTED("""COMPUTED_VALUE"""),"8eefdeb5")</f>
        <v>8eefdeb5</v>
      </c>
      <c r="B3092" s="4">
        <f ca="1">IFERROR(__xludf.UNSUPPORTED("""COMPUTED_VALUE"""),44888.3839583333)</f>
        <v>44888.383958333303</v>
      </c>
      <c r="C3092" s="8" t="str">
        <f ca="1">IFERROR(__xludf.UNSUPPORTED("""COMPUTED_VALUE"""),"Terminal Portuário do Pecém")</f>
        <v>Terminal Portuário do Pecém</v>
      </c>
      <c r="D3092" s="3" t="str">
        <f ca="1">IFERROR(__xludf.UNSUPPORTED("""COMPUTED_VALUE"""),"🚢 REGULAR")</f>
        <v>🚢 REGULAR</v>
      </c>
      <c r="E3092" s="3" t="str">
        <f ca="1">IFERROR(__xludf.UNSUPPORTED("""COMPUTED_VALUE"""),"🚛 LIBERADO")</f>
        <v>🚛 LIBERADO</v>
      </c>
      <c r="F3092" s="5">
        <f ca="1">IFERROR(__xludf.UNSUPPORTED("""COMPUTED_VALUE"""),0)</f>
        <v>0</v>
      </c>
      <c r="G3092" s="3" t="str">
        <f ca="1">IFERROR(__xludf.UNSUPPORTED("""COMPUTED_VALUE"""),"Normalidade")</f>
        <v>Normalidade</v>
      </c>
      <c r="H3092" s="4">
        <f ca="1">IFERROR(__xludf.UNSUPPORTED("""COMPUTED_VALUE"""),44888.3839583333)</f>
        <v>44888.383958333303</v>
      </c>
      <c r="I3092" s="3">
        <f ca="1">IFERROR(__xludf.UNSUPPORTED("""COMPUTED_VALUE"""),24)</f>
        <v>24</v>
      </c>
      <c r="J3092" s="4">
        <f ca="1">IFERROR(__xludf.UNSUPPORTED("""COMPUTED_VALUE"""),44889.3839583333)</f>
        <v>44889.383958333303</v>
      </c>
    </row>
    <row r="3093" spans="1:10" ht="12.75">
      <c r="A3093" s="3" t="str">
        <f ca="1">IFERROR(__xludf.UNSUPPORTED("""COMPUTED_VALUE"""),"d2ab962d")</f>
        <v>d2ab962d</v>
      </c>
      <c r="B3093" s="4">
        <f ca="1">IFERROR(__xludf.UNSUPPORTED("""COMPUTED_VALUE"""),44889.4666435185)</f>
        <v>44889.466643518499</v>
      </c>
      <c r="C3093" s="8" t="str">
        <f ca="1">IFERROR(__xludf.UNSUPPORTED("""COMPUTED_VALUE"""),"Terminal Portuário do Pecém")</f>
        <v>Terminal Portuário do Pecém</v>
      </c>
      <c r="D3093" s="3" t="str">
        <f ca="1">IFERROR(__xludf.UNSUPPORTED("""COMPUTED_VALUE"""),"🚢 REGULAR")</f>
        <v>🚢 REGULAR</v>
      </c>
      <c r="E3093" s="3" t="str">
        <f ca="1">IFERROR(__xludf.UNSUPPORTED("""COMPUTED_VALUE"""),"🚛 LIBERADO")</f>
        <v>🚛 LIBERADO</v>
      </c>
      <c r="F3093" s="5">
        <f ca="1">IFERROR(__xludf.UNSUPPORTED("""COMPUTED_VALUE"""),0)</f>
        <v>0</v>
      </c>
      <c r="G3093" s="3" t="str">
        <f ca="1">IFERROR(__xludf.UNSUPPORTED("""COMPUTED_VALUE"""),"Normalidade")</f>
        <v>Normalidade</v>
      </c>
      <c r="H3093" s="4">
        <f ca="1">IFERROR(__xludf.UNSUPPORTED("""COMPUTED_VALUE"""),44891.4270833333)</f>
        <v>44891.427083333299</v>
      </c>
      <c r="I3093" s="3">
        <f ca="1">IFERROR(__xludf.UNSUPPORTED("""COMPUTED_VALUE"""),24)</f>
        <v>24</v>
      </c>
      <c r="J3093" s="4">
        <f ca="1">IFERROR(__xludf.UNSUPPORTED("""COMPUTED_VALUE"""),44892.4270833333)</f>
        <v>44892.427083333299</v>
      </c>
    </row>
    <row r="3094" spans="1:10" ht="12.75">
      <c r="A3094" s="3" t="str">
        <f ca="1">IFERROR(__xludf.UNSUPPORTED("""COMPUTED_VALUE"""),"b3f1dce3")</f>
        <v>b3f1dce3</v>
      </c>
      <c r="B3094" s="4">
        <f ca="1">IFERROR(__xludf.UNSUPPORTED("""COMPUTED_VALUE"""),44892.6655555555)</f>
        <v>44892.665555555497</v>
      </c>
      <c r="C3094" s="7" t="str">
        <f ca="1">IFERROR(__xludf.UNSUPPORTED("""COMPUTED_VALUE"""),"Terminal Portuário do Pecém")</f>
        <v>Terminal Portuário do Pecém</v>
      </c>
      <c r="D3094" s="3" t="str">
        <f ca="1">IFERROR(__xludf.UNSUPPORTED("""COMPUTED_VALUE"""),"🚢 REGULAR")</f>
        <v>🚢 REGULAR</v>
      </c>
      <c r="E3094" s="3" t="str">
        <f ca="1">IFERROR(__xludf.UNSUPPORTED("""COMPUTED_VALUE"""),"🚛 LIBERADO")</f>
        <v>🚛 LIBERADO</v>
      </c>
      <c r="F3094" s="5">
        <f ca="1">IFERROR(__xludf.UNSUPPORTED("""COMPUTED_VALUE"""),0)</f>
        <v>0</v>
      </c>
      <c r="G3094" s="3" t="str">
        <f ca="1">IFERROR(__xludf.UNSUPPORTED("""COMPUTED_VALUE"""),"Normalidade")</f>
        <v>Normalidade</v>
      </c>
      <c r="H3094" s="4">
        <f ca="1">IFERROR(__xludf.UNSUPPORTED("""COMPUTED_VALUE"""),44892.6655555555)</f>
        <v>44892.665555555497</v>
      </c>
      <c r="I3094" s="3">
        <f ca="1">IFERROR(__xludf.UNSUPPORTED("""COMPUTED_VALUE"""),24)</f>
        <v>24</v>
      </c>
      <c r="J3094" s="4">
        <f ca="1">IFERROR(__xludf.UNSUPPORTED("""COMPUTED_VALUE"""),44893.6655555555)</f>
        <v>44893.665555555497</v>
      </c>
    </row>
    <row r="3095" spans="1:10" ht="12.75">
      <c r="A3095" s="3" t="str">
        <f ca="1">IFERROR(__xludf.UNSUPPORTED("""COMPUTED_VALUE"""),"e6685bc7")</f>
        <v>e6685bc7</v>
      </c>
      <c r="B3095" s="4">
        <f ca="1">IFERROR(__xludf.UNSUPPORTED("""COMPUTED_VALUE"""),44893.4495717592)</f>
        <v>44893.4495717592</v>
      </c>
      <c r="C3095" s="7" t="str">
        <f ca="1">IFERROR(__xludf.UNSUPPORTED("""COMPUTED_VALUE"""),"Terminal Portuário do Pecém")</f>
        <v>Terminal Portuário do Pecém</v>
      </c>
      <c r="D3095" s="3" t="str">
        <f ca="1">IFERROR(__xludf.UNSUPPORTED("""COMPUTED_VALUE"""),"🚢 REGULAR")</f>
        <v>🚢 REGULAR</v>
      </c>
      <c r="E3095" s="3" t="str">
        <f ca="1">IFERROR(__xludf.UNSUPPORTED("""COMPUTED_VALUE"""),"🚛 LIBERADO")</f>
        <v>🚛 LIBERADO</v>
      </c>
      <c r="F3095" s="5">
        <f ca="1">IFERROR(__xludf.UNSUPPORTED("""COMPUTED_VALUE"""),0)</f>
        <v>0</v>
      </c>
      <c r="G3095" s="3" t="str">
        <f ca="1">IFERROR(__xludf.UNSUPPORTED("""COMPUTED_VALUE"""),"Normalidade")</f>
        <v>Normalidade</v>
      </c>
      <c r="H3095" s="4">
        <f ca="1">IFERROR(__xludf.UNSUPPORTED("""COMPUTED_VALUE"""),44895.3743055555)</f>
        <v>44895.374305555502</v>
      </c>
      <c r="I3095" s="3">
        <f ca="1">IFERROR(__xludf.UNSUPPORTED("""COMPUTED_VALUE"""),24)</f>
        <v>24</v>
      </c>
      <c r="J3095" s="4">
        <f ca="1">IFERROR(__xludf.UNSUPPORTED("""COMPUTED_VALUE"""),44896.3743055555)</f>
        <v>44896.374305555502</v>
      </c>
    </row>
    <row r="3096" spans="1:10" ht="12.75">
      <c r="A3096" s="3" t="str">
        <f ca="1">IFERROR(__xludf.UNSUPPORTED("""COMPUTED_VALUE"""),"ebe37015")</f>
        <v>ebe37015</v>
      </c>
      <c r="B3096" s="4">
        <f ca="1">IFERROR(__xludf.UNSUPPORTED("""COMPUTED_VALUE"""),44896.3238888888)</f>
        <v>44896.323888888801</v>
      </c>
      <c r="C3096" s="8" t="str">
        <f ca="1">IFERROR(__xludf.UNSUPPORTED("""COMPUTED_VALUE"""),"Terminal Portuário do Pecém")</f>
        <v>Terminal Portuário do Pecém</v>
      </c>
      <c r="D3096" s="3" t="str">
        <f ca="1">IFERROR(__xludf.UNSUPPORTED("""COMPUTED_VALUE"""),"🚢 REGULAR")</f>
        <v>🚢 REGULAR</v>
      </c>
      <c r="E3096" s="3" t="str">
        <f ca="1">IFERROR(__xludf.UNSUPPORTED("""COMPUTED_VALUE"""),"🚛 LIBERADO")</f>
        <v>🚛 LIBERADO</v>
      </c>
      <c r="F3096" s="5">
        <f ca="1">IFERROR(__xludf.UNSUPPORTED("""COMPUTED_VALUE"""),0)</f>
        <v>0</v>
      </c>
      <c r="G3096" s="3" t="str">
        <f ca="1">IFERROR(__xludf.UNSUPPORTED("""COMPUTED_VALUE"""),"Normalidade")</f>
        <v>Normalidade</v>
      </c>
      <c r="H3096" s="4">
        <f ca="1">IFERROR(__xludf.UNSUPPORTED("""COMPUTED_VALUE"""),44896.3238888888)</f>
        <v>44896.323888888801</v>
      </c>
      <c r="I3096" s="3">
        <f ca="1">IFERROR(__xludf.UNSUPPORTED("""COMPUTED_VALUE"""),24)</f>
        <v>24</v>
      </c>
      <c r="J3096" s="4">
        <f ca="1">IFERROR(__xludf.UNSUPPORTED("""COMPUTED_VALUE"""),44897.3238888888)</f>
        <v>44897.323888888801</v>
      </c>
    </row>
    <row r="3097" spans="1:10" ht="12.75">
      <c r="A3097" s="3" t="str">
        <f ca="1">IFERROR(__xludf.UNSUPPORTED("""COMPUTED_VALUE"""),"17faa425")</f>
        <v>17faa425</v>
      </c>
      <c r="B3097" s="4">
        <f ca="1">IFERROR(__xludf.UNSUPPORTED("""COMPUTED_VALUE"""),44897.3518402777)</f>
        <v>44897.351840277697</v>
      </c>
      <c r="C3097" s="7" t="str">
        <f ca="1">IFERROR(__xludf.UNSUPPORTED("""COMPUTED_VALUE"""),"Terminal Portuário do Pecém")</f>
        <v>Terminal Portuário do Pecém</v>
      </c>
      <c r="D3097" s="3" t="str">
        <f ca="1">IFERROR(__xludf.UNSUPPORTED("""COMPUTED_VALUE"""),"🚢 REGULAR")</f>
        <v>🚢 REGULAR</v>
      </c>
      <c r="E3097" s="3" t="str">
        <f ca="1">IFERROR(__xludf.UNSUPPORTED("""COMPUTED_VALUE"""),"🚛 LIBERADO")</f>
        <v>🚛 LIBERADO</v>
      </c>
      <c r="F3097" s="5">
        <f ca="1">IFERROR(__xludf.UNSUPPORTED("""COMPUTED_VALUE"""),0)</f>
        <v>0</v>
      </c>
      <c r="G3097" s="3" t="str">
        <f ca="1">IFERROR(__xludf.UNSUPPORTED("""COMPUTED_VALUE"""),"Normalidade")</f>
        <v>Normalidade</v>
      </c>
      <c r="H3097" s="4">
        <f ca="1">IFERROR(__xludf.UNSUPPORTED("""COMPUTED_VALUE"""),44897.3518402777)</f>
        <v>44897.351840277697</v>
      </c>
      <c r="I3097" s="3">
        <f ca="1">IFERROR(__xludf.UNSUPPORTED("""COMPUTED_VALUE"""),24)</f>
        <v>24</v>
      </c>
      <c r="J3097" s="4">
        <f ca="1">IFERROR(__xludf.UNSUPPORTED("""COMPUTED_VALUE"""),44898.3518402777)</f>
        <v>44898.351840277697</v>
      </c>
    </row>
    <row r="3098" spans="1:10" ht="12.75">
      <c r="A3098" s="3" t="str">
        <f ca="1">IFERROR(__xludf.UNSUPPORTED("""COMPUTED_VALUE"""),"b9c230d1")</f>
        <v>b9c230d1</v>
      </c>
      <c r="B3098" s="4">
        <f ca="1">IFERROR(__xludf.UNSUPPORTED("""COMPUTED_VALUE"""),44900.4258333333)</f>
        <v>44900.425833333298</v>
      </c>
      <c r="C3098" s="8" t="str">
        <f ca="1">IFERROR(__xludf.UNSUPPORTED("""COMPUTED_VALUE"""),"Terminal Portuário do Pecém")</f>
        <v>Terminal Portuário do Pecém</v>
      </c>
      <c r="D3098" s="3" t="str">
        <f ca="1">IFERROR(__xludf.UNSUPPORTED("""COMPUTED_VALUE"""),"🚢 REGULAR")</f>
        <v>🚢 REGULAR</v>
      </c>
      <c r="E3098" s="3" t="str">
        <f ca="1">IFERROR(__xludf.UNSUPPORTED("""COMPUTED_VALUE"""),"🚛 LIBERADO")</f>
        <v>🚛 LIBERADO</v>
      </c>
      <c r="F3098" s="5">
        <f ca="1">IFERROR(__xludf.UNSUPPORTED("""COMPUTED_VALUE"""),0)</f>
        <v>0</v>
      </c>
      <c r="G3098" s="3" t="str">
        <f ca="1">IFERROR(__xludf.UNSUPPORTED("""COMPUTED_VALUE"""),"Normalidade")</f>
        <v>Normalidade</v>
      </c>
      <c r="H3098" s="4">
        <f ca="1">IFERROR(__xludf.UNSUPPORTED("""COMPUTED_VALUE"""),44900.4258333333)</f>
        <v>44900.425833333298</v>
      </c>
      <c r="I3098" s="3">
        <f ca="1">IFERROR(__xludf.UNSUPPORTED("""COMPUTED_VALUE"""),24)</f>
        <v>24</v>
      </c>
      <c r="J3098" s="4">
        <f ca="1">IFERROR(__xludf.UNSUPPORTED("""COMPUTED_VALUE"""),44901.4258333333)</f>
        <v>44901.425833333298</v>
      </c>
    </row>
    <row r="3099" spans="1:10" ht="12.75">
      <c r="A3099" s="3" t="str">
        <f ca="1">IFERROR(__xludf.UNSUPPORTED("""COMPUTED_VALUE"""),"cc4b3e9f")</f>
        <v>cc4b3e9f</v>
      </c>
      <c r="B3099" s="4">
        <f ca="1">IFERROR(__xludf.UNSUPPORTED("""COMPUTED_VALUE"""),44901.370949074)</f>
        <v>44901.370949074</v>
      </c>
      <c r="C3099" s="7" t="str">
        <f ca="1">IFERROR(__xludf.UNSUPPORTED("""COMPUTED_VALUE"""),"Terminal Portuário do Pecém")</f>
        <v>Terminal Portuário do Pecém</v>
      </c>
      <c r="D3099" s="3" t="str">
        <f ca="1">IFERROR(__xludf.UNSUPPORTED("""COMPUTED_VALUE"""),"🚢 REGULAR")</f>
        <v>🚢 REGULAR</v>
      </c>
      <c r="E3099" s="3" t="str">
        <f ca="1">IFERROR(__xludf.UNSUPPORTED("""COMPUTED_VALUE"""),"🚛 LIBERADO")</f>
        <v>🚛 LIBERADO</v>
      </c>
      <c r="F3099" s="5">
        <f ca="1">IFERROR(__xludf.UNSUPPORTED("""COMPUTED_VALUE"""),0)</f>
        <v>0</v>
      </c>
      <c r="G3099" s="3" t="str">
        <f ca="1">IFERROR(__xludf.UNSUPPORTED("""COMPUTED_VALUE"""),"Normalidade")</f>
        <v>Normalidade</v>
      </c>
      <c r="H3099" s="4">
        <f ca="1">IFERROR(__xludf.UNSUPPORTED("""COMPUTED_VALUE"""),44901.370949074)</f>
        <v>44901.370949074</v>
      </c>
      <c r="I3099" s="3">
        <f ca="1">IFERROR(__xludf.UNSUPPORTED("""COMPUTED_VALUE"""),24)</f>
        <v>24</v>
      </c>
      <c r="J3099" s="4">
        <f ca="1">IFERROR(__xludf.UNSUPPORTED("""COMPUTED_VALUE"""),44902.370949074)</f>
        <v>44902.370949074</v>
      </c>
    </row>
    <row r="3100" spans="1:10" ht="12.75">
      <c r="A3100" s="3" t="str">
        <f ca="1">IFERROR(__xludf.UNSUPPORTED("""COMPUTED_VALUE"""),"ad42aacc")</f>
        <v>ad42aacc</v>
      </c>
      <c r="B3100" s="4">
        <f ca="1">IFERROR(__xludf.UNSUPPORTED("""COMPUTED_VALUE"""),44902.3897337963)</f>
        <v>44902.389733796299</v>
      </c>
      <c r="C3100" s="8" t="str">
        <f ca="1">IFERROR(__xludf.UNSUPPORTED("""COMPUTED_VALUE"""),"Terminal Portuário do Pecém")</f>
        <v>Terminal Portuário do Pecém</v>
      </c>
      <c r="D3100" s="3" t="str">
        <f ca="1">IFERROR(__xludf.UNSUPPORTED("""COMPUTED_VALUE"""),"🚢 REGULAR")</f>
        <v>🚢 REGULAR</v>
      </c>
      <c r="E3100" s="3" t="str">
        <f ca="1">IFERROR(__xludf.UNSUPPORTED("""COMPUTED_VALUE"""),"🚛 LIBERADO")</f>
        <v>🚛 LIBERADO</v>
      </c>
      <c r="F3100" s="5">
        <f ca="1">IFERROR(__xludf.UNSUPPORTED("""COMPUTED_VALUE"""),0)</f>
        <v>0</v>
      </c>
      <c r="G3100" s="3" t="str">
        <f ca="1">IFERROR(__xludf.UNSUPPORTED("""COMPUTED_VALUE"""),"Normalidade")</f>
        <v>Normalidade</v>
      </c>
      <c r="H3100" s="4">
        <f ca="1">IFERROR(__xludf.UNSUPPORTED("""COMPUTED_VALUE"""),44902.3897337963)</f>
        <v>44902.389733796299</v>
      </c>
      <c r="I3100" s="3">
        <f ca="1">IFERROR(__xludf.UNSUPPORTED("""COMPUTED_VALUE"""),24)</f>
        <v>24</v>
      </c>
      <c r="J3100" s="4">
        <f ca="1">IFERROR(__xludf.UNSUPPORTED("""COMPUTED_VALUE"""),44903.3897337963)</f>
        <v>44903.389733796299</v>
      </c>
    </row>
    <row r="3101" spans="1:10" ht="12.75">
      <c r="A3101" s="3" t="str">
        <f ca="1">IFERROR(__xludf.UNSUPPORTED("""COMPUTED_VALUE"""),"fbf6bc53")</f>
        <v>fbf6bc53</v>
      </c>
      <c r="B3101" s="4">
        <f ca="1">IFERROR(__xludf.UNSUPPORTED("""COMPUTED_VALUE"""),44903.3637152777)</f>
        <v>44903.363715277701</v>
      </c>
      <c r="C3101" s="8" t="str">
        <f ca="1">IFERROR(__xludf.UNSUPPORTED("""COMPUTED_VALUE"""),"Terminal Portuário do Pecém")</f>
        <v>Terminal Portuário do Pecém</v>
      </c>
      <c r="D3101" s="3" t="str">
        <f ca="1">IFERROR(__xludf.UNSUPPORTED("""COMPUTED_VALUE"""),"🚢 REGULAR")</f>
        <v>🚢 REGULAR</v>
      </c>
      <c r="E3101" s="3" t="str">
        <f ca="1">IFERROR(__xludf.UNSUPPORTED("""COMPUTED_VALUE"""),"🚛 LIBERADO")</f>
        <v>🚛 LIBERADO</v>
      </c>
      <c r="F3101" s="5">
        <f ca="1">IFERROR(__xludf.UNSUPPORTED("""COMPUTED_VALUE"""),0)</f>
        <v>0</v>
      </c>
      <c r="G3101" s="3" t="str">
        <f ca="1">IFERROR(__xludf.UNSUPPORTED("""COMPUTED_VALUE"""),"Normalidade")</f>
        <v>Normalidade</v>
      </c>
      <c r="H3101" s="4">
        <f ca="1">IFERROR(__xludf.UNSUPPORTED("""COMPUTED_VALUE"""),44903.3637152777)</f>
        <v>44903.363715277701</v>
      </c>
      <c r="I3101" s="3">
        <f ca="1">IFERROR(__xludf.UNSUPPORTED("""COMPUTED_VALUE"""),23)</f>
        <v>23</v>
      </c>
      <c r="J3101" s="4">
        <f ca="1">IFERROR(__xludf.UNSUPPORTED("""COMPUTED_VALUE"""),44904.3220486111)</f>
        <v>44904.322048611102</v>
      </c>
    </row>
    <row r="3102" spans="1:10" ht="12.75">
      <c r="A3102" s="3" t="str">
        <f ca="1">IFERROR(__xludf.UNSUPPORTED("""COMPUTED_VALUE"""),"485d796a")</f>
        <v>485d796a</v>
      </c>
      <c r="B3102" s="4">
        <f ca="1">IFERROR(__xludf.UNSUPPORTED("""COMPUTED_VALUE"""),44904.3764351851)</f>
        <v>44904.376435185099</v>
      </c>
      <c r="C3102" s="7" t="str">
        <f ca="1">IFERROR(__xludf.UNSUPPORTED("""COMPUTED_VALUE"""),"Terminal Portuário do Pecém")</f>
        <v>Terminal Portuário do Pecém</v>
      </c>
      <c r="D3102" s="3" t="str">
        <f ca="1">IFERROR(__xludf.UNSUPPORTED("""COMPUTED_VALUE"""),"🚢 REGULAR")</f>
        <v>🚢 REGULAR</v>
      </c>
      <c r="E3102" s="3" t="str">
        <f ca="1">IFERROR(__xludf.UNSUPPORTED("""COMPUTED_VALUE"""),"🚛 LIBERADO")</f>
        <v>🚛 LIBERADO</v>
      </c>
      <c r="F3102" s="5">
        <f ca="1">IFERROR(__xludf.UNSUPPORTED("""COMPUTED_VALUE"""),0)</f>
        <v>0</v>
      </c>
      <c r="G3102" s="3" t="str">
        <f ca="1">IFERROR(__xludf.UNSUPPORTED("""COMPUTED_VALUE"""),"Normalidade")</f>
        <v>Normalidade</v>
      </c>
      <c r="H3102" s="4">
        <f ca="1">IFERROR(__xludf.UNSUPPORTED("""COMPUTED_VALUE"""),44904.3764351851)</f>
        <v>44904.376435185099</v>
      </c>
      <c r="I3102" s="3">
        <f ca="1">IFERROR(__xludf.UNSUPPORTED("""COMPUTED_VALUE"""),24)</f>
        <v>24</v>
      </c>
      <c r="J3102" s="4">
        <f ca="1">IFERROR(__xludf.UNSUPPORTED("""COMPUTED_VALUE"""),44905.3764351851)</f>
        <v>44905.376435185099</v>
      </c>
    </row>
    <row r="3103" spans="1:10" ht="12.75">
      <c r="A3103" s="3" t="str">
        <f ca="1">IFERROR(__xludf.UNSUPPORTED("""COMPUTED_VALUE"""),"e84a55f4")</f>
        <v>e84a55f4</v>
      </c>
      <c r="B3103" s="4">
        <f ca="1">IFERROR(__xludf.UNSUPPORTED("""COMPUTED_VALUE"""),44905.414375)</f>
        <v>44905.414375</v>
      </c>
      <c r="C3103" s="7" t="str">
        <f ca="1">IFERROR(__xludf.UNSUPPORTED("""COMPUTED_VALUE"""),"Terminal Portuário do Pecém")</f>
        <v>Terminal Portuário do Pecém</v>
      </c>
      <c r="D3103" s="3" t="str">
        <f ca="1">IFERROR(__xludf.UNSUPPORTED("""COMPUTED_VALUE"""),"🚢 REGULAR")</f>
        <v>🚢 REGULAR</v>
      </c>
      <c r="E3103" s="3" t="str">
        <f ca="1">IFERROR(__xludf.UNSUPPORTED("""COMPUTED_VALUE"""),"🚛 LIBERADO")</f>
        <v>🚛 LIBERADO</v>
      </c>
      <c r="F3103" s="5">
        <f ca="1">IFERROR(__xludf.UNSUPPORTED("""COMPUTED_VALUE"""),0)</f>
        <v>0</v>
      </c>
      <c r="G3103" s="3" t="str">
        <f ca="1">IFERROR(__xludf.UNSUPPORTED("""COMPUTED_VALUE"""),"Normalidade")</f>
        <v>Normalidade</v>
      </c>
      <c r="H3103" s="4">
        <f ca="1">IFERROR(__xludf.UNSUPPORTED("""COMPUTED_VALUE"""),44905.414375)</f>
        <v>44905.414375</v>
      </c>
      <c r="I3103" s="3">
        <f ca="1">IFERROR(__xludf.UNSUPPORTED("""COMPUTED_VALUE"""),24)</f>
        <v>24</v>
      </c>
      <c r="J3103" s="4">
        <f ca="1">IFERROR(__xludf.UNSUPPORTED("""COMPUTED_VALUE"""),44906.414375)</f>
        <v>44906.414375</v>
      </c>
    </row>
    <row r="3104" spans="1:10" ht="12.75">
      <c r="A3104" s="3" t="str">
        <f ca="1">IFERROR(__xludf.UNSUPPORTED("""COMPUTED_VALUE"""),"6273bf34")</f>
        <v>6273bf34</v>
      </c>
      <c r="B3104" s="4">
        <f ca="1">IFERROR(__xludf.UNSUPPORTED("""COMPUTED_VALUE"""),44907.3981828703)</f>
        <v>44907.398182870304</v>
      </c>
      <c r="C3104" s="8" t="str">
        <f ca="1">IFERROR(__xludf.UNSUPPORTED("""COMPUTED_VALUE"""),"Terminal Portuário do Pecém")</f>
        <v>Terminal Portuário do Pecém</v>
      </c>
      <c r="D3104" s="3" t="str">
        <f ca="1">IFERROR(__xludf.UNSUPPORTED("""COMPUTED_VALUE"""),"🚢 REGULAR")</f>
        <v>🚢 REGULAR</v>
      </c>
      <c r="E3104" s="3" t="str">
        <f ca="1">IFERROR(__xludf.UNSUPPORTED("""COMPUTED_VALUE"""),"🚛 LIBERADO")</f>
        <v>🚛 LIBERADO</v>
      </c>
      <c r="F3104" s="5">
        <f ca="1">IFERROR(__xludf.UNSUPPORTED("""COMPUTED_VALUE"""),0)</f>
        <v>0</v>
      </c>
      <c r="G3104" s="3" t="str">
        <f ca="1">IFERROR(__xludf.UNSUPPORTED("""COMPUTED_VALUE"""),"Normalidade")</f>
        <v>Normalidade</v>
      </c>
      <c r="H3104" s="4">
        <f ca="1">IFERROR(__xludf.UNSUPPORTED("""COMPUTED_VALUE"""),44907.3981828703)</f>
        <v>44907.398182870304</v>
      </c>
      <c r="I3104" s="3">
        <f ca="1">IFERROR(__xludf.UNSUPPORTED("""COMPUTED_VALUE"""),24)</f>
        <v>24</v>
      </c>
      <c r="J3104" s="4">
        <f ca="1">IFERROR(__xludf.UNSUPPORTED("""COMPUTED_VALUE"""),44908.3981828703)</f>
        <v>44908.398182870304</v>
      </c>
    </row>
    <row r="3105" spans="1:12" ht="12.75">
      <c r="A3105" s="3" t="str">
        <f ca="1">IFERROR(__xludf.UNSUPPORTED("""COMPUTED_VALUE"""),"85d31c3f")</f>
        <v>85d31c3f</v>
      </c>
      <c r="B3105" s="4">
        <f ca="1">IFERROR(__xludf.UNSUPPORTED("""COMPUTED_VALUE"""),44908.4044675926)</f>
        <v>44908.404467592598</v>
      </c>
      <c r="C3105" s="8" t="str">
        <f ca="1">IFERROR(__xludf.UNSUPPORTED("""COMPUTED_VALUE"""),"Terminal Portuário do Pecém")</f>
        <v>Terminal Portuário do Pecém</v>
      </c>
      <c r="D3105" s="3" t="str">
        <f ca="1">IFERROR(__xludf.UNSUPPORTED("""COMPUTED_VALUE"""),"🚢 REGULAR")</f>
        <v>🚢 REGULAR</v>
      </c>
      <c r="E3105" s="3" t="str">
        <f ca="1">IFERROR(__xludf.UNSUPPORTED("""COMPUTED_VALUE"""),"🚛 LIBERADO")</f>
        <v>🚛 LIBERADO</v>
      </c>
      <c r="F3105" s="5">
        <f ca="1">IFERROR(__xludf.UNSUPPORTED("""COMPUTED_VALUE"""),0)</f>
        <v>0</v>
      </c>
      <c r="G3105" s="3" t="str">
        <f ca="1">IFERROR(__xludf.UNSUPPORTED("""COMPUTED_VALUE"""),"Normalidade")</f>
        <v>Normalidade</v>
      </c>
      <c r="H3105" s="4">
        <f ca="1">IFERROR(__xludf.UNSUPPORTED("""COMPUTED_VALUE"""),44908.4044675926)</f>
        <v>44908.404467592598</v>
      </c>
      <c r="I3105" s="3">
        <f ca="1">IFERROR(__xludf.UNSUPPORTED("""COMPUTED_VALUE"""),24)</f>
        <v>24</v>
      </c>
      <c r="J3105" s="4">
        <f ca="1">IFERROR(__xludf.UNSUPPORTED("""COMPUTED_VALUE"""),44909.4044675926)</f>
        <v>44909.404467592598</v>
      </c>
    </row>
    <row r="3106" spans="1:12" ht="12.75">
      <c r="A3106" s="3" t="str">
        <f ca="1">IFERROR(__xludf.UNSUPPORTED("""COMPUTED_VALUE"""),"16bec166")</f>
        <v>16bec166</v>
      </c>
      <c r="B3106" s="4">
        <f ca="1">IFERROR(__xludf.UNSUPPORTED("""COMPUTED_VALUE"""),44910.4301273148)</f>
        <v>44910.430127314801</v>
      </c>
      <c r="C3106" s="8" t="str">
        <f ca="1">IFERROR(__xludf.UNSUPPORTED("""COMPUTED_VALUE"""),"Terminal Portuário do Pecém")</f>
        <v>Terminal Portuário do Pecém</v>
      </c>
      <c r="D3106" s="3" t="str">
        <f ca="1">IFERROR(__xludf.UNSUPPORTED("""COMPUTED_VALUE"""),"🚢 REGULAR")</f>
        <v>🚢 REGULAR</v>
      </c>
      <c r="E3106" s="3" t="str">
        <f ca="1">IFERROR(__xludf.UNSUPPORTED("""COMPUTED_VALUE"""),"🚛 LIBERADO")</f>
        <v>🚛 LIBERADO</v>
      </c>
      <c r="F3106" s="5">
        <f ca="1">IFERROR(__xludf.UNSUPPORTED("""COMPUTED_VALUE"""),0)</f>
        <v>0</v>
      </c>
      <c r="G3106" s="3" t="str">
        <f ca="1">IFERROR(__xludf.UNSUPPORTED("""COMPUTED_VALUE"""),"Normalidade")</f>
        <v>Normalidade</v>
      </c>
      <c r="H3106" s="4">
        <f ca="1">IFERROR(__xludf.UNSUPPORTED("""COMPUTED_VALUE"""),44910.4301273148)</f>
        <v>44910.430127314801</v>
      </c>
      <c r="I3106" s="3">
        <f ca="1">IFERROR(__xludf.UNSUPPORTED("""COMPUTED_VALUE"""),24)</f>
        <v>24</v>
      </c>
      <c r="J3106" s="4">
        <f ca="1">IFERROR(__xludf.UNSUPPORTED("""COMPUTED_VALUE"""),44911.4301273148)</f>
        <v>44911.430127314801</v>
      </c>
    </row>
    <row r="3107" spans="1:12" ht="12.75">
      <c r="A3107" s="3" t="str">
        <f ca="1">IFERROR(__xludf.UNSUPPORTED("""COMPUTED_VALUE"""),"de32625e")</f>
        <v>de32625e</v>
      </c>
      <c r="B3107" s="4">
        <f ca="1">IFERROR(__xludf.UNSUPPORTED("""COMPUTED_VALUE"""),44911.4896759259)</f>
        <v>44911.489675925899</v>
      </c>
      <c r="C3107" s="8" t="str">
        <f ca="1">IFERROR(__xludf.UNSUPPORTED("""COMPUTED_VALUE"""),"Terminal Portuário do Pecém")</f>
        <v>Terminal Portuário do Pecém</v>
      </c>
      <c r="D3107" s="3" t="str">
        <f ca="1">IFERROR(__xludf.UNSUPPORTED("""COMPUTED_VALUE"""),"🚢 REGULAR")</f>
        <v>🚢 REGULAR</v>
      </c>
      <c r="E3107" s="3" t="str">
        <f ca="1">IFERROR(__xludf.UNSUPPORTED("""COMPUTED_VALUE"""),"🚛 LIBERADO")</f>
        <v>🚛 LIBERADO</v>
      </c>
      <c r="F3107" s="5">
        <f ca="1">IFERROR(__xludf.UNSUPPORTED("""COMPUTED_VALUE"""),0)</f>
        <v>0</v>
      </c>
      <c r="G3107" s="3" t="str">
        <f ca="1">IFERROR(__xludf.UNSUPPORTED("""COMPUTED_VALUE"""),"Normalidade")</f>
        <v>Normalidade</v>
      </c>
      <c r="H3107" s="4">
        <f ca="1">IFERROR(__xludf.UNSUPPORTED("""COMPUTED_VALUE"""),44911.4896759259)</f>
        <v>44911.489675925899</v>
      </c>
      <c r="I3107" s="3">
        <f ca="1">IFERROR(__xludf.UNSUPPORTED("""COMPUTED_VALUE"""),24)</f>
        <v>24</v>
      </c>
      <c r="J3107" s="4">
        <f ca="1">IFERROR(__xludf.UNSUPPORTED("""COMPUTED_VALUE"""),44912.4896759259)</f>
        <v>44912.489675925899</v>
      </c>
    </row>
    <row r="3108" spans="1:12" ht="12.75">
      <c r="A3108" s="3" t="str">
        <f ca="1">IFERROR(__xludf.UNSUPPORTED("""COMPUTED_VALUE"""),"45fbaccb")</f>
        <v>45fbaccb</v>
      </c>
      <c r="B3108" s="4">
        <f ca="1">IFERROR(__xludf.UNSUPPORTED("""COMPUTED_VALUE"""),44912.5145601851)</f>
        <v>44912.514560185104</v>
      </c>
      <c r="C3108" s="7" t="str">
        <f ca="1">IFERROR(__xludf.UNSUPPORTED("""COMPUTED_VALUE"""),"Terminal Portuário do Pecém")</f>
        <v>Terminal Portuário do Pecém</v>
      </c>
      <c r="D3108" s="3" t="str">
        <f ca="1">IFERROR(__xludf.UNSUPPORTED("""COMPUTED_VALUE"""),"🚢 REGULAR")</f>
        <v>🚢 REGULAR</v>
      </c>
      <c r="E3108" s="3" t="str">
        <f ca="1">IFERROR(__xludf.UNSUPPORTED("""COMPUTED_VALUE"""),"🚛 LIBERADO")</f>
        <v>🚛 LIBERADO</v>
      </c>
      <c r="F3108" s="5">
        <f ca="1">IFERROR(__xludf.UNSUPPORTED("""COMPUTED_VALUE"""),0)</f>
        <v>0</v>
      </c>
      <c r="G3108" s="3" t="str">
        <f ca="1">IFERROR(__xludf.UNSUPPORTED("""COMPUTED_VALUE"""),"Normalidade")</f>
        <v>Normalidade</v>
      </c>
      <c r="H3108" s="4">
        <f ca="1">IFERROR(__xludf.UNSUPPORTED("""COMPUTED_VALUE"""),44912.5145601851)</f>
        <v>44912.514560185104</v>
      </c>
      <c r="I3108" s="3">
        <f ca="1">IFERROR(__xludf.UNSUPPORTED("""COMPUTED_VALUE"""),24)</f>
        <v>24</v>
      </c>
      <c r="J3108" s="4">
        <f ca="1">IFERROR(__xludf.UNSUPPORTED("""COMPUTED_VALUE"""),44913.5145601851)</f>
        <v>44913.514560185104</v>
      </c>
    </row>
    <row r="3109" spans="1:12" ht="12.75">
      <c r="A3109" s="3" t="str">
        <f ca="1">IFERROR(__xludf.UNSUPPORTED("""COMPUTED_VALUE"""),"9e6d5f72")</f>
        <v>9e6d5f72</v>
      </c>
      <c r="B3109" s="4">
        <f ca="1">IFERROR(__xludf.UNSUPPORTED("""COMPUTED_VALUE"""),44914.3760416666)</f>
        <v>44914.376041666597</v>
      </c>
      <c r="C3109" s="7" t="str">
        <f ca="1">IFERROR(__xludf.UNSUPPORTED("""COMPUTED_VALUE"""),"Terminal Portuário do Pecém")</f>
        <v>Terminal Portuário do Pecém</v>
      </c>
      <c r="D3109" s="3" t="str">
        <f ca="1">IFERROR(__xludf.UNSUPPORTED("""COMPUTED_VALUE"""),"🚢 REGULAR")</f>
        <v>🚢 REGULAR</v>
      </c>
      <c r="E3109" s="3" t="str">
        <f ca="1">IFERROR(__xludf.UNSUPPORTED("""COMPUTED_VALUE"""),"🚛 LIBERADO")</f>
        <v>🚛 LIBERADO</v>
      </c>
      <c r="F3109" s="5">
        <f ca="1">IFERROR(__xludf.UNSUPPORTED("""COMPUTED_VALUE"""),0)</f>
        <v>0</v>
      </c>
      <c r="G3109" s="3" t="str">
        <f ca="1">IFERROR(__xludf.UNSUPPORTED("""COMPUTED_VALUE"""),"Normalidade")</f>
        <v>Normalidade</v>
      </c>
      <c r="H3109" s="4">
        <f ca="1">IFERROR(__xludf.UNSUPPORTED("""COMPUTED_VALUE"""),44914.3760416666)</f>
        <v>44914.376041666597</v>
      </c>
      <c r="I3109" s="3">
        <f ca="1">IFERROR(__xludf.UNSUPPORTED("""COMPUTED_VALUE"""),24)</f>
        <v>24</v>
      </c>
      <c r="J3109" s="4">
        <f ca="1">IFERROR(__xludf.UNSUPPORTED("""COMPUTED_VALUE"""),44915.3760416666)</f>
        <v>44915.376041666597</v>
      </c>
    </row>
    <row r="3110" spans="1:12" ht="12.75">
      <c r="A3110" s="3" t="str">
        <f ca="1">IFERROR(__xludf.UNSUPPORTED("""COMPUTED_VALUE"""),"bf5adf11")</f>
        <v>bf5adf11</v>
      </c>
      <c r="B3110" s="4">
        <f ca="1">IFERROR(__xludf.UNSUPPORTED("""COMPUTED_VALUE"""),44915.4358796296)</f>
        <v>44915.4358796296</v>
      </c>
      <c r="C3110" s="7" t="str">
        <f ca="1">IFERROR(__xludf.UNSUPPORTED("""COMPUTED_VALUE"""),"Terminal Portuário do Pecém")</f>
        <v>Terminal Portuário do Pecém</v>
      </c>
      <c r="D3110" s="3" t="str">
        <f ca="1">IFERROR(__xludf.UNSUPPORTED("""COMPUTED_VALUE"""),"🚢 REGULAR")</f>
        <v>🚢 REGULAR</v>
      </c>
      <c r="E3110" s="3" t="str">
        <f ca="1">IFERROR(__xludf.UNSUPPORTED("""COMPUTED_VALUE"""),"🚛 LIBERADO")</f>
        <v>🚛 LIBERADO</v>
      </c>
      <c r="F3110" s="5">
        <f ca="1">IFERROR(__xludf.UNSUPPORTED("""COMPUTED_VALUE"""),0)</f>
        <v>0</v>
      </c>
      <c r="G3110" s="3" t="str">
        <f ca="1">IFERROR(__xludf.UNSUPPORTED("""COMPUTED_VALUE"""),"Normalidade")</f>
        <v>Normalidade</v>
      </c>
      <c r="H3110" s="4">
        <f ca="1">IFERROR(__xludf.UNSUPPORTED("""COMPUTED_VALUE"""),44915.4358796296)</f>
        <v>44915.4358796296</v>
      </c>
      <c r="I3110" s="3">
        <f ca="1">IFERROR(__xludf.UNSUPPORTED("""COMPUTED_VALUE"""),24)</f>
        <v>24</v>
      </c>
      <c r="J3110" s="4">
        <f ca="1">IFERROR(__xludf.UNSUPPORTED("""COMPUTED_VALUE"""),44916.4358796296)</f>
        <v>44916.4358796296</v>
      </c>
    </row>
    <row r="3111" spans="1:12" ht="12.75">
      <c r="A3111" s="3" t="str">
        <f ca="1">IFERROR(__xludf.UNSUPPORTED("""COMPUTED_VALUE"""),"1f0cb20d")</f>
        <v>1f0cb20d</v>
      </c>
      <c r="B3111" s="4">
        <f ca="1">IFERROR(__xludf.UNSUPPORTED("""COMPUTED_VALUE"""),44917.3943981481)</f>
        <v>44917.394398148099</v>
      </c>
      <c r="C3111" s="7" t="str">
        <f ca="1">IFERROR(__xludf.UNSUPPORTED("""COMPUTED_VALUE"""),"Terminal Portuário do Pecém")</f>
        <v>Terminal Portuário do Pecém</v>
      </c>
      <c r="D3111" s="3" t="str">
        <f ca="1">IFERROR(__xludf.UNSUPPORTED("""COMPUTED_VALUE"""),"🚢 REGULAR")</f>
        <v>🚢 REGULAR</v>
      </c>
      <c r="E3111" s="3" t="str">
        <f ca="1">IFERROR(__xludf.UNSUPPORTED("""COMPUTED_VALUE"""),"🚛 LIBERADO")</f>
        <v>🚛 LIBERADO</v>
      </c>
      <c r="F3111" s="5">
        <f ca="1">IFERROR(__xludf.UNSUPPORTED("""COMPUTED_VALUE"""),0)</f>
        <v>0</v>
      </c>
      <c r="G3111" s="3" t="str">
        <f ca="1">IFERROR(__xludf.UNSUPPORTED("""COMPUTED_VALUE"""),"Normalidade")</f>
        <v>Normalidade</v>
      </c>
      <c r="H3111" s="4">
        <f ca="1">IFERROR(__xludf.UNSUPPORTED("""COMPUTED_VALUE"""),44917.3943981481)</f>
        <v>44917.394398148099</v>
      </c>
      <c r="I3111" s="3">
        <f ca="1">IFERROR(__xludf.UNSUPPORTED("""COMPUTED_VALUE"""),24)</f>
        <v>24</v>
      </c>
      <c r="J3111" s="4">
        <f ca="1">IFERROR(__xludf.UNSUPPORTED("""COMPUTED_VALUE"""),44918.3943981481)</f>
        <v>44918.394398148099</v>
      </c>
    </row>
    <row r="3112" spans="1:12" ht="12.75">
      <c r="A3112" s="3" t="str">
        <f ca="1">IFERROR(__xludf.UNSUPPORTED("""COMPUTED_VALUE"""),"6a714db4")</f>
        <v>6a714db4</v>
      </c>
      <c r="B3112" s="4">
        <f ca="1">IFERROR(__xludf.UNSUPPORTED("""COMPUTED_VALUE"""),44918.4271064814)</f>
        <v>44918.427106481402</v>
      </c>
      <c r="C3112" s="8" t="str">
        <f ca="1">IFERROR(__xludf.UNSUPPORTED("""COMPUTED_VALUE"""),"Terminal Portuário do Pecém")</f>
        <v>Terminal Portuário do Pecém</v>
      </c>
      <c r="D3112" s="3" t="str">
        <f ca="1">IFERROR(__xludf.UNSUPPORTED("""COMPUTED_VALUE"""),"🚢 REGULAR")</f>
        <v>🚢 REGULAR</v>
      </c>
      <c r="E3112" s="3" t="str">
        <f ca="1">IFERROR(__xludf.UNSUPPORTED("""COMPUTED_VALUE"""),"🚛 LIBERADO")</f>
        <v>🚛 LIBERADO</v>
      </c>
      <c r="F3112" s="5">
        <f ca="1">IFERROR(__xludf.UNSUPPORTED("""COMPUTED_VALUE"""),0)</f>
        <v>0</v>
      </c>
      <c r="G3112" s="3" t="str">
        <f ca="1">IFERROR(__xludf.UNSUPPORTED("""COMPUTED_VALUE"""),"Normalidade")</f>
        <v>Normalidade</v>
      </c>
      <c r="H3112" s="4">
        <f ca="1">IFERROR(__xludf.UNSUPPORTED("""COMPUTED_VALUE"""),44918.4271064814)</f>
        <v>44918.427106481402</v>
      </c>
      <c r="I3112" s="3">
        <f ca="1">IFERROR(__xludf.UNSUPPORTED("""COMPUTED_VALUE"""),24)</f>
        <v>24</v>
      </c>
      <c r="J3112" s="4">
        <f ca="1">IFERROR(__xludf.UNSUPPORTED("""COMPUTED_VALUE"""),44919.4271064814)</f>
        <v>44919.427106481402</v>
      </c>
    </row>
    <row r="3113" spans="1:12" ht="12.75">
      <c r="A3113" s="3" t="str">
        <f ca="1">IFERROR(__xludf.UNSUPPORTED("""COMPUTED_VALUE"""),"98af8f0f")</f>
        <v>98af8f0f</v>
      </c>
      <c r="B3113" s="4">
        <f ca="1">IFERROR(__xludf.UNSUPPORTED("""COMPUTED_VALUE"""),44923.4154861111)</f>
        <v>44923.415486111102</v>
      </c>
      <c r="C3113" s="8" t="str">
        <f ca="1">IFERROR(__xludf.UNSUPPORTED("""COMPUTED_VALUE"""),"Terminal Portuário do Pecém")</f>
        <v>Terminal Portuário do Pecém</v>
      </c>
      <c r="D3113" s="3" t="str">
        <f ca="1">IFERROR(__xludf.UNSUPPORTED("""COMPUTED_VALUE"""),"🚢 REGULAR")</f>
        <v>🚢 REGULAR</v>
      </c>
      <c r="E3113" s="3" t="str">
        <f ca="1">IFERROR(__xludf.UNSUPPORTED("""COMPUTED_VALUE"""),"🚛 LIBERADO")</f>
        <v>🚛 LIBERADO</v>
      </c>
      <c r="F3113" s="5">
        <f ca="1">IFERROR(__xludf.UNSUPPORTED("""COMPUTED_VALUE"""),0)</f>
        <v>0</v>
      </c>
      <c r="G3113" s="3" t="str">
        <f ca="1">IFERROR(__xludf.UNSUPPORTED("""COMPUTED_VALUE"""),"Normalidade")</f>
        <v>Normalidade</v>
      </c>
      <c r="H3113" s="4">
        <f ca="1">IFERROR(__xludf.UNSUPPORTED("""COMPUTED_VALUE"""),44923.4154861111)</f>
        <v>44923.415486111102</v>
      </c>
      <c r="I3113" s="3">
        <f ca="1">IFERROR(__xludf.UNSUPPORTED("""COMPUTED_VALUE"""),24)</f>
        <v>24</v>
      </c>
      <c r="J3113" s="4">
        <f ca="1">IFERROR(__xludf.UNSUPPORTED("""COMPUTED_VALUE"""),44924.4154861111)</f>
        <v>44924.415486111102</v>
      </c>
    </row>
    <row r="3114" spans="1:12" ht="12.75">
      <c r="A3114" s="3" t="str">
        <f ca="1">IFERROR(__xludf.UNSUPPORTED("""COMPUTED_VALUE"""),"f2a1e030")</f>
        <v>f2a1e030</v>
      </c>
      <c r="B3114" s="4">
        <f ca="1">IFERROR(__xludf.UNSUPPORTED("""COMPUTED_VALUE"""),44935.3306828703)</f>
        <v>44935.330682870299</v>
      </c>
      <c r="C3114" s="7" t="str">
        <f ca="1">IFERROR(__xludf.UNSUPPORTED("""COMPUTED_VALUE"""),"Terminal Portuário do Pecém")</f>
        <v>Terminal Portuário do Pecém</v>
      </c>
      <c r="D3114" s="3" t="str">
        <f ca="1">IFERROR(__xludf.UNSUPPORTED("""COMPUTED_VALUE"""),"🚢 REGULAR")</f>
        <v>🚢 REGULAR</v>
      </c>
      <c r="E3114" s="3" t="str">
        <f ca="1">IFERROR(__xludf.UNSUPPORTED("""COMPUTED_VALUE"""),"🚛 LIBERADO")</f>
        <v>🚛 LIBERADO</v>
      </c>
      <c r="F3114" s="5">
        <f ca="1">IFERROR(__xludf.UNSUPPORTED("""COMPUTED_VALUE"""),0)</f>
        <v>0</v>
      </c>
      <c r="G3114" s="3" t="str">
        <f ca="1">IFERROR(__xludf.UNSUPPORTED("""COMPUTED_VALUE"""),"Normalidade")</f>
        <v>Normalidade</v>
      </c>
      <c r="H3114" s="4">
        <f ca="1">IFERROR(__xludf.UNSUPPORTED("""COMPUTED_VALUE"""),44935.3306828703)</f>
        <v>44935.330682870299</v>
      </c>
      <c r="I3114" s="3">
        <f ca="1">IFERROR(__xludf.UNSUPPORTED("""COMPUTED_VALUE"""),24)</f>
        <v>24</v>
      </c>
      <c r="J3114" s="4">
        <f ca="1">IFERROR(__xludf.UNSUPPORTED("""COMPUTED_VALUE"""),44936.3306828703)</f>
        <v>44936.330682870299</v>
      </c>
      <c r="L3114" s="3" t="str">
        <f ca="1">IFERROR(__xludf.UNSUPPORTED("""COMPUTED_VALUE"""),"Normalidade")</f>
        <v>Normalidade</v>
      </c>
    </row>
    <row r="3115" spans="1:12" ht="12.75">
      <c r="A3115" s="3" t="str">
        <f ca="1">IFERROR(__xludf.UNSUPPORTED("""COMPUTED_VALUE"""),"bae8def7")</f>
        <v>bae8def7</v>
      </c>
      <c r="B3115" s="4">
        <f ca="1">IFERROR(__xludf.UNSUPPORTED("""COMPUTED_VALUE"""),44936.4224884259)</f>
        <v>44936.422488425902</v>
      </c>
      <c r="C3115" s="8" t="str">
        <f ca="1">IFERROR(__xludf.UNSUPPORTED("""COMPUTED_VALUE"""),"Terminal Portuário do Pecém")</f>
        <v>Terminal Portuário do Pecém</v>
      </c>
      <c r="D3115" s="3" t="str">
        <f ca="1">IFERROR(__xludf.UNSUPPORTED("""COMPUTED_VALUE"""),"🚢 REGULAR")</f>
        <v>🚢 REGULAR</v>
      </c>
      <c r="E3115" s="3" t="str">
        <f ca="1">IFERROR(__xludf.UNSUPPORTED("""COMPUTED_VALUE"""),"🚛 LIBERADO")</f>
        <v>🚛 LIBERADO</v>
      </c>
      <c r="F3115" s="5">
        <f ca="1">IFERROR(__xludf.UNSUPPORTED("""COMPUTED_VALUE"""),0)</f>
        <v>0</v>
      </c>
      <c r="G3115" s="3" t="str">
        <f ca="1">IFERROR(__xludf.UNSUPPORTED("""COMPUTED_VALUE"""),"Normalidade")</f>
        <v>Normalidade</v>
      </c>
      <c r="H3115" s="4">
        <f ca="1">IFERROR(__xludf.UNSUPPORTED("""COMPUTED_VALUE"""),44936.4224884259)</f>
        <v>44936.422488425902</v>
      </c>
      <c r="I3115" s="3">
        <f ca="1">IFERROR(__xludf.UNSUPPORTED("""COMPUTED_VALUE"""),24)</f>
        <v>24</v>
      </c>
      <c r="J3115" s="4">
        <f ca="1">IFERROR(__xludf.UNSUPPORTED("""COMPUTED_VALUE"""),44937.4224884259)</f>
        <v>44937.422488425902</v>
      </c>
      <c r="L3115" s="3" t="str">
        <f ca="1">IFERROR(__xludf.UNSUPPORTED("""COMPUTED_VALUE"""),"Normalidade")</f>
        <v>Normalidade</v>
      </c>
    </row>
    <row r="3116" spans="1:12" ht="12.75">
      <c r="A3116" s="3" t="str">
        <f ca="1">IFERROR(__xludf.UNSUPPORTED("""COMPUTED_VALUE"""),"bd9130fe")</f>
        <v>bd9130fe</v>
      </c>
      <c r="B3116" s="4">
        <f ca="1">IFERROR(__xludf.UNSUPPORTED("""COMPUTED_VALUE"""),44937.4145023148)</f>
        <v>44937.414502314801</v>
      </c>
      <c r="C3116" s="8" t="str">
        <f ca="1">IFERROR(__xludf.UNSUPPORTED("""COMPUTED_VALUE"""),"Terminal Portuário do Pecém")</f>
        <v>Terminal Portuário do Pecém</v>
      </c>
      <c r="D3116" s="3" t="str">
        <f ca="1">IFERROR(__xludf.UNSUPPORTED("""COMPUTED_VALUE"""),"🚢 REGULAR")</f>
        <v>🚢 REGULAR</v>
      </c>
      <c r="E3116" s="3" t="str">
        <f ca="1">IFERROR(__xludf.UNSUPPORTED("""COMPUTED_VALUE"""),"🚛 LIBERADO")</f>
        <v>🚛 LIBERADO</v>
      </c>
      <c r="F3116" s="5">
        <f ca="1">IFERROR(__xludf.UNSUPPORTED("""COMPUTED_VALUE"""),0)</f>
        <v>0</v>
      </c>
      <c r="G3116" s="3" t="str">
        <f ca="1">IFERROR(__xludf.UNSUPPORTED("""COMPUTED_VALUE"""),"Normalidade")</f>
        <v>Normalidade</v>
      </c>
      <c r="H3116" s="4">
        <f ca="1">IFERROR(__xludf.UNSUPPORTED("""COMPUTED_VALUE"""),44937.4145023148)</f>
        <v>44937.414502314801</v>
      </c>
      <c r="I3116" s="3">
        <f ca="1">IFERROR(__xludf.UNSUPPORTED("""COMPUTED_VALUE"""),24)</f>
        <v>24</v>
      </c>
      <c r="J3116" s="4">
        <f ca="1">IFERROR(__xludf.UNSUPPORTED("""COMPUTED_VALUE"""),44938.4145023148)</f>
        <v>44938.414502314801</v>
      </c>
      <c r="L3116" s="3" t="str">
        <f ca="1">IFERROR(__xludf.UNSUPPORTED("""COMPUTED_VALUE"""),"Normalidade")</f>
        <v>Normalidade</v>
      </c>
    </row>
    <row r="3117" spans="1:12" ht="12.75">
      <c r="A3117" s="3" t="str">
        <f ca="1">IFERROR(__xludf.UNSUPPORTED("""COMPUTED_VALUE"""),"ba381a39")</f>
        <v>ba381a39</v>
      </c>
      <c r="B3117" s="4">
        <f ca="1">IFERROR(__xludf.UNSUPPORTED("""COMPUTED_VALUE"""),44938.4785763888)</f>
        <v>44938.478576388799</v>
      </c>
      <c r="C3117" s="8" t="str">
        <f ca="1">IFERROR(__xludf.UNSUPPORTED("""COMPUTED_VALUE"""),"Terminal Portuário do Pecém")</f>
        <v>Terminal Portuário do Pecém</v>
      </c>
      <c r="D3117" s="3" t="str">
        <f ca="1">IFERROR(__xludf.UNSUPPORTED("""COMPUTED_VALUE"""),"🚢 REGULAR")</f>
        <v>🚢 REGULAR</v>
      </c>
      <c r="E3117" s="3" t="str">
        <f ca="1">IFERROR(__xludf.UNSUPPORTED("""COMPUTED_VALUE"""),"🚛 LIBERADO")</f>
        <v>🚛 LIBERADO</v>
      </c>
      <c r="F3117" s="5">
        <f ca="1">IFERROR(__xludf.UNSUPPORTED("""COMPUTED_VALUE"""),0)</f>
        <v>0</v>
      </c>
      <c r="G3117" s="3" t="str">
        <f ca="1">IFERROR(__xludf.UNSUPPORTED("""COMPUTED_VALUE"""),"Normalidade")</f>
        <v>Normalidade</v>
      </c>
      <c r="H3117" s="4">
        <f ca="1">IFERROR(__xludf.UNSUPPORTED("""COMPUTED_VALUE"""),44938.4785763888)</f>
        <v>44938.478576388799</v>
      </c>
      <c r="I3117" s="3">
        <f ca="1">IFERROR(__xludf.UNSUPPORTED("""COMPUTED_VALUE"""),24)</f>
        <v>24</v>
      </c>
      <c r="J3117" s="4">
        <f ca="1">IFERROR(__xludf.UNSUPPORTED("""COMPUTED_VALUE"""),44939.4785763888)</f>
        <v>44939.478576388799</v>
      </c>
      <c r="L3117" s="3" t="str">
        <f ca="1">IFERROR(__xludf.UNSUPPORTED("""COMPUTED_VALUE"""),"Normalidade")</f>
        <v>Normalidade</v>
      </c>
    </row>
    <row r="3118" spans="1:12" ht="12.75">
      <c r="A3118" s="3" t="str">
        <f ca="1">IFERROR(__xludf.UNSUPPORTED("""COMPUTED_VALUE"""),"19285334")</f>
        <v>19285334</v>
      </c>
      <c r="B3118" s="4">
        <f ca="1">IFERROR(__xludf.UNSUPPORTED("""COMPUTED_VALUE"""),44939.4251967592)</f>
        <v>44939.425196759199</v>
      </c>
      <c r="C3118" s="8" t="str">
        <f ca="1">IFERROR(__xludf.UNSUPPORTED("""COMPUTED_VALUE"""),"Terminal Portuário do Pecém")</f>
        <v>Terminal Portuário do Pecém</v>
      </c>
      <c r="D3118" s="3" t="str">
        <f ca="1">IFERROR(__xludf.UNSUPPORTED("""COMPUTED_VALUE"""),"🚢 REGULAR")</f>
        <v>🚢 REGULAR</v>
      </c>
      <c r="E3118" s="3" t="str">
        <f ca="1">IFERROR(__xludf.UNSUPPORTED("""COMPUTED_VALUE"""),"🚛 LIBERADO")</f>
        <v>🚛 LIBERADO</v>
      </c>
      <c r="F3118" s="5">
        <f ca="1">IFERROR(__xludf.UNSUPPORTED("""COMPUTED_VALUE"""),0)</f>
        <v>0</v>
      </c>
      <c r="G3118" s="3" t="str">
        <f ca="1">IFERROR(__xludf.UNSUPPORTED("""COMPUTED_VALUE"""),"Normalidade")</f>
        <v>Normalidade</v>
      </c>
      <c r="H3118" s="4">
        <f ca="1">IFERROR(__xludf.UNSUPPORTED("""COMPUTED_VALUE"""),44939.4251967592)</f>
        <v>44939.425196759199</v>
      </c>
      <c r="I3118" s="3">
        <f ca="1">IFERROR(__xludf.UNSUPPORTED("""COMPUTED_VALUE"""),24)</f>
        <v>24</v>
      </c>
      <c r="J3118" s="4">
        <f ca="1">IFERROR(__xludf.UNSUPPORTED("""COMPUTED_VALUE"""),44940.4251967592)</f>
        <v>44940.425196759199</v>
      </c>
      <c r="L3118" s="3" t="str">
        <f ca="1">IFERROR(__xludf.UNSUPPORTED("""COMPUTED_VALUE"""),"Normalidade")</f>
        <v>Normalidade</v>
      </c>
    </row>
    <row r="3119" spans="1:12" ht="12.75">
      <c r="A3119" s="3" t="str">
        <f ca="1">IFERROR(__xludf.UNSUPPORTED("""COMPUTED_VALUE"""),"4119f4cd")</f>
        <v>4119f4cd</v>
      </c>
      <c r="B3119" s="4">
        <f ca="1">IFERROR(__xludf.UNSUPPORTED("""COMPUTED_VALUE"""),44943.3881828703)</f>
        <v>44943.388182870302</v>
      </c>
      <c r="C3119" s="8" t="str">
        <f ca="1">IFERROR(__xludf.UNSUPPORTED("""COMPUTED_VALUE"""),"Terminal Portuário do Pecém")</f>
        <v>Terminal Portuário do Pecém</v>
      </c>
      <c r="D3119" s="3" t="str">
        <f ca="1">IFERROR(__xludf.UNSUPPORTED("""COMPUTED_VALUE"""),"🚢 REGULAR")</f>
        <v>🚢 REGULAR</v>
      </c>
      <c r="E3119" s="3" t="str">
        <f ca="1">IFERROR(__xludf.UNSUPPORTED("""COMPUTED_VALUE"""),"🚛 LIBERADO")</f>
        <v>🚛 LIBERADO</v>
      </c>
      <c r="F3119" s="5">
        <f ca="1">IFERROR(__xludf.UNSUPPORTED("""COMPUTED_VALUE"""),0)</f>
        <v>0</v>
      </c>
      <c r="G3119" s="3" t="str">
        <f ca="1">IFERROR(__xludf.UNSUPPORTED("""COMPUTED_VALUE"""),"Normalidade")</f>
        <v>Normalidade</v>
      </c>
      <c r="H3119" s="4">
        <f ca="1">IFERROR(__xludf.UNSUPPORTED("""COMPUTED_VALUE"""),44943.3881828703)</f>
        <v>44943.388182870302</v>
      </c>
      <c r="I3119" s="3">
        <f ca="1">IFERROR(__xludf.UNSUPPORTED("""COMPUTED_VALUE"""),24)</f>
        <v>24</v>
      </c>
      <c r="J3119" s="4">
        <f ca="1">IFERROR(__xludf.UNSUPPORTED("""COMPUTED_VALUE"""),44944.3881828703)</f>
        <v>44944.388182870302</v>
      </c>
      <c r="L3119" s="3" t="str">
        <f ca="1">IFERROR(__xludf.UNSUPPORTED("""COMPUTED_VALUE"""),"Normalidade")</f>
        <v>Normalidade</v>
      </c>
    </row>
    <row r="3120" spans="1:12" ht="12.75">
      <c r="A3120" s="3" t="str">
        <f ca="1">IFERROR(__xludf.UNSUPPORTED("""COMPUTED_VALUE"""),"3c24304d")</f>
        <v>3c24304d</v>
      </c>
      <c r="B3120" s="4">
        <f ca="1">IFERROR(__xludf.UNSUPPORTED("""COMPUTED_VALUE"""),44944.3481944444)</f>
        <v>44944.348194444399</v>
      </c>
      <c r="C3120" s="7" t="str">
        <f ca="1">IFERROR(__xludf.UNSUPPORTED("""COMPUTED_VALUE"""),"Terminal Portuário do Pecém")</f>
        <v>Terminal Portuário do Pecém</v>
      </c>
      <c r="D3120" s="3" t="str">
        <f ca="1">IFERROR(__xludf.UNSUPPORTED("""COMPUTED_VALUE"""),"🚢 REGULAR")</f>
        <v>🚢 REGULAR</v>
      </c>
      <c r="E3120" s="3" t="str">
        <f ca="1">IFERROR(__xludf.UNSUPPORTED("""COMPUTED_VALUE"""),"🚛 LIBERADO")</f>
        <v>🚛 LIBERADO</v>
      </c>
      <c r="F3120" s="5">
        <f ca="1">IFERROR(__xludf.UNSUPPORTED("""COMPUTED_VALUE"""),0)</f>
        <v>0</v>
      </c>
      <c r="G3120" s="3" t="str">
        <f ca="1">IFERROR(__xludf.UNSUPPORTED("""COMPUTED_VALUE"""),"Normalidade")</f>
        <v>Normalidade</v>
      </c>
      <c r="H3120" s="4">
        <f ca="1">IFERROR(__xludf.UNSUPPORTED("""COMPUTED_VALUE"""),44944.3481944444)</f>
        <v>44944.348194444399</v>
      </c>
      <c r="I3120" s="3">
        <f ca="1">IFERROR(__xludf.UNSUPPORTED("""COMPUTED_VALUE"""),24)</f>
        <v>24</v>
      </c>
      <c r="J3120" s="4">
        <f ca="1">IFERROR(__xludf.UNSUPPORTED("""COMPUTED_VALUE"""),44945.3481944444)</f>
        <v>44945.348194444399</v>
      </c>
      <c r="L3120" s="3" t="str">
        <f ca="1">IFERROR(__xludf.UNSUPPORTED("""COMPUTED_VALUE"""),"Normalidade")</f>
        <v>Normalidade</v>
      </c>
    </row>
    <row r="3121" spans="1:12" ht="12.75">
      <c r="A3121" s="3" t="str">
        <f ca="1">IFERROR(__xludf.UNSUPPORTED("""COMPUTED_VALUE"""),"8434b8b0")</f>
        <v>8434b8b0</v>
      </c>
      <c r="B3121" s="4">
        <f ca="1">IFERROR(__xludf.UNSUPPORTED("""COMPUTED_VALUE"""),44945.3494212963)</f>
        <v>44945.349421296298</v>
      </c>
      <c r="C3121" s="7" t="str">
        <f ca="1">IFERROR(__xludf.UNSUPPORTED("""COMPUTED_VALUE"""),"Terminal Portuário do Pecém")</f>
        <v>Terminal Portuário do Pecém</v>
      </c>
      <c r="D3121" s="3" t="str">
        <f ca="1">IFERROR(__xludf.UNSUPPORTED("""COMPUTED_VALUE"""),"🚢 REGULAR")</f>
        <v>🚢 REGULAR</v>
      </c>
      <c r="E3121" s="3" t="str">
        <f ca="1">IFERROR(__xludf.UNSUPPORTED("""COMPUTED_VALUE"""),"🚛 LIBERADO")</f>
        <v>🚛 LIBERADO</v>
      </c>
      <c r="F3121" s="5">
        <f ca="1">IFERROR(__xludf.UNSUPPORTED("""COMPUTED_VALUE"""),0)</f>
        <v>0</v>
      </c>
      <c r="G3121" s="3" t="str">
        <f ca="1">IFERROR(__xludf.UNSUPPORTED("""COMPUTED_VALUE"""),"Normalidade")</f>
        <v>Normalidade</v>
      </c>
      <c r="H3121" s="4">
        <f ca="1">IFERROR(__xludf.UNSUPPORTED("""COMPUTED_VALUE"""),44945.3494212963)</f>
        <v>44945.349421296298</v>
      </c>
      <c r="I3121" s="3">
        <f ca="1">IFERROR(__xludf.UNSUPPORTED("""COMPUTED_VALUE"""),24)</f>
        <v>24</v>
      </c>
      <c r="J3121" s="4">
        <f ca="1">IFERROR(__xludf.UNSUPPORTED("""COMPUTED_VALUE"""),44946.3494212963)</f>
        <v>44946.349421296298</v>
      </c>
      <c r="L3121" s="3" t="str">
        <f ca="1">IFERROR(__xludf.UNSUPPORTED("""COMPUTED_VALUE"""),"Normalidade")</f>
        <v>Normalidade</v>
      </c>
    </row>
    <row r="3122" spans="1:12" ht="12.75">
      <c r="A3122" s="3" t="str">
        <f ca="1">IFERROR(__xludf.UNSUPPORTED("""COMPUTED_VALUE"""),"987326df")</f>
        <v>987326df</v>
      </c>
      <c r="B3122" s="4">
        <f ca="1">IFERROR(__xludf.UNSUPPORTED("""COMPUTED_VALUE"""),44946.339699074)</f>
        <v>44946.339699074</v>
      </c>
      <c r="C3122" s="8" t="str">
        <f ca="1">IFERROR(__xludf.UNSUPPORTED("""COMPUTED_VALUE"""),"Terminal Portuário do Pecém")</f>
        <v>Terminal Portuário do Pecém</v>
      </c>
      <c r="D3122" s="3" t="str">
        <f ca="1">IFERROR(__xludf.UNSUPPORTED("""COMPUTED_VALUE"""),"🚢 REGULAR")</f>
        <v>🚢 REGULAR</v>
      </c>
      <c r="E3122" s="3" t="str">
        <f ca="1">IFERROR(__xludf.UNSUPPORTED("""COMPUTED_VALUE"""),"🚛 LIBERADO")</f>
        <v>🚛 LIBERADO</v>
      </c>
      <c r="F3122" s="5">
        <f ca="1">IFERROR(__xludf.UNSUPPORTED("""COMPUTED_VALUE"""),0)</f>
        <v>0</v>
      </c>
      <c r="G3122" s="3" t="str">
        <f ca="1">IFERROR(__xludf.UNSUPPORTED("""COMPUTED_VALUE"""),"Normalidade")</f>
        <v>Normalidade</v>
      </c>
      <c r="H3122" s="4">
        <f ca="1">IFERROR(__xludf.UNSUPPORTED("""COMPUTED_VALUE"""),44946.339699074)</f>
        <v>44946.339699074</v>
      </c>
      <c r="I3122" s="3">
        <f ca="1">IFERROR(__xludf.UNSUPPORTED("""COMPUTED_VALUE"""),24)</f>
        <v>24</v>
      </c>
      <c r="J3122" s="4">
        <f ca="1">IFERROR(__xludf.UNSUPPORTED("""COMPUTED_VALUE"""),44947.339699074)</f>
        <v>44947.339699074</v>
      </c>
      <c r="L3122" s="3" t="str">
        <f ca="1">IFERROR(__xludf.UNSUPPORTED("""COMPUTED_VALUE"""),"Normalidade")</f>
        <v>Normalidade</v>
      </c>
    </row>
    <row r="3123" spans="1:12" ht="12.75">
      <c r="A3123" s="3" t="str">
        <f ca="1">IFERROR(__xludf.UNSUPPORTED("""COMPUTED_VALUE"""),"45995d2b")</f>
        <v>45995d2b</v>
      </c>
      <c r="B3123" s="4">
        <f ca="1">IFERROR(__xludf.UNSUPPORTED("""COMPUTED_VALUE"""),44949.5025578703)</f>
        <v>44949.502557870299</v>
      </c>
      <c r="C3123" s="8" t="str">
        <f ca="1">IFERROR(__xludf.UNSUPPORTED("""COMPUTED_VALUE"""),"Terminal Portuário do Pecém")</f>
        <v>Terminal Portuário do Pecém</v>
      </c>
      <c r="D3123" s="3" t="str">
        <f ca="1">IFERROR(__xludf.UNSUPPORTED("""COMPUTED_VALUE"""),"🚢 REGULAR")</f>
        <v>🚢 REGULAR</v>
      </c>
      <c r="E3123" s="3" t="str">
        <f ca="1">IFERROR(__xludf.UNSUPPORTED("""COMPUTED_VALUE"""),"🚛 LIBERADO")</f>
        <v>🚛 LIBERADO</v>
      </c>
      <c r="F3123" s="5">
        <f ca="1">IFERROR(__xludf.UNSUPPORTED("""COMPUTED_VALUE"""),0)</f>
        <v>0</v>
      </c>
      <c r="G3123" s="3" t="str">
        <f ca="1">IFERROR(__xludf.UNSUPPORTED("""COMPUTED_VALUE"""),"Normalidade")</f>
        <v>Normalidade</v>
      </c>
      <c r="H3123" s="4">
        <f ca="1">IFERROR(__xludf.UNSUPPORTED("""COMPUTED_VALUE"""),44949.5025578703)</f>
        <v>44949.502557870299</v>
      </c>
      <c r="I3123" s="3">
        <f ca="1">IFERROR(__xludf.UNSUPPORTED("""COMPUTED_VALUE"""),24)</f>
        <v>24</v>
      </c>
      <c r="J3123" s="4">
        <f ca="1">IFERROR(__xludf.UNSUPPORTED("""COMPUTED_VALUE"""),44950.5025578703)</f>
        <v>44950.502557870299</v>
      </c>
      <c r="L3123" s="3" t="str">
        <f ca="1">IFERROR(__xludf.UNSUPPORTED("""COMPUTED_VALUE"""),"Normalidade")</f>
        <v>Normalidade</v>
      </c>
    </row>
    <row r="3124" spans="1:12" ht="12.75">
      <c r="A3124" s="3" t="str">
        <f ca="1">IFERROR(__xludf.UNSUPPORTED("""COMPUTED_VALUE"""),"d409188e")</f>
        <v>d409188e</v>
      </c>
      <c r="B3124" s="4">
        <f ca="1">IFERROR(__xludf.UNSUPPORTED("""COMPUTED_VALUE"""),44950.3503356481)</f>
        <v>44950.350335648101</v>
      </c>
      <c r="C3124" s="8" t="str">
        <f ca="1">IFERROR(__xludf.UNSUPPORTED("""COMPUTED_VALUE"""),"Terminal Portuário do Pecém")</f>
        <v>Terminal Portuário do Pecém</v>
      </c>
      <c r="D3124" s="3" t="str">
        <f ca="1">IFERROR(__xludf.UNSUPPORTED("""COMPUTED_VALUE"""),"🚢 REGULAR")</f>
        <v>🚢 REGULAR</v>
      </c>
      <c r="E3124" s="3" t="str">
        <f ca="1">IFERROR(__xludf.UNSUPPORTED("""COMPUTED_VALUE"""),"🚛 LIBERADO")</f>
        <v>🚛 LIBERADO</v>
      </c>
      <c r="F3124" s="5">
        <f ca="1">IFERROR(__xludf.UNSUPPORTED("""COMPUTED_VALUE"""),0)</f>
        <v>0</v>
      </c>
      <c r="G3124" s="3" t="str">
        <f ca="1">IFERROR(__xludf.UNSUPPORTED("""COMPUTED_VALUE"""),"Normalidade")</f>
        <v>Normalidade</v>
      </c>
      <c r="H3124" s="4">
        <f ca="1">IFERROR(__xludf.UNSUPPORTED("""COMPUTED_VALUE"""),44950.3503356481)</f>
        <v>44950.350335648101</v>
      </c>
      <c r="I3124" s="3">
        <f ca="1">IFERROR(__xludf.UNSUPPORTED("""COMPUTED_VALUE"""),24)</f>
        <v>24</v>
      </c>
      <c r="J3124" s="4">
        <f ca="1">IFERROR(__xludf.UNSUPPORTED("""COMPUTED_VALUE"""),44951.3503356481)</f>
        <v>44951.350335648101</v>
      </c>
      <c r="L3124" s="3" t="str">
        <f ca="1">IFERROR(__xludf.UNSUPPORTED("""COMPUTED_VALUE"""),"Normalidade")</f>
        <v>Normalidade</v>
      </c>
    </row>
    <row r="3125" spans="1:12" ht="12.75">
      <c r="A3125" s="3" t="str">
        <f ca="1">IFERROR(__xludf.UNSUPPORTED("""COMPUTED_VALUE"""),"0f5f3c51")</f>
        <v>0f5f3c51</v>
      </c>
      <c r="B3125" s="4">
        <f ca="1">IFERROR(__xludf.UNSUPPORTED("""COMPUTED_VALUE"""),44951.3947337962)</f>
        <v>44951.394733796202</v>
      </c>
      <c r="C3125" s="8" t="str">
        <f ca="1">IFERROR(__xludf.UNSUPPORTED("""COMPUTED_VALUE"""),"Terminal Portuário do Pecém")</f>
        <v>Terminal Portuário do Pecém</v>
      </c>
      <c r="D3125" s="3" t="str">
        <f ca="1">IFERROR(__xludf.UNSUPPORTED("""COMPUTED_VALUE"""),"🚢 REGULAR")</f>
        <v>🚢 REGULAR</v>
      </c>
      <c r="E3125" s="3" t="str">
        <f ca="1">IFERROR(__xludf.UNSUPPORTED("""COMPUTED_VALUE"""),"🚛 LIBERADO")</f>
        <v>🚛 LIBERADO</v>
      </c>
      <c r="F3125" s="5">
        <f ca="1">IFERROR(__xludf.UNSUPPORTED("""COMPUTED_VALUE"""),0)</f>
        <v>0</v>
      </c>
      <c r="G3125" s="3" t="str">
        <f ca="1">IFERROR(__xludf.UNSUPPORTED("""COMPUTED_VALUE"""),"Normalidade")</f>
        <v>Normalidade</v>
      </c>
      <c r="H3125" s="4">
        <f ca="1">IFERROR(__xludf.UNSUPPORTED("""COMPUTED_VALUE"""),44951.3947337962)</f>
        <v>44951.394733796202</v>
      </c>
      <c r="I3125" s="3">
        <f ca="1">IFERROR(__xludf.UNSUPPORTED("""COMPUTED_VALUE"""),24)</f>
        <v>24</v>
      </c>
      <c r="J3125" s="4">
        <f ca="1">IFERROR(__xludf.UNSUPPORTED("""COMPUTED_VALUE"""),44952.3947337962)</f>
        <v>44952.394733796202</v>
      </c>
      <c r="L3125" s="3" t="str">
        <f ca="1">IFERROR(__xludf.UNSUPPORTED("""COMPUTED_VALUE"""),"Normalidade")</f>
        <v>Normalidade</v>
      </c>
    </row>
    <row r="3126" spans="1:12" ht="12.75">
      <c r="A3126" s="3" t="str">
        <f ca="1">IFERROR(__xludf.UNSUPPORTED("""COMPUTED_VALUE"""),"23f264b8")</f>
        <v>23f264b8</v>
      </c>
      <c r="B3126" s="4">
        <f ca="1">IFERROR(__xludf.UNSUPPORTED("""COMPUTED_VALUE"""),44952.4692361111)</f>
        <v>44952.469236111101</v>
      </c>
      <c r="C3126" s="7" t="str">
        <f ca="1">IFERROR(__xludf.UNSUPPORTED("""COMPUTED_VALUE"""),"Terminal Portuário do Pecém")</f>
        <v>Terminal Portuário do Pecém</v>
      </c>
      <c r="D3126" s="3" t="str">
        <f ca="1">IFERROR(__xludf.UNSUPPORTED("""COMPUTED_VALUE"""),"🚢 REGULAR")</f>
        <v>🚢 REGULAR</v>
      </c>
      <c r="E3126" s="3" t="str">
        <f ca="1">IFERROR(__xludf.UNSUPPORTED("""COMPUTED_VALUE"""),"🚛 LIBERADO")</f>
        <v>🚛 LIBERADO</v>
      </c>
      <c r="F3126" s="5">
        <f ca="1">IFERROR(__xludf.UNSUPPORTED("""COMPUTED_VALUE"""),0)</f>
        <v>0</v>
      </c>
      <c r="G3126" s="3" t="str">
        <f ca="1">IFERROR(__xludf.UNSUPPORTED("""COMPUTED_VALUE"""),"Normalidade")</f>
        <v>Normalidade</v>
      </c>
      <c r="H3126" s="4">
        <f ca="1">IFERROR(__xludf.UNSUPPORTED("""COMPUTED_VALUE"""),44952.4692361111)</f>
        <v>44952.469236111101</v>
      </c>
      <c r="I3126" s="3">
        <f ca="1">IFERROR(__xludf.UNSUPPORTED("""COMPUTED_VALUE"""),24)</f>
        <v>24</v>
      </c>
      <c r="J3126" s="4">
        <f ca="1">IFERROR(__xludf.UNSUPPORTED("""COMPUTED_VALUE"""),44953.4692361111)</f>
        <v>44953.469236111101</v>
      </c>
      <c r="L3126" s="3" t="str">
        <f ca="1">IFERROR(__xludf.UNSUPPORTED("""COMPUTED_VALUE"""),"Normalidade")</f>
        <v>Normalidade</v>
      </c>
    </row>
    <row r="3127" spans="1:12" ht="12.75">
      <c r="A3127" s="3" t="str">
        <f ca="1">IFERROR(__xludf.UNSUPPORTED("""COMPUTED_VALUE"""),"4f880e86")</f>
        <v>4f880e86</v>
      </c>
      <c r="B3127" s="4">
        <f ca="1">IFERROR(__xludf.UNSUPPORTED("""COMPUTED_VALUE"""),44953.3586342592)</f>
        <v>44953.358634259203</v>
      </c>
      <c r="C3127" s="8" t="str">
        <f ca="1">IFERROR(__xludf.UNSUPPORTED("""COMPUTED_VALUE"""),"Terminal Portuário do Pecém")</f>
        <v>Terminal Portuário do Pecém</v>
      </c>
      <c r="D3127" s="3" t="str">
        <f ca="1">IFERROR(__xludf.UNSUPPORTED("""COMPUTED_VALUE"""),"🚢 REGULAR")</f>
        <v>🚢 REGULAR</v>
      </c>
      <c r="E3127" s="3" t="str">
        <f ca="1">IFERROR(__xludf.UNSUPPORTED("""COMPUTED_VALUE"""),"🚛 LIBERADO")</f>
        <v>🚛 LIBERADO</v>
      </c>
      <c r="F3127" s="5">
        <f ca="1">IFERROR(__xludf.UNSUPPORTED("""COMPUTED_VALUE"""),0)</f>
        <v>0</v>
      </c>
      <c r="G3127" s="3" t="str">
        <f ca="1">IFERROR(__xludf.UNSUPPORTED("""COMPUTED_VALUE"""),"Normalidade")</f>
        <v>Normalidade</v>
      </c>
      <c r="H3127" s="4">
        <f ca="1">IFERROR(__xludf.UNSUPPORTED("""COMPUTED_VALUE"""),44953.3586342592)</f>
        <v>44953.358634259203</v>
      </c>
      <c r="I3127" s="3">
        <f ca="1">IFERROR(__xludf.UNSUPPORTED("""COMPUTED_VALUE"""),24)</f>
        <v>24</v>
      </c>
      <c r="J3127" s="4">
        <f ca="1">IFERROR(__xludf.UNSUPPORTED("""COMPUTED_VALUE"""),44954.3586342592)</f>
        <v>44954.358634259203</v>
      </c>
      <c r="L3127" s="3" t="str">
        <f ca="1">IFERROR(__xludf.UNSUPPORTED("""COMPUTED_VALUE"""),"Normalidade")</f>
        <v>Normalidade</v>
      </c>
    </row>
    <row r="3128" spans="1:12" ht="12.75">
      <c r="A3128" s="3" t="str">
        <f ca="1">IFERROR(__xludf.UNSUPPORTED("""COMPUTED_VALUE"""),"577b1883")</f>
        <v>577b1883</v>
      </c>
      <c r="B3128" s="4">
        <f ca="1">IFERROR(__xludf.UNSUPPORTED("""COMPUTED_VALUE"""),44956.3415625)</f>
        <v>44956.341562499998</v>
      </c>
      <c r="C3128" s="7" t="str">
        <f ca="1">IFERROR(__xludf.UNSUPPORTED("""COMPUTED_VALUE"""),"Terminal Portuário do Pecém")</f>
        <v>Terminal Portuário do Pecém</v>
      </c>
      <c r="D3128" s="3" t="str">
        <f ca="1">IFERROR(__xludf.UNSUPPORTED("""COMPUTED_VALUE"""),"🚢 REGULAR")</f>
        <v>🚢 REGULAR</v>
      </c>
      <c r="E3128" s="3" t="str">
        <f ca="1">IFERROR(__xludf.UNSUPPORTED("""COMPUTED_VALUE"""),"🚛 LIBERADO")</f>
        <v>🚛 LIBERADO</v>
      </c>
      <c r="F3128" s="5">
        <f ca="1">IFERROR(__xludf.UNSUPPORTED("""COMPUTED_VALUE"""),0)</f>
        <v>0</v>
      </c>
      <c r="G3128" s="3" t="str">
        <f ca="1">IFERROR(__xludf.UNSUPPORTED("""COMPUTED_VALUE"""),"Normalidade")</f>
        <v>Normalidade</v>
      </c>
      <c r="H3128" s="4">
        <f ca="1">IFERROR(__xludf.UNSUPPORTED("""COMPUTED_VALUE"""),44956.3415625)</f>
        <v>44956.341562499998</v>
      </c>
      <c r="I3128" s="3">
        <f ca="1">IFERROR(__xludf.UNSUPPORTED("""COMPUTED_VALUE"""),24)</f>
        <v>24</v>
      </c>
      <c r="J3128" s="4">
        <f ca="1">IFERROR(__xludf.UNSUPPORTED("""COMPUTED_VALUE"""),44957.3415625)</f>
        <v>44957.341562499998</v>
      </c>
      <c r="L3128" s="3" t="str">
        <f ca="1">IFERROR(__xludf.UNSUPPORTED("""COMPUTED_VALUE"""),"Normalidade")</f>
        <v>Normalidade</v>
      </c>
    </row>
    <row r="3129" spans="1:12" ht="12.75">
      <c r="A3129" s="3" t="str">
        <f ca="1">IFERROR(__xludf.UNSUPPORTED("""COMPUTED_VALUE"""),"b279dc5d")</f>
        <v>b279dc5d</v>
      </c>
      <c r="B3129" s="4">
        <f ca="1">IFERROR(__xludf.UNSUPPORTED("""COMPUTED_VALUE"""),44959.3423726851)</f>
        <v>44959.342372685103</v>
      </c>
      <c r="C3129" s="7" t="str">
        <f ca="1">IFERROR(__xludf.UNSUPPORTED("""COMPUTED_VALUE"""),"Terminal Portuário do Pecém")</f>
        <v>Terminal Portuário do Pecém</v>
      </c>
      <c r="D3129" s="3" t="str">
        <f ca="1">IFERROR(__xludf.UNSUPPORTED("""COMPUTED_VALUE"""),"🚢 REGULAR")</f>
        <v>🚢 REGULAR</v>
      </c>
      <c r="E3129" s="3" t="str">
        <f ca="1">IFERROR(__xludf.UNSUPPORTED("""COMPUTED_VALUE"""),"🚛 LIBERADO")</f>
        <v>🚛 LIBERADO</v>
      </c>
      <c r="F3129" s="5">
        <f ca="1">IFERROR(__xludf.UNSUPPORTED("""COMPUTED_VALUE"""),0)</f>
        <v>0</v>
      </c>
      <c r="G3129" s="3" t="str">
        <f ca="1">IFERROR(__xludf.UNSUPPORTED("""COMPUTED_VALUE"""),"Normalidade")</f>
        <v>Normalidade</v>
      </c>
      <c r="H3129" s="4">
        <f ca="1">IFERROR(__xludf.UNSUPPORTED("""COMPUTED_VALUE"""),44959.3423726851)</f>
        <v>44959.342372685103</v>
      </c>
      <c r="I3129" s="3">
        <f ca="1">IFERROR(__xludf.UNSUPPORTED("""COMPUTED_VALUE"""),24)</f>
        <v>24</v>
      </c>
      <c r="J3129" s="4">
        <f ca="1">IFERROR(__xludf.UNSUPPORTED("""COMPUTED_VALUE"""),44960.3423726851)</f>
        <v>44960.342372685103</v>
      </c>
      <c r="L3129" s="3" t="str">
        <f ca="1">IFERROR(__xludf.UNSUPPORTED("""COMPUTED_VALUE"""),"Normalidade")</f>
        <v>Normalidade</v>
      </c>
    </row>
    <row r="3130" spans="1:12" ht="12.75">
      <c r="A3130" s="3" t="str">
        <f ca="1">IFERROR(__xludf.UNSUPPORTED("""COMPUTED_VALUE"""),"9876345b")</f>
        <v>9876345b</v>
      </c>
      <c r="B3130" s="4">
        <f ca="1">IFERROR(__xludf.UNSUPPORTED("""COMPUTED_VALUE"""),44963.3500578703)</f>
        <v>44963.350057870302</v>
      </c>
      <c r="C3130" s="7" t="str">
        <f ca="1">IFERROR(__xludf.UNSUPPORTED("""COMPUTED_VALUE"""),"Terminal Portuário do Pecém")</f>
        <v>Terminal Portuário do Pecém</v>
      </c>
      <c r="D3130" s="3" t="str">
        <f ca="1">IFERROR(__xludf.UNSUPPORTED("""COMPUTED_VALUE"""),"🚢 REGULAR")</f>
        <v>🚢 REGULAR</v>
      </c>
      <c r="E3130" s="3" t="str">
        <f ca="1">IFERROR(__xludf.UNSUPPORTED("""COMPUTED_VALUE"""),"🚛 LIBERADO")</f>
        <v>🚛 LIBERADO</v>
      </c>
      <c r="F3130" s="5">
        <f ca="1">IFERROR(__xludf.UNSUPPORTED("""COMPUTED_VALUE"""),0)</f>
        <v>0</v>
      </c>
      <c r="G3130" s="3" t="str">
        <f ca="1">IFERROR(__xludf.UNSUPPORTED("""COMPUTED_VALUE"""),"Normalidade")</f>
        <v>Normalidade</v>
      </c>
      <c r="H3130" s="4">
        <f ca="1">IFERROR(__xludf.UNSUPPORTED("""COMPUTED_VALUE"""),44963.3500578703)</f>
        <v>44963.350057870302</v>
      </c>
      <c r="I3130" s="3">
        <f ca="1">IFERROR(__xludf.UNSUPPORTED("""COMPUTED_VALUE"""),24)</f>
        <v>24</v>
      </c>
      <c r="J3130" s="4">
        <f ca="1">IFERROR(__xludf.UNSUPPORTED("""COMPUTED_VALUE"""),44964.3500578703)</f>
        <v>44964.350057870302</v>
      </c>
      <c r="L3130" s="3" t="str">
        <f ca="1">IFERROR(__xludf.UNSUPPORTED("""COMPUTED_VALUE"""),"Normalidade")</f>
        <v>Normalidade</v>
      </c>
    </row>
    <row r="3131" spans="1:12" ht="12.75">
      <c r="A3131" s="3" t="str">
        <f ca="1">IFERROR(__xludf.UNSUPPORTED("""COMPUTED_VALUE"""),"fafb8488")</f>
        <v>fafb8488</v>
      </c>
      <c r="B3131" s="4">
        <f ca="1">IFERROR(__xludf.UNSUPPORTED("""COMPUTED_VALUE"""),44965.3858101851)</f>
        <v>44965.3858101851</v>
      </c>
      <c r="C3131" s="8" t="str">
        <f ca="1">IFERROR(__xludf.UNSUPPORTED("""COMPUTED_VALUE"""),"Terminal Portuário do Pecém")</f>
        <v>Terminal Portuário do Pecém</v>
      </c>
      <c r="D3131" s="3" t="str">
        <f ca="1">IFERROR(__xludf.UNSUPPORTED("""COMPUTED_VALUE"""),"🚢 REGULAR")</f>
        <v>🚢 REGULAR</v>
      </c>
      <c r="E3131" s="3" t="str">
        <f ca="1">IFERROR(__xludf.UNSUPPORTED("""COMPUTED_VALUE"""),"🚛 LIBERADO")</f>
        <v>🚛 LIBERADO</v>
      </c>
      <c r="F3131" s="5">
        <f ca="1">IFERROR(__xludf.UNSUPPORTED("""COMPUTED_VALUE"""),0)</f>
        <v>0</v>
      </c>
      <c r="G3131" s="3" t="str">
        <f ca="1">IFERROR(__xludf.UNSUPPORTED("""COMPUTED_VALUE"""),"Normalidade")</f>
        <v>Normalidade</v>
      </c>
      <c r="H3131" s="4">
        <f ca="1">IFERROR(__xludf.UNSUPPORTED("""COMPUTED_VALUE"""),44965.3858101851)</f>
        <v>44965.3858101851</v>
      </c>
      <c r="I3131" s="3">
        <f ca="1">IFERROR(__xludf.UNSUPPORTED("""COMPUTED_VALUE"""),24)</f>
        <v>24</v>
      </c>
      <c r="J3131" s="4">
        <f ca="1">IFERROR(__xludf.UNSUPPORTED("""COMPUTED_VALUE"""),44966.3858101851)</f>
        <v>44966.3858101851</v>
      </c>
      <c r="L3131" s="3" t="str">
        <f ca="1">IFERROR(__xludf.UNSUPPORTED("""COMPUTED_VALUE"""),"Normalidade")</f>
        <v>Normalidade</v>
      </c>
    </row>
    <row r="3132" spans="1:12" ht="12.75">
      <c r="A3132" s="3" t="str">
        <f ca="1">IFERROR(__xludf.UNSUPPORTED("""COMPUTED_VALUE"""),"f1eb9947")</f>
        <v>f1eb9947</v>
      </c>
      <c r="B3132" s="4">
        <f ca="1">IFERROR(__xludf.UNSUPPORTED("""COMPUTED_VALUE"""),45120.6749074074)</f>
        <v>45120.674907407403</v>
      </c>
      <c r="C3132" s="8" t="str">
        <f ca="1">IFERROR(__xludf.UNSUPPORTED("""COMPUTED_VALUE"""),"Terminal Portuário do Pecém")</f>
        <v>Terminal Portuário do Pecém</v>
      </c>
      <c r="D3132" s="3" t="str">
        <f ca="1">IFERROR(__xludf.UNSUPPORTED("""COMPUTED_VALUE"""),"🚢 REGULAR")</f>
        <v>🚢 REGULAR</v>
      </c>
      <c r="E3132" s="3" t="str">
        <f ca="1">IFERROR(__xludf.UNSUPPORTED("""COMPUTED_VALUE"""),"🚛 LIBERADO")</f>
        <v>🚛 LIBERADO</v>
      </c>
      <c r="F3132" s="5">
        <f ca="1">IFERROR(__xludf.UNSUPPORTED("""COMPUTED_VALUE"""),0)</f>
        <v>0</v>
      </c>
      <c r="G3132" s="3" t="str">
        <f ca="1">IFERROR(__xludf.UNSUPPORTED("""COMPUTED_VALUE"""),"Normalidade")</f>
        <v>Normalidade</v>
      </c>
      <c r="H3132" s="4">
        <f ca="1">IFERROR(__xludf.UNSUPPORTED("""COMPUTED_VALUE"""),45120.6749074074)</f>
        <v>45120.674907407403</v>
      </c>
      <c r="I3132" s="3">
        <f ca="1">IFERROR(__xludf.UNSUPPORTED("""COMPUTED_VALUE"""),24)</f>
        <v>24</v>
      </c>
      <c r="J3132" s="4">
        <f ca="1">IFERROR(__xludf.UNSUPPORTED("""COMPUTED_VALUE"""),45121.6749074074)</f>
        <v>45121.674907407403</v>
      </c>
      <c r="L3132" s="3" t="str">
        <f ca="1">IFERROR(__xludf.UNSUPPORTED("""COMPUTED_VALUE"""),"Normalidade")</f>
        <v>Normalidade</v>
      </c>
    </row>
    <row r="3133" spans="1:12" ht="12.75">
      <c r="A3133" s="3" t="str">
        <f ca="1">IFERROR(__xludf.UNSUPPORTED("""COMPUTED_VALUE"""),"731ce9b0")</f>
        <v>731ce9b0</v>
      </c>
      <c r="B3133" s="4">
        <f ca="1">IFERROR(__xludf.UNSUPPORTED("""COMPUTED_VALUE"""),45120.6752893518)</f>
        <v>45120.675289351799</v>
      </c>
      <c r="C3133" s="7" t="str">
        <f ca="1">IFERROR(__xludf.UNSUPPORTED("""COMPUTED_VALUE"""),"Terminal Portuário do Pecém")</f>
        <v>Terminal Portuário do Pecém</v>
      </c>
      <c r="D3133" s="3" t="str">
        <f ca="1">IFERROR(__xludf.UNSUPPORTED("""COMPUTED_VALUE"""),"🚢 REGULAR")</f>
        <v>🚢 REGULAR</v>
      </c>
      <c r="E3133" s="3" t="str">
        <f ca="1">IFERROR(__xludf.UNSUPPORTED("""COMPUTED_VALUE"""),"🚛 LIBERADO")</f>
        <v>🚛 LIBERADO</v>
      </c>
      <c r="F3133" s="5">
        <f ca="1">IFERROR(__xludf.UNSUPPORTED("""COMPUTED_VALUE"""),0)</f>
        <v>0</v>
      </c>
      <c r="G3133" s="3" t="str">
        <f ca="1">IFERROR(__xludf.UNSUPPORTED("""COMPUTED_VALUE"""),"Normalidade")</f>
        <v>Normalidade</v>
      </c>
      <c r="H3133" s="4">
        <f ca="1">IFERROR(__xludf.UNSUPPORTED("""COMPUTED_VALUE"""),45120.6752893518)</f>
        <v>45120.675289351799</v>
      </c>
      <c r="I3133" s="3">
        <f ca="1">IFERROR(__xludf.UNSUPPORTED("""COMPUTED_VALUE"""),24)</f>
        <v>24</v>
      </c>
      <c r="J3133" s="4">
        <f ca="1">IFERROR(__xludf.UNSUPPORTED("""COMPUTED_VALUE"""),45121.6752893518)</f>
        <v>45121.675289351799</v>
      </c>
      <c r="L3133" s="3" t="str">
        <f ca="1">IFERROR(__xludf.UNSUPPORTED("""COMPUTED_VALUE"""),"Normalidade")</f>
        <v>Normalidade</v>
      </c>
    </row>
    <row r="3134" spans="1:12" ht="12.75">
      <c r="A3134" s="3" t="str">
        <f ca="1">IFERROR(__xludf.UNSUPPORTED("""COMPUTED_VALUE"""),"572dc0a6")</f>
        <v>572dc0a6</v>
      </c>
      <c r="B3134" s="4">
        <f ca="1">IFERROR(__xludf.UNSUPPORTED("""COMPUTED_VALUE"""),44866.4755787037)</f>
        <v>44866.475578703699</v>
      </c>
      <c r="C3134" s="7" t="str">
        <f ca="1">IFERROR(__xludf.UNSUPPORTED("""COMPUTED_VALUE"""),"Vila do Conde")</f>
        <v>Vila do Conde</v>
      </c>
      <c r="D3134" s="3" t="str">
        <f ca="1">IFERROR(__xludf.UNSUPPORTED("""COMPUTED_VALUE"""),"🚢 REGULAR")</f>
        <v>🚢 REGULAR</v>
      </c>
      <c r="E3134" s="3" t="str">
        <f ca="1">IFERROR(__xludf.UNSUPPORTED("""COMPUTED_VALUE"""),"🚛 LIBERADO")</f>
        <v>🚛 LIBERADO</v>
      </c>
      <c r="F3134" s="5">
        <f ca="1">IFERROR(__xludf.UNSUPPORTED("""COMPUTED_VALUE"""),0)</f>
        <v>0</v>
      </c>
      <c r="G3134" s="3" t="str">
        <f ca="1">IFERROR(__xludf.UNSUPPORTED("""COMPUTED_VALUE"""),"Sem anomalias.")</f>
        <v>Sem anomalias.</v>
      </c>
      <c r="H3134" s="4">
        <f ca="1">IFERROR(__xludf.UNSUPPORTED("""COMPUTED_VALUE"""),44866.4755787037)</f>
        <v>44866.475578703699</v>
      </c>
      <c r="I3134" s="3">
        <f ca="1">IFERROR(__xludf.UNSUPPORTED("""COMPUTED_VALUE"""),12)</f>
        <v>12</v>
      </c>
      <c r="J3134" s="4">
        <f ca="1">IFERROR(__xludf.UNSUPPORTED("""COMPUTED_VALUE"""),44866.9755787037)</f>
        <v>44866.975578703699</v>
      </c>
    </row>
    <row r="3135" spans="1:12" ht="12.75">
      <c r="A3135" s="3" t="str">
        <f ca="1">IFERROR(__xludf.UNSUPPORTED("""COMPUTED_VALUE"""),"cb436743")</f>
        <v>cb436743</v>
      </c>
      <c r="B3135" s="4">
        <f ca="1">IFERROR(__xludf.UNSUPPORTED("""COMPUTED_VALUE"""),44867.5197222222)</f>
        <v>44867.519722222198</v>
      </c>
      <c r="C3135" s="8" t="str">
        <f ca="1">IFERROR(__xludf.UNSUPPORTED("""COMPUTED_VALUE"""),"Vila do Conde")</f>
        <v>Vila do Conde</v>
      </c>
      <c r="D3135" s="3" t="str">
        <f ca="1">IFERROR(__xludf.UNSUPPORTED("""COMPUTED_VALUE"""),"🚢 REGULAR")</f>
        <v>🚢 REGULAR</v>
      </c>
      <c r="E3135" s="3" t="str">
        <f ca="1">IFERROR(__xludf.UNSUPPORTED("""COMPUTED_VALUE"""),"🚛 LIBERADO")</f>
        <v>🚛 LIBERADO</v>
      </c>
      <c r="F3135" s="5">
        <f ca="1">IFERROR(__xludf.UNSUPPORTED("""COMPUTED_VALUE"""),0)</f>
        <v>0</v>
      </c>
      <c r="G3135" s="3" t="str">
        <f ca="1">IFERROR(__xludf.UNSUPPORTED("""COMPUTED_VALUE"""),"Sem ocorrências.")</f>
        <v>Sem ocorrências.</v>
      </c>
      <c r="H3135" s="4">
        <f ca="1">IFERROR(__xludf.UNSUPPORTED("""COMPUTED_VALUE"""),44872.4201388888)</f>
        <v>44872.420138888803</v>
      </c>
      <c r="I3135" s="3">
        <f ca="1">IFERROR(__xludf.UNSUPPORTED("""COMPUTED_VALUE"""),1)</f>
        <v>1</v>
      </c>
      <c r="J3135" s="4">
        <f ca="1">IFERROR(__xludf.UNSUPPORTED("""COMPUTED_VALUE"""),44872.4618055555)</f>
        <v>44872.461805555497</v>
      </c>
    </row>
    <row r="3136" spans="1:12" ht="12.75">
      <c r="A3136" s="3" t="str">
        <f ca="1">IFERROR(__xludf.UNSUPPORTED("""COMPUTED_VALUE"""),"b91e2668")</f>
        <v>b91e2668</v>
      </c>
      <c r="B3136" s="4">
        <f ca="1">IFERROR(__xludf.UNSUPPORTED("""COMPUTED_VALUE"""),44873.4453587962)</f>
        <v>44873.445358796198</v>
      </c>
      <c r="C3136" s="7" t="str">
        <f ca="1">IFERROR(__xludf.UNSUPPORTED("""COMPUTED_VALUE"""),"Vila do Conde")</f>
        <v>Vila do Conde</v>
      </c>
      <c r="D3136" s="3" t="str">
        <f ca="1">IFERROR(__xludf.UNSUPPORTED("""COMPUTED_VALUE"""),"🚢 REGULAR")</f>
        <v>🚢 REGULAR</v>
      </c>
      <c r="E3136" s="3" t="str">
        <f ca="1">IFERROR(__xludf.UNSUPPORTED("""COMPUTED_VALUE"""),"🚛 LIBERADO")</f>
        <v>🚛 LIBERADO</v>
      </c>
      <c r="F3136" s="5">
        <f ca="1">IFERROR(__xludf.UNSUPPORTED("""COMPUTED_VALUE"""),0)</f>
        <v>0</v>
      </c>
      <c r="G3136" s="3" t="str">
        <f ca="1">IFERROR(__xludf.UNSUPPORTED("""COMPUTED_VALUE"""),"Sem ocorrência")</f>
        <v>Sem ocorrência</v>
      </c>
      <c r="H3136" s="4">
        <f ca="1">IFERROR(__xludf.UNSUPPORTED("""COMPUTED_VALUE"""),44873.3618055555)</f>
        <v>44873.361805555498</v>
      </c>
      <c r="I3136" s="3">
        <f ca="1">IFERROR(__xludf.UNSUPPORTED("""COMPUTED_VALUE"""),1)</f>
        <v>1</v>
      </c>
      <c r="J3136" s="4">
        <f ca="1">IFERROR(__xludf.UNSUPPORTED("""COMPUTED_VALUE"""),44873.4034722222)</f>
        <v>44873.403472222199</v>
      </c>
    </row>
    <row r="3137" spans="1:10" ht="12.75">
      <c r="A3137" s="3" t="str">
        <f ca="1">IFERROR(__xludf.UNSUPPORTED("""COMPUTED_VALUE"""),"02eeb68c")</f>
        <v>02eeb68c</v>
      </c>
      <c r="B3137" s="4">
        <f ca="1">IFERROR(__xludf.UNSUPPORTED("""COMPUTED_VALUE"""),44874.4379976851)</f>
        <v>44874.437997685098</v>
      </c>
      <c r="C3137" s="8" t="str">
        <f ca="1">IFERROR(__xludf.UNSUPPORTED("""COMPUTED_VALUE"""),"Vila do Conde")</f>
        <v>Vila do Conde</v>
      </c>
      <c r="D3137" s="3" t="str">
        <f ca="1">IFERROR(__xludf.UNSUPPORTED("""COMPUTED_VALUE"""),"🚢 REGULAR")</f>
        <v>🚢 REGULAR</v>
      </c>
      <c r="E3137" s="3" t="str">
        <f ca="1">IFERROR(__xludf.UNSUPPORTED("""COMPUTED_VALUE"""),"🚛 LIBERADO")</f>
        <v>🚛 LIBERADO</v>
      </c>
      <c r="F3137" s="5">
        <f ca="1">IFERROR(__xludf.UNSUPPORTED("""COMPUTED_VALUE"""),0)</f>
        <v>0</v>
      </c>
      <c r="G3137" s="3" t="str">
        <f ca="1">IFERROR(__xludf.UNSUPPORTED("""COMPUTED_VALUE"""),"Sem ocorrências")</f>
        <v>Sem ocorrências</v>
      </c>
      <c r="H3137" s="4">
        <f ca="1">IFERROR(__xludf.UNSUPPORTED("""COMPUTED_VALUE"""),44874.3951388888)</f>
        <v>44874.395138888802</v>
      </c>
      <c r="I3137" s="3">
        <f ca="1">IFERROR(__xludf.UNSUPPORTED("""COMPUTED_VALUE"""),1)</f>
        <v>1</v>
      </c>
      <c r="J3137" s="4">
        <f ca="1">IFERROR(__xludf.UNSUPPORTED("""COMPUTED_VALUE"""),44874.4368055555)</f>
        <v>44874.436805555502</v>
      </c>
    </row>
    <row r="3138" spans="1:10" ht="12.75">
      <c r="A3138" s="3" t="str">
        <f ca="1">IFERROR(__xludf.UNSUPPORTED("""COMPUTED_VALUE"""),"36d1df4f")</f>
        <v>36d1df4f</v>
      </c>
      <c r="B3138" s="4">
        <f ca="1">IFERROR(__xludf.UNSUPPORTED("""COMPUTED_VALUE"""),44881.4302083333)</f>
        <v>44881.430208333302</v>
      </c>
      <c r="C3138" s="7" t="str">
        <f ca="1">IFERROR(__xludf.UNSUPPORTED("""COMPUTED_VALUE"""),"Vila do Conde")</f>
        <v>Vila do Conde</v>
      </c>
      <c r="D3138" s="3" t="str">
        <f ca="1">IFERROR(__xludf.UNSUPPORTED("""COMPUTED_VALUE"""),"🚢 REGULAR")</f>
        <v>🚢 REGULAR</v>
      </c>
      <c r="E3138" s="3" t="str">
        <f ca="1">IFERROR(__xludf.UNSUPPORTED("""COMPUTED_VALUE"""),"🚛 LIBERADO")</f>
        <v>🚛 LIBERADO</v>
      </c>
      <c r="F3138" s="5">
        <f ca="1">IFERROR(__xludf.UNSUPPORTED("""COMPUTED_VALUE"""),0)</f>
        <v>0</v>
      </c>
      <c r="G3138" s="3" t="str">
        <f ca="1">IFERROR(__xludf.UNSUPPORTED("""COMPUTED_VALUE"""),"Sem anormalidades na operação portuária por conta de paralisações nas rodovias.")</f>
        <v>Sem anormalidades na operação portuária por conta de paralisações nas rodovias.</v>
      </c>
      <c r="H3138" s="4">
        <f ca="1">IFERROR(__xludf.UNSUPPORTED("""COMPUTED_VALUE"""),44881.4302083333)</f>
        <v>44881.430208333302</v>
      </c>
      <c r="I3138" s="3">
        <f ca="1">IFERROR(__xludf.UNSUPPORTED("""COMPUTED_VALUE"""),1)</f>
        <v>1</v>
      </c>
      <c r="J3138" s="4">
        <f ca="1">IFERROR(__xludf.UNSUPPORTED("""COMPUTED_VALUE"""),44881.471875)</f>
        <v>44881.471875000003</v>
      </c>
    </row>
    <row r="3139" spans="1:10" ht="12.75">
      <c r="A3139" s="3" t="str">
        <f ca="1">IFERROR(__xludf.UNSUPPORTED("""COMPUTED_VALUE"""),"117e0b70")</f>
        <v>117e0b70</v>
      </c>
      <c r="B3139" s="4">
        <f ca="1">IFERROR(__xludf.UNSUPPORTED("""COMPUTED_VALUE"""),44883.5038541666)</f>
        <v>44883.5038541666</v>
      </c>
      <c r="C3139" s="7" t="str">
        <f ca="1">IFERROR(__xludf.UNSUPPORTED("""COMPUTED_VALUE"""),"Vila do Conde")</f>
        <v>Vila do Conde</v>
      </c>
      <c r="D3139" s="3" t="str">
        <f ca="1">IFERROR(__xludf.UNSUPPORTED("""COMPUTED_VALUE"""),"🚢 REGULAR")</f>
        <v>🚢 REGULAR</v>
      </c>
      <c r="E3139" s="3" t="str">
        <f ca="1">IFERROR(__xludf.UNSUPPORTED("""COMPUTED_VALUE"""),"🚛 LIBERADO")</f>
        <v>🚛 LIBERADO</v>
      </c>
      <c r="F3139" s="5">
        <f ca="1">IFERROR(__xludf.UNSUPPORTED("""COMPUTED_VALUE"""),0)</f>
        <v>0</v>
      </c>
      <c r="G3139" s="3" t="str">
        <f ca="1">IFERROR(__xludf.UNSUPPORTED("""COMPUTED_VALUE"""),"Sem ocorrências")</f>
        <v>Sem ocorrências</v>
      </c>
      <c r="H3139" s="4">
        <f ca="1">IFERROR(__xludf.UNSUPPORTED("""COMPUTED_VALUE"""),44883.4201388888)</f>
        <v>44883.420138888803</v>
      </c>
      <c r="I3139" s="3">
        <f ca="1">IFERROR(__xludf.UNSUPPORTED("""COMPUTED_VALUE"""),1)</f>
        <v>1</v>
      </c>
      <c r="J3139" s="4">
        <f ca="1">IFERROR(__xludf.UNSUPPORTED("""COMPUTED_VALUE"""),44883.4618055555)</f>
        <v>44883.461805555497</v>
      </c>
    </row>
    <row r="3140" spans="1:10" ht="12.75">
      <c r="A3140" s="3" t="str">
        <f ca="1">IFERROR(__xludf.UNSUPPORTED("""COMPUTED_VALUE"""),"a1208c94")</f>
        <v>a1208c94</v>
      </c>
      <c r="B3140" s="4">
        <f ca="1">IFERROR(__xludf.UNSUPPORTED("""COMPUTED_VALUE"""),44885.4552083333)</f>
        <v>44885.455208333296</v>
      </c>
      <c r="C3140" s="7" t="str">
        <f ca="1">IFERROR(__xludf.UNSUPPORTED("""COMPUTED_VALUE"""),"Vila do Conde")</f>
        <v>Vila do Conde</v>
      </c>
      <c r="D3140" s="3" t="str">
        <f ca="1">IFERROR(__xludf.UNSUPPORTED("""COMPUTED_VALUE"""),"🚢 REGULAR")</f>
        <v>🚢 REGULAR</v>
      </c>
      <c r="E3140" s="3" t="str">
        <f ca="1">IFERROR(__xludf.UNSUPPORTED("""COMPUTED_VALUE"""),"🚛 LIBERADO")</f>
        <v>🚛 LIBERADO</v>
      </c>
      <c r="F3140" s="5">
        <f ca="1">IFERROR(__xludf.UNSUPPORTED("""COMPUTED_VALUE"""),0)</f>
        <v>0</v>
      </c>
      <c r="G3140" s="3" t="str">
        <f ca="1">IFERROR(__xludf.UNSUPPORTED("""COMPUTED_VALUE"""),"Operação normal")</f>
        <v>Operação normal</v>
      </c>
      <c r="H3140" s="4">
        <f ca="1">IFERROR(__xludf.UNSUPPORTED("""COMPUTED_VALUE"""),44885.4131944444)</f>
        <v>44885.413194444402</v>
      </c>
      <c r="I3140" s="3">
        <f ca="1">IFERROR(__xludf.UNSUPPORTED("""COMPUTED_VALUE"""),1)</f>
        <v>1</v>
      </c>
      <c r="J3140" s="4">
        <f ca="1">IFERROR(__xludf.UNSUPPORTED("""COMPUTED_VALUE"""),44885.4548611111)</f>
        <v>44885.454861111102</v>
      </c>
    </row>
    <row r="3141" spans="1:10" ht="12.75">
      <c r="A3141" s="3" t="str">
        <f ca="1">IFERROR(__xludf.UNSUPPORTED("""COMPUTED_VALUE"""),"38f0fa45")</f>
        <v>38f0fa45</v>
      </c>
      <c r="B3141" s="4">
        <f ca="1">IFERROR(__xludf.UNSUPPORTED("""COMPUTED_VALUE"""),44886.4442013888)</f>
        <v>44886.444201388797</v>
      </c>
      <c r="C3141" s="8" t="str">
        <f ca="1">IFERROR(__xludf.UNSUPPORTED("""COMPUTED_VALUE"""),"Vila do Conde")</f>
        <v>Vila do Conde</v>
      </c>
      <c r="D3141" s="3" t="str">
        <f ca="1">IFERROR(__xludf.UNSUPPORTED("""COMPUTED_VALUE"""),"🚢 REGULAR")</f>
        <v>🚢 REGULAR</v>
      </c>
      <c r="E3141" s="3" t="str">
        <f ca="1">IFERROR(__xludf.UNSUPPORTED("""COMPUTED_VALUE"""),"🚛 LIBERADO")</f>
        <v>🚛 LIBERADO</v>
      </c>
      <c r="F3141" s="5">
        <f ca="1">IFERROR(__xludf.UNSUPPORTED("""COMPUTED_VALUE"""),0)</f>
        <v>0</v>
      </c>
      <c r="G3141" s="3" t="str">
        <f ca="1">IFERROR(__xludf.UNSUPPORTED("""COMPUTED_VALUE"""),"sem ocorrências")</f>
        <v>sem ocorrências</v>
      </c>
      <c r="H3141" s="4">
        <f ca="1">IFERROR(__xludf.UNSUPPORTED("""COMPUTED_VALUE"""),44886.4025347222)</f>
        <v>44886.402534722198</v>
      </c>
      <c r="I3141" s="3">
        <f ca="1">IFERROR(__xludf.UNSUPPORTED("""COMPUTED_VALUE"""),1)</f>
        <v>1</v>
      </c>
      <c r="J3141" s="4">
        <f ca="1">IFERROR(__xludf.UNSUPPORTED("""COMPUTED_VALUE"""),44886.4442013888)</f>
        <v>44886.444201388797</v>
      </c>
    </row>
    <row r="3142" spans="1:10" ht="12.75">
      <c r="A3142" s="3" t="str">
        <f ca="1">IFERROR(__xludf.UNSUPPORTED("""COMPUTED_VALUE"""),"6f84453d")</f>
        <v>6f84453d</v>
      </c>
      <c r="B3142" s="4">
        <f ca="1">IFERROR(__xludf.UNSUPPORTED("""COMPUTED_VALUE"""),44887.430625)</f>
        <v>44887.430625000001</v>
      </c>
      <c r="C3142" s="7" t="str">
        <f ca="1">IFERROR(__xludf.UNSUPPORTED("""COMPUTED_VALUE"""),"Vila do Conde")</f>
        <v>Vila do Conde</v>
      </c>
      <c r="D3142" s="3" t="str">
        <f ca="1">IFERROR(__xludf.UNSUPPORTED("""COMPUTED_VALUE"""),"🚢 REGULAR")</f>
        <v>🚢 REGULAR</v>
      </c>
      <c r="E3142" s="3" t="str">
        <f ca="1">IFERROR(__xludf.UNSUPPORTED("""COMPUTED_VALUE"""),"🚛 LIBERADO")</f>
        <v>🚛 LIBERADO</v>
      </c>
      <c r="F3142" s="5">
        <f ca="1">IFERROR(__xludf.UNSUPPORTED("""COMPUTED_VALUE"""),0)</f>
        <v>0</v>
      </c>
      <c r="G3142" s="3" t="str">
        <f ca="1">IFERROR(__xludf.UNSUPPORTED("""COMPUTED_VALUE"""),"sem ocorrência registrada pela autoridade portuária")</f>
        <v>sem ocorrência registrada pela autoridade portuária</v>
      </c>
      <c r="H3142" s="4">
        <f ca="1">IFERROR(__xludf.UNSUPPORTED("""COMPUTED_VALUE"""),44887.3889583333)</f>
        <v>44887.3889583333</v>
      </c>
      <c r="I3142" s="3">
        <f ca="1">IFERROR(__xludf.UNSUPPORTED("""COMPUTED_VALUE"""),1)</f>
        <v>1</v>
      </c>
      <c r="J3142" s="4">
        <f ca="1">IFERROR(__xludf.UNSUPPORTED("""COMPUTED_VALUE"""),44887.430625)</f>
        <v>44887.430625000001</v>
      </c>
    </row>
    <row r="3143" spans="1:10" ht="12.75">
      <c r="A3143" s="3" t="str">
        <f ca="1">IFERROR(__xludf.UNSUPPORTED("""COMPUTED_VALUE"""),"104f7432")</f>
        <v>104f7432</v>
      </c>
      <c r="B3143" s="4">
        <f ca="1">IFERROR(__xludf.UNSUPPORTED("""COMPUTED_VALUE"""),44888.4663888888)</f>
        <v>44888.466388888803</v>
      </c>
      <c r="C3143" s="8" t="str">
        <f ca="1">IFERROR(__xludf.UNSUPPORTED("""COMPUTED_VALUE"""),"Vila do Conde")</f>
        <v>Vila do Conde</v>
      </c>
      <c r="D3143" s="3" t="str">
        <f ca="1">IFERROR(__xludf.UNSUPPORTED("""COMPUTED_VALUE"""),"🚢 REGULAR")</f>
        <v>🚢 REGULAR</v>
      </c>
      <c r="E3143" s="3" t="str">
        <f ca="1">IFERROR(__xludf.UNSUPPORTED("""COMPUTED_VALUE"""),"🚛 LIBERADO")</f>
        <v>🚛 LIBERADO</v>
      </c>
      <c r="F3143" s="5">
        <f ca="1">IFERROR(__xludf.UNSUPPORTED("""COMPUTED_VALUE"""),0)</f>
        <v>0</v>
      </c>
      <c r="G3143" s="3" t="str">
        <f ca="1">IFERROR(__xludf.UNSUPPORTED("""COMPUTED_VALUE"""),"Operação regular")</f>
        <v>Operação regular</v>
      </c>
      <c r="H3143" s="4">
        <f ca="1">IFERROR(__xludf.UNSUPPORTED("""COMPUTED_VALUE"""),44888.4240277777)</f>
        <v>44888.424027777699</v>
      </c>
      <c r="I3143" s="3">
        <f ca="1">IFERROR(__xludf.UNSUPPORTED("""COMPUTED_VALUE"""),1)</f>
        <v>1</v>
      </c>
      <c r="J3143" s="4">
        <f ca="1">IFERROR(__xludf.UNSUPPORTED("""COMPUTED_VALUE"""),44888.4656944444)</f>
        <v>44888.4656944444</v>
      </c>
    </row>
    <row r="3144" spans="1:10" ht="12.75">
      <c r="A3144" s="3" t="str">
        <f ca="1">IFERROR(__xludf.UNSUPPORTED("""COMPUTED_VALUE"""),"1588674c")</f>
        <v>1588674c</v>
      </c>
      <c r="B3144" s="4">
        <f ca="1">IFERROR(__xludf.UNSUPPORTED("""COMPUTED_VALUE"""),44888.3902777777)</f>
        <v>44888.390277777697</v>
      </c>
      <c r="C3144" s="7" t="str">
        <f ca="1">IFERROR(__xludf.UNSUPPORTED("""COMPUTED_VALUE"""),"Vila do Conde")</f>
        <v>Vila do Conde</v>
      </c>
      <c r="D3144" s="3" t="str">
        <f ca="1">IFERROR(__xludf.UNSUPPORTED("""COMPUTED_VALUE"""),"🚢 REGULAR")</f>
        <v>🚢 REGULAR</v>
      </c>
      <c r="E3144" s="3" t="str">
        <f ca="1">IFERROR(__xludf.UNSUPPORTED("""COMPUTED_VALUE"""),"🚛 LIBERADO")</f>
        <v>🚛 LIBERADO</v>
      </c>
      <c r="F3144" s="5">
        <f ca="1">IFERROR(__xludf.UNSUPPORTED("""COMPUTED_VALUE"""),0)</f>
        <v>0</v>
      </c>
      <c r="G3144" s="3" t="str">
        <f ca="1">IFERROR(__xludf.UNSUPPORTED("""COMPUTED_VALUE"""),"Operação em normalidade. Sem manifestação da Autoridade Portuária")</f>
        <v>Operação em normalidade. Sem manifestação da Autoridade Portuária</v>
      </c>
      <c r="H3144" s="4">
        <f ca="1">IFERROR(__xludf.UNSUPPORTED("""COMPUTED_VALUE"""),44888.3479166666)</f>
        <v>44888.3479166666</v>
      </c>
      <c r="I3144" s="3">
        <f ca="1">IFERROR(__xludf.UNSUPPORTED("""COMPUTED_VALUE"""),1)</f>
        <v>1</v>
      </c>
      <c r="J3144" s="4">
        <f ca="1">IFERROR(__xludf.UNSUPPORTED("""COMPUTED_VALUE"""),44888.3895833333)</f>
        <v>44888.389583333301</v>
      </c>
    </row>
    <row r="3145" spans="1:10" ht="12.75">
      <c r="A3145" s="3" t="str">
        <f ca="1">IFERROR(__xludf.UNSUPPORTED("""COMPUTED_VALUE"""),"75f91e0e")</f>
        <v>75f91e0e</v>
      </c>
      <c r="B3145" s="4">
        <f ca="1">IFERROR(__xludf.UNSUPPORTED("""COMPUTED_VALUE"""),44889.3758101851)</f>
        <v>44889.375810185098</v>
      </c>
      <c r="C3145" s="7" t="str">
        <f ca="1">IFERROR(__xludf.UNSUPPORTED("""COMPUTED_VALUE"""),"Vila do Conde")</f>
        <v>Vila do Conde</v>
      </c>
      <c r="D3145" s="3" t="str">
        <f ca="1">IFERROR(__xludf.UNSUPPORTED("""COMPUTED_VALUE"""),"🚢 REGULAR")</f>
        <v>🚢 REGULAR</v>
      </c>
      <c r="E3145" s="3" t="str">
        <f ca="1">IFERROR(__xludf.UNSUPPORTED("""COMPUTED_VALUE"""),"🚛 LIBERADO")</f>
        <v>🚛 LIBERADO</v>
      </c>
      <c r="F3145" s="5">
        <f ca="1">IFERROR(__xludf.UNSUPPORTED("""COMPUTED_VALUE"""),0)</f>
        <v>0</v>
      </c>
      <c r="G3145" s="3" t="str">
        <f ca="1">IFERROR(__xludf.UNSUPPORTED("""COMPUTED_VALUE"""),"Operação em normalidade")</f>
        <v>Operação em normalidade</v>
      </c>
      <c r="H3145" s="4">
        <f ca="1">IFERROR(__xludf.UNSUPPORTED("""COMPUTED_VALUE"""),44889.3333333333)</f>
        <v>44889.333333333299</v>
      </c>
      <c r="I3145" s="3">
        <f ca="1">IFERROR(__xludf.UNSUPPORTED("""COMPUTED_VALUE"""),1)</f>
        <v>1</v>
      </c>
      <c r="J3145" s="4">
        <f ca="1">IFERROR(__xludf.UNSUPPORTED("""COMPUTED_VALUE"""),44889.375)</f>
        <v>44889.375</v>
      </c>
    </row>
    <row r="3146" spans="1:10" ht="12.75">
      <c r="A3146" s="3" t="str">
        <f ca="1">IFERROR(__xludf.UNSUPPORTED("""COMPUTED_VALUE"""),"2bc99ad8")</f>
        <v>2bc99ad8</v>
      </c>
      <c r="B3146" s="4">
        <f ca="1">IFERROR(__xludf.UNSUPPORTED("""COMPUTED_VALUE"""),44890.5628356481)</f>
        <v>44890.562835648103</v>
      </c>
      <c r="C3146" s="8" t="str">
        <f ca="1">IFERROR(__xludf.UNSUPPORTED("""COMPUTED_VALUE"""),"Vila do Conde")</f>
        <v>Vila do Conde</v>
      </c>
      <c r="D3146" s="3" t="str">
        <f ca="1">IFERROR(__xludf.UNSUPPORTED("""COMPUTED_VALUE"""),"🚢 REGULAR")</f>
        <v>🚢 REGULAR</v>
      </c>
      <c r="E3146" s="3" t="str">
        <f ca="1">IFERROR(__xludf.UNSUPPORTED("""COMPUTED_VALUE"""),"🚛 LIBERADO")</f>
        <v>🚛 LIBERADO</v>
      </c>
      <c r="F3146" s="5">
        <f ca="1">IFERROR(__xludf.UNSUPPORTED("""COMPUTED_VALUE"""),0)</f>
        <v>0</v>
      </c>
      <c r="G3146" s="3" t="str">
        <f ca="1">IFERROR(__xludf.UNSUPPORTED("""COMPUTED_VALUE"""),"Normal")</f>
        <v>Normal</v>
      </c>
      <c r="H3146" s="4">
        <f ca="1">IFERROR(__xludf.UNSUPPORTED("""COMPUTED_VALUE"""),44890.5201388888)</f>
        <v>44890.520138888802</v>
      </c>
      <c r="I3146" s="3">
        <f ca="1">IFERROR(__xludf.UNSUPPORTED("""COMPUTED_VALUE"""),1)</f>
        <v>1</v>
      </c>
      <c r="J3146" s="4">
        <f ca="1">IFERROR(__xludf.UNSUPPORTED("""COMPUTED_VALUE"""),44890.5618055555)</f>
        <v>44890.561805555502</v>
      </c>
    </row>
    <row r="3147" spans="1:10" ht="12.75">
      <c r="A3147" s="3" t="str">
        <f ca="1">IFERROR(__xludf.UNSUPPORTED("""COMPUTED_VALUE"""),"0aaebef6")</f>
        <v>0aaebef6</v>
      </c>
      <c r="B3147" s="4">
        <f ca="1">IFERROR(__xludf.UNSUPPORTED("""COMPUTED_VALUE"""),44892.2576736111)</f>
        <v>44892.2576736111</v>
      </c>
      <c r="C3147" s="7" t="str">
        <f ca="1">IFERROR(__xludf.UNSUPPORTED("""COMPUTED_VALUE"""),"Vila do Conde")</f>
        <v>Vila do Conde</v>
      </c>
      <c r="D3147" s="3" t="str">
        <f ca="1">IFERROR(__xludf.UNSUPPORTED("""COMPUTED_VALUE"""),"🚢 REGULAR")</f>
        <v>🚢 REGULAR</v>
      </c>
      <c r="E3147" s="3" t="str">
        <f ca="1">IFERROR(__xludf.UNSUPPORTED("""COMPUTED_VALUE"""),"🚛 LIBERADO")</f>
        <v>🚛 LIBERADO</v>
      </c>
      <c r="F3147" s="5">
        <f ca="1">IFERROR(__xludf.UNSUPPORTED("""COMPUTED_VALUE"""),0)</f>
        <v>0</v>
      </c>
      <c r="G3147" s="3" t="str">
        <f ca="1">IFERROR(__xludf.UNSUPPORTED("""COMPUTED_VALUE"""),"Normalidade")</f>
        <v>Normalidade</v>
      </c>
      <c r="H3147" s="4">
        <f ca="1">IFERROR(__xludf.UNSUPPORTED("""COMPUTED_VALUE"""),44892.2152777777)</f>
        <v>44892.215277777701</v>
      </c>
      <c r="I3147" s="3">
        <f ca="1">IFERROR(__xludf.UNSUPPORTED("""COMPUTED_VALUE"""),1)</f>
        <v>1</v>
      </c>
      <c r="J3147" s="4">
        <f ca="1">IFERROR(__xludf.UNSUPPORTED("""COMPUTED_VALUE"""),44892.2569444444)</f>
        <v>44892.256944444402</v>
      </c>
    </row>
    <row r="3148" spans="1:10" ht="12.75">
      <c r="A3148" s="3" t="str">
        <f ca="1">IFERROR(__xludf.UNSUPPORTED("""COMPUTED_VALUE"""),"9e8c9850")</f>
        <v>9e8c9850</v>
      </c>
      <c r="B3148" s="4">
        <f ca="1">IFERROR(__xludf.UNSUPPORTED("""COMPUTED_VALUE"""),44893.5011458333)</f>
        <v>44893.501145833303</v>
      </c>
      <c r="C3148" s="7" t="str">
        <f ca="1">IFERROR(__xludf.UNSUPPORTED("""COMPUTED_VALUE"""),"Vila do Conde")</f>
        <v>Vila do Conde</v>
      </c>
      <c r="D3148" s="3" t="str">
        <f ca="1">IFERROR(__xludf.UNSUPPORTED("""COMPUTED_VALUE"""),"🚢 REGULAR")</f>
        <v>🚢 REGULAR</v>
      </c>
      <c r="E3148" s="3" t="str">
        <f ca="1">IFERROR(__xludf.UNSUPPORTED("""COMPUTED_VALUE"""),"🚛 LIBERADO")</f>
        <v>🚛 LIBERADO</v>
      </c>
      <c r="F3148" s="5">
        <f ca="1">IFERROR(__xludf.UNSUPPORTED("""COMPUTED_VALUE"""),0)</f>
        <v>0</v>
      </c>
      <c r="G3148" s="3" t="str">
        <f ca="1">IFERROR(__xludf.UNSUPPORTED("""COMPUTED_VALUE"""),"Normalidade")</f>
        <v>Normalidade</v>
      </c>
      <c r="H3148" s="4">
        <f ca="1">IFERROR(__xludf.UNSUPPORTED("""COMPUTED_VALUE"""),44893.4583333333)</f>
        <v>44893.458333333299</v>
      </c>
      <c r="I3148" s="3">
        <f ca="1">IFERROR(__xludf.UNSUPPORTED("""COMPUTED_VALUE"""),1)</f>
        <v>1</v>
      </c>
      <c r="J3148" s="4">
        <f ca="1">IFERROR(__xludf.UNSUPPORTED("""COMPUTED_VALUE"""),44893.5)</f>
        <v>44893.5</v>
      </c>
    </row>
    <row r="3149" spans="1:10" ht="12.75">
      <c r="A3149" s="3" t="str">
        <f ca="1">IFERROR(__xludf.UNSUPPORTED("""COMPUTED_VALUE"""),"017edebb")</f>
        <v>017edebb</v>
      </c>
      <c r="B3149" s="4">
        <f ca="1">IFERROR(__xludf.UNSUPPORTED("""COMPUTED_VALUE"""),44894.4258101851)</f>
        <v>44894.425810185101</v>
      </c>
      <c r="C3149" s="8" t="str">
        <f ca="1">IFERROR(__xludf.UNSUPPORTED("""COMPUTED_VALUE"""),"Vila do Conde")</f>
        <v>Vila do Conde</v>
      </c>
      <c r="D3149" s="3" t="str">
        <f ca="1">IFERROR(__xludf.UNSUPPORTED("""COMPUTED_VALUE"""),"🚢 REGULAR")</f>
        <v>🚢 REGULAR</v>
      </c>
      <c r="E3149" s="3" t="str">
        <f ca="1">IFERROR(__xludf.UNSUPPORTED("""COMPUTED_VALUE"""),"🚛 LIBERADO")</f>
        <v>🚛 LIBERADO</v>
      </c>
      <c r="F3149" s="5">
        <f ca="1">IFERROR(__xludf.UNSUPPORTED("""COMPUTED_VALUE"""),0)</f>
        <v>0</v>
      </c>
      <c r="G3149" s="3" t="str">
        <f ca="1">IFERROR(__xludf.UNSUPPORTED("""COMPUTED_VALUE"""),"Normalidade")</f>
        <v>Normalidade</v>
      </c>
      <c r="H3149" s="4">
        <f ca="1">IFERROR(__xludf.UNSUPPORTED("""COMPUTED_VALUE"""),44894.3833333333)</f>
        <v>44894.383333333302</v>
      </c>
      <c r="I3149" s="3">
        <f ca="1">IFERROR(__xludf.UNSUPPORTED("""COMPUTED_VALUE"""),1)</f>
        <v>1</v>
      </c>
      <c r="J3149" s="4">
        <f ca="1">IFERROR(__xludf.UNSUPPORTED("""COMPUTED_VALUE"""),44894.425)</f>
        <v>44894.425000000003</v>
      </c>
    </row>
    <row r="3150" spans="1:10" ht="12.75">
      <c r="A3150" s="3" t="str">
        <f ca="1">IFERROR(__xludf.UNSUPPORTED("""COMPUTED_VALUE"""),"eb851bb0")</f>
        <v>eb851bb0</v>
      </c>
      <c r="B3150" s="4">
        <f ca="1">IFERROR(__xludf.UNSUPPORTED("""COMPUTED_VALUE"""),44895.3828935185)</f>
        <v>44895.382893518501</v>
      </c>
      <c r="C3150" s="8" t="str">
        <f ca="1">IFERROR(__xludf.UNSUPPORTED("""COMPUTED_VALUE"""),"Vila do Conde")</f>
        <v>Vila do Conde</v>
      </c>
      <c r="D3150" s="3" t="str">
        <f ca="1">IFERROR(__xludf.UNSUPPORTED("""COMPUTED_VALUE"""),"🚢 REGULAR")</f>
        <v>🚢 REGULAR</v>
      </c>
      <c r="E3150" s="3" t="str">
        <f ca="1">IFERROR(__xludf.UNSUPPORTED("""COMPUTED_VALUE"""),"🚛 LIBERADO")</f>
        <v>🚛 LIBERADO</v>
      </c>
      <c r="F3150" s="5">
        <f ca="1">IFERROR(__xludf.UNSUPPORTED("""COMPUTED_VALUE"""),0)</f>
        <v>0</v>
      </c>
      <c r="G3150" s="3" t="str">
        <f ca="1">IFERROR(__xludf.UNSUPPORTED("""COMPUTED_VALUE"""),"Normal")</f>
        <v>Normal</v>
      </c>
      <c r="H3150" s="4">
        <f ca="1">IFERROR(__xludf.UNSUPPORTED("""COMPUTED_VALUE"""),44895.3402777777)</f>
        <v>44895.340277777701</v>
      </c>
      <c r="I3150" s="3">
        <f ca="1">IFERROR(__xludf.UNSUPPORTED("""COMPUTED_VALUE"""),1)</f>
        <v>1</v>
      </c>
      <c r="J3150" s="4">
        <f ca="1">IFERROR(__xludf.UNSUPPORTED("""COMPUTED_VALUE"""),44895.3819444444)</f>
        <v>44895.381944444402</v>
      </c>
    </row>
    <row r="3151" spans="1:10" ht="12.75">
      <c r="A3151" s="3" t="str">
        <f ca="1">IFERROR(__xludf.UNSUPPORTED("""COMPUTED_VALUE"""),"fbb92ad2")</f>
        <v>fbb92ad2</v>
      </c>
      <c r="B3151" s="4">
        <f ca="1">IFERROR(__xludf.UNSUPPORTED("""COMPUTED_VALUE"""),44896.4102893518)</f>
        <v>44896.410289351799</v>
      </c>
      <c r="C3151" s="8" t="str">
        <f ca="1">IFERROR(__xludf.UNSUPPORTED("""COMPUTED_VALUE"""),"Vila do Conde")</f>
        <v>Vila do Conde</v>
      </c>
      <c r="D3151" s="3" t="str">
        <f ca="1">IFERROR(__xludf.UNSUPPORTED("""COMPUTED_VALUE"""),"🚢 REGULAR")</f>
        <v>🚢 REGULAR</v>
      </c>
      <c r="E3151" s="3" t="str">
        <f ca="1">IFERROR(__xludf.UNSUPPORTED("""COMPUTED_VALUE"""),"🚛 LIBERADO")</f>
        <v>🚛 LIBERADO</v>
      </c>
      <c r="F3151" s="5">
        <f ca="1">IFERROR(__xludf.UNSUPPORTED("""COMPUTED_VALUE"""),0)</f>
        <v>0</v>
      </c>
      <c r="G3151" s="3" t="str">
        <f ca="1">IFERROR(__xludf.UNSUPPORTED("""COMPUTED_VALUE"""),"Normalidade")</f>
        <v>Normalidade</v>
      </c>
      <c r="H3151" s="4">
        <f ca="1">IFERROR(__xludf.UNSUPPORTED("""COMPUTED_VALUE"""),44896.3673611111)</f>
        <v>44896.367361111101</v>
      </c>
      <c r="I3151" s="3">
        <f ca="1">IFERROR(__xludf.UNSUPPORTED("""COMPUTED_VALUE"""),1)</f>
        <v>1</v>
      </c>
      <c r="J3151" s="4">
        <f ca="1">IFERROR(__xludf.UNSUPPORTED("""COMPUTED_VALUE"""),44896.4090277777)</f>
        <v>44896.4090277777</v>
      </c>
    </row>
    <row r="3152" spans="1:10" ht="12.75">
      <c r="A3152" s="3" t="str">
        <f ca="1">IFERROR(__xludf.UNSUPPORTED("""COMPUTED_VALUE"""),"c7b6d15c")</f>
        <v>c7b6d15c</v>
      </c>
      <c r="B3152" s="4">
        <f ca="1">IFERROR(__xludf.UNSUPPORTED("""COMPUTED_VALUE"""),44896.41375)</f>
        <v>44896.41375</v>
      </c>
      <c r="C3152" s="7" t="str">
        <f ca="1">IFERROR(__xludf.UNSUPPORTED("""COMPUTED_VALUE"""),"Vila do Conde")</f>
        <v>Vila do Conde</v>
      </c>
      <c r="D3152" s="3" t="str">
        <f ca="1">IFERROR(__xludf.UNSUPPORTED("""COMPUTED_VALUE"""),"🚢 REGULAR")</f>
        <v>🚢 REGULAR</v>
      </c>
      <c r="E3152" s="3" t="str">
        <f ca="1">IFERROR(__xludf.UNSUPPORTED("""COMPUTED_VALUE"""),"🚛 LIBERADO")</f>
        <v>🚛 LIBERADO</v>
      </c>
      <c r="F3152" s="5">
        <f ca="1">IFERROR(__xludf.UNSUPPORTED("""COMPUTED_VALUE"""),0)</f>
        <v>0</v>
      </c>
      <c r="G3152" s="3" t="str">
        <f ca="1">IFERROR(__xludf.UNSUPPORTED("""COMPUTED_VALUE"""),"Normalidade")</f>
        <v>Normalidade</v>
      </c>
      <c r="H3152" s="4">
        <f ca="1">IFERROR(__xludf.UNSUPPORTED("""COMPUTED_VALUE"""),44896.3708333333)</f>
        <v>44896.370833333298</v>
      </c>
      <c r="I3152" s="3">
        <f ca="1">IFERROR(__xludf.UNSUPPORTED("""COMPUTED_VALUE"""),1)</f>
        <v>1</v>
      </c>
      <c r="J3152" s="4">
        <f ca="1">IFERROR(__xludf.UNSUPPORTED("""COMPUTED_VALUE"""),44896.4125)</f>
        <v>44896.412499999999</v>
      </c>
    </row>
    <row r="3153" spans="1:12" ht="12.75">
      <c r="A3153" s="3" t="str">
        <f ca="1">IFERROR(__xludf.UNSUPPORTED("""COMPUTED_VALUE"""),"5e725f5b")</f>
        <v>5e725f5b</v>
      </c>
      <c r="B3153" s="4">
        <f ca="1">IFERROR(__xludf.UNSUPPORTED("""COMPUTED_VALUE"""),44896.4145949074)</f>
        <v>44896.414594907401</v>
      </c>
      <c r="C3153" s="8" t="str">
        <f ca="1">IFERROR(__xludf.UNSUPPORTED("""COMPUTED_VALUE"""),"Vila do Conde")</f>
        <v>Vila do Conde</v>
      </c>
      <c r="D3153" s="3" t="str">
        <f ca="1">IFERROR(__xludf.UNSUPPORTED("""COMPUTED_VALUE"""),"🚢 REGULAR")</f>
        <v>🚢 REGULAR</v>
      </c>
      <c r="E3153" s="3" t="str">
        <f ca="1">IFERROR(__xludf.UNSUPPORTED("""COMPUTED_VALUE"""),"🚛 LIBERADO")</f>
        <v>🚛 LIBERADO</v>
      </c>
      <c r="F3153" s="5">
        <f ca="1">IFERROR(__xludf.UNSUPPORTED("""COMPUTED_VALUE"""),0)</f>
        <v>0</v>
      </c>
      <c r="G3153" s="3" t="str">
        <f ca="1">IFERROR(__xludf.UNSUPPORTED("""COMPUTED_VALUE"""),"Normalidade")</f>
        <v>Normalidade</v>
      </c>
      <c r="H3153" s="4">
        <f ca="1">IFERROR(__xludf.UNSUPPORTED("""COMPUTED_VALUE"""),44896.3722222222)</f>
        <v>44896.372222222199</v>
      </c>
      <c r="I3153" s="3">
        <f ca="1">IFERROR(__xludf.UNSUPPORTED("""COMPUTED_VALUE"""),1)</f>
        <v>1</v>
      </c>
      <c r="J3153" s="4">
        <f ca="1">IFERROR(__xludf.UNSUPPORTED("""COMPUTED_VALUE"""),44896.4138888888)</f>
        <v>44896.413888888797</v>
      </c>
    </row>
    <row r="3154" spans="1:12" ht="12.75">
      <c r="A3154" s="3" t="str">
        <f ca="1">IFERROR(__xludf.UNSUPPORTED("""COMPUTED_VALUE"""),"46999ffc")</f>
        <v>46999ffc</v>
      </c>
      <c r="B3154" s="4">
        <f ca="1">IFERROR(__xludf.UNSUPPORTED("""COMPUTED_VALUE"""),44896.4251388888)</f>
        <v>44896.425138888801</v>
      </c>
      <c r="C3154" s="8" t="str">
        <f ca="1">IFERROR(__xludf.UNSUPPORTED("""COMPUTED_VALUE"""),"Vila do Conde")</f>
        <v>Vila do Conde</v>
      </c>
      <c r="D3154" s="3" t="str">
        <f ca="1">IFERROR(__xludf.UNSUPPORTED("""COMPUTED_VALUE"""),"🚢 REGULAR")</f>
        <v>🚢 REGULAR</v>
      </c>
      <c r="E3154" s="3" t="str">
        <f ca="1">IFERROR(__xludf.UNSUPPORTED("""COMPUTED_VALUE"""),"🚛 LIBERADO")</f>
        <v>🚛 LIBERADO</v>
      </c>
      <c r="F3154" s="5">
        <f ca="1">IFERROR(__xludf.UNSUPPORTED("""COMPUTED_VALUE"""),0)</f>
        <v>0</v>
      </c>
      <c r="G3154" s="3" t="str">
        <f ca="1">IFERROR(__xludf.UNSUPPORTED("""COMPUTED_VALUE"""),"Normalidade")</f>
        <v>Normalidade</v>
      </c>
      <c r="H3154" s="4">
        <f ca="1">IFERROR(__xludf.UNSUPPORTED("""COMPUTED_VALUE"""),44896.3826388888)</f>
        <v>44896.382638888797</v>
      </c>
      <c r="I3154" s="3">
        <f ca="1">IFERROR(__xludf.UNSUPPORTED("""COMPUTED_VALUE"""),1)</f>
        <v>1</v>
      </c>
      <c r="J3154" s="4">
        <f ca="1">IFERROR(__xludf.UNSUPPORTED("""COMPUTED_VALUE"""),44896.4243055555)</f>
        <v>44896.424305555498</v>
      </c>
    </row>
    <row r="3155" spans="1:12" ht="12.75">
      <c r="A3155" s="3" t="str">
        <f ca="1">IFERROR(__xludf.UNSUPPORTED("""COMPUTED_VALUE"""),"3ac6395f")</f>
        <v>3ac6395f</v>
      </c>
      <c r="B3155" s="4">
        <f ca="1">IFERROR(__xludf.UNSUPPORTED("""COMPUTED_VALUE"""),44896.4260879629)</f>
        <v>44896.4260879629</v>
      </c>
      <c r="C3155" s="8" t="str">
        <f ca="1">IFERROR(__xludf.UNSUPPORTED("""COMPUTED_VALUE"""),"Vila do Conde")</f>
        <v>Vila do Conde</v>
      </c>
      <c r="D3155" s="3" t="str">
        <f ca="1">IFERROR(__xludf.UNSUPPORTED("""COMPUTED_VALUE"""),"🚢 REGULAR")</f>
        <v>🚢 REGULAR</v>
      </c>
      <c r="E3155" s="3" t="str">
        <f ca="1">IFERROR(__xludf.UNSUPPORTED("""COMPUTED_VALUE"""),"🚛 LIBERADO")</f>
        <v>🚛 LIBERADO</v>
      </c>
      <c r="F3155" s="5">
        <f ca="1">IFERROR(__xludf.UNSUPPORTED("""COMPUTED_VALUE"""),0)</f>
        <v>0</v>
      </c>
      <c r="G3155" s="3" t="str">
        <f ca="1">IFERROR(__xludf.UNSUPPORTED("""COMPUTED_VALUE"""),"Normalidade")</f>
        <v>Normalidade</v>
      </c>
      <c r="H3155" s="4">
        <f ca="1">IFERROR(__xludf.UNSUPPORTED("""COMPUTED_VALUE"""),44896.3833333333)</f>
        <v>44896.383333333302</v>
      </c>
      <c r="I3155" s="3">
        <f ca="1">IFERROR(__xludf.UNSUPPORTED("""COMPUTED_VALUE"""),1)</f>
        <v>1</v>
      </c>
      <c r="J3155" s="4">
        <f ca="1">IFERROR(__xludf.UNSUPPORTED("""COMPUTED_VALUE"""),44896.425)</f>
        <v>44896.425000000003</v>
      </c>
    </row>
    <row r="3156" spans="1:12" ht="12.75">
      <c r="A3156" s="3" t="str">
        <f ca="1">IFERROR(__xludf.UNSUPPORTED("""COMPUTED_VALUE"""),"b89a2a5f")</f>
        <v>b89a2a5f</v>
      </c>
      <c r="B3156" s="4">
        <f ca="1">IFERROR(__xludf.UNSUPPORTED("""COMPUTED_VALUE"""),44897.3932407407)</f>
        <v>44897.393240740697</v>
      </c>
      <c r="C3156" s="7" t="str">
        <f ca="1">IFERROR(__xludf.UNSUPPORTED("""COMPUTED_VALUE"""),"Vila do Conde")</f>
        <v>Vila do Conde</v>
      </c>
      <c r="D3156" s="3" t="str">
        <f ca="1">IFERROR(__xludf.UNSUPPORTED("""COMPUTED_VALUE"""),"🚢 REGULAR")</f>
        <v>🚢 REGULAR</v>
      </c>
      <c r="E3156" s="3" t="str">
        <f ca="1">IFERROR(__xludf.UNSUPPORTED("""COMPUTED_VALUE"""),"🚛 LIBERADO")</f>
        <v>🚛 LIBERADO</v>
      </c>
      <c r="F3156" s="5">
        <f ca="1">IFERROR(__xludf.UNSUPPORTED("""COMPUTED_VALUE"""),0)</f>
        <v>0</v>
      </c>
      <c r="G3156" s="3" t="str">
        <f ca="1">IFERROR(__xludf.UNSUPPORTED("""COMPUTED_VALUE"""),"Normalidade")</f>
        <v>Normalidade</v>
      </c>
      <c r="H3156" s="4">
        <f ca="1">IFERROR(__xludf.UNSUPPORTED("""COMPUTED_VALUE"""),44897.3506944444)</f>
        <v>44897.350694444402</v>
      </c>
      <c r="I3156" s="3">
        <f ca="1">IFERROR(__xludf.UNSUPPORTED("""COMPUTED_VALUE"""),1)</f>
        <v>1</v>
      </c>
      <c r="J3156" s="4">
        <f ca="1">IFERROR(__xludf.UNSUPPORTED("""COMPUTED_VALUE"""),44897.3923611111)</f>
        <v>44897.392361111102</v>
      </c>
    </row>
    <row r="3157" spans="1:12" ht="12.75">
      <c r="A3157" s="3" t="str">
        <f ca="1">IFERROR(__xludf.UNSUPPORTED("""COMPUTED_VALUE"""),"e26fbb45")</f>
        <v>e26fbb45</v>
      </c>
      <c r="B3157" s="4">
        <f ca="1">IFERROR(__xludf.UNSUPPORTED("""COMPUTED_VALUE"""),44899.3294097222)</f>
        <v>44899.329409722202</v>
      </c>
      <c r="C3157" s="7" t="str">
        <f ca="1">IFERROR(__xludf.UNSUPPORTED("""COMPUTED_VALUE"""),"Vila do Conde")</f>
        <v>Vila do Conde</v>
      </c>
      <c r="D3157" s="3" t="str">
        <f ca="1">IFERROR(__xludf.UNSUPPORTED("""COMPUTED_VALUE"""),"🚢 REGULAR")</f>
        <v>🚢 REGULAR</v>
      </c>
      <c r="E3157" s="3" t="str">
        <f ca="1">IFERROR(__xludf.UNSUPPORTED("""COMPUTED_VALUE"""),"🚛 LIBERADO")</f>
        <v>🚛 LIBERADO</v>
      </c>
      <c r="F3157" s="5">
        <f ca="1">IFERROR(__xludf.UNSUPPORTED("""COMPUTED_VALUE"""),0)</f>
        <v>0</v>
      </c>
      <c r="G3157" s="3" t="str">
        <f ca="1">IFERROR(__xludf.UNSUPPORTED("""COMPUTED_VALUE"""),"Normalidade")</f>
        <v>Normalidade</v>
      </c>
      <c r="H3157" s="4">
        <f ca="1">IFERROR(__xludf.UNSUPPORTED("""COMPUTED_VALUE"""),44899.2868055555)</f>
        <v>44899.286805555501</v>
      </c>
      <c r="I3157" s="3">
        <f ca="1">IFERROR(__xludf.UNSUPPORTED("""COMPUTED_VALUE"""),1)</f>
        <v>1</v>
      </c>
      <c r="J3157" s="4">
        <f ca="1">IFERROR(__xludf.UNSUPPORTED("""COMPUTED_VALUE"""),44899.3284722222)</f>
        <v>44899.328472222202</v>
      </c>
    </row>
    <row r="3158" spans="1:12" ht="12.75">
      <c r="A3158" s="3" t="str">
        <f ca="1">IFERROR(__xludf.UNSUPPORTED("""COMPUTED_VALUE"""),"ac8d6b60")</f>
        <v>ac8d6b60</v>
      </c>
      <c r="B3158" s="4">
        <f ca="1">IFERROR(__xludf.UNSUPPORTED("""COMPUTED_VALUE"""),44900.3279398148)</f>
        <v>44900.327939814801</v>
      </c>
      <c r="C3158" s="8" t="str">
        <f ca="1">IFERROR(__xludf.UNSUPPORTED("""COMPUTED_VALUE"""),"Vila do Conde")</f>
        <v>Vila do Conde</v>
      </c>
      <c r="D3158" s="3" t="str">
        <f ca="1">IFERROR(__xludf.UNSUPPORTED("""COMPUTED_VALUE"""),"🚢 REGULAR")</f>
        <v>🚢 REGULAR</v>
      </c>
      <c r="E3158" s="3" t="str">
        <f ca="1">IFERROR(__xludf.UNSUPPORTED("""COMPUTED_VALUE"""),"🚛 LIBERADO")</f>
        <v>🚛 LIBERADO</v>
      </c>
      <c r="F3158" s="5">
        <f ca="1">IFERROR(__xludf.UNSUPPORTED("""COMPUTED_VALUE"""),0)</f>
        <v>0</v>
      </c>
      <c r="G3158" s="3" t="str">
        <f ca="1">IFERROR(__xludf.UNSUPPORTED("""COMPUTED_VALUE"""),"Sem ocorrências")</f>
        <v>Sem ocorrências</v>
      </c>
      <c r="H3158" s="4">
        <f ca="1">IFERROR(__xludf.UNSUPPORTED("""COMPUTED_VALUE"""),44900.3279398148)</f>
        <v>44900.327939814801</v>
      </c>
      <c r="I3158" s="3">
        <f ca="1">IFERROR(__xludf.UNSUPPORTED("""COMPUTED_VALUE"""),1)</f>
        <v>1</v>
      </c>
      <c r="J3158" s="4">
        <f ca="1">IFERROR(__xludf.UNSUPPORTED("""COMPUTED_VALUE"""),44900.3696064813)</f>
        <v>44900.369606481298</v>
      </c>
    </row>
    <row r="3159" spans="1:12" ht="12.75">
      <c r="A3159" s="3" t="str">
        <f ca="1">IFERROR(__xludf.UNSUPPORTED("""COMPUTED_VALUE"""),"44f52998")</f>
        <v>44f52998</v>
      </c>
      <c r="B3159" s="4">
        <f ca="1">IFERROR(__xludf.UNSUPPORTED("""COMPUTED_VALUE"""),44901.564537037)</f>
        <v>44901.564537036997</v>
      </c>
      <c r="C3159" s="8" t="str">
        <f ca="1">IFERROR(__xludf.UNSUPPORTED("""COMPUTED_VALUE"""),"Vila do Conde")</f>
        <v>Vila do Conde</v>
      </c>
      <c r="D3159" s="3" t="str">
        <f ca="1">IFERROR(__xludf.UNSUPPORTED("""COMPUTED_VALUE"""),"🚢 REGULAR")</f>
        <v>🚢 REGULAR</v>
      </c>
      <c r="E3159" s="3" t="str">
        <f ca="1">IFERROR(__xludf.UNSUPPORTED("""COMPUTED_VALUE"""),"🚛 LIBERADO")</f>
        <v>🚛 LIBERADO</v>
      </c>
      <c r="F3159" s="5">
        <f ca="1">IFERROR(__xludf.UNSUPPORTED("""COMPUTED_VALUE"""),0)</f>
        <v>0</v>
      </c>
      <c r="G3159" s="3" t="str">
        <f ca="1">IFERROR(__xludf.UNSUPPORTED("""COMPUTED_VALUE"""),"Sem ocorrências")</f>
        <v>Sem ocorrências</v>
      </c>
      <c r="H3159" s="4">
        <f ca="1">IFERROR(__xludf.UNSUPPORTED("""COMPUTED_VALUE"""),44901.564537037)</f>
        <v>44901.564537036997</v>
      </c>
      <c r="I3159" s="3">
        <f ca="1">IFERROR(__xludf.UNSUPPORTED("""COMPUTED_VALUE"""),1)</f>
        <v>1</v>
      </c>
      <c r="J3159" s="4">
        <f ca="1">IFERROR(__xludf.UNSUPPORTED("""COMPUTED_VALUE"""),44901.6062037037)</f>
        <v>44901.606203703697</v>
      </c>
    </row>
    <row r="3160" spans="1:12" ht="12.75">
      <c r="A3160" s="3" t="str">
        <f ca="1">IFERROR(__xludf.UNSUPPORTED("""COMPUTED_VALUE"""),"a7e874d0")</f>
        <v>a7e874d0</v>
      </c>
      <c r="B3160" s="4">
        <f ca="1">IFERROR(__xludf.UNSUPPORTED("""COMPUTED_VALUE"""),44902.4373148148)</f>
        <v>44902.437314814801</v>
      </c>
      <c r="C3160" s="8" t="str">
        <f ca="1">IFERROR(__xludf.UNSUPPORTED("""COMPUTED_VALUE"""),"Vila do Conde")</f>
        <v>Vila do Conde</v>
      </c>
      <c r="D3160" s="3" t="str">
        <f ca="1">IFERROR(__xludf.UNSUPPORTED("""COMPUTED_VALUE"""),"🚢 REGULAR")</f>
        <v>🚢 REGULAR</v>
      </c>
      <c r="E3160" s="3" t="str">
        <f ca="1">IFERROR(__xludf.UNSUPPORTED("""COMPUTED_VALUE"""),"🚛 LIBERADO")</f>
        <v>🚛 LIBERADO</v>
      </c>
      <c r="F3160" s="5">
        <f ca="1">IFERROR(__xludf.UNSUPPORTED("""COMPUTED_VALUE"""),0)</f>
        <v>0</v>
      </c>
      <c r="G3160" s="3" t="str">
        <f ca="1">IFERROR(__xludf.UNSUPPORTED("""COMPUTED_VALUE"""),"Sem ocorrências")</f>
        <v>Sem ocorrências</v>
      </c>
      <c r="H3160" s="4">
        <f ca="1">IFERROR(__xludf.UNSUPPORTED("""COMPUTED_VALUE"""),44902.4373148148)</f>
        <v>44902.437314814801</v>
      </c>
      <c r="I3160" s="3">
        <f ca="1">IFERROR(__xludf.UNSUPPORTED("""COMPUTED_VALUE"""),1)</f>
        <v>1</v>
      </c>
      <c r="J3160" s="4">
        <f ca="1">IFERROR(__xludf.UNSUPPORTED("""COMPUTED_VALUE"""),44902.4789814813)</f>
        <v>44902.478981481298</v>
      </c>
    </row>
    <row r="3161" spans="1:12" ht="12.75">
      <c r="A3161" s="3" t="str">
        <f ca="1">IFERROR(__xludf.UNSUPPORTED("""COMPUTED_VALUE"""),"b9e676e3")</f>
        <v>b9e676e3</v>
      </c>
      <c r="B3161" s="4">
        <f ca="1">IFERROR(__xludf.UNSUPPORTED("""COMPUTED_VALUE"""),44903.3558680555)</f>
        <v>44903.3558680555</v>
      </c>
      <c r="C3161" s="8" t="str">
        <f ca="1">IFERROR(__xludf.UNSUPPORTED("""COMPUTED_VALUE"""),"Vila do Conde")</f>
        <v>Vila do Conde</v>
      </c>
      <c r="D3161" s="3" t="str">
        <f ca="1">IFERROR(__xludf.UNSUPPORTED("""COMPUTED_VALUE"""),"🚢 REGULAR")</f>
        <v>🚢 REGULAR</v>
      </c>
      <c r="E3161" s="3" t="str">
        <f ca="1">IFERROR(__xludf.UNSUPPORTED("""COMPUTED_VALUE"""),"🚛 LIBERADO")</f>
        <v>🚛 LIBERADO</v>
      </c>
      <c r="F3161" s="5">
        <f ca="1">IFERROR(__xludf.UNSUPPORTED("""COMPUTED_VALUE"""),0)</f>
        <v>0</v>
      </c>
      <c r="G3161" s="3" t="str">
        <f ca="1">IFERROR(__xludf.UNSUPPORTED("""COMPUTED_VALUE"""),"Sem ocorrências provocadas por paralisações nas rodovias de acesso")</f>
        <v>Sem ocorrências provocadas por paralisações nas rodovias de acesso</v>
      </c>
      <c r="H3161" s="4">
        <f ca="1">IFERROR(__xludf.UNSUPPORTED("""COMPUTED_VALUE"""),44903.3558680555)</f>
        <v>44903.3558680555</v>
      </c>
      <c r="I3161" s="3">
        <f ca="1">IFERROR(__xludf.UNSUPPORTED("""COMPUTED_VALUE"""),1)</f>
        <v>1</v>
      </c>
      <c r="J3161" s="4">
        <f ca="1">IFERROR(__xludf.UNSUPPORTED("""COMPUTED_VALUE"""),44903.3975347222)</f>
        <v>44903.3975347222</v>
      </c>
    </row>
    <row r="3162" spans="1:12" ht="12.75">
      <c r="A3162" s="3" t="str">
        <f ca="1">IFERROR(__xludf.UNSUPPORTED("""COMPUTED_VALUE"""),"d5f7052e")</f>
        <v>d5f7052e</v>
      </c>
      <c r="B3162" s="4">
        <f ca="1">IFERROR(__xludf.UNSUPPORTED("""COMPUTED_VALUE"""),44905.4542939814)</f>
        <v>44905.454293981398</v>
      </c>
      <c r="C3162" s="7" t="str">
        <f ca="1">IFERROR(__xludf.UNSUPPORTED("""COMPUTED_VALUE"""),"Vila do Conde")</f>
        <v>Vila do Conde</v>
      </c>
      <c r="D3162" s="3" t="str">
        <f ca="1">IFERROR(__xludf.UNSUPPORTED("""COMPUTED_VALUE"""),"🚢 REGULAR")</f>
        <v>🚢 REGULAR</v>
      </c>
      <c r="E3162" s="3" t="str">
        <f ca="1">IFERROR(__xludf.UNSUPPORTED("""COMPUTED_VALUE"""),"🚛 LIBERADO")</f>
        <v>🚛 LIBERADO</v>
      </c>
      <c r="F3162" s="5">
        <f ca="1">IFERROR(__xludf.UNSUPPORTED("""COMPUTED_VALUE"""),0)</f>
        <v>0</v>
      </c>
      <c r="G3162" s="3" t="str">
        <f ca="1">IFERROR(__xludf.UNSUPPORTED("""COMPUTED_VALUE"""),"Sem ocorrências em face de suposta paralisações rodoviárias")</f>
        <v>Sem ocorrências em face de suposta paralisações rodoviárias</v>
      </c>
      <c r="H3162" s="4">
        <f ca="1">IFERROR(__xludf.UNSUPPORTED("""COMPUTED_VALUE"""),44905.4542939814)</f>
        <v>44905.454293981398</v>
      </c>
      <c r="I3162" s="3">
        <f ca="1">IFERROR(__xludf.UNSUPPORTED("""COMPUTED_VALUE"""),1)</f>
        <v>1</v>
      </c>
      <c r="J3162" s="4">
        <f ca="1">IFERROR(__xludf.UNSUPPORTED("""COMPUTED_VALUE"""),44905.4959606481)</f>
        <v>44905.495960648099</v>
      </c>
    </row>
    <row r="3163" spans="1:12" ht="12.75">
      <c r="A3163" s="3" t="str">
        <f ca="1">IFERROR(__xludf.UNSUPPORTED("""COMPUTED_VALUE"""),"0cbe38bd")</f>
        <v>0cbe38bd</v>
      </c>
      <c r="B3163" s="4">
        <f ca="1">IFERROR(__xludf.UNSUPPORTED("""COMPUTED_VALUE"""),44907.3258217592)</f>
        <v>44907.325821759201</v>
      </c>
      <c r="C3163" s="7" t="str">
        <f ca="1">IFERROR(__xludf.UNSUPPORTED("""COMPUTED_VALUE"""),"Vila do Conde")</f>
        <v>Vila do Conde</v>
      </c>
      <c r="D3163" s="3" t="str">
        <f ca="1">IFERROR(__xludf.UNSUPPORTED("""COMPUTED_VALUE"""),"🚢 REGULAR")</f>
        <v>🚢 REGULAR</v>
      </c>
      <c r="E3163" s="3" t="str">
        <f ca="1">IFERROR(__xludf.UNSUPPORTED("""COMPUTED_VALUE"""),"🚛 LIBERADO")</f>
        <v>🚛 LIBERADO</v>
      </c>
      <c r="F3163" s="5">
        <f ca="1">IFERROR(__xludf.UNSUPPORTED("""COMPUTED_VALUE"""),0)</f>
        <v>0</v>
      </c>
      <c r="G3163" s="3" t="str">
        <f ca="1">IFERROR(__xludf.UNSUPPORTED("""COMPUTED_VALUE"""),"Sem ocorrências em face de suposta paralisações rodoviárias")</f>
        <v>Sem ocorrências em face de suposta paralisações rodoviárias</v>
      </c>
      <c r="H3163" s="4">
        <f ca="1">IFERROR(__xludf.UNSUPPORTED("""COMPUTED_VALUE"""),44907.3258217592)</f>
        <v>44907.325821759201</v>
      </c>
      <c r="I3163" s="3">
        <f ca="1">IFERROR(__xludf.UNSUPPORTED("""COMPUTED_VALUE"""),1)</f>
        <v>1</v>
      </c>
      <c r="J3163" s="4">
        <f ca="1">IFERROR(__xludf.UNSUPPORTED("""COMPUTED_VALUE"""),44907.3674884259)</f>
        <v>44907.367488425902</v>
      </c>
    </row>
    <row r="3164" spans="1:12" ht="12.75">
      <c r="A3164" s="3" t="str">
        <f ca="1">IFERROR(__xludf.UNSUPPORTED("""COMPUTED_VALUE"""),"07df79ec")</f>
        <v>07df79ec</v>
      </c>
      <c r="B3164" s="4">
        <f ca="1">IFERROR(__xludf.UNSUPPORTED("""COMPUTED_VALUE"""),44921.5821527777)</f>
        <v>44921.582152777701</v>
      </c>
      <c r="C3164" s="8" t="str">
        <f ca="1">IFERROR(__xludf.UNSUPPORTED("""COMPUTED_VALUE"""),"Vila do Conde")</f>
        <v>Vila do Conde</v>
      </c>
      <c r="D3164" s="3" t="str">
        <f ca="1">IFERROR(__xludf.UNSUPPORTED("""COMPUTED_VALUE"""),"🚢 REGULAR")</f>
        <v>🚢 REGULAR</v>
      </c>
      <c r="E3164" s="3" t="str">
        <f ca="1">IFERROR(__xludf.UNSUPPORTED("""COMPUTED_VALUE"""),"🚛 LIBERADO")</f>
        <v>🚛 LIBERADO</v>
      </c>
      <c r="F3164" s="5">
        <f ca="1">IFERROR(__xludf.UNSUPPORTED("""COMPUTED_VALUE"""),0)</f>
        <v>0</v>
      </c>
      <c r="G3164" s="3" t="str">
        <f ca="1">IFERROR(__xludf.UNSUPPORTED("""COMPUTED_VALUE"""),"Sem registros de paralisações")</f>
        <v>Sem registros de paralisações</v>
      </c>
      <c r="H3164" s="4">
        <f ca="1">IFERROR(__xludf.UNSUPPORTED("""COMPUTED_VALUE"""),44921.5821527777)</f>
        <v>44921.582152777701</v>
      </c>
      <c r="I3164" s="3">
        <f ca="1">IFERROR(__xludf.UNSUPPORTED("""COMPUTED_VALUE"""),1)</f>
        <v>1</v>
      </c>
      <c r="J3164" s="4">
        <f ca="1">IFERROR(__xludf.UNSUPPORTED("""COMPUTED_VALUE"""),44921.6238194444)</f>
        <v>44921.623819444401</v>
      </c>
    </row>
    <row r="3165" spans="1:12" ht="12.75">
      <c r="A3165" s="3" t="str">
        <f ca="1">IFERROR(__xludf.UNSUPPORTED("""COMPUTED_VALUE"""),"88703207")</f>
        <v>88703207</v>
      </c>
      <c r="B3165" s="4">
        <f ca="1">IFERROR(__xludf.UNSUPPORTED("""COMPUTED_VALUE"""),44923.6118981481)</f>
        <v>44923.611898148098</v>
      </c>
      <c r="C3165" s="7" t="str">
        <f ca="1">IFERROR(__xludf.UNSUPPORTED("""COMPUTED_VALUE"""),"Vila do Conde")</f>
        <v>Vila do Conde</v>
      </c>
      <c r="D3165" s="3" t="str">
        <f ca="1">IFERROR(__xludf.UNSUPPORTED("""COMPUTED_VALUE"""),"🚢 REGULAR")</f>
        <v>🚢 REGULAR</v>
      </c>
      <c r="E3165" s="3" t="str">
        <f ca="1">IFERROR(__xludf.UNSUPPORTED("""COMPUTED_VALUE"""),"🚛 LIBERADO")</f>
        <v>🚛 LIBERADO</v>
      </c>
      <c r="F3165" s="5">
        <f ca="1">IFERROR(__xludf.UNSUPPORTED("""COMPUTED_VALUE"""),0)</f>
        <v>0</v>
      </c>
      <c r="G3165" s="3" t="str">
        <f ca="1">IFERROR(__xludf.UNSUPPORTED("""COMPUTED_VALUE"""),"Sem ocorrências")</f>
        <v>Sem ocorrências</v>
      </c>
      <c r="H3165" s="4">
        <f ca="1">IFERROR(__xludf.UNSUPPORTED("""COMPUTED_VALUE"""),44923.6118981481)</f>
        <v>44923.611898148098</v>
      </c>
      <c r="I3165" s="3">
        <f ca="1">IFERROR(__xludf.UNSUPPORTED("""COMPUTED_VALUE"""),1)</f>
        <v>1</v>
      </c>
      <c r="J3165" s="4">
        <f ca="1">IFERROR(__xludf.UNSUPPORTED("""COMPUTED_VALUE"""),44923.6535648148)</f>
        <v>44923.653564814798</v>
      </c>
    </row>
    <row r="3166" spans="1:12" ht="12.75">
      <c r="A3166" s="3" t="str">
        <f ca="1">IFERROR(__xludf.UNSUPPORTED("""COMPUTED_VALUE"""),"a7a9bf22")</f>
        <v>a7a9bf22</v>
      </c>
      <c r="B3166" s="4">
        <f ca="1">IFERROR(__xludf.UNSUPPORTED("""COMPUTED_VALUE"""),44932.541886574)</f>
        <v>44932.541886573999</v>
      </c>
      <c r="C3166" s="8" t="str">
        <f ca="1">IFERROR(__xludf.UNSUPPORTED("""COMPUTED_VALUE"""),"Vila do Conde")</f>
        <v>Vila do Conde</v>
      </c>
      <c r="D3166" s="3" t="str">
        <f ca="1">IFERROR(__xludf.UNSUPPORTED("""COMPUTED_VALUE"""),"🚢 REGULAR")</f>
        <v>🚢 REGULAR</v>
      </c>
      <c r="E3166" s="3" t="str">
        <f ca="1">IFERROR(__xludf.UNSUPPORTED("""COMPUTED_VALUE"""),"🚛 LIBERADO")</f>
        <v>🚛 LIBERADO</v>
      </c>
      <c r="F3166" s="5">
        <f ca="1">IFERROR(__xludf.UNSUPPORTED("""COMPUTED_VALUE"""),0)</f>
        <v>0</v>
      </c>
      <c r="G3166" s="3" t="str">
        <f ca="1">IFERROR(__xludf.UNSUPPORTED("""COMPUTED_VALUE"""),"Normalidade")</f>
        <v>Normalidade</v>
      </c>
      <c r="H3166" s="4">
        <f ca="1">IFERROR(__xludf.UNSUPPORTED("""COMPUTED_VALUE"""),44932.541886574)</f>
        <v>44932.541886573999</v>
      </c>
      <c r="I3166" s="3">
        <f ca="1">IFERROR(__xludf.UNSUPPORTED("""COMPUTED_VALUE"""),24)</f>
        <v>24</v>
      </c>
      <c r="J3166" s="4">
        <f ca="1">IFERROR(__xludf.UNSUPPORTED("""COMPUTED_VALUE"""),44933.541886574)</f>
        <v>44933.541886573999</v>
      </c>
      <c r="L3166" s="3" t="str">
        <f ca="1">IFERROR(__xludf.UNSUPPORTED("""COMPUTED_VALUE"""),"Normalidade")</f>
        <v>Normalidade</v>
      </c>
    </row>
    <row r="3167" spans="1:12" ht="12.75">
      <c r="A3167" s="3" t="str">
        <f ca="1">IFERROR(__xludf.UNSUPPORTED("""COMPUTED_VALUE"""),"b2e010de")</f>
        <v>b2e010de</v>
      </c>
      <c r="B3167" s="4">
        <f ca="1">IFERROR(__xludf.UNSUPPORTED("""COMPUTED_VALUE"""),44935.3891087963)</f>
        <v>44935.389108796298</v>
      </c>
      <c r="C3167" s="8" t="str">
        <f ca="1">IFERROR(__xludf.UNSUPPORTED("""COMPUTED_VALUE"""),"Vila do Conde")</f>
        <v>Vila do Conde</v>
      </c>
      <c r="D3167" s="3" t="str">
        <f ca="1">IFERROR(__xludf.UNSUPPORTED("""COMPUTED_VALUE"""),"🚢 REGULAR")</f>
        <v>🚢 REGULAR</v>
      </c>
      <c r="E3167" s="3" t="str">
        <f ca="1">IFERROR(__xludf.UNSUPPORTED("""COMPUTED_VALUE"""),"🚛 LIBERADO")</f>
        <v>🚛 LIBERADO</v>
      </c>
      <c r="F3167" s="5">
        <f ca="1">IFERROR(__xludf.UNSUPPORTED("""COMPUTED_VALUE"""),0)</f>
        <v>0</v>
      </c>
      <c r="G3167" s="3" t="str">
        <f ca="1">IFERROR(__xludf.UNSUPPORTED("""COMPUTED_VALUE"""),"Normalidade")</f>
        <v>Normalidade</v>
      </c>
      <c r="H3167" s="4">
        <f ca="1">IFERROR(__xludf.UNSUPPORTED("""COMPUTED_VALUE"""),44935.3891087963)</f>
        <v>44935.389108796298</v>
      </c>
      <c r="I3167" s="3">
        <f ca="1">IFERROR(__xludf.UNSUPPORTED("""COMPUTED_VALUE"""),24)</f>
        <v>24</v>
      </c>
      <c r="J3167" s="4">
        <f ca="1">IFERROR(__xludf.UNSUPPORTED("""COMPUTED_VALUE"""),44936.3891087963)</f>
        <v>44936.389108796298</v>
      </c>
      <c r="L3167" s="3" t="str">
        <f ca="1">IFERROR(__xludf.UNSUPPORTED("""COMPUTED_VALUE"""),"Normalidade")</f>
        <v>Normalidade</v>
      </c>
    </row>
    <row r="3168" spans="1:12" ht="12.75">
      <c r="A3168" s="3" t="str">
        <f ca="1">IFERROR(__xludf.UNSUPPORTED("""COMPUTED_VALUE"""),"df337d11")</f>
        <v>df337d11</v>
      </c>
      <c r="B3168" s="4">
        <f ca="1">IFERROR(__xludf.UNSUPPORTED("""COMPUTED_VALUE"""),44935.4387962962)</f>
        <v>44935.438796296199</v>
      </c>
      <c r="C3168" s="7" t="str">
        <f ca="1">IFERROR(__xludf.UNSUPPORTED("""COMPUTED_VALUE"""),"Vila do Conde")</f>
        <v>Vila do Conde</v>
      </c>
      <c r="D3168" s="3" t="str">
        <f ca="1">IFERROR(__xludf.UNSUPPORTED("""COMPUTED_VALUE"""),"🚢 REGULAR")</f>
        <v>🚢 REGULAR</v>
      </c>
      <c r="E3168" s="3" t="str">
        <f ca="1">IFERROR(__xludf.UNSUPPORTED("""COMPUTED_VALUE"""),"🚛 LIBERADO")</f>
        <v>🚛 LIBERADO</v>
      </c>
      <c r="F3168" s="5">
        <f ca="1">IFERROR(__xludf.UNSUPPORTED("""COMPUTED_VALUE"""),0)</f>
        <v>0</v>
      </c>
      <c r="G3168" s="3" t="str">
        <f ca="1">IFERROR(__xludf.UNSUPPORTED("""COMPUTED_VALUE"""),"Normalidade")</f>
        <v>Normalidade</v>
      </c>
      <c r="H3168" s="4">
        <f ca="1">IFERROR(__xludf.UNSUPPORTED("""COMPUTED_VALUE"""),44935.3548611111)</f>
        <v>44935.354861111096</v>
      </c>
      <c r="I3168" s="3">
        <f ca="1">IFERROR(__xludf.UNSUPPORTED("""COMPUTED_VALUE"""),1)</f>
        <v>1</v>
      </c>
      <c r="J3168" s="4">
        <f ca="1">IFERROR(__xludf.UNSUPPORTED("""COMPUTED_VALUE"""),44935.3965277777)</f>
        <v>44935.396527777702</v>
      </c>
      <c r="L3168" s="3" t="str">
        <f ca="1">IFERROR(__xludf.UNSUPPORTED("""COMPUTED_VALUE"""),"Crítico")</f>
        <v>Crítico</v>
      </c>
    </row>
    <row r="3169" spans="1:12" ht="12.75">
      <c r="A3169" s="3" t="str">
        <f ca="1">IFERROR(__xludf.UNSUPPORTED("""COMPUTED_VALUE"""),"c1fb2020")</f>
        <v>c1fb2020</v>
      </c>
      <c r="B3169" s="4">
        <f ca="1">IFERROR(__xludf.UNSUPPORTED("""COMPUTED_VALUE"""),44942.6271296296)</f>
        <v>44942.627129629604</v>
      </c>
      <c r="C3169" s="8" t="str">
        <f ca="1">IFERROR(__xludf.UNSUPPORTED("""COMPUTED_VALUE"""),"Vila do Conde")</f>
        <v>Vila do Conde</v>
      </c>
      <c r="D3169" s="3" t="str">
        <f ca="1">IFERROR(__xludf.UNSUPPORTED("""COMPUTED_VALUE"""),"🚢 REGULAR")</f>
        <v>🚢 REGULAR</v>
      </c>
      <c r="E3169" s="3" t="str">
        <f ca="1">IFERROR(__xludf.UNSUPPORTED("""COMPUTED_VALUE"""),"🚛 LIBERADO")</f>
        <v>🚛 LIBERADO</v>
      </c>
      <c r="F3169" s="5">
        <f ca="1">IFERROR(__xludf.UNSUPPORTED("""COMPUTED_VALUE"""),0)</f>
        <v>0</v>
      </c>
      <c r="G3169" s="3" t="str">
        <f ca="1">IFERROR(__xludf.UNSUPPORTED("""COMPUTED_VALUE"""),"Normalidade")</f>
        <v>Normalidade</v>
      </c>
      <c r="H3169" s="4">
        <f ca="1">IFERROR(__xludf.UNSUPPORTED("""COMPUTED_VALUE"""),44942.6271296296)</f>
        <v>44942.627129629604</v>
      </c>
      <c r="I3169" s="3">
        <f ca="1">IFERROR(__xludf.UNSUPPORTED("""COMPUTED_VALUE"""),24)</f>
        <v>24</v>
      </c>
      <c r="J3169" s="4">
        <f ca="1">IFERROR(__xludf.UNSUPPORTED("""COMPUTED_VALUE"""),44943.6271296296)</f>
        <v>44943.627129629604</v>
      </c>
      <c r="L3169" s="3" t="str">
        <f ca="1">IFERROR(__xludf.UNSUPPORTED("""COMPUTED_VALUE"""),"Normalidade")</f>
        <v>Normalidade</v>
      </c>
    </row>
    <row r="3170" spans="1:12" ht="12.75">
      <c r="A3170" s="3" t="str">
        <f ca="1">IFERROR(__xludf.UNSUPPORTED("""COMPUTED_VALUE"""),"a74f3529")</f>
        <v>a74f3529</v>
      </c>
      <c r="B3170" s="4">
        <f ca="1">IFERROR(__xludf.UNSUPPORTED("""COMPUTED_VALUE"""),44943.8882523148)</f>
        <v>44943.888252314799</v>
      </c>
      <c r="C3170" s="7" t="str">
        <f ca="1">IFERROR(__xludf.UNSUPPORTED("""COMPUTED_VALUE"""),"Vila do Conde")</f>
        <v>Vila do Conde</v>
      </c>
      <c r="D3170" s="3" t="str">
        <f ca="1">IFERROR(__xludf.UNSUPPORTED("""COMPUTED_VALUE"""),"🚢 REGULAR")</f>
        <v>🚢 REGULAR</v>
      </c>
      <c r="E3170" s="3" t="str">
        <f ca="1">IFERROR(__xludf.UNSUPPORTED("""COMPUTED_VALUE"""),"🚛 LIBERADO")</f>
        <v>🚛 LIBERADO</v>
      </c>
      <c r="F3170" s="5">
        <f ca="1">IFERROR(__xludf.UNSUPPORTED("""COMPUTED_VALUE"""),0)</f>
        <v>0</v>
      </c>
      <c r="G3170" s="3" t="str">
        <f ca="1">IFERROR(__xludf.UNSUPPORTED("""COMPUTED_VALUE"""),"Normalidade")</f>
        <v>Normalidade</v>
      </c>
      <c r="H3170" s="4">
        <f ca="1">IFERROR(__xludf.UNSUPPORTED("""COMPUTED_VALUE"""),44943.8882523148)</f>
        <v>44943.888252314799</v>
      </c>
      <c r="I3170" s="3">
        <f ca="1">IFERROR(__xludf.UNSUPPORTED("""COMPUTED_VALUE"""),24)</f>
        <v>24</v>
      </c>
      <c r="J3170" s="4">
        <f ca="1">IFERROR(__xludf.UNSUPPORTED("""COMPUTED_VALUE"""),44944.8882523148)</f>
        <v>44944.888252314799</v>
      </c>
    </row>
    <row r="3171" spans="1:12" ht="12.75">
      <c r="A3171" s="3" t="str">
        <f ca="1">IFERROR(__xludf.UNSUPPORTED("""COMPUTED_VALUE"""),"2e75edd3")</f>
        <v>2e75edd3</v>
      </c>
      <c r="B3171" s="4">
        <f ca="1">IFERROR(__xludf.UNSUPPORTED("""COMPUTED_VALUE"""),44945.7126504629)</f>
        <v>44945.712650462898</v>
      </c>
      <c r="C3171" s="7" t="str">
        <f ca="1">IFERROR(__xludf.UNSUPPORTED("""COMPUTED_VALUE"""),"Vila do Conde")</f>
        <v>Vila do Conde</v>
      </c>
      <c r="D3171" s="3" t="str">
        <f ca="1">IFERROR(__xludf.UNSUPPORTED("""COMPUTED_VALUE"""),"🚢 REGULAR")</f>
        <v>🚢 REGULAR</v>
      </c>
      <c r="E3171" s="3" t="str">
        <f ca="1">IFERROR(__xludf.UNSUPPORTED("""COMPUTED_VALUE"""),"🚛 LIBERADO")</f>
        <v>🚛 LIBERADO</v>
      </c>
      <c r="F3171" s="5">
        <f ca="1">IFERROR(__xludf.UNSUPPORTED("""COMPUTED_VALUE"""),0)</f>
        <v>0</v>
      </c>
      <c r="G3171" s="3" t="str">
        <f ca="1">IFERROR(__xludf.UNSUPPORTED("""COMPUTED_VALUE"""),"Normalidade")</f>
        <v>Normalidade</v>
      </c>
      <c r="H3171" s="4">
        <f ca="1">IFERROR(__xludf.UNSUPPORTED("""COMPUTED_VALUE"""),44945.7126504629)</f>
        <v>44945.712650462898</v>
      </c>
      <c r="I3171" s="3">
        <f ca="1">IFERROR(__xludf.UNSUPPORTED("""COMPUTED_VALUE"""),24)</f>
        <v>24</v>
      </c>
      <c r="J3171" s="4">
        <f ca="1">IFERROR(__xludf.UNSUPPORTED("""COMPUTED_VALUE"""),44946.7126504629)</f>
        <v>44946.712650462898</v>
      </c>
    </row>
    <row r="3172" spans="1:12" ht="12.75">
      <c r="A3172" s="3" t="str">
        <f ca="1">IFERROR(__xludf.UNSUPPORTED("""COMPUTED_VALUE"""),"7b004e77")</f>
        <v>7b004e77</v>
      </c>
      <c r="B3172" s="4">
        <f ca="1">IFERROR(__xludf.UNSUPPORTED("""COMPUTED_VALUE"""),44951.7651736111)</f>
        <v>44951.7651736111</v>
      </c>
      <c r="C3172" s="8" t="str">
        <f ca="1">IFERROR(__xludf.UNSUPPORTED("""COMPUTED_VALUE"""),"Vila do Conde")</f>
        <v>Vila do Conde</v>
      </c>
      <c r="D3172" s="3" t="str">
        <f ca="1">IFERROR(__xludf.UNSUPPORTED("""COMPUTED_VALUE"""),"🚢 REGULAR")</f>
        <v>🚢 REGULAR</v>
      </c>
      <c r="E3172" s="3" t="str">
        <f ca="1">IFERROR(__xludf.UNSUPPORTED("""COMPUTED_VALUE"""),"🚛 LIBERADO")</f>
        <v>🚛 LIBERADO</v>
      </c>
      <c r="F3172" s="5">
        <f ca="1">IFERROR(__xludf.UNSUPPORTED("""COMPUTED_VALUE"""),0)</f>
        <v>0</v>
      </c>
      <c r="G3172" s="3" t="str">
        <f ca="1">IFERROR(__xludf.UNSUPPORTED("""COMPUTED_VALUE"""),"Normalidade")</f>
        <v>Normalidade</v>
      </c>
      <c r="H3172" s="4">
        <f ca="1">IFERROR(__xludf.UNSUPPORTED("""COMPUTED_VALUE"""),44951.7651736111)</f>
        <v>44951.7651736111</v>
      </c>
      <c r="I3172" s="3">
        <f ca="1">IFERROR(__xludf.UNSUPPORTED("""COMPUTED_VALUE"""),24)</f>
        <v>24</v>
      </c>
      <c r="J3172" s="4">
        <f ca="1">IFERROR(__xludf.UNSUPPORTED("""COMPUTED_VALUE"""),44952.7651736111)</f>
        <v>44952.7651736111</v>
      </c>
      <c r="L3172" s="3" t="str">
        <f ca="1">IFERROR(__xludf.UNSUPPORTED("""COMPUTED_VALUE"""),"Normalidade")</f>
        <v>Normalidade</v>
      </c>
    </row>
    <row r="3173" spans="1:12" ht="12.75">
      <c r="A3173" s="3" t="str">
        <f ca="1">IFERROR(__xludf.UNSUPPORTED("""COMPUTED_VALUE"""),"3fab82c3")</f>
        <v>3fab82c3</v>
      </c>
      <c r="B3173" s="4">
        <f ca="1">IFERROR(__xludf.UNSUPPORTED("""COMPUTED_VALUE"""),44956.6567361111)</f>
        <v>44956.656736111101</v>
      </c>
      <c r="C3173" s="8" t="str">
        <f ca="1">IFERROR(__xludf.UNSUPPORTED("""COMPUTED_VALUE"""),"Vila do Conde")</f>
        <v>Vila do Conde</v>
      </c>
      <c r="D3173" s="3" t="str">
        <f ca="1">IFERROR(__xludf.UNSUPPORTED("""COMPUTED_VALUE"""),"🚢 REGULAR")</f>
        <v>🚢 REGULAR</v>
      </c>
      <c r="E3173" s="3" t="str">
        <f ca="1">IFERROR(__xludf.UNSUPPORTED("""COMPUTED_VALUE"""),"🚛 LIBERADO")</f>
        <v>🚛 LIBERADO</v>
      </c>
      <c r="F3173" s="5">
        <f ca="1">IFERROR(__xludf.UNSUPPORTED("""COMPUTED_VALUE"""),0)</f>
        <v>0</v>
      </c>
      <c r="G3173" s="3" t="str">
        <f ca="1">IFERROR(__xludf.UNSUPPORTED("""COMPUTED_VALUE"""),"Normalidade")</f>
        <v>Normalidade</v>
      </c>
      <c r="H3173" s="4">
        <f ca="1">IFERROR(__xludf.UNSUPPORTED("""COMPUTED_VALUE"""),44956.6567361111)</f>
        <v>44956.656736111101</v>
      </c>
      <c r="I3173" s="3">
        <f ca="1">IFERROR(__xludf.UNSUPPORTED("""COMPUTED_VALUE"""),24)</f>
        <v>24</v>
      </c>
      <c r="J3173" s="4">
        <f ca="1">IFERROR(__xludf.UNSUPPORTED("""COMPUTED_VALUE"""),44957.6567361111)</f>
        <v>44957.656736111101</v>
      </c>
    </row>
    <row r="3174" spans="1:12" ht="12.75">
      <c r="A3174" s="3" t="str">
        <f ca="1">IFERROR(__xludf.UNSUPPORTED("""COMPUTED_VALUE"""),"61e11f03")</f>
        <v>61e11f03</v>
      </c>
      <c r="B3174" s="4">
        <f ca="1">IFERROR(__xludf.UNSUPPORTED("""COMPUTED_VALUE"""),45587.3274421296)</f>
        <v>45587.327442129601</v>
      </c>
      <c r="C3174" s="8" t="str">
        <f ca="1">IFERROR(__xludf.UNSUPPORTED("""COMPUTED_VALUE"""),"Vila do Conde")</f>
        <v>Vila do Conde</v>
      </c>
      <c r="D3174" s="3" t="str">
        <f ca="1">IFERROR(__xludf.UNSUPPORTED("""COMPUTED_VALUE"""),"❗️ PARALISADA")</f>
        <v>❗️ PARALISADA</v>
      </c>
      <c r="E3174" s="3" t="str">
        <f ca="1">IFERROR(__xludf.UNSUPPORTED("""COMPUTED_VALUE"""),"⛔️ BLOQUEADO")</f>
        <v>⛔️ BLOQUEADO</v>
      </c>
      <c r="F3174" s="5">
        <f ca="1">IFERROR(__xludf.UNSUPPORTED("""COMPUTED_VALUE"""),1)</f>
        <v>1</v>
      </c>
      <c r="G3174" s="3" t="str">
        <f ca="1">IFERROR(__xludf.UNSUPPORTED("""COMPUTED_VALUE"""),"Entrada do Porto Bloqueada desde 5h30.")</f>
        <v>Entrada do Porto Bloqueada desde 5h30.</v>
      </c>
      <c r="H3174" s="4">
        <f ca="1">IFERROR(__xludf.UNSUPPORTED("""COMPUTED_VALUE"""),45587.2291666666)</f>
        <v>45587.229166666599</v>
      </c>
      <c r="I3174" s="3">
        <f ca="1">IFERROR(__xludf.UNSUPPORTED("""COMPUTED_VALUE"""),3)</f>
        <v>3</v>
      </c>
      <c r="J3174" s="4">
        <f ca="1">IFERROR(__xludf.UNSUPPORTED("""COMPUTED_VALUE"""),45587.3541666666)</f>
        <v>45587.354166666599</v>
      </c>
      <c r="K3174" s="3" t="str">
        <f ca="1">IFERROR(__xludf.UNSUPPORTED("""COMPUTED_VALUE"""),"Roberto Brilhante, Administrador do Porto de VDC")</f>
        <v>Roberto Brilhante, Administrador do Porto de VDC</v>
      </c>
      <c r="L3174" s="3" t="str">
        <f ca="1">IFERROR(__xludf.UNSUPPORTED("""COMPUTED_VALUE"""),"Crítico")</f>
        <v>Crítico</v>
      </c>
    </row>
    <row r="3175" spans="1:12" ht="12.75">
      <c r="A3175" s="3" t="str">
        <f ca="1">IFERROR(__xludf.UNSUPPORTED("""COMPUTED_VALUE"""),"73301821")</f>
        <v>73301821</v>
      </c>
      <c r="B3175" s="4">
        <f ca="1">IFERROR(__xludf.UNSUPPORTED("""COMPUTED_VALUE"""),45587.3789699074)</f>
        <v>45587.378969907397</v>
      </c>
      <c r="C3175" s="8" t="str">
        <f ca="1">IFERROR(__xludf.UNSUPPORTED("""COMPUTED_VALUE"""),"Vila do Conde")</f>
        <v>Vila do Conde</v>
      </c>
      <c r="D3175" s="3" t="str">
        <f ca="1">IFERROR(__xludf.UNSUPPORTED("""COMPUTED_VALUE"""),"❗️ PARALISADA")</f>
        <v>❗️ PARALISADA</v>
      </c>
      <c r="E3175" s="3" t="str">
        <f ca="1">IFERROR(__xludf.UNSUPPORTED("""COMPUTED_VALUE"""),"⛔️ BLOQUEADO")</f>
        <v>⛔️ BLOQUEADO</v>
      </c>
      <c r="F3175" s="5">
        <f ca="1">IFERROR(__xludf.UNSUPPORTED("""COMPUTED_VALUE"""),1)</f>
        <v>1</v>
      </c>
      <c r="G3175" s="3" t="str">
        <f ca="1">IFERROR(__xludf.UNSUPPORTED("""COMPUTED_VALUE"""),"Via de acesso a VDC bloqueadas e operações paralisadas desde 5.30, com previsão de término as 19:00")</f>
        <v>Via de acesso a VDC bloqueadas e operações paralisadas desde 5.30, com previsão de término as 19:00</v>
      </c>
      <c r="H3175" s="4">
        <f ca="1">IFERROR(__xludf.UNSUPPORTED("""COMPUTED_VALUE"""),45587.2298611111)</f>
        <v>45587.229861111096</v>
      </c>
      <c r="I3175" s="3">
        <f ca="1">IFERROR(__xludf.UNSUPPORTED("""COMPUTED_VALUE"""),4)</f>
        <v>4</v>
      </c>
      <c r="J3175" s="4">
        <f ca="1">IFERROR(__xludf.UNSUPPORTED("""COMPUTED_VALUE"""),45587.3965277777)</f>
        <v>45587.396527777702</v>
      </c>
      <c r="K3175" s="3" t="str">
        <f ca="1">IFERROR(__xludf.UNSUPPORTED("""COMPUTED_VALUE"""),"Roberto Brilhante, Administrador do Porto de Vila do Conde")</f>
        <v>Roberto Brilhante, Administrador do Porto de Vila do Conde</v>
      </c>
      <c r="L3175" s="3" t="str">
        <f ca="1">IFERROR(__xludf.UNSUPPORTED("""COMPUTED_VALUE"""),"Crítico")</f>
        <v>Crítico</v>
      </c>
    </row>
    <row r="3176" spans="1:12" ht="12.75">
      <c r="A3176" s="3" t="str">
        <f ca="1">IFERROR(__xludf.UNSUPPORTED("""COMPUTED_VALUE"""),"f8c00cb9")</f>
        <v>f8c00cb9</v>
      </c>
      <c r="B3176" s="4">
        <f ca="1">IFERROR(__xludf.UNSUPPORTED("""COMPUTED_VALUE"""),45587.4003587962)</f>
        <v>45587.4003587962</v>
      </c>
      <c r="C3176" s="7" t="str">
        <f ca="1">IFERROR(__xludf.UNSUPPORTED("""COMPUTED_VALUE"""),"Vila do Conde")</f>
        <v>Vila do Conde</v>
      </c>
      <c r="D3176" s="3" t="str">
        <f ca="1">IFERROR(__xludf.UNSUPPORTED("""COMPUTED_VALUE"""),"❗️ PARALISADA")</f>
        <v>❗️ PARALISADA</v>
      </c>
      <c r="E3176" s="3" t="str">
        <f ca="1">IFERROR(__xludf.UNSUPPORTED("""COMPUTED_VALUE"""),"⛔️ BLOQUEADO")</f>
        <v>⛔️ BLOQUEADO</v>
      </c>
      <c r="F3176" s="5">
        <f ca="1">IFERROR(__xludf.UNSUPPORTED("""COMPUTED_VALUE"""),1)</f>
        <v>1</v>
      </c>
      <c r="G3176" s="3" t="str">
        <f ca="1">IFERROR(__xludf.UNSUPPORTED("""COMPUTED_VALUE"""),"Operações Paralisadas e acesso/entrada do Porto bloqueadas")</f>
        <v>Operações Paralisadas e acesso/entrada do Porto bloqueadas</v>
      </c>
      <c r="H3176" s="4">
        <f ca="1">IFERROR(__xludf.UNSUPPORTED("""COMPUTED_VALUE"""),45587.2291666666)</f>
        <v>45587.229166666599</v>
      </c>
      <c r="I3176" s="3">
        <f ca="1">IFERROR(__xludf.UNSUPPORTED("""COMPUTED_VALUE"""),5)</f>
        <v>5</v>
      </c>
      <c r="J3176" s="4">
        <f ca="1">IFERROR(__xludf.UNSUPPORTED("""COMPUTED_VALUE"""),45587.4375)</f>
        <v>45587.4375</v>
      </c>
      <c r="K3176" s="3" t="str">
        <f ca="1">IFERROR(__xludf.UNSUPPORTED("""COMPUTED_VALUE"""),"Roberto Brilhante, Administrador de VDC")</f>
        <v>Roberto Brilhante, Administrador de VDC</v>
      </c>
      <c r="L3176" s="3" t="str">
        <f ca="1">IFERROR(__xludf.UNSUPPORTED("""COMPUTED_VALUE"""),"Crítico")</f>
        <v>Crítico</v>
      </c>
    </row>
    <row r="3177" spans="1:12" ht="12.75">
      <c r="A3177" s="3" t="str">
        <f ca="1">IFERROR(__xludf.UNSUPPORTED("""COMPUTED_VALUE"""),"yPqByLzS")</f>
        <v>yPqByLzS</v>
      </c>
      <c r="B3177" s="4">
        <f ca="1">IFERROR(__xludf.UNSUPPORTED("""COMPUTED_VALUE"""),44589.5)</f>
        <v>44589.5</v>
      </c>
      <c r="C3177" s="8" t="str">
        <f ca="1">IFERROR(__xludf.UNSUPPORTED("""COMPUTED_VALUE"""),"Vitória")</f>
        <v>Vitória</v>
      </c>
      <c r="D3177" s="3" t="str">
        <f ca="1">IFERROR(__xludf.UNSUPPORTED("""COMPUTED_VALUE"""),"❗️PARALISADA")</f>
        <v>❗️PARALISADA</v>
      </c>
      <c r="E3177" s="3" t="str">
        <f ca="1">IFERROR(__xludf.UNSUPPORTED("""COMPUTED_VALUE"""),"🚛 LIBERADO")</f>
        <v>🚛 LIBERADO</v>
      </c>
      <c r="F3177" s="5">
        <f ca="1">IFERROR(__xludf.UNSUPPORTED("""COMPUTED_VALUE"""),0.65)</f>
        <v>0.65</v>
      </c>
      <c r="G3177" s="3" t="str">
        <f ca="1">IFERROR(__xludf.UNSUPPORTED("""COMPUTED_VALUE"""),"Por volta de 07:10 hs teve início um ajuntamento de pessoas na portaria principal do Cais de Vitória.
Abriram faixas e se posicionaram de forma demostrar uma situação de movimento grevista, contudo, conforme decisão judicial, o acesso de pessoas e veículo"&amp;"s nao foi interrompido. O ato prossegue da mesma forma até o presente momento.")</f>
        <v>Por volta de 07:10 hs teve início um ajuntamento de pessoas na portaria principal do Cais de Vitória.
Abriram faixas e se posicionaram de forma demostrar uma situação de movimento grevista, contudo, conforme decisão judicial, o acesso de pessoas e veículos nao foi interrompido. O ato prossegue da mesma forma até o presente momento.</v>
      </c>
      <c r="H3177" s="4">
        <f ca="1">IFERROR(__xludf.UNSUPPORTED("""COMPUTED_VALUE"""),44589.6583333333)</f>
        <v>44589.658333333296</v>
      </c>
      <c r="I3177" s="3">
        <f ca="1">IFERROR(__xludf.UNSUPPORTED("""COMPUTED_VALUE"""),3)</f>
        <v>3</v>
      </c>
      <c r="J3177" s="4">
        <f ca="1">IFERROR(__xludf.UNSUPPORTED("""COMPUTED_VALUE"""),44589.7833333333)</f>
        <v>44589.783333333296</v>
      </c>
    </row>
    <row r="3178" spans="1:12" ht="12.75">
      <c r="A3178" s="3" t="str">
        <f ca="1">IFERROR(__xludf.UNSUPPORTED("""COMPUTED_VALUE"""),"gdkWBhBl")</f>
        <v>gdkWBhBl</v>
      </c>
      <c r="B3178" s="4">
        <f ca="1">IFERROR(__xludf.UNSUPPORTED("""COMPUTED_VALUE"""),44701.7423611111)</f>
        <v>44701.742361111101</v>
      </c>
      <c r="C3178" s="7" t="str">
        <f ca="1">IFERROR(__xludf.UNSUPPORTED("""COMPUTED_VALUE"""),"Vitória")</f>
        <v>Vitória</v>
      </c>
      <c r="D3178" s="3" t="str">
        <f ca="1">IFERROR(__xludf.UNSUPPORTED("""COMPUTED_VALUE"""),"⚠️ COM ATRASOS")</f>
        <v>⚠️ COM ATRASOS</v>
      </c>
      <c r="E3178" s="3" t="str">
        <f ca="1">IFERROR(__xludf.UNSUPPORTED("""COMPUTED_VALUE"""),"⚠️ PARCIALMENTE BLOQUEADO")</f>
        <v>⚠️ PARCIALMENTE BLOQUEADO</v>
      </c>
      <c r="F3178" s="5">
        <f ca="1">IFERROR(__xludf.UNSUPPORTED("""COMPUTED_VALUE"""),0.5)</f>
        <v>0.5</v>
      </c>
      <c r="G3178" s="3" t="str">
        <f ca="1">IFERROR(__xludf.UNSUPPORTED("""COMPUTED_VALUE"""),"Haverá paralisação de portuários na terça-feira às 7h no Porto de Vitória. 
A referida paralisação será de 48h.")</f>
        <v>Haverá paralisação de portuários na terça-feira às 7h no Porto de Vitória. 
A referida paralisação será de 48h.</v>
      </c>
      <c r="H3178" s="4">
        <f ca="1">IFERROR(__xludf.UNSUPPORTED("""COMPUTED_VALUE"""),44705.2916666666)</f>
        <v>44705.291666666599</v>
      </c>
      <c r="I3178" s="3">
        <f ca="1">IFERROR(__xludf.UNSUPPORTED("""COMPUTED_VALUE"""),24)</f>
        <v>24</v>
      </c>
      <c r="J3178" s="4">
        <f ca="1">IFERROR(__xludf.UNSUPPORTED("""COMPUTED_VALUE"""),44706.2916666666)</f>
        <v>44706.291666666599</v>
      </c>
    </row>
    <row r="3179" spans="1:12" ht="12.75">
      <c r="A3179" s="3" t="str">
        <f ca="1">IFERROR(__xludf.UNSUPPORTED("""COMPUTED_VALUE"""),"331fed58")</f>
        <v>331fed58</v>
      </c>
      <c r="B3179" s="4">
        <f ca="1">IFERROR(__xludf.UNSUPPORTED("""COMPUTED_VALUE"""),44866.4185532407)</f>
        <v>44866.418553240699</v>
      </c>
      <c r="C3179" s="7" t="str">
        <f ca="1">IFERROR(__xludf.UNSUPPORTED("""COMPUTED_VALUE"""),"Vitória")</f>
        <v>Vitória</v>
      </c>
      <c r="D3179" s="3" t="str">
        <f ca="1">IFERROR(__xludf.UNSUPPORTED("""COMPUTED_VALUE"""),"⚠️ COM ATRASOS")</f>
        <v>⚠️ COM ATRASOS</v>
      </c>
      <c r="E3179" s="3" t="str">
        <f ca="1">IFERROR(__xludf.UNSUPPORTED("""COMPUTED_VALUE"""),"⚠️ PARCIALMENTE BLOQUEADO")</f>
        <v>⚠️ PARCIALMENTE BLOQUEADO</v>
      </c>
      <c r="F3179" s="5">
        <f ca="1">IFERROR(__xludf.UNSUPPORTED("""COMPUTED_VALUE"""),0.75)</f>
        <v>0.75</v>
      </c>
      <c r="G3179" s="3" t="str">
        <f ca="1">IFERROR(__xludf.UNSUPPORTED("""COMPUTED_VALUE"""),"Manifestantes estão em 2 pontos de acesso ao Porto de Vitória, desencorajando caminhoneiros a adentrarem, sem bloqueio de vias, por enquanto. Dada essa situação, as operações já estariam sendo prejudicadas, adicionando-se o fato de caminhões estarem com d"&amp;"ificuldades de acesso em outras vias mais distantes do Porto. A informação foi repassada à Chefe da UREVT por representante da Guarda Portuária do Porto de Vitória, mas ainda estamos buscando informações mais detalhadas e vamos monitorar a situação.")</f>
        <v>Manifestantes estão em 2 pontos de acesso ao Porto de Vitória, desencorajando caminhoneiros a adentrarem, sem bloqueio de vias, por enquanto. Dada essa situação, as operações já estariam sendo prejudicadas, adicionando-se o fato de caminhões estarem com dificuldades de acesso em outras vias mais distantes do Porto. A informação foi repassada à Chefe da UREVT por representante da Guarda Portuária do Porto de Vitória, mas ainda estamos buscando informações mais detalhadas e vamos monitorar a situação.</v>
      </c>
      <c r="H3179" s="4">
        <f ca="1">IFERROR(__xludf.UNSUPPORTED("""COMPUTED_VALUE"""),44865.75)</f>
        <v>44865.75</v>
      </c>
      <c r="I3179" s="3">
        <f ca="1">IFERROR(__xludf.UNSUPPORTED("""COMPUTED_VALUE"""),24)</f>
        <v>24</v>
      </c>
      <c r="J3179" s="4">
        <f ca="1">IFERROR(__xludf.UNSUPPORTED("""COMPUTED_VALUE"""),44866.75)</f>
        <v>44866.75</v>
      </c>
    </row>
    <row r="3180" spans="1:12" ht="12.75">
      <c r="A3180" s="3" t="str">
        <f ca="1">IFERROR(__xludf.UNSUPPORTED("""COMPUTED_VALUE"""),"4de870cb")</f>
        <v>4de870cb</v>
      </c>
      <c r="B3180" s="4">
        <f ca="1">IFERROR(__xludf.UNSUPPORTED("""COMPUTED_VALUE"""),44868.4667708333)</f>
        <v>44868.4667708333</v>
      </c>
      <c r="C3180" s="8" t="str">
        <f ca="1">IFERROR(__xludf.UNSUPPORTED("""COMPUTED_VALUE"""),"Vitória")</f>
        <v>Vitória</v>
      </c>
      <c r="D3180" s="3" t="str">
        <f ca="1">IFERROR(__xludf.UNSUPPORTED("""COMPUTED_VALUE"""),"🚢 REGULAR")</f>
        <v>🚢 REGULAR</v>
      </c>
      <c r="E3180" s="3" t="str">
        <f ca="1">IFERROR(__xludf.UNSUPPORTED("""COMPUTED_VALUE"""),"🚛 LIBERADO")</f>
        <v>🚛 LIBERADO</v>
      </c>
      <c r="F3180" s="5">
        <f ca="1">IFERROR(__xludf.UNSUPPORTED("""COMPUTED_VALUE"""),0.25)</f>
        <v>0.25</v>
      </c>
      <c r="G3180" s="3" t="str">
        <f ca="1">IFERROR(__xludf.UNSUPPORTED("""COMPUTED_VALUE"""),"Aparentemente, as operações estão retornando à normalidade. A situação estava se agravando em 01/11/2022, mas, após decisão judicial (interdito proibitório) emitida em 02/11/2022, às 4:04, a Guarda Portuária passou a atuar, em conjunto à PRF, de forma mai"&amp;"s incisiva para dispersar os manifestantes.")</f>
        <v>Aparentemente, as operações estão retornando à normalidade. A situação estava se agravando em 01/11/2022, mas, após decisão judicial (interdito proibitório) emitida em 02/11/2022, às 4:04, a Guarda Portuária passou a atuar, em conjunto à PRF, de forma mais incisiva para dispersar os manifestantes.</v>
      </c>
      <c r="H3180" s="4">
        <f ca="1">IFERROR(__xludf.UNSUPPORTED("""COMPUTED_VALUE"""),44868.4667708333)</f>
        <v>44868.4667708333</v>
      </c>
      <c r="I3180" s="3">
        <f ca="1">IFERROR(__xludf.UNSUPPORTED("""COMPUTED_VALUE"""),24)</f>
        <v>24</v>
      </c>
      <c r="J3180" s="4">
        <f ca="1">IFERROR(__xludf.UNSUPPORTED("""COMPUTED_VALUE"""),44869.4667708333)</f>
        <v>44869.4667708333</v>
      </c>
    </row>
    <row r="3181" spans="1:12" ht="12.75">
      <c r="A3181" s="3" t="str">
        <f ca="1">IFERROR(__xludf.UNSUPPORTED("""COMPUTED_VALUE"""),"1eb32467")</f>
        <v>1eb32467</v>
      </c>
      <c r="B3181" s="4">
        <f ca="1">IFERROR(__xludf.UNSUPPORTED("""COMPUTED_VALUE"""),44869.3685879629)</f>
        <v>44869.368587962897</v>
      </c>
      <c r="C3181" s="8" t="str">
        <f ca="1">IFERROR(__xludf.UNSUPPORTED("""COMPUTED_VALUE"""),"Vitória")</f>
        <v>Vitória</v>
      </c>
      <c r="D3181" s="3" t="str">
        <f ca="1">IFERROR(__xludf.UNSUPPORTED("""COMPUTED_VALUE"""),"🚢 REGULAR")</f>
        <v>🚢 REGULAR</v>
      </c>
      <c r="E3181" s="3" t="str">
        <f ca="1">IFERROR(__xludf.UNSUPPORTED("""COMPUTED_VALUE"""),"🚛 LIBERADO")</f>
        <v>🚛 LIBERADO</v>
      </c>
      <c r="F3181" s="5">
        <f ca="1">IFERROR(__xludf.UNSUPPORTED("""COMPUTED_VALUE"""),0)</f>
        <v>0</v>
      </c>
      <c r="G3181" s="3" t="str">
        <f ca="1">IFERROR(__xludf.UNSUPPORTED("""COMPUTED_VALUE"""),"Operações aparentemente normais.")</f>
        <v>Operações aparentemente normais.</v>
      </c>
      <c r="H3181" s="4">
        <f ca="1">IFERROR(__xludf.UNSUPPORTED("""COMPUTED_VALUE"""),44869.3685879629)</f>
        <v>44869.368587962897</v>
      </c>
      <c r="I3181" s="3">
        <f ca="1">IFERROR(__xludf.UNSUPPORTED("""COMPUTED_VALUE"""),9)</f>
        <v>9</v>
      </c>
      <c r="J3181" s="4">
        <f ca="1">IFERROR(__xludf.UNSUPPORTED("""COMPUTED_VALUE"""),44869.7435879629)</f>
        <v>44869.743587962897</v>
      </c>
    </row>
    <row r="3182" spans="1:12" ht="12.75">
      <c r="A3182" s="3" t="str">
        <f ca="1">IFERROR(__xludf.UNSUPPORTED("""COMPUTED_VALUE"""),"8ec96e83")</f>
        <v>8ec96e83</v>
      </c>
      <c r="B3182" s="4">
        <f ca="1">IFERROR(__xludf.UNSUPPORTED("""COMPUTED_VALUE"""),44870.3380787037)</f>
        <v>44870.338078703702</v>
      </c>
      <c r="C3182" s="8" t="str">
        <f ca="1">IFERROR(__xludf.UNSUPPORTED("""COMPUTED_VALUE"""),"Vitória")</f>
        <v>Vitória</v>
      </c>
      <c r="D3182" s="3" t="str">
        <f ca="1">IFERROR(__xludf.UNSUPPORTED("""COMPUTED_VALUE"""),"🚢 REGULAR")</f>
        <v>🚢 REGULAR</v>
      </c>
      <c r="E3182" s="3" t="str">
        <f ca="1">IFERROR(__xludf.UNSUPPORTED("""COMPUTED_VALUE"""),"🚛 LIBERADO")</f>
        <v>🚛 LIBERADO</v>
      </c>
      <c r="F3182" s="5">
        <f ca="1">IFERROR(__xludf.UNSUPPORTED("""COMPUTED_VALUE"""),0)</f>
        <v>0</v>
      </c>
      <c r="G3182" s="3" t="str">
        <f ca="1">IFERROR(__xludf.UNSUPPORTED("""COMPUTED_VALUE"""),"Operações aparentemente normais.")</f>
        <v>Operações aparentemente normais.</v>
      </c>
      <c r="H3182" s="4">
        <f ca="1">IFERROR(__xludf.UNSUPPORTED("""COMPUTED_VALUE"""),44870.3380787037)</f>
        <v>44870.338078703702</v>
      </c>
      <c r="I3182" s="3">
        <f ca="1">IFERROR(__xludf.UNSUPPORTED("""COMPUTED_VALUE"""),24)</f>
        <v>24</v>
      </c>
      <c r="J3182" s="4">
        <f ca="1">IFERROR(__xludf.UNSUPPORTED("""COMPUTED_VALUE"""),44871.3380787037)</f>
        <v>44871.338078703702</v>
      </c>
    </row>
    <row r="3183" spans="1:12" ht="12.75">
      <c r="A3183" s="3" t="str">
        <f ca="1">IFERROR(__xludf.UNSUPPORTED("""COMPUTED_VALUE"""),"e707c4ed")</f>
        <v>e707c4ed</v>
      </c>
      <c r="B3183" s="4">
        <f ca="1">IFERROR(__xludf.UNSUPPORTED("""COMPUTED_VALUE"""),44871.3942824074)</f>
        <v>44871.394282407397</v>
      </c>
      <c r="C3183" s="7" t="str">
        <f ca="1">IFERROR(__xludf.UNSUPPORTED("""COMPUTED_VALUE"""),"Vitória")</f>
        <v>Vitória</v>
      </c>
      <c r="D3183" s="3" t="str">
        <f ca="1">IFERROR(__xludf.UNSUPPORTED("""COMPUTED_VALUE"""),"🚢 REGULAR")</f>
        <v>🚢 REGULAR</v>
      </c>
      <c r="E3183" s="3" t="str">
        <f ca="1">IFERROR(__xludf.UNSUPPORTED("""COMPUTED_VALUE"""),"🚛 LIBERADO")</f>
        <v>🚛 LIBERADO</v>
      </c>
      <c r="F3183" s="5">
        <f ca="1">IFERROR(__xludf.UNSUPPORTED("""COMPUTED_VALUE"""),0)</f>
        <v>0</v>
      </c>
      <c r="G3183" s="3" t="str">
        <f ca="1">IFERROR(__xludf.UNSUPPORTED("""COMPUTED_VALUE"""),"Operações aparentemente normais.")</f>
        <v>Operações aparentemente normais.</v>
      </c>
      <c r="H3183" s="4">
        <f ca="1">IFERROR(__xludf.UNSUPPORTED("""COMPUTED_VALUE"""),44871.3942824074)</f>
        <v>44871.394282407397</v>
      </c>
      <c r="I3183" s="3">
        <f ca="1">IFERROR(__xludf.UNSUPPORTED("""COMPUTED_VALUE"""),24)</f>
        <v>24</v>
      </c>
      <c r="J3183" s="4">
        <f ca="1">IFERROR(__xludf.UNSUPPORTED("""COMPUTED_VALUE"""),44872.3942824074)</f>
        <v>44872.394282407397</v>
      </c>
    </row>
    <row r="3184" spans="1:12" ht="12.75">
      <c r="A3184" s="3" t="str">
        <f ca="1">IFERROR(__xludf.UNSUPPORTED("""COMPUTED_VALUE"""),"703ca556")</f>
        <v>703ca556</v>
      </c>
      <c r="B3184" s="4">
        <f ca="1">IFERROR(__xludf.UNSUPPORTED("""COMPUTED_VALUE"""),44872.3576388888)</f>
        <v>44872.357638888803</v>
      </c>
      <c r="C3184" s="7" t="str">
        <f ca="1">IFERROR(__xludf.UNSUPPORTED("""COMPUTED_VALUE"""),"Vitória")</f>
        <v>Vitória</v>
      </c>
      <c r="D3184" s="3" t="str">
        <f ca="1">IFERROR(__xludf.UNSUPPORTED("""COMPUTED_VALUE"""),"🚢 REGULAR")</f>
        <v>🚢 REGULAR</v>
      </c>
      <c r="E3184" s="3" t="str">
        <f ca="1">IFERROR(__xludf.UNSUPPORTED("""COMPUTED_VALUE"""),"🚛 LIBERADO")</f>
        <v>🚛 LIBERADO</v>
      </c>
      <c r="F3184" s="5">
        <f ca="1">IFERROR(__xludf.UNSUPPORTED("""COMPUTED_VALUE"""),0)</f>
        <v>0</v>
      </c>
      <c r="G3184" s="3" t="str">
        <f ca="1">IFERROR(__xludf.UNSUPPORTED("""COMPUTED_VALUE"""),"Operações aparentemente normais.")</f>
        <v>Operações aparentemente normais.</v>
      </c>
      <c r="H3184" s="4">
        <f ca="1">IFERROR(__xludf.UNSUPPORTED("""COMPUTED_VALUE"""),44872.3576388888)</f>
        <v>44872.357638888803</v>
      </c>
      <c r="I3184" s="3">
        <f ca="1">IFERROR(__xludf.UNSUPPORTED("""COMPUTED_VALUE"""),24)</f>
        <v>24</v>
      </c>
      <c r="J3184" s="4">
        <f ca="1">IFERROR(__xludf.UNSUPPORTED("""COMPUTED_VALUE"""),44873.3576388888)</f>
        <v>44873.357638888803</v>
      </c>
    </row>
    <row r="3185" spans="1:10" ht="12.75">
      <c r="A3185" s="3" t="str">
        <f ca="1">IFERROR(__xludf.UNSUPPORTED("""COMPUTED_VALUE"""),"64cf4e8f")</f>
        <v>64cf4e8f</v>
      </c>
      <c r="B3185" s="4">
        <f ca="1">IFERROR(__xludf.UNSUPPORTED("""COMPUTED_VALUE"""),44873.3494328703)</f>
        <v>44873.349432870302</v>
      </c>
      <c r="C3185" s="7" t="str">
        <f ca="1">IFERROR(__xludf.UNSUPPORTED("""COMPUTED_VALUE"""),"Vitória")</f>
        <v>Vitória</v>
      </c>
      <c r="D3185" s="3" t="str">
        <f ca="1">IFERROR(__xludf.UNSUPPORTED("""COMPUTED_VALUE"""),"🚢 REGULAR")</f>
        <v>🚢 REGULAR</v>
      </c>
      <c r="E3185" s="3" t="str">
        <f ca="1">IFERROR(__xludf.UNSUPPORTED("""COMPUTED_VALUE"""),"🚛 LIBERADO")</f>
        <v>🚛 LIBERADO</v>
      </c>
      <c r="F3185" s="5">
        <f ca="1">IFERROR(__xludf.UNSUPPORTED("""COMPUTED_VALUE"""),0)</f>
        <v>0</v>
      </c>
      <c r="G3185" s="3" t="str">
        <f ca="1">IFERROR(__xludf.UNSUPPORTED("""COMPUTED_VALUE"""),"Operações aparentemente normais.")</f>
        <v>Operações aparentemente normais.</v>
      </c>
      <c r="H3185" s="4">
        <f ca="1">IFERROR(__xludf.UNSUPPORTED("""COMPUTED_VALUE"""),44873.3494328703)</f>
        <v>44873.349432870302</v>
      </c>
      <c r="I3185" s="3">
        <f ca="1">IFERROR(__xludf.UNSUPPORTED("""COMPUTED_VALUE"""),24)</f>
        <v>24</v>
      </c>
      <c r="J3185" s="4">
        <f ca="1">IFERROR(__xludf.UNSUPPORTED("""COMPUTED_VALUE"""),44874.3494328703)</f>
        <v>44874.349432870302</v>
      </c>
    </row>
    <row r="3186" spans="1:10" ht="12.75">
      <c r="A3186" s="3" t="str">
        <f ca="1">IFERROR(__xludf.UNSUPPORTED("""COMPUTED_VALUE"""),"a5a78de4")</f>
        <v>a5a78de4</v>
      </c>
      <c r="B3186" s="4">
        <f ca="1">IFERROR(__xludf.UNSUPPORTED("""COMPUTED_VALUE"""),44874.3694097222)</f>
        <v>44874.369409722203</v>
      </c>
      <c r="C3186" s="7" t="str">
        <f ca="1">IFERROR(__xludf.UNSUPPORTED("""COMPUTED_VALUE"""),"Vitória")</f>
        <v>Vitória</v>
      </c>
      <c r="D3186" s="3" t="str">
        <f ca="1">IFERROR(__xludf.UNSUPPORTED("""COMPUTED_VALUE"""),"⚠️ COM ATRASOS")</f>
        <v>⚠️ COM ATRASOS</v>
      </c>
      <c r="E3186" s="3" t="str">
        <f ca="1">IFERROR(__xludf.UNSUPPORTED("""COMPUTED_VALUE"""),"🚛 LIBERADO")</f>
        <v>🚛 LIBERADO</v>
      </c>
      <c r="F3186" s="5">
        <f ca="1">IFERROR(__xludf.UNSUPPORTED("""COMPUTED_VALUE"""),0)</f>
        <v>0</v>
      </c>
      <c r="G3186" s="3" t="str">
        <f ca="1">IFERROR(__xludf.UNSUPPORTED("""COMPUTED_VALUE"""),"Há uma operação paralisada, por razões não relacionadas a bloqueios nos acessos. As demais estão aparentemente normais.")</f>
        <v>Há uma operação paralisada, por razões não relacionadas a bloqueios nos acessos. As demais estão aparentemente normais.</v>
      </c>
      <c r="H3186" s="4">
        <f ca="1">IFERROR(__xludf.UNSUPPORTED("""COMPUTED_VALUE"""),44874.3694097222)</f>
        <v>44874.369409722203</v>
      </c>
      <c r="I3186" s="3">
        <f ca="1">IFERROR(__xludf.UNSUPPORTED("""COMPUTED_VALUE"""),24)</f>
        <v>24</v>
      </c>
      <c r="J3186" s="4">
        <f ca="1">IFERROR(__xludf.UNSUPPORTED("""COMPUTED_VALUE"""),44875.3694097222)</f>
        <v>44875.369409722203</v>
      </c>
    </row>
    <row r="3187" spans="1:10" ht="12.75">
      <c r="A3187" s="3" t="str">
        <f ca="1">IFERROR(__xludf.UNSUPPORTED("""COMPUTED_VALUE"""),"4866848e")</f>
        <v>4866848e</v>
      </c>
      <c r="B3187" s="4">
        <f ca="1">IFERROR(__xludf.UNSUPPORTED("""COMPUTED_VALUE"""),44875.3586226851)</f>
        <v>44875.358622685097</v>
      </c>
      <c r="C3187" s="8" t="str">
        <f ca="1">IFERROR(__xludf.UNSUPPORTED("""COMPUTED_VALUE"""),"Vitória")</f>
        <v>Vitória</v>
      </c>
      <c r="D3187" s="3" t="str">
        <f ca="1">IFERROR(__xludf.UNSUPPORTED("""COMPUTED_VALUE"""),"🚢 REGULAR")</f>
        <v>🚢 REGULAR</v>
      </c>
      <c r="E3187" s="3" t="str">
        <f ca="1">IFERROR(__xludf.UNSUPPORTED("""COMPUTED_VALUE"""),"🚛 LIBERADO")</f>
        <v>🚛 LIBERADO</v>
      </c>
      <c r="F3187" s="5">
        <f ca="1">IFERROR(__xludf.UNSUPPORTED("""COMPUTED_VALUE"""),0)</f>
        <v>0</v>
      </c>
      <c r="G3187" s="3" t="str">
        <f ca="1">IFERROR(__xludf.UNSUPPORTED("""COMPUTED_VALUE"""),"Aparentemente, não há operações prejudicadas por bloqueios (ou pela expectativa de ocorrência) nos acessos.")</f>
        <v>Aparentemente, não há operações prejudicadas por bloqueios (ou pela expectativa de ocorrência) nos acessos.</v>
      </c>
      <c r="H3187" s="4">
        <f ca="1">IFERROR(__xludf.UNSUPPORTED("""COMPUTED_VALUE"""),44875.3586226851)</f>
        <v>44875.358622685097</v>
      </c>
      <c r="I3187" s="3">
        <f ca="1">IFERROR(__xludf.UNSUPPORTED("""COMPUTED_VALUE"""),24)</f>
        <v>24</v>
      </c>
      <c r="J3187" s="4">
        <f ca="1">IFERROR(__xludf.UNSUPPORTED("""COMPUTED_VALUE"""),44876.3586226851)</f>
        <v>44876.358622685097</v>
      </c>
    </row>
    <row r="3188" spans="1:10" ht="12.75">
      <c r="A3188" s="3" t="str">
        <f ca="1">IFERROR(__xludf.UNSUPPORTED("""COMPUTED_VALUE"""),"8a62a216")</f>
        <v>8a62a216</v>
      </c>
      <c r="B3188" s="4">
        <f ca="1">IFERROR(__xludf.UNSUPPORTED("""COMPUTED_VALUE"""),44876.3710648148)</f>
        <v>44876.371064814797</v>
      </c>
      <c r="C3188" s="7" t="str">
        <f ca="1">IFERROR(__xludf.UNSUPPORTED("""COMPUTED_VALUE"""),"Vitória")</f>
        <v>Vitória</v>
      </c>
      <c r="D3188" s="3" t="str">
        <f ca="1">IFERROR(__xludf.UNSUPPORTED("""COMPUTED_VALUE"""),"🚢 REGULAR")</f>
        <v>🚢 REGULAR</v>
      </c>
      <c r="E3188" s="3" t="str">
        <f ca="1">IFERROR(__xludf.UNSUPPORTED("""COMPUTED_VALUE"""),"🚛 LIBERADO")</f>
        <v>🚛 LIBERADO</v>
      </c>
      <c r="F3188" s="5">
        <f ca="1">IFERROR(__xludf.UNSUPPORTED("""COMPUTED_VALUE"""),0)</f>
        <v>0</v>
      </c>
      <c r="G3188" s="3" t="str">
        <f ca="1">IFERROR(__xludf.UNSUPPORTED("""COMPUTED_VALUE"""),"Aparentemente, não há operações prejudicadas por bloqueios (ou pela expectativa de ocorrência) nos acessos.")</f>
        <v>Aparentemente, não há operações prejudicadas por bloqueios (ou pela expectativa de ocorrência) nos acessos.</v>
      </c>
      <c r="H3188" s="4">
        <f ca="1">IFERROR(__xludf.UNSUPPORTED("""COMPUTED_VALUE"""),44876.3710648148)</f>
        <v>44876.371064814797</v>
      </c>
      <c r="I3188" s="3">
        <f ca="1">IFERROR(__xludf.UNSUPPORTED("""COMPUTED_VALUE"""),24)</f>
        <v>24</v>
      </c>
      <c r="J3188" s="4">
        <f ca="1">IFERROR(__xludf.UNSUPPORTED("""COMPUTED_VALUE"""),44877.3710648148)</f>
        <v>44877.371064814797</v>
      </c>
    </row>
    <row r="3189" spans="1:10" ht="12.75">
      <c r="A3189" s="3" t="str">
        <f ca="1">IFERROR(__xludf.UNSUPPORTED("""COMPUTED_VALUE"""),"e04d568d")</f>
        <v>e04d568d</v>
      </c>
      <c r="B3189" s="4">
        <f ca="1">IFERROR(__xludf.UNSUPPORTED("""COMPUTED_VALUE"""),44877.1794675925)</f>
        <v>44877.179467592498</v>
      </c>
      <c r="C3189" s="8" t="str">
        <f ca="1">IFERROR(__xludf.UNSUPPORTED("""COMPUTED_VALUE"""),"Vitória")</f>
        <v>Vitória</v>
      </c>
      <c r="D3189" s="3" t="str">
        <f ca="1">IFERROR(__xludf.UNSUPPORTED("""COMPUTED_VALUE"""),"🚢 REGULAR")</f>
        <v>🚢 REGULAR</v>
      </c>
      <c r="E3189" s="3" t="str">
        <f ca="1">IFERROR(__xludf.UNSUPPORTED("""COMPUTED_VALUE"""),"🚛 LIBERADO")</f>
        <v>🚛 LIBERADO</v>
      </c>
      <c r="F3189" s="5">
        <f ca="1">IFERROR(__xludf.UNSUPPORTED("""COMPUTED_VALUE"""),0)</f>
        <v>0</v>
      </c>
      <c r="G3189" s="3" t="str">
        <f ca="1">IFERROR(__xludf.UNSUPPORTED("""COMPUTED_VALUE"""),"Aparentemente, não há atrasos em operações, causados por bloqueios em acessos ou pela expectativa de sua ocorrência.")</f>
        <v>Aparentemente, não há atrasos em operações, causados por bloqueios em acessos ou pela expectativa de sua ocorrência.</v>
      </c>
      <c r="H3189" s="4">
        <f ca="1">IFERROR(__xludf.UNSUPPORTED("""COMPUTED_VALUE"""),44877.1794675925)</f>
        <v>44877.179467592498</v>
      </c>
      <c r="I3189" s="3">
        <f ca="1">IFERROR(__xludf.UNSUPPORTED("""COMPUTED_VALUE"""),24)</f>
        <v>24</v>
      </c>
      <c r="J3189" s="4">
        <f ca="1">IFERROR(__xludf.UNSUPPORTED("""COMPUTED_VALUE"""),44878.1794675925)</f>
        <v>44878.179467592498</v>
      </c>
    </row>
    <row r="3190" spans="1:10" ht="12.75">
      <c r="A3190" s="3" t="str">
        <f ca="1">IFERROR(__xludf.UNSUPPORTED("""COMPUTED_VALUE"""),"7a417b5a")</f>
        <v>7a417b5a</v>
      </c>
      <c r="B3190" s="4">
        <f ca="1">IFERROR(__xludf.UNSUPPORTED("""COMPUTED_VALUE"""),44879.3641319444)</f>
        <v>44879.3641319444</v>
      </c>
      <c r="C3190" s="7" t="str">
        <f ca="1">IFERROR(__xludf.UNSUPPORTED("""COMPUTED_VALUE"""),"Vitória")</f>
        <v>Vitória</v>
      </c>
      <c r="D3190" s="3" t="str">
        <f ca="1">IFERROR(__xludf.UNSUPPORTED("""COMPUTED_VALUE"""),"🚢 REGULAR")</f>
        <v>🚢 REGULAR</v>
      </c>
      <c r="E3190" s="3" t="str">
        <f ca="1">IFERROR(__xludf.UNSUPPORTED("""COMPUTED_VALUE"""),"🚛 LIBERADO")</f>
        <v>🚛 LIBERADO</v>
      </c>
      <c r="F3190" s="5">
        <f ca="1">IFERROR(__xludf.UNSUPPORTED("""COMPUTED_VALUE"""),0)</f>
        <v>0</v>
      </c>
      <c r="G3190" s="3" t="str">
        <f ca="1">IFERROR(__xludf.UNSUPPORTED("""COMPUTED_VALUE"""),"Aparentemente, não há operações atrasadas em razão de bloqueios em vias de acesso ou pela expectativa de sua ocorrência.")</f>
        <v>Aparentemente, não há operações atrasadas em razão de bloqueios em vias de acesso ou pela expectativa de sua ocorrência.</v>
      </c>
      <c r="H3190" s="4">
        <f ca="1">IFERROR(__xludf.UNSUPPORTED("""COMPUTED_VALUE"""),44879.3641319444)</f>
        <v>44879.3641319444</v>
      </c>
      <c r="I3190" s="3">
        <f ca="1">IFERROR(__xludf.UNSUPPORTED("""COMPUTED_VALUE"""),24)</f>
        <v>24</v>
      </c>
      <c r="J3190" s="4">
        <f ca="1">IFERROR(__xludf.UNSUPPORTED("""COMPUTED_VALUE"""),44880.3641319444)</f>
        <v>44880.3641319444</v>
      </c>
    </row>
    <row r="3191" spans="1:10" ht="12.75">
      <c r="A3191" s="3" t="str">
        <f ca="1">IFERROR(__xludf.UNSUPPORTED("""COMPUTED_VALUE"""),"8b2808fd")</f>
        <v>8b2808fd</v>
      </c>
      <c r="B3191" s="4">
        <f ca="1">IFERROR(__xludf.UNSUPPORTED("""COMPUTED_VALUE"""),44880.3488888888)</f>
        <v>44880.348888888802</v>
      </c>
      <c r="C3191" s="8" t="str">
        <f ca="1">IFERROR(__xludf.UNSUPPORTED("""COMPUTED_VALUE"""),"Vitória")</f>
        <v>Vitória</v>
      </c>
      <c r="D3191" s="3" t="str">
        <f ca="1">IFERROR(__xludf.UNSUPPORTED("""COMPUTED_VALUE"""),"🚢 REGULAR")</f>
        <v>🚢 REGULAR</v>
      </c>
      <c r="E3191" s="3" t="str">
        <f ca="1">IFERROR(__xludf.UNSUPPORTED("""COMPUTED_VALUE"""),"🚛 LIBERADO")</f>
        <v>🚛 LIBERADO</v>
      </c>
      <c r="F3191" s="5">
        <f ca="1">IFERROR(__xludf.UNSUPPORTED("""COMPUTED_VALUE"""),0)</f>
        <v>0</v>
      </c>
      <c r="G3191" s="3" t="str">
        <f ca="1">IFERROR(__xludf.UNSUPPORTED("""COMPUTED_VALUE"""),"Aparentemente, não há operações atrasadas em razão de bloqueios nas vias de acesso ou pela expectativa de sua ocorrência.")</f>
        <v>Aparentemente, não há operações atrasadas em razão de bloqueios nas vias de acesso ou pela expectativa de sua ocorrência.</v>
      </c>
      <c r="H3191" s="4">
        <f ca="1">IFERROR(__xludf.UNSUPPORTED("""COMPUTED_VALUE"""),44880.3488888888)</f>
        <v>44880.348888888802</v>
      </c>
      <c r="I3191" s="3">
        <f ca="1">IFERROR(__xludf.UNSUPPORTED("""COMPUTED_VALUE"""),24)</f>
        <v>24</v>
      </c>
      <c r="J3191" s="4">
        <f ca="1">IFERROR(__xludf.UNSUPPORTED("""COMPUTED_VALUE"""),44881.3488888888)</f>
        <v>44881.348888888802</v>
      </c>
    </row>
    <row r="3192" spans="1:10" ht="12.75">
      <c r="A3192" s="3" t="str">
        <f ca="1">IFERROR(__xludf.UNSUPPORTED("""COMPUTED_VALUE"""),"3b6919a4")</f>
        <v>3b6919a4</v>
      </c>
      <c r="B3192" s="4">
        <f ca="1">IFERROR(__xludf.UNSUPPORTED("""COMPUTED_VALUE"""),44882.3887268518)</f>
        <v>44882.388726851801</v>
      </c>
      <c r="C3192" s="7" t="str">
        <f ca="1">IFERROR(__xludf.UNSUPPORTED("""COMPUTED_VALUE"""),"Vitória")</f>
        <v>Vitória</v>
      </c>
      <c r="D3192" s="3" t="str">
        <f ca="1">IFERROR(__xludf.UNSUPPORTED("""COMPUTED_VALUE"""),"🚢 REGULAR")</f>
        <v>🚢 REGULAR</v>
      </c>
      <c r="E3192" s="3" t="str">
        <f ca="1">IFERROR(__xludf.UNSUPPORTED("""COMPUTED_VALUE"""),"🚛 LIBERADO")</f>
        <v>🚛 LIBERADO</v>
      </c>
      <c r="F3192" s="5">
        <f ca="1">IFERROR(__xludf.UNSUPPORTED("""COMPUTED_VALUE"""),0)</f>
        <v>0</v>
      </c>
      <c r="G3192" s="3" t="str">
        <f ca="1">IFERROR(__xludf.UNSUPPORTED("""COMPUTED_VALUE"""),"Operações aparentemente normais.")</f>
        <v>Operações aparentemente normais.</v>
      </c>
      <c r="H3192" s="4">
        <f ca="1">IFERROR(__xludf.UNSUPPORTED("""COMPUTED_VALUE"""),44882.3887268518)</f>
        <v>44882.388726851801</v>
      </c>
      <c r="I3192" s="3">
        <f ca="1">IFERROR(__xludf.UNSUPPORTED("""COMPUTED_VALUE"""),23)</f>
        <v>23</v>
      </c>
      <c r="J3192" s="4">
        <f ca="1">IFERROR(__xludf.UNSUPPORTED("""COMPUTED_VALUE"""),44883.3470601851)</f>
        <v>44883.3470601851</v>
      </c>
    </row>
    <row r="3193" spans="1:10" ht="12.75">
      <c r="A3193" s="3" t="str">
        <f ca="1">IFERROR(__xludf.UNSUPPORTED("""COMPUTED_VALUE"""),"a460006e")</f>
        <v>a460006e</v>
      </c>
      <c r="B3193" s="4">
        <f ca="1">IFERROR(__xludf.UNSUPPORTED("""COMPUTED_VALUE"""),44883.3499884259)</f>
        <v>44883.3499884259</v>
      </c>
      <c r="C3193" s="8" t="str">
        <f ca="1">IFERROR(__xludf.UNSUPPORTED("""COMPUTED_VALUE"""),"Vitória")</f>
        <v>Vitória</v>
      </c>
      <c r="D3193" s="3" t="str">
        <f ca="1">IFERROR(__xludf.UNSUPPORTED("""COMPUTED_VALUE"""),"🚢 REGULAR")</f>
        <v>🚢 REGULAR</v>
      </c>
      <c r="E3193" s="3" t="str">
        <f ca="1">IFERROR(__xludf.UNSUPPORTED("""COMPUTED_VALUE"""),"🚛 LIBERADO")</f>
        <v>🚛 LIBERADO</v>
      </c>
      <c r="F3193" s="5">
        <f ca="1">IFERROR(__xludf.UNSUPPORTED("""COMPUTED_VALUE"""),0)</f>
        <v>0</v>
      </c>
      <c r="G3193" s="3" t="str">
        <f ca="1">IFERROR(__xludf.UNSUPPORTED("""COMPUTED_VALUE"""),"Operações aparentemente normais.")</f>
        <v>Operações aparentemente normais.</v>
      </c>
      <c r="H3193" s="4">
        <f ca="1">IFERROR(__xludf.UNSUPPORTED("""COMPUTED_VALUE"""),44883.3499884259)</f>
        <v>44883.3499884259</v>
      </c>
      <c r="I3193" s="3">
        <f ca="1">IFERROR(__xludf.UNSUPPORTED("""COMPUTED_VALUE"""),24)</f>
        <v>24</v>
      </c>
      <c r="J3193" s="4">
        <f ca="1">IFERROR(__xludf.UNSUPPORTED("""COMPUTED_VALUE"""),44884.3499884259)</f>
        <v>44884.3499884259</v>
      </c>
    </row>
    <row r="3194" spans="1:10" ht="12.75">
      <c r="A3194" s="3" t="str">
        <f ca="1">IFERROR(__xludf.UNSUPPORTED("""COMPUTED_VALUE"""),"366f66ae")</f>
        <v>366f66ae</v>
      </c>
      <c r="B3194" s="4">
        <f ca="1">IFERROR(__xludf.UNSUPPORTED("""COMPUTED_VALUE"""),44884.3834837962)</f>
        <v>44884.383483796199</v>
      </c>
      <c r="C3194" s="7" t="str">
        <f ca="1">IFERROR(__xludf.UNSUPPORTED("""COMPUTED_VALUE"""),"Vitória")</f>
        <v>Vitória</v>
      </c>
      <c r="D3194" s="3" t="str">
        <f ca="1">IFERROR(__xludf.UNSUPPORTED("""COMPUTED_VALUE"""),"🚢 REGULAR")</f>
        <v>🚢 REGULAR</v>
      </c>
      <c r="E3194" s="3" t="str">
        <f ca="1">IFERROR(__xludf.UNSUPPORTED("""COMPUTED_VALUE"""),"🚛 LIBERADO")</f>
        <v>🚛 LIBERADO</v>
      </c>
      <c r="F3194" s="5">
        <f ca="1">IFERROR(__xludf.UNSUPPORTED("""COMPUTED_VALUE"""),0)</f>
        <v>0</v>
      </c>
      <c r="G3194" s="3" t="str">
        <f ca="1">IFERROR(__xludf.UNSUPPORTED("""COMPUTED_VALUE"""),"Operações aparentemente normais.")</f>
        <v>Operações aparentemente normais.</v>
      </c>
      <c r="H3194" s="4">
        <f ca="1">IFERROR(__xludf.UNSUPPORTED("""COMPUTED_VALUE"""),44884.3834837962)</f>
        <v>44884.383483796199</v>
      </c>
      <c r="I3194" s="3">
        <f ca="1">IFERROR(__xludf.UNSUPPORTED("""COMPUTED_VALUE"""),24)</f>
        <v>24</v>
      </c>
      <c r="J3194" s="4">
        <f ca="1">IFERROR(__xludf.UNSUPPORTED("""COMPUTED_VALUE"""),44885.3834837962)</f>
        <v>44885.383483796199</v>
      </c>
    </row>
    <row r="3195" spans="1:10" ht="12.75">
      <c r="A3195" s="3" t="str">
        <f ca="1">IFERROR(__xludf.UNSUPPORTED("""COMPUTED_VALUE"""),"871fd346")</f>
        <v>871fd346</v>
      </c>
      <c r="B3195" s="4">
        <f ca="1">IFERROR(__xludf.UNSUPPORTED("""COMPUTED_VALUE"""),44885.3539351851)</f>
        <v>44885.3539351851</v>
      </c>
      <c r="C3195" s="7" t="str">
        <f ca="1">IFERROR(__xludf.UNSUPPORTED("""COMPUTED_VALUE"""),"Vitória")</f>
        <v>Vitória</v>
      </c>
      <c r="D3195" s="3" t="str">
        <f ca="1">IFERROR(__xludf.UNSUPPORTED("""COMPUTED_VALUE"""),"🚢 REGULAR")</f>
        <v>🚢 REGULAR</v>
      </c>
      <c r="E3195" s="3" t="str">
        <f ca="1">IFERROR(__xludf.UNSUPPORTED("""COMPUTED_VALUE"""),"🚛 LIBERADO")</f>
        <v>🚛 LIBERADO</v>
      </c>
      <c r="F3195" s="5">
        <f ca="1">IFERROR(__xludf.UNSUPPORTED("""COMPUTED_VALUE"""),0)</f>
        <v>0</v>
      </c>
      <c r="G3195" s="3" t="str">
        <f ca="1">IFERROR(__xludf.UNSUPPORTED("""COMPUTED_VALUE"""),"Operações aparentemente normais.")</f>
        <v>Operações aparentemente normais.</v>
      </c>
      <c r="H3195" s="4">
        <f ca="1">IFERROR(__xludf.UNSUPPORTED("""COMPUTED_VALUE"""),44885.3539351851)</f>
        <v>44885.3539351851</v>
      </c>
      <c r="I3195" s="3">
        <f ca="1">IFERROR(__xludf.UNSUPPORTED("""COMPUTED_VALUE"""),24)</f>
        <v>24</v>
      </c>
      <c r="J3195" s="4">
        <f ca="1">IFERROR(__xludf.UNSUPPORTED("""COMPUTED_VALUE"""),44886.3539351851)</f>
        <v>44886.3539351851</v>
      </c>
    </row>
    <row r="3196" spans="1:10" ht="12.75">
      <c r="A3196" s="3" t="str">
        <f ca="1">IFERROR(__xludf.UNSUPPORTED("""COMPUTED_VALUE"""),"3707ee36")</f>
        <v>3707ee36</v>
      </c>
      <c r="B3196" s="4">
        <f ca="1">IFERROR(__xludf.UNSUPPORTED("""COMPUTED_VALUE"""),44886.3528472222)</f>
        <v>44886.352847222202</v>
      </c>
      <c r="C3196" s="8" t="str">
        <f ca="1">IFERROR(__xludf.UNSUPPORTED("""COMPUTED_VALUE"""),"Vitória")</f>
        <v>Vitória</v>
      </c>
      <c r="D3196" s="3" t="str">
        <f ca="1">IFERROR(__xludf.UNSUPPORTED("""COMPUTED_VALUE"""),"🚢 REGULAR")</f>
        <v>🚢 REGULAR</v>
      </c>
      <c r="E3196" s="3" t="str">
        <f ca="1">IFERROR(__xludf.UNSUPPORTED("""COMPUTED_VALUE"""),"🚛 LIBERADO")</f>
        <v>🚛 LIBERADO</v>
      </c>
      <c r="F3196" s="5">
        <f ca="1">IFERROR(__xludf.UNSUPPORTED("""COMPUTED_VALUE"""),0)</f>
        <v>0</v>
      </c>
      <c r="G3196" s="3" t="str">
        <f ca="1">IFERROR(__xludf.UNSUPPORTED("""COMPUTED_VALUE"""),"Operações aparentemente normais.")</f>
        <v>Operações aparentemente normais.</v>
      </c>
      <c r="H3196" s="4">
        <f ca="1">IFERROR(__xludf.UNSUPPORTED("""COMPUTED_VALUE"""),44886.3528472222)</f>
        <v>44886.352847222202</v>
      </c>
      <c r="I3196" s="3">
        <f ca="1">IFERROR(__xludf.UNSUPPORTED("""COMPUTED_VALUE"""),24)</f>
        <v>24</v>
      </c>
      <c r="J3196" s="4">
        <f ca="1">IFERROR(__xludf.UNSUPPORTED("""COMPUTED_VALUE"""),44887.3528472222)</f>
        <v>44887.352847222202</v>
      </c>
    </row>
    <row r="3197" spans="1:10" ht="12.75">
      <c r="A3197" s="3" t="str">
        <f ca="1">IFERROR(__xludf.UNSUPPORTED("""COMPUTED_VALUE"""),"cefdeb74")</f>
        <v>cefdeb74</v>
      </c>
      <c r="B3197" s="4">
        <f ca="1">IFERROR(__xludf.UNSUPPORTED("""COMPUTED_VALUE"""),44887.3495717592)</f>
        <v>44887.349571759201</v>
      </c>
      <c r="C3197" s="8" t="str">
        <f ca="1">IFERROR(__xludf.UNSUPPORTED("""COMPUTED_VALUE"""),"Vitória")</f>
        <v>Vitória</v>
      </c>
      <c r="D3197" s="3" t="str">
        <f ca="1">IFERROR(__xludf.UNSUPPORTED("""COMPUTED_VALUE"""),"🚢 REGULAR")</f>
        <v>🚢 REGULAR</v>
      </c>
      <c r="E3197" s="3" t="str">
        <f ca="1">IFERROR(__xludf.UNSUPPORTED("""COMPUTED_VALUE"""),"🚛 LIBERADO")</f>
        <v>🚛 LIBERADO</v>
      </c>
      <c r="F3197" s="5">
        <f ca="1">IFERROR(__xludf.UNSUPPORTED("""COMPUTED_VALUE"""),0)</f>
        <v>0</v>
      </c>
      <c r="G3197" s="3" t="str">
        <f ca="1">IFERROR(__xludf.UNSUPPORTED("""COMPUTED_VALUE"""),"Operações aparentemente normais.")</f>
        <v>Operações aparentemente normais.</v>
      </c>
      <c r="H3197" s="4">
        <f ca="1">IFERROR(__xludf.UNSUPPORTED("""COMPUTED_VALUE"""),44887.3495717592)</f>
        <v>44887.349571759201</v>
      </c>
      <c r="I3197" s="3">
        <f ca="1">IFERROR(__xludf.UNSUPPORTED("""COMPUTED_VALUE"""),24)</f>
        <v>24</v>
      </c>
      <c r="J3197" s="4">
        <f ca="1">IFERROR(__xludf.UNSUPPORTED("""COMPUTED_VALUE"""),44888.3495717592)</f>
        <v>44888.349571759201</v>
      </c>
    </row>
    <row r="3198" spans="1:10" ht="12.75">
      <c r="A3198" s="3" t="str">
        <f ca="1">IFERROR(__xludf.UNSUPPORTED("""COMPUTED_VALUE"""),"cc4bff4c")</f>
        <v>cc4bff4c</v>
      </c>
      <c r="B3198" s="4">
        <f ca="1">IFERROR(__xludf.UNSUPPORTED("""COMPUTED_VALUE"""),44888.3438773148)</f>
        <v>44888.343877314801</v>
      </c>
      <c r="C3198" s="8" t="str">
        <f ca="1">IFERROR(__xludf.UNSUPPORTED("""COMPUTED_VALUE"""),"Vitória")</f>
        <v>Vitória</v>
      </c>
      <c r="D3198" s="3" t="str">
        <f ca="1">IFERROR(__xludf.UNSUPPORTED("""COMPUTED_VALUE"""),"🚢 REGULAR")</f>
        <v>🚢 REGULAR</v>
      </c>
      <c r="E3198" s="3" t="str">
        <f ca="1">IFERROR(__xludf.UNSUPPORTED("""COMPUTED_VALUE"""),"🚛 LIBERADO")</f>
        <v>🚛 LIBERADO</v>
      </c>
      <c r="F3198" s="5">
        <f ca="1">IFERROR(__xludf.UNSUPPORTED("""COMPUTED_VALUE"""),0)</f>
        <v>0</v>
      </c>
      <c r="G3198" s="3" t="str">
        <f ca="1">IFERROR(__xludf.UNSUPPORTED("""COMPUTED_VALUE"""),"Operações aparentemente normais.")</f>
        <v>Operações aparentemente normais.</v>
      </c>
      <c r="H3198" s="4">
        <f ca="1">IFERROR(__xludf.UNSUPPORTED("""COMPUTED_VALUE"""),44888.3438773148)</f>
        <v>44888.343877314801</v>
      </c>
      <c r="I3198" s="3">
        <f ca="1">IFERROR(__xludf.UNSUPPORTED("""COMPUTED_VALUE"""),24)</f>
        <v>24</v>
      </c>
      <c r="J3198" s="4">
        <f ca="1">IFERROR(__xludf.UNSUPPORTED("""COMPUTED_VALUE"""),44889.3438773148)</f>
        <v>44889.343877314801</v>
      </c>
    </row>
    <row r="3199" spans="1:10" ht="12.75">
      <c r="A3199" s="3" t="str">
        <f ca="1">IFERROR(__xludf.UNSUPPORTED("""COMPUTED_VALUE"""),"23247a74")</f>
        <v>23247a74</v>
      </c>
      <c r="B3199" s="4">
        <f ca="1">IFERROR(__xludf.UNSUPPORTED("""COMPUTED_VALUE"""),44889.3382407407)</f>
        <v>44889.338240740697</v>
      </c>
      <c r="C3199" s="7" t="str">
        <f ca="1">IFERROR(__xludf.UNSUPPORTED("""COMPUTED_VALUE"""),"Vitória")</f>
        <v>Vitória</v>
      </c>
      <c r="D3199" s="3" t="str">
        <f ca="1">IFERROR(__xludf.UNSUPPORTED("""COMPUTED_VALUE"""),"🚢 REGULAR")</f>
        <v>🚢 REGULAR</v>
      </c>
      <c r="E3199" s="3" t="str">
        <f ca="1">IFERROR(__xludf.UNSUPPORTED("""COMPUTED_VALUE"""),"🚛 LIBERADO")</f>
        <v>🚛 LIBERADO</v>
      </c>
      <c r="F3199" s="5">
        <f ca="1">IFERROR(__xludf.UNSUPPORTED("""COMPUTED_VALUE"""),0)</f>
        <v>0</v>
      </c>
      <c r="G3199" s="3" t="str">
        <f ca="1">IFERROR(__xludf.UNSUPPORTED("""COMPUTED_VALUE"""),"Operações aparentemente normais.")</f>
        <v>Operações aparentemente normais.</v>
      </c>
      <c r="H3199" s="4">
        <f ca="1">IFERROR(__xludf.UNSUPPORTED("""COMPUTED_VALUE"""),44889.3382407407)</f>
        <v>44889.338240740697</v>
      </c>
      <c r="I3199" s="3">
        <f ca="1">IFERROR(__xludf.UNSUPPORTED("""COMPUTED_VALUE"""),24)</f>
        <v>24</v>
      </c>
      <c r="J3199" s="4">
        <f ca="1">IFERROR(__xludf.UNSUPPORTED("""COMPUTED_VALUE"""),44890.3382407407)</f>
        <v>44890.338240740697</v>
      </c>
    </row>
    <row r="3200" spans="1:10" ht="12.75">
      <c r="A3200" s="3" t="str">
        <f ca="1">IFERROR(__xludf.UNSUPPORTED("""COMPUTED_VALUE"""),"2cd0d203")</f>
        <v>2cd0d203</v>
      </c>
      <c r="B3200" s="4">
        <f ca="1">IFERROR(__xludf.UNSUPPORTED("""COMPUTED_VALUE"""),44890.3325578703)</f>
        <v>44890.332557870301</v>
      </c>
      <c r="C3200" s="7" t="str">
        <f ca="1">IFERROR(__xludf.UNSUPPORTED("""COMPUTED_VALUE"""),"Vitória")</f>
        <v>Vitória</v>
      </c>
      <c r="D3200" s="3" t="str">
        <f ca="1">IFERROR(__xludf.UNSUPPORTED("""COMPUTED_VALUE"""),"🚢 REGULAR")</f>
        <v>🚢 REGULAR</v>
      </c>
      <c r="E3200" s="3" t="str">
        <f ca="1">IFERROR(__xludf.UNSUPPORTED("""COMPUTED_VALUE"""),"🚛 LIBERADO")</f>
        <v>🚛 LIBERADO</v>
      </c>
      <c r="F3200" s="5">
        <f ca="1">IFERROR(__xludf.UNSUPPORTED("""COMPUTED_VALUE"""),0)</f>
        <v>0</v>
      </c>
      <c r="G3200" s="3" t="str">
        <f ca="1">IFERROR(__xludf.UNSUPPORTED("""COMPUTED_VALUE"""),"Operações aparentemente normais.")</f>
        <v>Operações aparentemente normais.</v>
      </c>
      <c r="H3200" s="4">
        <f ca="1">IFERROR(__xludf.UNSUPPORTED("""COMPUTED_VALUE"""),44890.3325578703)</f>
        <v>44890.332557870301</v>
      </c>
      <c r="I3200" s="3">
        <f ca="1">IFERROR(__xludf.UNSUPPORTED("""COMPUTED_VALUE"""),24)</f>
        <v>24</v>
      </c>
      <c r="J3200" s="4">
        <f ca="1">IFERROR(__xludf.UNSUPPORTED("""COMPUTED_VALUE"""),44891.3325578703)</f>
        <v>44891.332557870301</v>
      </c>
    </row>
    <row r="3201" spans="1:10" ht="12.75">
      <c r="A3201" s="3" t="str">
        <f ca="1">IFERROR(__xludf.UNSUPPORTED("""COMPUTED_VALUE"""),"b9b6ca29")</f>
        <v>b9b6ca29</v>
      </c>
      <c r="B3201" s="4">
        <f ca="1">IFERROR(__xludf.UNSUPPORTED("""COMPUTED_VALUE"""),44891.3704398148)</f>
        <v>44891.370439814797</v>
      </c>
      <c r="C3201" s="8" t="str">
        <f ca="1">IFERROR(__xludf.UNSUPPORTED("""COMPUTED_VALUE"""),"Vitória")</f>
        <v>Vitória</v>
      </c>
      <c r="D3201" s="3" t="str">
        <f ca="1">IFERROR(__xludf.UNSUPPORTED("""COMPUTED_VALUE"""),"🚢 REGULAR")</f>
        <v>🚢 REGULAR</v>
      </c>
      <c r="E3201" s="3" t="str">
        <f ca="1">IFERROR(__xludf.UNSUPPORTED("""COMPUTED_VALUE"""),"🚛 LIBERADO")</f>
        <v>🚛 LIBERADO</v>
      </c>
      <c r="F3201" s="5">
        <f ca="1">IFERROR(__xludf.UNSUPPORTED("""COMPUTED_VALUE"""),0)</f>
        <v>0</v>
      </c>
      <c r="G3201" s="3" t="str">
        <f ca="1">IFERROR(__xludf.UNSUPPORTED("""COMPUTED_VALUE"""),"Operações aparentemente normais.")</f>
        <v>Operações aparentemente normais.</v>
      </c>
      <c r="H3201" s="4">
        <f ca="1">IFERROR(__xludf.UNSUPPORTED("""COMPUTED_VALUE"""),44891.3704398148)</f>
        <v>44891.370439814797</v>
      </c>
      <c r="I3201" s="3">
        <f ca="1">IFERROR(__xludf.UNSUPPORTED("""COMPUTED_VALUE"""),24)</f>
        <v>24</v>
      </c>
      <c r="J3201" s="4">
        <f ca="1">IFERROR(__xludf.UNSUPPORTED("""COMPUTED_VALUE"""),44892.3704398148)</f>
        <v>44892.370439814797</v>
      </c>
    </row>
    <row r="3202" spans="1:10" ht="12.75">
      <c r="A3202" s="3" t="str">
        <f ca="1">IFERROR(__xludf.UNSUPPORTED("""COMPUTED_VALUE"""),"d0638163")</f>
        <v>d0638163</v>
      </c>
      <c r="B3202" s="4">
        <f ca="1">IFERROR(__xludf.UNSUPPORTED("""COMPUTED_VALUE"""),44892.3595949074)</f>
        <v>44892.359594907401</v>
      </c>
      <c r="C3202" s="8" t="str">
        <f ca="1">IFERROR(__xludf.UNSUPPORTED("""COMPUTED_VALUE"""),"Vitória")</f>
        <v>Vitória</v>
      </c>
      <c r="D3202" s="3" t="str">
        <f ca="1">IFERROR(__xludf.UNSUPPORTED("""COMPUTED_VALUE"""),"🚢 REGULAR")</f>
        <v>🚢 REGULAR</v>
      </c>
      <c r="E3202" s="3" t="str">
        <f ca="1">IFERROR(__xludf.UNSUPPORTED("""COMPUTED_VALUE"""),"🚛 LIBERADO")</f>
        <v>🚛 LIBERADO</v>
      </c>
      <c r="F3202" s="5">
        <f ca="1">IFERROR(__xludf.UNSUPPORTED("""COMPUTED_VALUE"""),0)</f>
        <v>0</v>
      </c>
      <c r="G3202" s="3" t="str">
        <f ca="1">IFERROR(__xludf.UNSUPPORTED("""COMPUTED_VALUE"""),"Operações aparentemente normais.")</f>
        <v>Operações aparentemente normais.</v>
      </c>
      <c r="H3202" s="4">
        <f ca="1">IFERROR(__xludf.UNSUPPORTED("""COMPUTED_VALUE"""),44892.3595949074)</f>
        <v>44892.359594907401</v>
      </c>
      <c r="I3202" s="3">
        <f ca="1">IFERROR(__xludf.UNSUPPORTED("""COMPUTED_VALUE"""),24)</f>
        <v>24</v>
      </c>
      <c r="J3202" s="4">
        <f ca="1">IFERROR(__xludf.UNSUPPORTED("""COMPUTED_VALUE"""),44893.3595949074)</f>
        <v>44893.359594907401</v>
      </c>
    </row>
    <row r="3203" spans="1:10" ht="12.75">
      <c r="A3203" s="3" t="str">
        <f ca="1">IFERROR(__xludf.UNSUPPORTED("""COMPUTED_VALUE"""),"521979d6")</f>
        <v>521979d6</v>
      </c>
      <c r="B3203" s="4">
        <f ca="1">IFERROR(__xludf.UNSUPPORTED("""COMPUTED_VALUE"""),44893.3568981481)</f>
        <v>44893.3568981481</v>
      </c>
      <c r="C3203" s="7" t="str">
        <f ca="1">IFERROR(__xludf.UNSUPPORTED("""COMPUTED_VALUE"""),"Vitória")</f>
        <v>Vitória</v>
      </c>
      <c r="D3203" s="3" t="str">
        <f ca="1">IFERROR(__xludf.UNSUPPORTED("""COMPUTED_VALUE"""),"🚢 REGULAR")</f>
        <v>🚢 REGULAR</v>
      </c>
      <c r="E3203" s="3" t="str">
        <f ca="1">IFERROR(__xludf.UNSUPPORTED("""COMPUTED_VALUE"""),"🚛 LIBERADO")</f>
        <v>🚛 LIBERADO</v>
      </c>
      <c r="F3203" s="5">
        <f ca="1">IFERROR(__xludf.UNSUPPORTED("""COMPUTED_VALUE"""),0)</f>
        <v>0</v>
      </c>
      <c r="G3203" s="3" t="str">
        <f ca="1">IFERROR(__xludf.UNSUPPORTED("""COMPUTED_VALUE"""),"Operações aparentemente normais.")</f>
        <v>Operações aparentemente normais.</v>
      </c>
      <c r="H3203" s="4">
        <f ca="1">IFERROR(__xludf.UNSUPPORTED("""COMPUTED_VALUE"""),44893.3568981481)</f>
        <v>44893.3568981481</v>
      </c>
      <c r="I3203" s="3">
        <f ca="1">IFERROR(__xludf.UNSUPPORTED("""COMPUTED_VALUE"""),24)</f>
        <v>24</v>
      </c>
      <c r="J3203" s="4">
        <f ca="1">IFERROR(__xludf.UNSUPPORTED("""COMPUTED_VALUE"""),44894.3568981481)</f>
        <v>44894.3568981481</v>
      </c>
    </row>
    <row r="3204" spans="1:10" ht="12.75">
      <c r="A3204" s="3" t="str">
        <f ca="1">IFERROR(__xludf.UNSUPPORTED("""COMPUTED_VALUE"""),"4e0303c2")</f>
        <v>4e0303c2</v>
      </c>
      <c r="B3204" s="4">
        <f ca="1">IFERROR(__xludf.UNSUPPORTED("""COMPUTED_VALUE"""),44894.3457638888)</f>
        <v>44894.345763888799</v>
      </c>
      <c r="C3204" s="8" t="str">
        <f ca="1">IFERROR(__xludf.UNSUPPORTED("""COMPUTED_VALUE"""),"Vitória")</f>
        <v>Vitória</v>
      </c>
      <c r="D3204" s="3" t="str">
        <f ca="1">IFERROR(__xludf.UNSUPPORTED("""COMPUTED_VALUE"""),"🚢 REGULAR")</f>
        <v>🚢 REGULAR</v>
      </c>
      <c r="E3204" s="3" t="str">
        <f ca="1">IFERROR(__xludf.UNSUPPORTED("""COMPUTED_VALUE"""),"🚛 LIBERADO")</f>
        <v>🚛 LIBERADO</v>
      </c>
      <c r="F3204" s="5">
        <f ca="1">IFERROR(__xludf.UNSUPPORTED("""COMPUTED_VALUE"""),0.25)</f>
        <v>0.25</v>
      </c>
      <c r="G3204" s="3" t="str">
        <f ca="1">IFERROR(__xludf.UNSUPPORTED("""COMPUTED_VALUE"""),"Interdição total no km 170 e tráfego por desvio no km 186 da BR-101, podendo causar impactos relevantes nas operações do Porto de Vitória.")</f>
        <v>Interdição total no km 170 e tráfego por desvio no km 186 da BR-101, podendo causar impactos relevantes nas operações do Porto de Vitória.</v>
      </c>
      <c r="H3204" s="4">
        <f ca="1">IFERROR(__xludf.UNSUPPORTED("""COMPUTED_VALUE"""),44894.3457638888)</f>
        <v>44894.345763888799</v>
      </c>
      <c r="I3204" s="3">
        <f ca="1">IFERROR(__xludf.UNSUPPORTED("""COMPUTED_VALUE"""),24)</f>
        <v>24</v>
      </c>
      <c r="J3204" s="4">
        <f ca="1">IFERROR(__xludf.UNSUPPORTED("""COMPUTED_VALUE"""),44895.3457638888)</f>
        <v>44895.345763888799</v>
      </c>
    </row>
    <row r="3205" spans="1:10" ht="12.75">
      <c r="A3205" s="3" t="str">
        <f ca="1">IFERROR(__xludf.UNSUPPORTED("""COMPUTED_VALUE"""),"6f5d21df")</f>
        <v>6f5d21df</v>
      </c>
      <c r="B3205" s="4">
        <f ca="1">IFERROR(__xludf.UNSUPPORTED("""COMPUTED_VALUE"""),44895.3407175926)</f>
        <v>44895.340717592597</v>
      </c>
      <c r="C3205" s="8" t="str">
        <f ca="1">IFERROR(__xludf.UNSUPPORTED("""COMPUTED_VALUE"""),"Vitória")</f>
        <v>Vitória</v>
      </c>
      <c r="D3205" s="3" t="str">
        <f ca="1">IFERROR(__xludf.UNSUPPORTED("""COMPUTED_VALUE"""),"🚢 REGULAR")</f>
        <v>🚢 REGULAR</v>
      </c>
      <c r="E3205" s="3" t="str">
        <f ca="1">IFERROR(__xludf.UNSUPPORTED("""COMPUTED_VALUE"""),"🚛 LIBERADO")</f>
        <v>🚛 LIBERADO</v>
      </c>
      <c r="F3205" s="5">
        <f ca="1">IFERROR(__xludf.UNSUPPORTED("""COMPUTED_VALUE"""),0)</f>
        <v>0</v>
      </c>
      <c r="G3205" s="3" t="str">
        <f ca="1">IFERROR(__xludf.UNSUPPORTED("""COMPUTED_VALUE"""),"Operações aparentemente normais.")</f>
        <v>Operações aparentemente normais.</v>
      </c>
      <c r="H3205" s="4">
        <f ca="1">IFERROR(__xludf.UNSUPPORTED("""COMPUTED_VALUE"""),44895.3407175926)</f>
        <v>44895.340717592597</v>
      </c>
      <c r="I3205" s="3">
        <f ca="1">IFERROR(__xludf.UNSUPPORTED("""COMPUTED_VALUE"""),24)</f>
        <v>24</v>
      </c>
      <c r="J3205" s="4">
        <f ca="1">IFERROR(__xludf.UNSUPPORTED("""COMPUTED_VALUE"""),44896.3407175926)</f>
        <v>44896.340717592597</v>
      </c>
    </row>
    <row r="3206" spans="1:10" ht="12.75">
      <c r="A3206" s="3" t="str">
        <f ca="1">IFERROR(__xludf.UNSUPPORTED("""COMPUTED_VALUE"""),"6decf0f6")</f>
        <v>6decf0f6</v>
      </c>
      <c r="B3206" s="4">
        <f ca="1">IFERROR(__xludf.UNSUPPORTED("""COMPUTED_VALUE"""),44896.347199074)</f>
        <v>44896.347199074</v>
      </c>
      <c r="C3206" s="7" t="str">
        <f ca="1">IFERROR(__xludf.UNSUPPORTED("""COMPUTED_VALUE"""),"Vitória")</f>
        <v>Vitória</v>
      </c>
      <c r="D3206" s="3" t="str">
        <f ca="1">IFERROR(__xludf.UNSUPPORTED("""COMPUTED_VALUE"""),"⚠️ COM ATRASOS")</f>
        <v>⚠️ COM ATRASOS</v>
      </c>
      <c r="E3206" s="3" t="str">
        <f ca="1">IFERROR(__xludf.UNSUPPORTED("""COMPUTED_VALUE"""),"⚠️ PARCIALMENTE BLOQUEADO")</f>
        <v>⚠️ PARCIALMENTE BLOQUEADO</v>
      </c>
      <c r="F3206" s="5">
        <f ca="1">IFERROR(__xludf.UNSUPPORTED("""COMPUTED_VALUE"""),0.25)</f>
        <v>0.25</v>
      </c>
      <c r="G3206" s="3" t="str">
        <f ca="1">IFERROR(__xludf.UNSUPPORTED("""COMPUTED_VALUE"""),"Fortes chuvas estão dificultando operações portuárias e algumas vias de acesso estão parcial ou totalmente bloqueadas em função de quedas de barrancos, árvores e destruição de estradas asfaltadas (km 170 e 171,3 da BR 101).")</f>
        <v>Fortes chuvas estão dificultando operações portuárias e algumas vias de acesso estão parcial ou totalmente bloqueadas em função de quedas de barrancos, árvores e destruição de estradas asfaltadas (km 170 e 171,3 da BR 101).</v>
      </c>
      <c r="H3206" s="4">
        <f ca="1">IFERROR(__xludf.UNSUPPORTED("""COMPUTED_VALUE"""),44896.347199074)</f>
        <v>44896.347199074</v>
      </c>
      <c r="I3206" s="3">
        <f ca="1">IFERROR(__xludf.UNSUPPORTED("""COMPUTED_VALUE"""),24)</f>
        <v>24</v>
      </c>
      <c r="J3206" s="4">
        <f ca="1">IFERROR(__xludf.UNSUPPORTED("""COMPUTED_VALUE"""),44897.347199074)</f>
        <v>44897.347199074</v>
      </c>
    </row>
    <row r="3207" spans="1:10" ht="12.75">
      <c r="A3207" s="3" t="str">
        <f ca="1">IFERROR(__xludf.UNSUPPORTED("""COMPUTED_VALUE"""),"f29bc474")</f>
        <v>f29bc474</v>
      </c>
      <c r="B3207" s="4">
        <f ca="1">IFERROR(__xludf.UNSUPPORTED("""COMPUTED_VALUE"""),44897.3633796296)</f>
        <v>44897.363379629598</v>
      </c>
      <c r="C3207" s="7" t="str">
        <f ca="1">IFERROR(__xludf.UNSUPPORTED("""COMPUTED_VALUE"""),"Vitória")</f>
        <v>Vitória</v>
      </c>
      <c r="D3207" s="3" t="str">
        <f ca="1">IFERROR(__xludf.UNSUPPORTED("""COMPUTED_VALUE"""),"⚠️ COM ATRASOS")</f>
        <v>⚠️ COM ATRASOS</v>
      </c>
      <c r="E3207" s="3" t="str">
        <f ca="1">IFERROR(__xludf.UNSUPPORTED("""COMPUTED_VALUE"""),"🚛 LIBERADO")</f>
        <v>🚛 LIBERADO</v>
      </c>
      <c r="F3207" s="5">
        <f ca="1">IFERROR(__xludf.UNSUPPORTED("""COMPUTED_VALUE"""),0.25)</f>
        <v>0.25</v>
      </c>
      <c r="G3207" s="3" t="str">
        <f ca="1">IFERROR(__xludf.UNSUPPORTED("""COMPUTED_VALUE"""),"Algumas operações com atraso, devido às fortes chuvas dos últimos dias, bem como às condições prejudicadas das vias de acesso.")</f>
        <v>Algumas operações com atraso, devido às fortes chuvas dos últimos dias, bem como às condições prejudicadas das vias de acesso.</v>
      </c>
      <c r="H3207" s="4">
        <f ca="1">IFERROR(__xludf.UNSUPPORTED("""COMPUTED_VALUE"""),44897.3633796296)</f>
        <v>44897.363379629598</v>
      </c>
      <c r="I3207" s="3">
        <f ca="1">IFERROR(__xludf.UNSUPPORTED("""COMPUTED_VALUE"""),24)</f>
        <v>24</v>
      </c>
      <c r="J3207" s="4">
        <f ca="1">IFERROR(__xludf.UNSUPPORTED("""COMPUTED_VALUE"""),44898.3633796296)</f>
        <v>44898.363379629598</v>
      </c>
    </row>
    <row r="3208" spans="1:10" ht="12.75">
      <c r="A3208" s="3" t="str">
        <f ca="1">IFERROR(__xludf.UNSUPPORTED("""COMPUTED_VALUE"""),"4f30cb6b")</f>
        <v>4f30cb6b</v>
      </c>
      <c r="B3208" s="4">
        <f ca="1">IFERROR(__xludf.UNSUPPORTED("""COMPUTED_VALUE"""),44898.371875)</f>
        <v>44898.371874999997</v>
      </c>
      <c r="C3208" s="7" t="str">
        <f ca="1">IFERROR(__xludf.UNSUPPORTED("""COMPUTED_VALUE"""),"Vitória")</f>
        <v>Vitória</v>
      </c>
      <c r="D3208" s="3" t="str">
        <f ca="1">IFERROR(__xludf.UNSUPPORTED("""COMPUTED_VALUE"""),"⚠️ COM ATRASOS")</f>
        <v>⚠️ COM ATRASOS</v>
      </c>
      <c r="E3208" s="3" t="str">
        <f ca="1">IFERROR(__xludf.UNSUPPORTED("""COMPUTED_VALUE"""),"⚠️ PARCIALMENTE BLOQUEADO")</f>
        <v>⚠️ PARCIALMENTE BLOQUEADO</v>
      </c>
      <c r="F3208" s="5">
        <f ca="1">IFERROR(__xludf.UNSUPPORTED("""COMPUTED_VALUE"""),0.25)</f>
        <v>0.25</v>
      </c>
      <c r="G3208" s="3" t="str">
        <f ca="1">IFERROR(__xludf.UNSUPPORTED("""COMPUTED_VALUE"""),"Algumas operações com atraso, devido às fortes chuvas dos últimos dias, bem como às condições prejudicadas das vias de acesso.")</f>
        <v>Algumas operações com atraso, devido às fortes chuvas dos últimos dias, bem como às condições prejudicadas das vias de acesso.</v>
      </c>
      <c r="H3208" s="4">
        <f ca="1">IFERROR(__xludf.UNSUPPORTED("""COMPUTED_VALUE"""),44898.371875)</f>
        <v>44898.371874999997</v>
      </c>
      <c r="I3208" s="3">
        <f ca="1">IFERROR(__xludf.UNSUPPORTED("""COMPUTED_VALUE"""),24)</f>
        <v>24</v>
      </c>
      <c r="J3208" s="4">
        <f ca="1">IFERROR(__xludf.UNSUPPORTED("""COMPUTED_VALUE"""),44899.371875)</f>
        <v>44899.371874999997</v>
      </c>
    </row>
    <row r="3209" spans="1:10" ht="12.75">
      <c r="A3209" s="3" t="str">
        <f ca="1">IFERROR(__xludf.UNSUPPORTED("""COMPUTED_VALUE"""),"e6d7f8b6")</f>
        <v>e6d7f8b6</v>
      </c>
      <c r="B3209" s="4">
        <f ca="1">IFERROR(__xludf.UNSUPPORTED("""COMPUTED_VALUE"""),44899.3104861111)</f>
        <v>44899.310486111099</v>
      </c>
      <c r="C3209" s="7" t="str">
        <f ca="1">IFERROR(__xludf.UNSUPPORTED("""COMPUTED_VALUE"""),"Vitória")</f>
        <v>Vitória</v>
      </c>
      <c r="D3209" s="3" t="str">
        <f ca="1">IFERROR(__xludf.UNSUPPORTED("""COMPUTED_VALUE"""),"🚢 REGULAR")</f>
        <v>🚢 REGULAR</v>
      </c>
      <c r="E3209" s="3" t="str">
        <f ca="1">IFERROR(__xludf.UNSUPPORTED("""COMPUTED_VALUE"""),"⚠️ PARCIALMENTE BLOQUEADO")</f>
        <v>⚠️ PARCIALMENTE BLOQUEADO</v>
      </c>
      <c r="F3209" s="5">
        <f ca="1">IFERROR(__xludf.UNSUPPORTED("""COMPUTED_VALUE"""),0)</f>
        <v>0</v>
      </c>
      <c r="G3209" s="3" t="str">
        <f ca="1">IFERROR(__xludf.UNSUPPORTED("""COMPUTED_VALUE"""),"Operações portuárias retornando à normalidade, com a diminuição das chuvas, mas permanecem 2 trechos totalmente interditados na BR101.")</f>
        <v>Operações portuárias retornando à normalidade, com a diminuição das chuvas, mas permanecem 2 trechos totalmente interditados na BR101.</v>
      </c>
      <c r="H3209" s="4">
        <f ca="1">IFERROR(__xludf.UNSUPPORTED("""COMPUTED_VALUE"""),44899.3104861111)</f>
        <v>44899.310486111099</v>
      </c>
      <c r="I3209" s="3">
        <f ca="1">IFERROR(__xludf.UNSUPPORTED("""COMPUTED_VALUE"""),24)</f>
        <v>24</v>
      </c>
      <c r="J3209" s="4">
        <f ca="1">IFERROR(__xludf.UNSUPPORTED("""COMPUTED_VALUE"""),44900.3104861111)</f>
        <v>44900.310486111099</v>
      </c>
    </row>
    <row r="3210" spans="1:10" ht="12.75">
      <c r="A3210" s="3" t="str">
        <f ca="1">IFERROR(__xludf.UNSUPPORTED("""COMPUTED_VALUE"""),"ecc445ed")</f>
        <v>ecc445ed</v>
      </c>
      <c r="B3210" s="4">
        <f ca="1">IFERROR(__xludf.UNSUPPORTED("""COMPUTED_VALUE"""),44900.302511574)</f>
        <v>44900.302511574002</v>
      </c>
      <c r="C3210" s="8" t="str">
        <f ca="1">IFERROR(__xludf.UNSUPPORTED("""COMPUTED_VALUE"""),"Vitória")</f>
        <v>Vitória</v>
      </c>
      <c r="D3210" s="3" t="str">
        <f ca="1">IFERROR(__xludf.UNSUPPORTED("""COMPUTED_VALUE"""),"⚠️ COM ATRASOS")</f>
        <v>⚠️ COM ATRASOS</v>
      </c>
      <c r="E3210" s="3" t="str">
        <f ca="1">IFERROR(__xludf.UNSUPPORTED("""COMPUTED_VALUE"""),"⚠️ PARCIALMENTE BLOQUEADO")</f>
        <v>⚠️ PARCIALMENTE BLOQUEADO</v>
      </c>
      <c r="F3210" s="5">
        <f ca="1">IFERROR(__xludf.UNSUPPORTED("""COMPUTED_VALUE"""),0.25)</f>
        <v>0.25</v>
      </c>
      <c r="G3210" s="3" t="str">
        <f ca="1">IFERROR(__xludf.UNSUPPORTED("""COMPUTED_VALUE"""),"Algumas operações com atraso, em decorrência de vias de acesso prejudicadas pelas fortes chuvas dos últimos dias, dentre outros fatores.")</f>
        <v>Algumas operações com atraso, em decorrência de vias de acesso prejudicadas pelas fortes chuvas dos últimos dias, dentre outros fatores.</v>
      </c>
      <c r="H3210" s="4">
        <f ca="1">IFERROR(__xludf.UNSUPPORTED("""COMPUTED_VALUE"""),44900.302511574)</f>
        <v>44900.302511574002</v>
      </c>
      <c r="I3210" s="3">
        <f ca="1">IFERROR(__xludf.UNSUPPORTED("""COMPUTED_VALUE"""),24)</f>
        <v>24</v>
      </c>
      <c r="J3210" s="4">
        <f ca="1">IFERROR(__xludf.UNSUPPORTED("""COMPUTED_VALUE"""),44901.302511574)</f>
        <v>44901.302511574002</v>
      </c>
    </row>
    <row r="3211" spans="1:10" ht="12.75">
      <c r="A3211" s="3" t="str">
        <f ca="1">IFERROR(__xludf.UNSUPPORTED("""COMPUTED_VALUE"""),"a54d9c51")</f>
        <v>a54d9c51</v>
      </c>
      <c r="B3211" s="4">
        <f ca="1">IFERROR(__xludf.UNSUPPORTED("""COMPUTED_VALUE"""),44901.3663888887)</f>
        <v>44901.366388888702</v>
      </c>
      <c r="C3211" s="7" t="str">
        <f ca="1">IFERROR(__xludf.UNSUPPORTED("""COMPUTED_VALUE"""),"Vitória")</f>
        <v>Vitória</v>
      </c>
      <c r="D3211" s="3" t="str">
        <f ca="1">IFERROR(__xludf.UNSUPPORTED("""COMPUTED_VALUE"""),"🚢 REGULAR")</f>
        <v>🚢 REGULAR</v>
      </c>
      <c r="E3211" s="3" t="str">
        <f ca="1">IFERROR(__xludf.UNSUPPORTED("""COMPUTED_VALUE"""),"⚠️ PARCIALMENTE BLOQUEADO")</f>
        <v>⚠️ PARCIALMENTE BLOQUEADO</v>
      </c>
      <c r="F3211" s="5">
        <f ca="1">IFERROR(__xludf.UNSUPPORTED("""COMPUTED_VALUE"""),0.25)</f>
        <v>0.25</v>
      </c>
      <c r="G3211" s="3" t="str">
        <f ca="1">IFERROR(__xludf.UNSUPPORTED("""COMPUTED_VALUE"""),"Operações se normalizando, apesar das vias de acesso prejudicadas pelas fortes chuvas.")</f>
        <v>Operações se normalizando, apesar das vias de acesso prejudicadas pelas fortes chuvas.</v>
      </c>
      <c r="H3211" s="4">
        <f ca="1">IFERROR(__xludf.UNSUPPORTED("""COMPUTED_VALUE"""),44901.3663888887)</f>
        <v>44901.366388888702</v>
      </c>
      <c r="I3211" s="3">
        <f ca="1">IFERROR(__xludf.UNSUPPORTED("""COMPUTED_VALUE"""),24)</f>
        <v>24</v>
      </c>
      <c r="J3211" s="4">
        <f ca="1">IFERROR(__xludf.UNSUPPORTED("""COMPUTED_VALUE"""),44902.3663888887)</f>
        <v>44902.366388888702</v>
      </c>
    </row>
    <row r="3212" spans="1:10" ht="12.75">
      <c r="A3212" s="3" t="str">
        <f ca="1">IFERROR(__xludf.UNSUPPORTED("""COMPUTED_VALUE"""),"aa7e9c51")</f>
        <v>aa7e9c51</v>
      </c>
      <c r="B3212" s="4">
        <f ca="1">IFERROR(__xludf.UNSUPPORTED("""COMPUTED_VALUE"""),44902.3286574074)</f>
        <v>44902.328657407401</v>
      </c>
      <c r="C3212" s="8" t="str">
        <f ca="1">IFERROR(__xludf.UNSUPPORTED("""COMPUTED_VALUE"""),"Vitória")</f>
        <v>Vitória</v>
      </c>
      <c r="D3212" s="3" t="str">
        <f ca="1">IFERROR(__xludf.UNSUPPORTED("""COMPUTED_VALUE"""),"🚢 REGULAR")</f>
        <v>🚢 REGULAR</v>
      </c>
      <c r="E3212" s="3" t="str">
        <f ca="1">IFERROR(__xludf.UNSUPPORTED("""COMPUTED_VALUE"""),"⚠️ PARCIALMENTE BLOQUEADO")</f>
        <v>⚠️ PARCIALMENTE BLOQUEADO</v>
      </c>
      <c r="F3212" s="5">
        <f ca="1">IFERROR(__xludf.UNSUPPORTED("""COMPUTED_VALUE"""),0)</f>
        <v>0</v>
      </c>
      <c r="G3212" s="3" t="str">
        <f ca="1">IFERROR(__xludf.UNSUPPORTED("""COMPUTED_VALUE"""),"Operações aparentemente normais, apesar de importantes vias de acesso prejudicadas em decorrência das fortes chuvas dos últimos dias.")</f>
        <v>Operações aparentemente normais, apesar de importantes vias de acesso prejudicadas em decorrência das fortes chuvas dos últimos dias.</v>
      </c>
      <c r="H3212" s="4">
        <f ca="1">IFERROR(__xludf.UNSUPPORTED("""COMPUTED_VALUE"""),44902.3286574074)</f>
        <v>44902.328657407401</v>
      </c>
      <c r="I3212" s="3">
        <f ca="1">IFERROR(__xludf.UNSUPPORTED("""COMPUTED_VALUE"""),24)</f>
        <v>24</v>
      </c>
      <c r="J3212" s="4">
        <f ca="1">IFERROR(__xludf.UNSUPPORTED("""COMPUTED_VALUE"""),44903.3286574074)</f>
        <v>44903.328657407401</v>
      </c>
    </row>
    <row r="3213" spans="1:10" ht="12.75">
      <c r="A3213" s="3" t="str">
        <f ca="1">IFERROR(__xludf.UNSUPPORTED("""COMPUTED_VALUE"""),"b1355f0c")</f>
        <v>b1355f0c</v>
      </c>
      <c r="B3213" s="4">
        <f ca="1">IFERROR(__xludf.UNSUPPORTED("""COMPUTED_VALUE"""),44903.3567939814)</f>
        <v>44903.356793981402</v>
      </c>
      <c r="C3213" s="7" t="str">
        <f ca="1">IFERROR(__xludf.UNSUPPORTED("""COMPUTED_VALUE"""),"Vitória")</f>
        <v>Vitória</v>
      </c>
      <c r="D3213" s="3" t="str">
        <f ca="1">IFERROR(__xludf.UNSUPPORTED("""COMPUTED_VALUE"""),"🚢 REGULAR")</f>
        <v>🚢 REGULAR</v>
      </c>
      <c r="E3213" s="3" t="str">
        <f ca="1">IFERROR(__xludf.UNSUPPORTED("""COMPUTED_VALUE"""),"🚛 LIBERADO")</f>
        <v>🚛 LIBERADO</v>
      </c>
      <c r="F3213" s="5">
        <f ca="1">IFERROR(__xludf.UNSUPPORTED("""COMPUTED_VALUE"""),0)</f>
        <v>0</v>
      </c>
      <c r="G3213" s="3" t="str">
        <f ca="1">IFERROR(__xludf.UNSUPPORTED("""COMPUTED_VALUE"""),"Operações aparentemente normais.")</f>
        <v>Operações aparentemente normais.</v>
      </c>
      <c r="H3213" s="4">
        <f ca="1">IFERROR(__xludf.UNSUPPORTED("""COMPUTED_VALUE"""),44903.3567939814)</f>
        <v>44903.356793981402</v>
      </c>
      <c r="I3213" s="3">
        <f ca="1">IFERROR(__xludf.UNSUPPORTED("""COMPUTED_VALUE"""),24)</f>
        <v>24</v>
      </c>
      <c r="J3213" s="4">
        <f ca="1">IFERROR(__xludf.UNSUPPORTED("""COMPUTED_VALUE"""),44904.3567939814)</f>
        <v>44904.356793981402</v>
      </c>
    </row>
    <row r="3214" spans="1:10" ht="12.75">
      <c r="A3214" s="3" t="str">
        <f ca="1">IFERROR(__xludf.UNSUPPORTED("""COMPUTED_VALUE"""),"bc08cdee")</f>
        <v>bc08cdee</v>
      </c>
      <c r="B3214" s="4">
        <f ca="1">IFERROR(__xludf.UNSUPPORTED("""COMPUTED_VALUE"""),44904.3619212962)</f>
        <v>44904.3619212962</v>
      </c>
      <c r="C3214" s="8" t="str">
        <f ca="1">IFERROR(__xludf.UNSUPPORTED("""COMPUTED_VALUE"""),"Vitória")</f>
        <v>Vitória</v>
      </c>
      <c r="D3214" s="3" t="str">
        <f ca="1">IFERROR(__xludf.UNSUPPORTED("""COMPUTED_VALUE"""),"🚢 REGULAR")</f>
        <v>🚢 REGULAR</v>
      </c>
      <c r="E3214" s="3" t="str">
        <f ca="1">IFERROR(__xludf.UNSUPPORTED("""COMPUTED_VALUE"""),"🚛 LIBERADO")</f>
        <v>🚛 LIBERADO</v>
      </c>
      <c r="F3214" s="5">
        <f ca="1">IFERROR(__xludf.UNSUPPORTED("""COMPUTED_VALUE"""),0)</f>
        <v>0</v>
      </c>
      <c r="G3214" s="3" t="str">
        <f ca="1">IFERROR(__xludf.UNSUPPORTED("""COMPUTED_VALUE"""),"Operações aparentemente normais.")</f>
        <v>Operações aparentemente normais.</v>
      </c>
      <c r="H3214" s="4">
        <f ca="1">IFERROR(__xludf.UNSUPPORTED("""COMPUTED_VALUE"""),44904.3619212962)</f>
        <v>44904.3619212962</v>
      </c>
      <c r="I3214" s="3">
        <f ca="1">IFERROR(__xludf.UNSUPPORTED("""COMPUTED_VALUE"""),24)</f>
        <v>24</v>
      </c>
      <c r="J3214" s="4">
        <f ca="1">IFERROR(__xludf.UNSUPPORTED("""COMPUTED_VALUE"""),44905.3619212962)</f>
        <v>44905.3619212962</v>
      </c>
    </row>
    <row r="3215" spans="1:10" ht="12.75">
      <c r="A3215" s="3" t="str">
        <f ca="1">IFERROR(__xludf.UNSUPPORTED("""COMPUTED_VALUE"""),"094f346f")</f>
        <v>094f346f</v>
      </c>
      <c r="B3215" s="4">
        <f ca="1">IFERROR(__xludf.UNSUPPORTED("""COMPUTED_VALUE"""),44905.3167824074)</f>
        <v>44905.316782407397</v>
      </c>
      <c r="C3215" s="7" t="str">
        <f ca="1">IFERROR(__xludf.UNSUPPORTED("""COMPUTED_VALUE"""),"Vitória")</f>
        <v>Vitória</v>
      </c>
      <c r="D3215" s="3" t="str">
        <f ca="1">IFERROR(__xludf.UNSUPPORTED("""COMPUTED_VALUE"""),"🚢 REGULAR")</f>
        <v>🚢 REGULAR</v>
      </c>
      <c r="E3215" s="3" t="str">
        <f ca="1">IFERROR(__xludf.UNSUPPORTED("""COMPUTED_VALUE"""),"🚛 LIBERADO")</f>
        <v>🚛 LIBERADO</v>
      </c>
      <c r="F3215" s="5">
        <f ca="1">IFERROR(__xludf.UNSUPPORTED("""COMPUTED_VALUE"""),0)</f>
        <v>0</v>
      </c>
      <c r="G3215" s="3" t="str">
        <f ca="1">IFERROR(__xludf.UNSUPPORTED("""COMPUTED_VALUE"""),"Operações aparentemente normais.")</f>
        <v>Operações aparentemente normais.</v>
      </c>
      <c r="H3215" s="4">
        <f ca="1">IFERROR(__xludf.UNSUPPORTED("""COMPUTED_VALUE"""),44905.3167824074)</f>
        <v>44905.316782407397</v>
      </c>
      <c r="I3215" s="3">
        <f ca="1">IFERROR(__xludf.UNSUPPORTED("""COMPUTED_VALUE"""),24)</f>
        <v>24</v>
      </c>
      <c r="J3215" s="4">
        <f ca="1">IFERROR(__xludf.UNSUPPORTED("""COMPUTED_VALUE"""),44906.3167824074)</f>
        <v>44906.316782407397</v>
      </c>
    </row>
    <row r="3216" spans="1:10" ht="12.75">
      <c r="A3216" s="3" t="str">
        <f ca="1">IFERROR(__xludf.UNSUPPORTED("""COMPUTED_VALUE"""),"60e5343f")</f>
        <v>60e5343f</v>
      </c>
      <c r="B3216" s="4">
        <f ca="1">IFERROR(__xludf.UNSUPPORTED("""COMPUTED_VALUE"""),44906.3934837962)</f>
        <v>44906.393483796201</v>
      </c>
      <c r="C3216" s="7" t="str">
        <f ca="1">IFERROR(__xludf.UNSUPPORTED("""COMPUTED_VALUE"""),"Vitória")</f>
        <v>Vitória</v>
      </c>
      <c r="D3216" s="3" t="str">
        <f ca="1">IFERROR(__xludf.UNSUPPORTED("""COMPUTED_VALUE"""),"🚢 REGULAR")</f>
        <v>🚢 REGULAR</v>
      </c>
      <c r="E3216" s="3" t="str">
        <f ca="1">IFERROR(__xludf.UNSUPPORTED("""COMPUTED_VALUE"""),"🚛 LIBERADO")</f>
        <v>🚛 LIBERADO</v>
      </c>
      <c r="F3216" s="5">
        <f ca="1">IFERROR(__xludf.UNSUPPORTED("""COMPUTED_VALUE"""),0)</f>
        <v>0</v>
      </c>
      <c r="G3216" s="3" t="str">
        <f ca="1">IFERROR(__xludf.UNSUPPORTED("""COMPUTED_VALUE"""),"Operações aparentemente normais.")</f>
        <v>Operações aparentemente normais.</v>
      </c>
      <c r="H3216" s="4">
        <f ca="1">IFERROR(__xludf.UNSUPPORTED("""COMPUTED_VALUE"""),44906.3934837962)</f>
        <v>44906.393483796201</v>
      </c>
      <c r="I3216" s="3">
        <f ca="1">IFERROR(__xludf.UNSUPPORTED("""COMPUTED_VALUE"""),24)</f>
        <v>24</v>
      </c>
      <c r="J3216" s="4">
        <f ca="1">IFERROR(__xludf.UNSUPPORTED("""COMPUTED_VALUE"""),44907.3934837962)</f>
        <v>44907.393483796201</v>
      </c>
    </row>
    <row r="3217" spans="1:10" ht="12.75">
      <c r="A3217" s="3" t="str">
        <f ca="1">IFERROR(__xludf.UNSUPPORTED("""COMPUTED_VALUE"""),"c2a7e237")</f>
        <v>c2a7e237</v>
      </c>
      <c r="B3217" s="4">
        <f ca="1">IFERROR(__xludf.UNSUPPORTED("""COMPUTED_VALUE"""),44907.2509606481)</f>
        <v>44907.250960648104</v>
      </c>
      <c r="C3217" s="8" t="str">
        <f ca="1">IFERROR(__xludf.UNSUPPORTED("""COMPUTED_VALUE"""),"Vitória")</f>
        <v>Vitória</v>
      </c>
      <c r="D3217" s="3" t="str">
        <f ca="1">IFERROR(__xludf.UNSUPPORTED("""COMPUTED_VALUE"""),"🚢 REGULAR")</f>
        <v>🚢 REGULAR</v>
      </c>
      <c r="E3217" s="3" t="str">
        <f ca="1">IFERROR(__xludf.UNSUPPORTED("""COMPUTED_VALUE"""),"🚛 LIBERADO")</f>
        <v>🚛 LIBERADO</v>
      </c>
      <c r="F3217" s="5">
        <f ca="1">IFERROR(__xludf.UNSUPPORTED("""COMPUTED_VALUE"""),0)</f>
        <v>0</v>
      </c>
      <c r="G3217" s="3" t="str">
        <f ca="1">IFERROR(__xludf.UNSUPPORTED("""COMPUTED_VALUE"""),"Operações aparentemente normais.")</f>
        <v>Operações aparentemente normais.</v>
      </c>
      <c r="H3217" s="4">
        <f ca="1">IFERROR(__xludf.UNSUPPORTED("""COMPUTED_VALUE"""),44907.2509606481)</f>
        <v>44907.250960648104</v>
      </c>
      <c r="I3217" s="3">
        <f ca="1">IFERROR(__xludf.UNSUPPORTED("""COMPUTED_VALUE"""),24)</f>
        <v>24</v>
      </c>
      <c r="J3217" s="4">
        <f ca="1">IFERROR(__xludf.UNSUPPORTED("""COMPUTED_VALUE"""),44908.2509606481)</f>
        <v>44908.250960648104</v>
      </c>
    </row>
    <row r="3218" spans="1:10" ht="12.75">
      <c r="A3218" s="3" t="str">
        <f ca="1">IFERROR(__xludf.UNSUPPORTED("""COMPUTED_VALUE"""),"225cc2b6")</f>
        <v>225cc2b6</v>
      </c>
      <c r="B3218" s="4">
        <f ca="1">IFERROR(__xludf.UNSUPPORTED("""COMPUTED_VALUE"""),44908.3707638888)</f>
        <v>44908.370763888801</v>
      </c>
      <c r="C3218" s="7" t="str">
        <f ca="1">IFERROR(__xludf.UNSUPPORTED("""COMPUTED_VALUE"""),"Vitória")</f>
        <v>Vitória</v>
      </c>
      <c r="D3218" s="3" t="str">
        <f ca="1">IFERROR(__xludf.UNSUPPORTED("""COMPUTED_VALUE"""),"🚢 REGULAR")</f>
        <v>🚢 REGULAR</v>
      </c>
      <c r="E3218" s="3" t="str">
        <f ca="1">IFERROR(__xludf.UNSUPPORTED("""COMPUTED_VALUE"""),"🚛 LIBERADO")</f>
        <v>🚛 LIBERADO</v>
      </c>
      <c r="F3218" s="5">
        <f ca="1">IFERROR(__xludf.UNSUPPORTED("""COMPUTED_VALUE"""),0)</f>
        <v>0</v>
      </c>
      <c r="G3218" s="3" t="str">
        <f ca="1">IFERROR(__xludf.UNSUPPORTED("""COMPUTED_VALUE"""),"Operações aparentemente normais.")</f>
        <v>Operações aparentemente normais.</v>
      </c>
      <c r="H3218" s="4">
        <f ca="1">IFERROR(__xludf.UNSUPPORTED("""COMPUTED_VALUE"""),44908.3707638888)</f>
        <v>44908.370763888801</v>
      </c>
      <c r="I3218" s="3">
        <f ca="1">IFERROR(__xludf.UNSUPPORTED("""COMPUTED_VALUE"""),24)</f>
        <v>24</v>
      </c>
      <c r="J3218" s="4">
        <f ca="1">IFERROR(__xludf.UNSUPPORTED("""COMPUTED_VALUE"""),44909.3707638888)</f>
        <v>44909.370763888801</v>
      </c>
    </row>
    <row r="3219" spans="1:10" ht="12.75">
      <c r="A3219" s="3" t="str">
        <f ca="1">IFERROR(__xludf.UNSUPPORTED("""COMPUTED_VALUE"""),"d0f6052d")</f>
        <v>d0f6052d</v>
      </c>
      <c r="B3219" s="4">
        <f ca="1">IFERROR(__xludf.UNSUPPORTED("""COMPUTED_VALUE"""),44909.3523263888)</f>
        <v>44909.352326388798</v>
      </c>
      <c r="C3219" s="8" t="str">
        <f ca="1">IFERROR(__xludf.UNSUPPORTED("""COMPUTED_VALUE"""),"Vitória")</f>
        <v>Vitória</v>
      </c>
      <c r="D3219" s="3" t="str">
        <f ca="1">IFERROR(__xludf.UNSUPPORTED("""COMPUTED_VALUE"""),"🚢 REGULAR")</f>
        <v>🚢 REGULAR</v>
      </c>
      <c r="E3219" s="3" t="str">
        <f ca="1">IFERROR(__xludf.UNSUPPORTED("""COMPUTED_VALUE"""),"🚛 LIBERADO")</f>
        <v>🚛 LIBERADO</v>
      </c>
      <c r="F3219" s="5">
        <f ca="1">IFERROR(__xludf.UNSUPPORTED("""COMPUTED_VALUE"""),0)</f>
        <v>0</v>
      </c>
      <c r="G3219" s="3" t="str">
        <f ca="1">IFERROR(__xludf.UNSUPPORTED("""COMPUTED_VALUE"""),"Operações aparentemente normais.")</f>
        <v>Operações aparentemente normais.</v>
      </c>
      <c r="H3219" s="4">
        <f ca="1">IFERROR(__xludf.UNSUPPORTED("""COMPUTED_VALUE"""),44909.3523263888)</f>
        <v>44909.352326388798</v>
      </c>
      <c r="I3219" s="3">
        <f ca="1">IFERROR(__xludf.UNSUPPORTED("""COMPUTED_VALUE"""),24)</f>
        <v>24</v>
      </c>
      <c r="J3219" s="4">
        <f ca="1">IFERROR(__xludf.UNSUPPORTED("""COMPUTED_VALUE"""),44910.3523263888)</f>
        <v>44910.352326388798</v>
      </c>
    </row>
    <row r="3220" spans="1:10" ht="12.75">
      <c r="A3220" s="3" t="str">
        <f ca="1">IFERROR(__xludf.UNSUPPORTED("""COMPUTED_VALUE"""),"002423cc")</f>
        <v>002423cc</v>
      </c>
      <c r="B3220" s="4">
        <f ca="1">IFERROR(__xludf.UNSUPPORTED("""COMPUTED_VALUE"""),44910.3480208333)</f>
        <v>44910.348020833299</v>
      </c>
      <c r="C3220" s="8" t="str">
        <f ca="1">IFERROR(__xludf.UNSUPPORTED("""COMPUTED_VALUE"""),"Vitória")</f>
        <v>Vitória</v>
      </c>
      <c r="D3220" s="3" t="str">
        <f ca="1">IFERROR(__xludf.UNSUPPORTED("""COMPUTED_VALUE"""),"🚢 REGULAR")</f>
        <v>🚢 REGULAR</v>
      </c>
      <c r="E3220" s="3" t="str">
        <f ca="1">IFERROR(__xludf.UNSUPPORTED("""COMPUTED_VALUE"""),"🚛 LIBERADO")</f>
        <v>🚛 LIBERADO</v>
      </c>
      <c r="F3220" s="5">
        <f ca="1">IFERROR(__xludf.UNSUPPORTED("""COMPUTED_VALUE"""),0)</f>
        <v>0</v>
      </c>
      <c r="G3220" s="3" t="str">
        <f ca="1">IFERROR(__xludf.UNSUPPORTED("""COMPUTED_VALUE"""),"Operações aparentemente normais.")</f>
        <v>Operações aparentemente normais.</v>
      </c>
      <c r="H3220" s="4">
        <f ca="1">IFERROR(__xludf.UNSUPPORTED("""COMPUTED_VALUE"""),44910.3480208333)</f>
        <v>44910.348020833299</v>
      </c>
      <c r="I3220" s="3">
        <f ca="1">IFERROR(__xludf.UNSUPPORTED("""COMPUTED_VALUE"""),24)</f>
        <v>24</v>
      </c>
      <c r="J3220" s="4">
        <f ca="1">IFERROR(__xludf.UNSUPPORTED("""COMPUTED_VALUE"""),44911.3480208333)</f>
        <v>44911.348020833299</v>
      </c>
    </row>
    <row r="3221" spans="1:10" ht="12.75">
      <c r="A3221" s="3" t="str">
        <f ca="1">IFERROR(__xludf.UNSUPPORTED("""COMPUTED_VALUE"""),"5b52c454")</f>
        <v>5b52c454</v>
      </c>
      <c r="B3221" s="4">
        <f ca="1">IFERROR(__xludf.UNSUPPORTED("""COMPUTED_VALUE"""),44911.3585185185)</f>
        <v>44911.3585185185</v>
      </c>
      <c r="C3221" s="7" t="str">
        <f ca="1">IFERROR(__xludf.UNSUPPORTED("""COMPUTED_VALUE"""),"Vitória")</f>
        <v>Vitória</v>
      </c>
      <c r="D3221" s="3" t="str">
        <f ca="1">IFERROR(__xludf.UNSUPPORTED("""COMPUTED_VALUE"""),"🚢 REGULAR")</f>
        <v>🚢 REGULAR</v>
      </c>
      <c r="E3221" s="3" t="str">
        <f ca="1">IFERROR(__xludf.UNSUPPORTED("""COMPUTED_VALUE"""),"🚛 LIBERADO")</f>
        <v>🚛 LIBERADO</v>
      </c>
      <c r="F3221" s="5">
        <f ca="1">IFERROR(__xludf.UNSUPPORTED("""COMPUTED_VALUE"""),0)</f>
        <v>0</v>
      </c>
      <c r="G3221" s="3" t="str">
        <f ca="1">IFERROR(__xludf.UNSUPPORTED("""COMPUTED_VALUE"""),"Operações aparentemente normais.")</f>
        <v>Operações aparentemente normais.</v>
      </c>
      <c r="H3221" s="4">
        <f ca="1">IFERROR(__xludf.UNSUPPORTED("""COMPUTED_VALUE"""),44911.3585185185)</f>
        <v>44911.3585185185</v>
      </c>
      <c r="I3221" s="3">
        <f ca="1">IFERROR(__xludf.UNSUPPORTED("""COMPUTED_VALUE"""),24)</f>
        <v>24</v>
      </c>
      <c r="J3221" s="4">
        <f ca="1">IFERROR(__xludf.UNSUPPORTED("""COMPUTED_VALUE"""),44912.3585185185)</f>
        <v>44912.3585185185</v>
      </c>
    </row>
    <row r="3222" spans="1:10" ht="12.75">
      <c r="A3222" s="3" t="str">
        <f ca="1">IFERROR(__xludf.UNSUPPORTED("""COMPUTED_VALUE"""),"406c85d6")</f>
        <v>406c85d6</v>
      </c>
      <c r="B3222" s="4">
        <f ca="1">IFERROR(__xludf.UNSUPPORTED("""COMPUTED_VALUE"""),44912.3507523148)</f>
        <v>44912.3507523148</v>
      </c>
      <c r="C3222" s="8" t="str">
        <f ca="1">IFERROR(__xludf.UNSUPPORTED("""COMPUTED_VALUE"""),"Vitória")</f>
        <v>Vitória</v>
      </c>
      <c r="D3222" s="3" t="str">
        <f ca="1">IFERROR(__xludf.UNSUPPORTED("""COMPUTED_VALUE"""),"🚢 REGULAR")</f>
        <v>🚢 REGULAR</v>
      </c>
      <c r="E3222" s="3" t="str">
        <f ca="1">IFERROR(__xludf.UNSUPPORTED("""COMPUTED_VALUE"""),"🚛 LIBERADO")</f>
        <v>🚛 LIBERADO</v>
      </c>
      <c r="F3222" s="5">
        <f ca="1">IFERROR(__xludf.UNSUPPORTED("""COMPUTED_VALUE"""),0)</f>
        <v>0</v>
      </c>
      <c r="G3222" s="3" t="str">
        <f ca="1">IFERROR(__xludf.UNSUPPORTED("""COMPUTED_VALUE"""),"Operações aparentemente normais.")</f>
        <v>Operações aparentemente normais.</v>
      </c>
      <c r="H3222" s="4">
        <f ca="1">IFERROR(__xludf.UNSUPPORTED("""COMPUTED_VALUE"""),44912.3507523148)</f>
        <v>44912.3507523148</v>
      </c>
      <c r="I3222" s="3">
        <f ca="1">IFERROR(__xludf.UNSUPPORTED("""COMPUTED_VALUE"""),24)</f>
        <v>24</v>
      </c>
      <c r="J3222" s="4">
        <f ca="1">IFERROR(__xludf.UNSUPPORTED("""COMPUTED_VALUE"""),44913.3507523148)</f>
        <v>44913.3507523148</v>
      </c>
    </row>
    <row r="3223" spans="1:10" ht="12.75">
      <c r="A3223" s="3" t="str">
        <f ca="1">IFERROR(__xludf.UNSUPPORTED("""COMPUTED_VALUE"""),"1314601e")</f>
        <v>1314601e</v>
      </c>
      <c r="B3223" s="4">
        <f ca="1">IFERROR(__xludf.UNSUPPORTED("""COMPUTED_VALUE"""),44913.3020486111)</f>
        <v>44913.302048611098</v>
      </c>
      <c r="C3223" s="7" t="str">
        <f ca="1">IFERROR(__xludf.UNSUPPORTED("""COMPUTED_VALUE"""),"Vitória")</f>
        <v>Vitória</v>
      </c>
      <c r="D3223" s="3" t="str">
        <f ca="1">IFERROR(__xludf.UNSUPPORTED("""COMPUTED_VALUE"""),"🚢 REGULAR")</f>
        <v>🚢 REGULAR</v>
      </c>
      <c r="E3223" s="3" t="str">
        <f ca="1">IFERROR(__xludf.UNSUPPORTED("""COMPUTED_VALUE"""),"🚛 LIBERADO")</f>
        <v>🚛 LIBERADO</v>
      </c>
      <c r="F3223" s="5">
        <f ca="1">IFERROR(__xludf.UNSUPPORTED("""COMPUTED_VALUE"""),0)</f>
        <v>0</v>
      </c>
      <c r="G3223" s="3" t="str">
        <f ca="1">IFERROR(__xludf.UNSUPPORTED("""COMPUTED_VALUE"""),"Operações aparentemente normais.")</f>
        <v>Operações aparentemente normais.</v>
      </c>
      <c r="H3223" s="4">
        <f ca="1">IFERROR(__xludf.UNSUPPORTED("""COMPUTED_VALUE"""),44913.3020486111)</f>
        <v>44913.302048611098</v>
      </c>
      <c r="I3223" s="3">
        <f ca="1">IFERROR(__xludf.UNSUPPORTED("""COMPUTED_VALUE"""),24)</f>
        <v>24</v>
      </c>
      <c r="J3223" s="4">
        <f ca="1">IFERROR(__xludf.UNSUPPORTED("""COMPUTED_VALUE"""),44914.3020486111)</f>
        <v>44914.302048611098</v>
      </c>
    </row>
    <row r="3224" spans="1:10" ht="12.75">
      <c r="A3224" s="3" t="str">
        <f ca="1">IFERROR(__xludf.UNSUPPORTED("""COMPUTED_VALUE"""),"7d76f647")</f>
        <v>7d76f647</v>
      </c>
      <c r="B3224" s="4">
        <f ca="1">IFERROR(__xludf.UNSUPPORTED("""COMPUTED_VALUE"""),44914.3419791666)</f>
        <v>44914.341979166602</v>
      </c>
      <c r="C3224" s="8" t="str">
        <f ca="1">IFERROR(__xludf.UNSUPPORTED("""COMPUTED_VALUE"""),"Vitória")</f>
        <v>Vitória</v>
      </c>
      <c r="D3224" s="3" t="str">
        <f ca="1">IFERROR(__xludf.UNSUPPORTED("""COMPUTED_VALUE"""),"🚢 REGULAR")</f>
        <v>🚢 REGULAR</v>
      </c>
      <c r="E3224" s="3" t="str">
        <f ca="1">IFERROR(__xludf.UNSUPPORTED("""COMPUTED_VALUE"""),"⚠️ PARCIALMENTE BLOQUEADO")</f>
        <v>⚠️ PARCIALMENTE BLOQUEADO</v>
      </c>
      <c r="F3224" s="5">
        <f ca="1">IFERROR(__xludf.UNSUPPORTED("""COMPUTED_VALUE"""),0)</f>
        <v>0</v>
      </c>
      <c r="G3224" s="3" t="str">
        <f ca="1">IFERROR(__xludf.UNSUPPORTED("""COMPUTED_VALUE"""),"Operações aparentemente normais, apesar das fortes chuvas dos últimos dias, ocasionando novos pontos de ""interdição total"" em importantes rodovias do estado.")</f>
        <v>Operações aparentemente normais, apesar das fortes chuvas dos últimos dias, ocasionando novos pontos de "interdição total" em importantes rodovias do estado.</v>
      </c>
      <c r="H3224" s="4">
        <f ca="1">IFERROR(__xludf.UNSUPPORTED("""COMPUTED_VALUE"""),44914.3419791666)</f>
        <v>44914.341979166602</v>
      </c>
      <c r="I3224" s="3">
        <f ca="1">IFERROR(__xludf.UNSUPPORTED("""COMPUTED_VALUE"""),24)</f>
        <v>24</v>
      </c>
      <c r="J3224" s="4">
        <f ca="1">IFERROR(__xludf.UNSUPPORTED("""COMPUTED_VALUE"""),44915.3419791666)</f>
        <v>44915.341979166602</v>
      </c>
    </row>
    <row r="3225" spans="1:10" ht="12.75">
      <c r="A3225" s="3" t="str">
        <f ca="1">IFERROR(__xludf.UNSUPPORTED("""COMPUTED_VALUE"""),"d154f7e8")</f>
        <v>d154f7e8</v>
      </c>
      <c r="B3225" s="4">
        <f ca="1">IFERROR(__xludf.UNSUPPORTED("""COMPUTED_VALUE"""),44915.3826157407)</f>
        <v>44915.382615740702</v>
      </c>
      <c r="C3225" s="8" t="str">
        <f ca="1">IFERROR(__xludf.UNSUPPORTED("""COMPUTED_VALUE"""),"Vitória")</f>
        <v>Vitória</v>
      </c>
      <c r="D3225" s="3" t="str">
        <f ca="1">IFERROR(__xludf.UNSUPPORTED("""COMPUTED_VALUE"""),"🚢 REGULAR")</f>
        <v>🚢 REGULAR</v>
      </c>
      <c r="E3225" s="3" t="str">
        <f ca="1">IFERROR(__xludf.UNSUPPORTED("""COMPUTED_VALUE"""),"⚠️ PARCIALMENTE BLOQUEADO")</f>
        <v>⚠️ PARCIALMENTE BLOQUEADO</v>
      </c>
      <c r="F3225" s="5">
        <f ca="1">IFERROR(__xludf.UNSUPPORTED("""COMPUTED_VALUE"""),0)</f>
        <v>0</v>
      </c>
      <c r="G3225" s="3" t="str">
        <f ca="1">IFERROR(__xludf.UNSUPPORTED("""COMPUTED_VALUE"""),"Operações aparentemente normais, apesar das fortes chuvas dos últimos dias, ocasionando novos pontos de interdição.")</f>
        <v>Operações aparentemente normais, apesar das fortes chuvas dos últimos dias, ocasionando novos pontos de interdição.</v>
      </c>
      <c r="H3225" s="4">
        <f ca="1">IFERROR(__xludf.UNSUPPORTED("""COMPUTED_VALUE"""),44915.3826157407)</f>
        <v>44915.382615740702</v>
      </c>
      <c r="I3225" s="3">
        <f ca="1">IFERROR(__xludf.UNSUPPORTED("""COMPUTED_VALUE"""),24)</f>
        <v>24</v>
      </c>
      <c r="J3225" s="4">
        <f ca="1">IFERROR(__xludf.UNSUPPORTED("""COMPUTED_VALUE"""),44916.3826157407)</f>
        <v>44916.382615740702</v>
      </c>
    </row>
    <row r="3226" spans="1:10" ht="12.75">
      <c r="A3226" s="3" t="str">
        <f ca="1">IFERROR(__xludf.UNSUPPORTED("""COMPUTED_VALUE"""),"a8e7bf22")</f>
        <v>a8e7bf22</v>
      </c>
      <c r="B3226" s="4">
        <f ca="1">IFERROR(__xludf.UNSUPPORTED("""COMPUTED_VALUE"""),44916.3756828703)</f>
        <v>44916.375682870297</v>
      </c>
      <c r="C3226" s="7" t="str">
        <f ca="1">IFERROR(__xludf.UNSUPPORTED("""COMPUTED_VALUE"""),"Vitória")</f>
        <v>Vitória</v>
      </c>
      <c r="D3226" s="3" t="str">
        <f ca="1">IFERROR(__xludf.UNSUPPORTED("""COMPUTED_VALUE"""),"🚢 REGULAR")</f>
        <v>🚢 REGULAR</v>
      </c>
      <c r="E3226" s="3" t="str">
        <f ca="1">IFERROR(__xludf.UNSUPPORTED("""COMPUTED_VALUE"""),"🚛 LIBERADO")</f>
        <v>🚛 LIBERADO</v>
      </c>
      <c r="F3226" s="5">
        <f ca="1">IFERROR(__xludf.UNSUPPORTED("""COMPUTED_VALUE"""),0)</f>
        <v>0</v>
      </c>
      <c r="G3226" s="3" t="str">
        <f ca="1">IFERROR(__xludf.UNSUPPORTED("""COMPUTED_VALUE"""),"Operações aparentemente normais.")</f>
        <v>Operações aparentemente normais.</v>
      </c>
      <c r="H3226" s="4">
        <f ca="1">IFERROR(__xludf.UNSUPPORTED("""COMPUTED_VALUE"""),44916.3756828703)</f>
        <v>44916.375682870297</v>
      </c>
      <c r="I3226" s="3">
        <f ca="1">IFERROR(__xludf.UNSUPPORTED("""COMPUTED_VALUE"""),24)</f>
        <v>24</v>
      </c>
      <c r="J3226" s="4">
        <f ca="1">IFERROR(__xludf.UNSUPPORTED("""COMPUTED_VALUE"""),44917.3756828703)</f>
        <v>44917.375682870297</v>
      </c>
    </row>
    <row r="3227" spans="1:10" ht="12.75">
      <c r="A3227" s="3" t="str">
        <f ca="1">IFERROR(__xludf.UNSUPPORTED("""COMPUTED_VALUE"""),"dbd03966")</f>
        <v>dbd03966</v>
      </c>
      <c r="B3227" s="4">
        <f ca="1">IFERROR(__xludf.UNSUPPORTED("""COMPUTED_VALUE"""),44917.3494328703)</f>
        <v>44917.349432870302</v>
      </c>
      <c r="C3227" s="7" t="str">
        <f ca="1">IFERROR(__xludf.UNSUPPORTED("""COMPUTED_VALUE"""),"Vitória")</f>
        <v>Vitória</v>
      </c>
      <c r="D3227" s="3" t="str">
        <f ca="1">IFERROR(__xludf.UNSUPPORTED("""COMPUTED_VALUE"""),"🚢 REGULAR")</f>
        <v>🚢 REGULAR</v>
      </c>
      <c r="E3227" s="3" t="str">
        <f ca="1">IFERROR(__xludf.UNSUPPORTED("""COMPUTED_VALUE"""),"🚛 LIBERADO")</f>
        <v>🚛 LIBERADO</v>
      </c>
      <c r="F3227" s="5">
        <f ca="1">IFERROR(__xludf.UNSUPPORTED("""COMPUTED_VALUE"""),0)</f>
        <v>0</v>
      </c>
      <c r="G3227" s="3" t="str">
        <f ca="1">IFERROR(__xludf.UNSUPPORTED("""COMPUTED_VALUE"""),"Operações aparentemente normais.")</f>
        <v>Operações aparentemente normais.</v>
      </c>
      <c r="H3227" s="4">
        <f ca="1">IFERROR(__xludf.UNSUPPORTED("""COMPUTED_VALUE"""),44917.3494328703)</f>
        <v>44917.349432870302</v>
      </c>
      <c r="I3227" s="3">
        <f ca="1">IFERROR(__xludf.UNSUPPORTED("""COMPUTED_VALUE"""),24)</f>
        <v>24</v>
      </c>
      <c r="J3227" s="4">
        <f ca="1">IFERROR(__xludf.UNSUPPORTED("""COMPUTED_VALUE"""),44918.3494328703)</f>
        <v>44918.349432870302</v>
      </c>
    </row>
    <row r="3228" spans="1:10" ht="12.75">
      <c r="A3228" s="3" t="str">
        <f ca="1">IFERROR(__xludf.UNSUPPORTED("""COMPUTED_VALUE"""),"53dbefa2")</f>
        <v>53dbefa2</v>
      </c>
      <c r="B3228" s="4">
        <f ca="1">IFERROR(__xludf.UNSUPPORTED("""COMPUTED_VALUE"""),44918.363449074)</f>
        <v>44918.363449074001</v>
      </c>
      <c r="C3228" s="7" t="str">
        <f ca="1">IFERROR(__xludf.UNSUPPORTED("""COMPUTED_VALUE"""),"Vitória")</f>
        <v>Vitória</v>
      </c>
      <c r="D3228" s="3" t="str">
        <f ca="1">IFERROR(__xludf.UNSUPPORTED("""COMPUTED_VALUE"""),"🚢 REGULAR")</f>
        <v>🚢 REGULAR</v>
      </c>
      <c r="E3228" s="3" t="str">
        <f ca="1">IFERROR(__xludf.UNSUPPORTED("""COMPUTED_VALUE"""),"🚛 LIBERADO")</f>
        <v>🚛 LIBERADO</v>
      </c>
      <c r="F3228" s="5">
        <f ca="1">IFERROR(__xludf.UNSUPPORTED("""COMPUTED_VALUE"""),0)</f>
        <v>0</v>
      </c>
      <c r="G3228" s="3" t="str">
        <f ca="1">IFERROR(__xludf.UNSUPPORTED("""COMPUTED_VALUE"""),"Operações aparentemente normais.")</f>
        <v>Operações aparentemente normais.</v>
      </c>
      <c r="H3228" s="4">
        <f ca="1">IFERROR(__xludf.UNSUPPORTED("""COMPUTED_VALUE"""),44918.363449074)</f>
        <v>44918.363449074001</v>
      </c>
      <c r="I3228" s="3">
        <f ca="1">IFERROR(__xludf.UNSUPPORTED("""COMPUTED_VALUE"""),24)</f>
        <v>24</v>
      </c>
      <c r="J3228" s="4">
        <f ca="1">IFERROR(__xludf.UNSUPPORTED("""COMPUTED_VALUE"""),44919.363449074)</f>
        <v>44919.363449074001</v>
      </c>
    </row>
    <row r="3229" spans="1:10" ht="12.75">
      <c r="A3229" s="3" t="str">
        <f ca="1">IFERROR(__xludf.UNSUPPORTED("""COMPUTED_VALUE"""),"e2226810")</f>
        <v>e2226810</v>
      </c>
      <c r="B3229" s="4">
        <f ca="1">IFERROR(__xludf.UNSUPPORTED("""COMPUTED_VALUE"""),44919.1511342592)</f>
        <v>44919.151134259198</v>
      </c>
      <c r="C3229" s="8" t="str">
        <f ca="1">IFERROR(__xludf.UNSUPPORTED("""COMPUTED_VALUE"""),"Vitória")</f>
        <v>Vitória</v>
      </c>
      <c r="D3229" s="3" t="str">
        <f ca="1">IFERROR(__xludf.UNSUPPORTED("""COMPUTED_VALUE"""),"🚢 REGULAR")</f>
        <v>🚢 REGULAR</v>
      </c>
      <c r="E3229" s="3" t="str">
        <f ca="1">IFERROR(__xludf.UNSUPPORTED("""COMPUTED_VALUE"""),"🚛 LIBERADO")</f>
        <v>🚛 LIBERADO</v>
      </c>
      <c r="F3229" s="5">
        <f ca="1">IFERROR(__xludf.UNSUPPORTED("""COMPUTED_VALUE"""),0)</f>
        <v>0</v>
      </c>
      <c r="G3229" s="3" t="str">
        <f ca="1">IFERROR(__xludf.UNSUPPORTED("""COMPUTED_VALUE"""),"Operações aparentemente normais.")</f>
        <v>Operações aparentemente normais.</v>
      </c>
      <c r="H3229" s="4">
        <f ca="1">IFERROR(__xludf.UNSUPPORTED("""COMPUTED_VALUE"""),44919.1511342592)</f>
        <v>44919.151134259198</v>
      </c>
      <c r="I3229" s="3">
        <f ca="1">IFERROR(__xludf.UNSUPPORTED("""COMPUTED_VALUE"""),24)</f>
        <v>24</v>
      </c>
      <c r="J3229" s="4">
        <f ca="1">IFERROR(__xludf.UNSUPPORTED("""COMPUTED_VALUE"""),44920.1511342592)</f>
        <v>44920.151134259198</v>
      </c>
    </row>
    <row r="3230" spans="1:10" ht="12.75">
      <c r="A3230" s="3" t="str">
        <f ca="1">IFERROR(__xludf.UNSUPPORTED("""COMPUTED_VALUE"""),"69553d31")</f>
        <v>69553d31</v>
      </c>
      <c r="B3230" s="4">
        <f ca="1">IFERROR(__xludf.UNSUPPORTED("""COMPUTED_VALUE"""),44920.1996875)</f>
        <v>44920.199687499997</v>
      </c>
      <c r="C3230" s="7" t="str">
        <f ca="1">IFERROR(__xludf.UNSUPPORTED("""COMPUTED_VALUE"""),"Vitória")</f>
        <v>Vitória</v>
      </c>
      <c r="D3230" s="3" t="str">
        <f ca="1">IFERROR(__xludf.UNSUPPORTED("""COMPUTED_VALUE"""),"⚠️ COM ATRASOS")</f>
        <v>⚠️ COM ATRASOS</v>
      </c>
      <c r="E3230" s="3" t="str">
        <f ca="1">IFERROR(__xludf.UNSUPPORTED("""COMPUTED_VALUE"""),"🚛 LIBERADO")</f>
        <v>🚛 LIBERADO</v>
      </c>
      <c r="F3230" s="5">
        <f ca="1">IFERROR(__xludf.UNSUPPORTED("""COMPUTED_VALUE"""),0)</f>
        <v>0</v>
      </c>
      <c r="G3230" s="3" t="str">
        <f ca="1">IFERROR(__xludf.UNSUPPORTED("""COMPUTED_VALUE"""),"Operações com atrasos nos berços 903 e 202. Vias de acesso liberadas, porém, em más condições, no geral, devido às fortes chuvas das últimas semanas.")</f>
        <v>Operações com atrasos nos berços 903 e 202. Vias de acesso liberadas, porém, em más condições, no geral, devido às fortes chuvas das últimas semanas.</v>
      </c>
      <c r="H3230" s="4">
        <f ca="1">IFERROR(__xludf.UNSUPPORTED("""COMPUTED_VALUE"""),44920.1996875)</f>
        <v>44920.199687499997</v>
      </c>
      <c r="I3230" s="3">
        <f ca="1">IFERROR(__xludf.UNSUPPORTED("""COMPUTED_VALUE"""),24)</f>
        <v>24</v>
      </c>
      <c r="J3230" s="4">
        <f ca="1">IFERROR(__xludf.UNSUPPORTED("""COMPUTED_VALUE"""),44921.1996875)</f>
        <v>44921.199687499997</v>
      </c>
    </row>
    <row r="3231" spans="1:10" ht="12.75">
      <c r="A3231" s="3" t="str">
        <f ca="1">IFERROR(__xludf.UNSUPPORTED("""COMPUTED_VALUE"""),"69b427d9")</f>
        <v>69b427d9</v>
      </c>
      <c r="B3231" s="4">
        <f ca="1">IFERROR(__xludf.UNSUPPORTED("""COMPUTED_VALUE"""),44921.4061921296)</f>
        <v>44921.406192129602</v>
      </c>
      <c r="C3231" s="7" t="str">
        <f ca="1">IFERROR(__xludf.UNSUPPORTED("""COMPUTED_VALUE"""),"Vitória")</f>
        <v>Vitória</v>
      </c>
      <c r="D3231" s="3" t="str">
        <f ca="1">IFERROR(__xludf.UNSUPPORTED("""COMPUTED_VALUE"""),"⚠️ COM ATRASOS")</f>
        <v>⚠️ COM ATRASOS</v>
      </c>
      <c r="E3231" s="3" t="str">
        <f ca="1">IFERROR(__xludf.UNSUPPORTED("""COMPUTED_VALUE"""),"🚛 LIBERADO")</f>
        <v>🚛 LIBERADO</v>
      </c>
      <c r="F3231" s="5">
        <f ca="1">IFERROR(__xludf.UNSUPPORTED("""COMPUTED_VALUE"""),0)</f>
        <v>0</v>
      </c>
      <c r="G3231" s="3" t="str">
        <f ca="1">IFERROR(__xludf.UNSUPPORTED("""COMPUTED_VALUE"""),"Atrasos nas operações dos berços 202 e 903.")</f>
        <v>Atrasos nas operações dos berços 202 e 903.</v>
      </c>
      <c r="H3231" s="4">
        <f ca="1">IFERROR(__xludf.UNSUPPORTED("""COMPUTED_VALUE"""),44921.4061921296)</f>
        <v>44921.406192129602</v>
      </c>
      <c r="I3231" s="3">
        <f ca="1">IFERROR(__xludf.UNSUPPORTED("""COMPUTED_VALUE"""),24)</f>
        <v>24</v>
      </c>
      <c r="J3231" s="4">
        <f ca="1">IFERROR(__xludf.UNSUPPORTED("""COMPUTED_VALUE"""),44922.4061921296)</f>
        <v>44922.406192129602</v>
      </c>
    </row>
    <row r="3232" spans="1:10" ht="12.75">
      <c r="A3232" s="3" t="str">
        <f ca="1">IFERROR(__xludf.UNSUPPORTED("""COMPUTED_VALUE"""),"ef77fcf2")</f>
        <v>ef77fcf2</v>
      </c>
      <c r="B3232" s="4">
        <f ca="1">IFERROR(__xludf.UNSUPPORTED("""COMPUTED_VALUE"""),44922.3574537037)</f>
        <v>44922.357453703698</v>
      </c>
      <c r="C3232" s="7" t="str">
        <f ca="1">IFERROR(__xludf.UNSUPPORTED("""COMPUTED_VALUE"""),"Vitória")</f>
        <v>Vitória</v>
      </c>
      <c r="D3232" s="3" t="str">
        <f ca="1">IFERROR(__xludf.UNSUPPORTED("""COMPUTED_VALUE"""),"🚢 REGULAR")</f>
        <v>🚢 REGULAR</v>
      </c>
      <c r="E3232" s="3" t="str">
        <f ca="1">IFERROR(__xludf.UNSUPPORTED("""COMPUTED_VALUE"""),"🚛 LIBERADO")</f>
        <v>🚛 LIBERADO</v>
      </c>
      <c r="F3232" s="5">
        <f ca="1">IFERROR(__xludf.UNSUPPORTED("""COMPUTED_VALUE"""),0)</f>
        <v>0</v>
      </c>
      <c r="G3232" s="3" t="str">
        <f ca="1">IFERROR(__xludf.UNSUPPORTED("""COMPUTED_VALUE"""),"Operações aparentemente normais.")</f>
        <v>Operações aparentemente normais.</v>
      </c>
      <c r="H3232" s="4">
        <f ca="1">IFERROR(__xludf.UNSUPPORTED("""COMPUTED_VALUE"""),44922.3574537037)</f>
        <v>44922.357453703698</v>
      </c>
      <c r="I3232" s="3">
        <f ca="1">IFERROR(__xludf.UNSUPPORTED("""COMPUTED_VALUE"""),24)</f>
        <v>24</v>
      </c>
      <c r="J3232" s="4">
        <f ca="1">IFERROR(__xludf.UNSUPPORTED("""COMPUTED_VALUE"""),44923.3574537037)</f>
        <v>44923.357453703698</v>
      </c>
    </row>
    <row r="3233" spans="1:12" ht="12.75">
      <c r="A3233" s="3" t="str">
        <f ca="1">IFERROR(__xludf.UNSUPPORTED("""COMPUTED_VALUE"""),"1524fd77")</f>
        <v>1524fd77</v>
      </c>
      <c r="B3233" s="4">
        <f ca="1">IFERROR(__xludf.UNSUPPORTED("""COMPUTED_VALUE"""),44923.3673611111)</f>
        <v>44923.367361111101</v>
      </c>
      <c r="C3233" s="7" t="str">
        <f ca="1">IFERROR(__xludf.UNSUPPORTED("""COMPUTED_VALUE"""),"Vitória")</f>
        <v>Vitória</v>
      </c>
      <c r="D3233" s="3" t="str">
        <f ca="1">IFERROR(__xludf.UNSUPPORTED("""COMPUTED_VALUE"""),"🚢 REGULAR")</f>
        <v>🚢 REGULAR</v>
      </c>
      <c r="E3233" s="3" t="str">
        <f ca="1">IFERROR(__xludf.UNSUPPORTED("""COMPUTED_VALUE"""),"🚛 LIBERADO")</f>
        <v>🚛 LIBERADO</v>
      </c>
      <c r="F3233" s="5">
        <f ca="1">IFERROR(__xludf.UNSUPPORTED("""COMPUTED_VALUE"""),0)</f>
        <v>0</v>
      </c>
      <c r="G3233" s="3" t="str">
        <f ca="1">IFERROR(__xludf.UNSUPPORTED("""COMPUTED_VALUE"""),"Operações aparentemente normais.")</f>
        <v>Operações aparentemente normais.</v>
      </c>
      <c r="H3233" s="4">
        <f ca="1">IFERROR(__xludf.UNSUPPORTED("""COMPUTED_VALUE"""),44923.3673611111)</f>
        <v>44923.367361111101</v>
      </c>
      <c r="I3233" s="3">
        <f ca="1">IFERROR(__xludf.UNSUPPORTED("""COMPUTED_VALUE"""),24)</f>
        <v>24</v>
      </c>
      <c r="J3233" s="4">
        <f ca="1">IFERROR(__xludf.UNSUPPORTED("""COMPUTED_VALUE"""),44924.3673611111)</f>
        <v>44924.367361111101</v>
      </c>
    </row>
    <row r="3234" spans="1:12" ht="12.75">
      <c r="A3234" s="3" t="str">
        <f ca="1">IFERROR(__xludf.UNSUPPORTED("""COMPUTED_VALUE"""),"2a35ee4c")</f>
        <v>2a35ee4c</v>
      </c>
      <c r="B3234" s="4">
        <f ca="1">IFERROR(__xludf.UNSUPPORTED("""COMPUTED_VALUE"""),44924.3469907407)</f>
        <v>44924.346990740698</v>
      </c>
      <c r="C3234" s="8" t="str">
        <f ca="1">IFERROR(__xludf.UNSUPPORTED("""COMPUTED_VALUE"""),"Vitória")</f>
        <v>Vitória</v>
      </c>
      <c r="D3234" s="3" t="str">
        <f ca="1">IFERROR(__xludf.UNSUPPORTED("""COMPUTED_VALUE"""),"🚢 REGULAR")</f>
        <v>🚢 REGULAR</v>
      </c>
      <c r="E3234" s="3" t="str">
        <f ca="1">IFERROR(__xludf.UNSUPPORTED("""COMPUTED_VALUE"""),"🚛 LIBERADO")</f>
        <v>🚛 LIBERADO</v>
      </c>
      <c r="F3234" s="5">
        <f ca="1">IFERROR(__xludf.UNSUPPORTED("""COMPUTED_VALUE"""),0)</f>
        <v>0</v>
      </c>
      <c r="G3234" s="3" t="str">
        <f ca="1">IFERROR(__xludf.UNSUPPORTED("""COMPUTED_VALUE"""),"Operações aparentemente normais.")</f>
        <v>Operações aparentemente normais.</v>
      </c>
      <c r="H3234" s="4">
        <f ca="1">IFERROR(__xludf.UNSUPPORTED("""COMPUTED_VALUE"""),44924.3469907407)</f>
        <v>44924.346990740698</v>
      </c>
      <c r="I3234" s="3">
        <f ca="1">IFERROR(__xludf.UNSUPPORTED("""COMPUTED_VALUE"""),24)</f>
        <v>24</v>
      </c>
      <c r="J3234" s="4">
        <f ca="1">IFERROR(__xludf.UNSUPPORTED("""COMPUTED_VALUE"""),44925.3469907407)</f>
        <v>44925.346990740698</v>
      </c>
    </row>
    <row r="3235" spans="1:12" ht="12.75">
      <c r="A3235" s="3" t="str">
        <f ca="1">IFERROR(__xludf.UNSUPPORTED("""COMPUTED_VALUE"""),"504c588b")</f>
        <v>504c588b</v>
      </c>
      <c r="B3235" s="4">
        <f ca="1">IFERROR(__xludf.UNSUPPORTED("""COMPUTED_VALUE"""),44935.6036574074)</f>
        <v>44935.603657407402</v>
      </c>
      <c r="C3235" s="7" t="str">
        <f ca="1">IFERROR(__xludf.UNSUPPORTED("""COMPUTED_VALUE"""),"Vitória")</f>
        <v>Vitória</v>
      </c>
      <c r="D3235" s="3" t="str">
        <f ca="1">IFERROR(__xludf.UNSUPPORTED("""COMPUTED_VALUE"""),"🚢 REGULAR")</f>
        <v>🚢 REGULAR</v>
      </c>
      <c r="E3235" s="3" t="str">
        <f ca="1">IFERROR(__xludf.UNSUPPORTED("""COMPUTED_VALUE"""),"🚛 LIBERADO")</f>
        <v>🚛 LIBERADO</v>
      </c>
      <c r="F3235" s="5">
        <f ca="1">IFERROR(__xludf.UNSUPPORTED("""COMPUTED_VALUE"""),0)</f>
        <v>0</v>
      </c>
      <c r="G3235" s="3" t="str">
        <f ca="1">IFERROR(__xludf.UNSUPPORTED("""COMPUTED_VALUE"""),"Normalidade")</f>
        <v>Normalidade</v>
      </c>
      <c r="H3235" s="4">
        <f ca="1">IFERROR(__xludf.UNSUPPORTED("""COMPUTED_VALUE"""),44935.6036574074)</f>
        <v>44935.603657407402</v>
      </c>
      <c r="I3235" s="3">
        <f ca="1">IFERROR(__xludf.UNSUPPORTED("""COMPUTED_VALUE"""),24)</f>
        <v>24</v>
      </c>
      <c r="J3235" s="4">
        <f ca="1">IFERROR(__xludf.UNSUPPORTED("""COMPUTED_VALUE"""),44936.6036574074)</f>
        <v>44936.603657407402</v>
      </c>
    </row>
    <row r="3236" spans="1:12" ht="12.75">
      <c r="A3236" s="3" t="str">
        <f ca="1">IFERROR(__xludf.UNSUPPORTED("""COMPUTED_VALUE"""),"4fc1d1b9")</f>
        <v>4fc1d1b9</v>
      </c>
      <c r="B3236" s="4">
        <f ca="1">IFERROR(__xludf.UNSUPPORTED("""COMPUTED_VALUE"""),45120.6911921296)</f>
        <v>45120.691192129598</v>
      </c>
      <c r="C3236" s="8" t="str">
        <f ca="1">IFERROR(__xludf.UNSUPPORTED("""COMPUTED_VALUE"""),"Vitória")</f>
        <v>Vitória</v>
      </c>
      <c r="D3236" s="3" t="str">
        <f ca="1">IFERROR(__xludf.UNSUPPORTED("""COMPUTED_VALUE"""),"🚢 REGULAR")</f>
        <v>🚢 REGULAR</v>
      </c>
      <c r="E3236" s="3" t="str">
        <f ca="1">IFERROR(__xludf.UNSUPPORTED("""COMPUTED_VALUE"""),"🚛 LIBERADO")</f>
        <v>🚛 LIBERADO</v>
      </c>
      <c r="F3236" s="5">
        <f ca="1">IFERROR(__xludf.UNSUPPORTED("""COMPUTED_VALUE"""),0)</f>
        <v>0</v>
      </c>
      <c r="G3236" s="3" t="str">
        <f ca="1">IFERROR(__xludf.UNSUPPORTED("""COMPUTED_VALUE"""),"Normalidade")</f>
        <v>Normalidade</v>
      </c>
      <c r="H3236" s="4">
        <f ca="1">IFERROR(__xludf.UNSUPPORTED("""COMPUTED_VALUE"""),45120.6911921296)</f>
        <v>45120.691192129598</v>
      </c>
      <c r="I3236" s="3">
        <f ca="1">IFERROR(__xludf.UNSUPPORTED("""COMPUTED_VALUE"""),24)</f>
        <v>24</v>
      </c>
      <c r="J3236" s="4">
        <f ca="1">IFERROR(__xludf.UNSUPPORTED("""COMPUTED_VALUE"""),45121.6911921296)</f>
        <v>45121.691192129598</v>
      </c>
      <c r="L3236" s="3" t="str">
        <f ca="1">IFERROR(__xludf.UNSUPPORTED("""COMPUTED_VALUE"""),"Normalidade")</f>
        <v>Normalidade</v>
      </c>
    </row>
    <row r="3237" spans="1:12" ht="12.75"/>
    <row r="3238" spans="1:12" ht="12.75"/>
    <row r="3239" spans="1:12" ht="12.75"/>
    <row r="3240" spans="1:12" ht="12.75"/>
    <row r="3241" spans="1:12" ht="12.75"/>
    <row r="3242" spans="1:12" ht="12.75"/>
    <row r="3243" spans="1:12" ht="12.75"/>
    <row r="3244" spans="1:12" ht="12.75"/>
    <row r="3245" spans="1:12" ht="12.75"/>
    <row r="3246" spans="1:12" ht="12.75"/>
    <row r="3247" spans="1:12" ht="12.75"/>
    <row r="3248" spans="1:12" ht="12.75"/>
    <row r="3249" ht="12.75"/>
    <row r="3250" ht="12.75"/>
    <row r="3251" ht="12.75"/>
    <row r="3252" ht="12.75"/>
    <row r="3253" ht="12.75"/>
    <row r="3254" ht="12.75"/>
    <row r="3255" ht="12.75"/>
    <row r="3256" ht="12.75"/>
    <row r="3257" ht="12.75"/>
    <row r="3258" ht="12.75"/>
    <row r="3259" ht="12.75"/>
    <row r="3260" ht="12.75"/>
    <row r="3261" ht="12.75"/>
    <row r="3262" ht="12.75"/>
    <row r="3263" ht="12.75"/>
    <row r="3264" ht="12.75"/>
    <row r="3265" ht="12.75"/>
    <row r="3266" ht="12.75"/>
    <row r="3267" ht="12.75"/>
    <row r="3268" ht="12.75"/>
    <row r="3269" ht="12.75"/>
    <row r="3270" ht="12.75"/>
    <row r="3271" ht="12.75"/>
    <row r="3272" ht="12.75"/>
    <row r="3273" ht="12.75"/>
    <row r="3274" ht="12.75"/>
    <row r="3275" ht="12.75"/>
    <row r="3276" ht="12.75"/>
    <row r="3277" ht="12.75"/>
    <row r="3278" ht="12.75"/>
    <row r="3279" ht="12.75"/>
    <row r="3280" ht="12.75"/>
    <row r="3281" ht="12.75"/>
    <row r="3282" ht="12.75"/>
    <row r="3283" ht="12.75"/>
    <row r="3284" ht="12.75"/>
    <row r="3285" ht="12.75"/>
    <row r="3286" ht="12.75"/>
    <row r="3287" ht="12.75"/>
    <row r="3288" ht="12.75"/>
    <row r="3289" ht="12.75"/>
    <row r="3290" ht="12.75"/>
    <row r="3291" ht="12.75"/>
    <row r="3292" ht="12.75"/>
    <row r="3293" ht="12.75"/>
    <row r="3294" ht="12.75"/>
    <row r="3295" ht="12.75"/>
    <row r="3296" ht="12.75"/>
    <row r="3297" ht="12.75"/>
    <row r="3298" ht="12.75"/>
    <row r="3299" ht="12.75"/>
    <row r="3300" ht="12.75"/>
    <row r="3301" ht="12.75"/>
    <row r="3302" ht="12.75"/>
    <row r="3303" ht="12.75"/>
    <row r="3304" ht="12.75"/>
    <row r="3305" ht="12.75"/>
    <row r="3306" ht="12.75"/>
    <row r="3307" ht="12.75"/>
    <row r="3308" ht="12.75"/>
    <row r="3309" ht="12.75"/>
    <row r="3310" ht="12.75"/>
    <row r="3311" ht="12.75"/>
    <row r="3312" ht="12.75"/>
    <row r="3313" ht="12.75"/>
    <row r="3314" ht="12.75"/>
    <row r="3315" ht="12.75"/>
    <row r="3316" ht="12.75"/>
    <row r="3317" ht="12.75"/>
    <row r="3318" ht="12.75"/>
    <row r="3319" ht="12.75"/>
    <row r="3320" ht="12.75"/>
    <row r="3321" ht="12.75"/>
    <row r="3322" ht="12.75"/>
    <row r="3323" ht="12.75"/>
    <row r="3324" ht="12.75"/>
    <row r="3325" ht="12.75"/>
    <row r="3326" ht="12.75"/>
    <row r="3327" ht="12.75"/>
    <row r="3328" ht="12.75"/>
    <row r="3329" ht="12.75"/>
    <row r="3330" ht="12.75"/>
    <row r="3331" ht="12.75"/>
    <row r="3332" ht="12.75"/>
    <row r="3333" ht="12.75"/>
    <row r="3334" ht="12.75"/>
    <row r="3335" ht="12.75"/>
    <row r="3336" ht="12.75"/>
    <row r="3337" ht="12.75"/>
    <row r="3338" ht="12.75"/>
    <row r="3339" ht="12.75"/>
    <row r="3340" ht="12.75"/>
    <row r="3341" ht="12.75"/>
    <row r="3342" ht="12.75"/>
    <row r="3343" ht="12.75"/>
    <row r="3344" ht="12.75"/>
    <row r="3345" ht="12.75"/>
    <row r="3346" ht="12.75"/>
    <row r="3347" ht="12.75"/>
    <row r="3348" ht="12.75"/>
    <row r="3349" ht="12.75"/>
    <row r="3350" ht="12.75"/>
    <row r="3351" ht="12.75"/>
    <row r="3352" ht="12.75"/>
    <row r="3353" ht="12.75"/>
    <row r="3354" ht="12.75"/>
    <row r="3355" ht="12.75"/>
    <row r="3356" ht="12.75"/>
    <row r="3357" ht="12.75"/>
    <row r="3358" ht="12.75"/>
    <row r="3359" ht="12.75"/>
    <row r="3360" ht="12.75"/>
    <row r="3361" ht="12.75"/>
    <row r="3362" ht="12.75"/>
    <row r="3363" ht="12.75"/>
    <row r="3364" ht="12.75"/>
    <row r="3365" ht="12.75"/>
    <row r="3366" ht="12.75"/>
    <row r="3367" ht="12.75"/>
    <row r="3368" ht="12.75"/>
    <row r="3369" ht="12.75"/>
    <row r="3370" ht="12.75"/>
    <row r="3371" ht="12.75"/>
    <row r="3372" ht="12.75"/>
    <row r="3373" ht="12.75"/>
    <row r="3374" ht="12.75"/>
    <row r="3375" ht="12.75"/>
    <row r="3376" ht="12.75"/>
    <row r="3377" ht="12.75"/>
    <row r="3378" ht="12.75"/>
    <row r="3379" ht="12.75"/>
    <row r="3380" ht="12.75"/>
    <row r="3381" ht="12.75"/>
    <row r="3382" ht="12.75"/>
    <row r="3383" ht="12.75"/>
    <row r="3384" ht="12.75"/>
    <row r="3385" ht="12.75"/>
    <row r="3386" ht="12.75"/>
    <row r="3387" ht="12.75"/>
    <row r="3388" ht="12.75"/>
    <row r="3389" ht="12.75"/>
    <row r="3390" ht="12.75"/>
    <row r="3391" ht="12.75"/>
    <row r="3392" ht="12.75"/>
    <row r="3393" ht="12.75"/>
    <row r="3394" ht="12.75"/>
    <row r="3395" ht="12.75"/>
    <row r="3396" ht="12.75"/>
    <row r="3397" ht="12.75"/>
    <row r="3398" ht="12.75"/>
    <row r="3399" ht="12.75"/>
    <row r="3400" ht="12.75"/>
    <row r="3401" ht="12.75"/>
    <row r="3402" ht="12.75"/>
    <row r="3403" ht="12.75"/>
    <row r="3404" ht="12.75"/>
    <row r="3405" ht="12.75"/>
    <row r="3406" ht="12.75"/>
    <row r="3407" ht="12.75"/>
    <row r="3408" ht="12.75"/>
    <row r="3409" ht="12.75"/>
    <row r="3410" ht="12.75"/>
    <row r="3411" ht="12.75"/>
    <row r="3412" ht="12.75"/>
    <row r="3413" ht="12.75"/>
    <row r="3414" ht="12.75"/>
    <row r="3415" ht="12.75"/>
    <row r="3416" ht="12.75"/>
    <row r="3417" ht="12.75"/>
    <row r="3418" ht="12.75"/>
    <row r="3419" ht="12.75"/>
    <row r="3420" ht="12.75"/>
    <row r="3421" ht="12.75"/>
    <row r="3422" ht="12.75"/>
    <row r="3423" ht="12.75"/>
    <row r="3424" ht="12.75"/>
    <row r="3425" ht="12.75"/>
    <row r="3426" ht="12.75"/>
    <row r="3427" ht="12.75"/>
    <row r="3428" ht="12.75"/>
    <row r="3429" ht="12.75"/>
    <row r="3430" ht="12.75"/>
    <row r="3431" ht="12.75"/>
    <row r="3432" ht="12.75"/>
    <row r="3433" ht="12.75"/>
    <row r="3434" ht="12.75"/>
    <row r="3435" ht="12.75"/>
    <row r="3436" ht="12.75"/>
    <row r="3437" ht="12.75"/>
    <row r="3438" ht="12.75"/>
    <row r="3439" ht="12.75"/>
    <row r="3440" ht="12.75"/>
    <row r="3441" ht="12.75"/>
    <row r="3442" ht="12.75"/>
    <row r="3443" ht="12.75"/>
  </sheetData>
  <hyperlinks>
    <hyperlink ref="K1161" r:id="rId1" display="http://www.der.pr.gov.br/" xr:uid="{00000000-0004-0000-0000-000000000000}"/>
    <hyperlink ref="K50" r:id="rId2" display="http://www.der.pr.gov.br/" xr:uid="{00000000-0004-0000-0000-000001000000}"/>
    <hyperlink ref="K1172" r:id="rId3" display="http://www.der.pr.gov.br/" xr:uid="{00000000-0004-0000-0000-000002000000}"/>
    <hyperlink ref="K61" r:id="rId4" display="http://www.der.pr.gov.br/" xr:uid="{00000000-0004-0000-0000-000003000000}"/>
    <hyperlink ref="K1568" r:id="rId5" display="https://www.appsheet.com/" xr:uid="{00000000-0004-0000-0000-000004000000}"/>
    <hyperlink ref="K1647" r:id="rId6" display="https://www.appsheet.com/start" xr:uid="{00000000-0004-0000-0000-000005000000}"/>
  </hyperlinks>
  <pageMargins left="0.511811024" right="0.511811024" top="0.78740157499999996" bottom="0.78740157499999996" header="0.31496062000000002" footer="0.31496062000000002"/>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519B9-DAF6-46FE-8E96-DE8A2727D01D}">
  <dimension ref="A1:B4"/>
  <sheetViews>
    <sheetView showGridLines="0" workbookViewId="0">
      <selection activeCell="B20" sqref="B20"/>
    </sheetView>
  </sheetViews>
  <sheetFormatPr defaultRowHeight="12.75"/>
  <cols>
    <col min="1" max="1" width="30.5703125" bestFit="1" customWidth="1"/>
    <col min="2" max="2" width="26.28515625" bestFit="1" customWidth="1"/>
  </cols>
  <sheetData>
    <row r="1" spans="1:2">
      <c r="A1" s="10" t="s">
        <v>12</v>
      </c>
      <c r="B1" s="10" t="s">
        <v>13</v>
      </c>
    </row>
    <row r="2" spans="1:2">
      <c r="A2" s="3" t="str">
        <f ca="1">IFERROR(__xludf.UNSUPPORTED("""COMPUTED_VALUE"""),"🚛 LIBERADO")</f>
        <v>🚛 LIBERADO</v>
      </c>
      <c r="B2" s="9">
        <f ca="1">COUNTIF('DADOS BASE'!E2:E3236,A2)</f>
        <v>3103</v>
      </c>
    </row>
    <row r="3" spans="1:2">
      <c r="A3" s="3" t="str">
        <f ca="1">IFERROR(__xludf.UNSUPPORTED("""COMPUTED_VALUE"""),"⛔️ BLOQUEADO")</f>
        <v>⛔️ BLOQUEADO</v>
      </c>
      <c r="B3" s="9">
        <f ca="1">COUNTIF('DADOS BASE'!E2:E3236,A3)</f>
        <v>27</v>
      </c>
    </row>
    <row r="4" spans="1:2">
      <c r="A4" s="3" t="str">
        <f ca="1">IFERROR(__xludf.UNSUPPORTED("""COMPUTED_VALUE"""),"⚠️ PARCIALMENTE BLOQUEADO")</f>
        <v>⚠️ PARCIALMENTE BLOQUEADO</v>
      </c>
      <c r="B4" s="9">
        <f ca="1">COUNTIF('DADOS BASE'!E2:E3236,A4)</f>
        <v>105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7D57-02B5-4C86-BB40-795FBBDA7955}">
  <dimension ref="A1:B38"/>
  <sheetViews>
    <sheetView topLeftCell="A18" workbookViewId="0">
      <selection activeCell="B36" sqref="B36"/>
    </sheetView>
  </sheetViews>
  <sheetFormatPr defaultRowHeight="12.75"/>
  <cols>
    <col min="1" max="1" width="48.85546875" bestFit="1" customWidth="1"/>
    <col min="2" max="2" width="36.5703125" bestFit="1" customWidth="1"/>
  </cols>
  <sheetData>
    <row r="1" spans="1:2">
      <c r="A1" s="19" t="s">
        <v>14</v>
      </c>
      <c r="B1" s="19" t="s">
        <v>15</v>
      </c>
    </row>
    <row r="2" spans="1:2">
      <c r="A2" s="15" t="str">
        <f ca="1">IFERROR(__xludf.UNSUPPORTED("""COMPUTED_VALUE"""),"Angra dos Reis")</f>
        <v>Angra dos Reis</v>
      </c>
      <c r="B2" s="16">
        <f ca="1">COUNTIF('DADOS BASE'!C:C,Tabela57[[#This Row],[PORTOS ]])</f>
        <v>16</v>
      </c>
    </row>
    <row r="3" spans="1:2">
      <c r="A3" s="15" t="str">
        <f ca="1">IFERROR(__xludf.UNSUPPORTED("""COMPUTED_VALUE"""),"Itaguaí")</f>
        <v>Itaguaí</v>
      </c>
      <c r="B3" s="16">
        <f ca="1">COUNTIF('DADOS BASE'!C:C,Tabela57[[#This Row],[PORTOS ]])</f>
        <v>16</v>
      </c>
    </row>
    <row r="4" spans="1:2">
      <c r="A4" s="15" t="str">
        <f ca="1">IFERROR(__xludf.UNSUPPORTED("""COMPUTED_VALUE"""),"Forno")</f>
        <v>Forno</v>
      </c>
      <c r="B4" s="16">
        <f ca="1">COUNTIF('DADOS BASE'!C:C,Tabela57[[#This Row],[PORTOS ]])</f>
        <v>16</v>
      </c>
    </row>
    <row r="5" spans="1:2">
      <c r="A5" s="15" t="str">
        <f ca="1">IFERROR(__xludf.UNSUPPORTED("""COMPUTED_VALUE"""),"Itaqui")</f>
        <v>Itaqui</v>
      </c>
      <c r="B5" s="16">
        <f ca="1">COUNTIF('DADOS BASE'!C:C,Tabela57[[#This Row],[PORTOS ]])</f>
        <v>19</v>
      </c>
    </row>
    <row r="6" spans="1:2">
      <c r="A6" s="15" t="str">
        <f ca="1">IFERROR(__xludf.UNSUPPORTED("""COMPUTED_VALUE"""),"Porto do Açu")</f>
        <v>Porto do Açu</v>
      </c>
      <c r="B6" s="16">
        <f ca="1">COUNTIF('DADOS BASE'!C:C,Tabela57[[#This Row],[PORTOS ]])</f>
        <v>21</v>
      </c>
    </row>
    <row r="7" spans="1:2">
      <c r="A7" s="15" t="str">
        <f ca="1">IFERROR(__xludf.UNSUPPORTED("""COMPUTED_VALUE"""),"Rio de Janeiro")</f>
        <v>Rio de Janeiro</v>
      </c>
      <c r="B7" s="16">
        <f ca="1">COUNTIF('DADOS BASE'!C:C,Tabela57[[#This Row],[PORTOS ]])</f>
        <v>23</v>
      </c>
    </row>
    <row r="8" spans="1:2">
      <c r="A8" s="15" t="str">
        <f ca="1">IFERROR(__xludf.UNSUPPORTED("""COMPUTED_VALUE"""),"Niterói")</f>
        <v>Niterói</v>
      </c>
      <c r="B8" s="16">
        <f ca="1">COUNTIF('DADOS BASE'!C:C,Tabela57[[#This Row],[PORTOS ]])</f>
        <v>23</v>
      </c>
    </row>
    <row r="9" spans="1:2">
      <c r="A9" s="15" t="str">
        <f ca="1">IFERROR(__xludf.UNSUPPORTED("""COMPUTED_VALUE"""),"Manaus")</f>
        <v>Manaus</v>
      </c>
      <c r="B9" s="17">
        <f ca="1">COUNTIF('DADOS BASE'!C:C,Tabela57[[#This Row],[PORTOS ]])</f>
        <v>23</v>
      </c>
    </row>
    <row r="10" spans="1:2">
      <c r="A10" s="15" t="str">
        <f ca="1">IFERROR(__xludf.UNSUPPORTED("""COMPUTED_VALUE"""),"São Francisco do Sul")</f>
        <v>São Francisco do Sul</v>
      </c>
      <c r="B10" s="16">
        <f ca="1">COUNTIF('DADOS BASE'!C:C,Tabela57[[#This Row],[PORTOS ]])</f>
        <v>28</v>
      </c>
    </row>
    <row r="11" spans="1:2">
      <c r="A11" s="15" t="str">
        <f ca="1">IFERROR(__xludf.UNSUPPORTED("""COMPUTED_VALUE"""),"Imbituba")</f>
        <v>Imbituba</v>
      </c>
      <c r="B11" s="16">
        <f ca="1">COUNTIF('DADOS BASE'!C:C,Tabela57[[#This Row],[PORTOS ]])</f>
        <v>30</v>
      </c>
    </row>
    <row r="12" spans="1:2">
      <c r="A12" s="15" t="str">
        <f ca="1">IFERROR(__xludf.UNSUPPORTED("""COMPUTED_VALUE"""),"Itajaí")</f>
        <v>Itajaí</v>
      </c>
      <c r="B12" s="16">
        <f ca="1">COUNTIF('DADOS BASE'!C:C,Tabela57[[#This Row],[PORTOS ]])</f>
        <v>33</v>
      </c>
    </row>
    <row r="13" spans="1:2">
      <c r="A13" s="15" t="str">
        <f ca="1">IFERROR(__xludf.UNSUPPORTED("""COMPUTED_VALUE"""),"Porto Velho")</f>
        <v>Porto Velho</v>
      </c>
      <c r="B13" s="16">
        <f ca="1">COUNTIF('DADOS BASE'!C:C,Tabela57[[#This Row],[PORTOS ]])</f>
        <v>35</v>
      </c>
    </row>
    <row r="14" spans="1:2">
      <c r="A14" s="15" t="str">
        <f ca="1">IFERROR(__xludf.UNSUPPORTED("""COMPUTED_VALUE"""),"Terminal Aquaviário de São Sebastião (Almirante Barroso)")</f>
        <v>Terminal Aquaviário de São Sebastião (Almirante Barroso)</v>
      </c>
      <c r="B14" s="16">
        <f ca="1">COUNTIF('DADOS BASE'!C:C,Tabela57[[#This Row],[PORTOS ]])</f>
        <v>40</v>
      </c>
    </row>
    <row r="15" spans="1:2">
      <c r="A15" s="15" t="str">
        <f ca="1">IFERROR(__xludf.UNSUPPORTED("""COMPUTED_VALUE"""),"Santana")</f>
        <v>Santana</v>
      </c>
      <c r="B15" s="16">
        <f ca="1">COUNTIF('DADOS BASE'!C:C,Tabela57[[#This Row],[PORTOS ]])</f>
        <v>41</v>
      </c>
    </row>
    <row r="16" spans="1:2">
      <c r="A16" s="15" t="str">
        <f ca="1">IFERROR(__xludf.UNSUPPORTED("""COMPUTED_VALUE"""),"Santarém")</f>
        <v>Santarém</v>
      </c>
      <c r="B16" s="16">
        <f ca="1">COUNTIF('DADOS BASE'!C:C,Tabela57[[#This Row],[PORTOS ]])</f>
        <v>42</v>
      </c>
    </row>
    <row r="17" spans="1:2">
      <c r="A17" s="15" t="str">
        <f ca="1">IFERROR(__xludf.UNSUPPORTED("""COMPUTED_VALUE"""),"Belém")</f>
        <v>Belém</v>
      </c>
      <c r="B17" s="16">
        <f ca="1">COUNTIF('DADOS BASE'!C:C,Tabela57[[#This Row],[PORTOS ]])</f>
        <v>43</v>
      </c>
    </row>
    <row r="18" spans="1:2">
      <c r="A18" s="15" t="str">
        <f ca="1">IFERROR(__xludf.UNSUPPORTED("""COMPUTED_VALUE"""),"Vila do Conde")</f>
        <v>Vila do Conde</v>
      </c>
      <c r="B18" s="16">
        <f ca="1">COUNTIF('DADOS BASE'!C:C,Tabela57[[#This Row],[PORTOS ]])</f>
        <v>43</v>
      </c>
    </row>
    <row r="19" spans="1:2">
      <c r="A19" s="15" t="str">
        <f ca="1">IFERROR(__xludf.UNSUPPORTED("""COMPUTED_VALUE"""),"Areia Branca")</f>
        <v>Areia Branca</v>
      </c>
      <c r="B19" s="16">
        <f ca="1">COUNTIF('DADOS BASE'!C:C,Tabela57[[#This Row],[PORTOS ]])</f>
        <v>44</v>
      </c>
    </row>
    <row r="20" spans="1:2">
      <c r="A20" s="15" t="str">
        <f ca="1">IFERROR(__xludf.UNSUPPORTED("""COMPUTED_VALUE"""),"Terminal Portuário do Pecém")</f>
        <v>Terminal Portuário do Pecém</v>
      </c>
      <c r="B20" s="16">
        <f ca="1">COUNTIF('DADOS BASE'!C:C,Tabela57[[#This Row],[PORTOS ]])</f>
        <v>45</v>
      </c>
    </row>
    <row r="21" spans="1:2">
      <c r="A21" s="15" t="str">
        <f ca="1">IFERROR(__xludf.UNSUPPORTED("""COMPUTED_VALUE"""),"Natal")</f>
        <v>Natal</v>
      </c>
      <c r="B21" s="16">
        <f ca="1">COUNTIF('DADOS BASE'!C:C,Tabela57[[#This Row],[PORTOS ]])</f>
        <v>46</v>
      </c>
    </row>
    <row r="22" spans="1:2">
      <c r="A22" s="15" t="str">
        <f ca="1">IFERROR(__xludf.UNSUPPORTED("""COMPUTED_VALUE"""),"Antonina")</f>
        <v>Antonina</v>
      </c>
      <c r="B22" s="16">
        <f ca="1">COUNTIF('DADOS BASE'!C:C,Tabela57[[#This Row],[PORTOS ]])</f>
        <v>46</v>
      </c>
    </row>
    <row r="23" spans="1:2">
      <c r="A23" s="15" t="str">
        <f ca="1">IFERROR(__xludf.UNSUPPORTED("""COMPUTED_VALUE"""),"Fortaleza")</f>
        <v>Fortaleza</v>
      </c>
      <c r="B23" s="16">
        <f ca="1">COUNTIF('DADOS BASE'!C:C,Tabela57[[#This Row],[PORTOS ]])</f>
        <v>47</v>
      </c>
    </row>
    <row r="24" spans="1:2">
      <c r="A24" s="15" t="str">
        <f ca="1">IFERROR(__xludf.UNSUPPORTED("""COMPUTED_VALUE"""),"São Sebastião")</f>
        <v>São Sebastião</v>
      </c>
      <c r="B24" s="16">
        <f ca="1">COUNTIF('DADOS BASE'!C:C,Tabela57[[#This Row],[PORTOS ]])</f>
        <v>51</v>
      </c>
    </row>
    <row r="25" spans="1:2">
      <c r="A25" s="15" t="str">
        <f ca="1">IFERROR(__xludf.UNSUPPORTED("""COMPUTED_VALUE"""),"Paranaguá")</f>
        <v>Paranaguá</v>
      </c>
      <c r="B25" s="16">
        <f ca="1">COUNTIF('DADOS BASE'!C:C,Tabela57[[#This Row],[PORTOS ]])</f>
        <v>53</v>
      </c>
    </row>
    <row r="26" spans="1:2">
      <c r="A26" s="15" t="str">
        <f ca="1">IFERROR(__xludf.UNSUPPORTED("""COMPUTED_VALUE"""),"Vitória")</f>
        <v>Vitória</v>
      </c>
      <c r="B26" s="17">
        <f ca="1">COUNTIF('DADOS BASE'!C:C,Tabela57[[#This Row],[PORTOS ]])</f>
        <v>60</v>
      </c>
    </row>
    <row r="27" spans="1:2">
      <c r="A27" s="21" t="str">
        <f ca="1">IFERROR(__xludf.UNSUPPORTED("""COMPUTED_VALUE"""),"Santos")</f>
        <v>Santos</v>
      </c>
      <c r="B27" s="20">
        <f ca="1">COUNTIF('DADOS BASE'!C:C,Tabela57[[#This Row],[PORTOS ]])</f>
        <v>63</v>
      </c>
    </row>
    <row r="28" spans="1:2">
      <c r="A28" s="15" t="str">
        <f ca="1">IFERROR(__xludf.UNSUPPORTED("""COMPUTED_VALUE"""),"Cabedelo")</f>
        <v>Cabedelo</v>
      </c>
      <c r="B28" s="16">
        <f ca="1">COUNTIF('DADOS BASE'!C:C,Tabela57[[#This Row],[PORTOS ]])</f>
        <v>67</v>
      </c>
    </row>
    <row r="29" spans="1:2">
      <c r="A29" s="15" t="str">
        <f ca="1">IFERROR(__xludf.UNSUPPORTED("""COMPUTED_VALUE"""),"Rio Grande")</f>
        <v>Rio Grande</v>
      </c>
      <c r="B29" s="16">
        <f ca="1">COUNTIF('DADOS BASE'!C:C,Tabela57[[#This Row],[PORTOS ]])</f>
        <v>70</v>
      </c>
    </row>
    <row r="30" spans="1:2">
      <c r="A30" s="15" t="str">
        <f ca="1">IFERROR(__xludf.UNSUPPORTED("""COMPUTED_VALUE"""),"Porto Alegre")</f>
        <v>Porto Alegre</v>
      </c>
      <c r="B30" s="16">
        <f ca="1">COUNTIF('DADOS BASE'!C:C,Tabela57[[#This Row],[PORTOS ]])</f>
        <v>71</v>
      </c>
    </row>
    <row r="31" spans="1:2">
      <c r="A31" s="15" t="str">
        <f ca="1">IFERROR(__xludf.UNSUPPORTED("""COMPUTED_VALUE"""),"Pelotas")</f>
        <v>Pelotas</v>
      </c>
      <c r="B31" s="16">
        <f ca="1">COUNTIF('DADOS BASE'!C:C,Tabela57[[#This Row],[PORTOS ]])</f>
        <v>78</v>
      </c>
    </row>
    <row r="32" spans="1:2">
      <c r="A32" s="15" t="str">
        <f ca="1">IFERROR(__xludf.UNSUPPORTED("""COMPUTED_VALUE"""),"Maceió")</f>
        <v>Maceió</v>
      </c>
      <c r="B32" s="16">
        <f ca="1">COUNTIF('DADOS BASE'!C:C,Tabela57[[#This Row],[PORTOS ]])</f>
        <v>162</v>
      </c>
    </row>
    <row r="33" spans="1:2">
      <c r="A33" s="15" t="str">
        <f ca="1">IFERROR(__xludf.UNSUPPORTED("""COMPUTED_VALUE"""),"Ilhéus")</f>
        <v>Ilhéus</v>
      </c>
      <c r="B33" s="16">
        <f ca="1">COUNTIF('DADOS BASE'!C:C,Tabela57[[#This Row],[PORTOS ]])</f>
        <v>188</v>
      </c>
    </row>
    <row r="34" spans="1:2">
      <c r="A34" s="15" t="str">
        <f ca="1">IFERROR(__xludf.UNSUPPORTED("""COMPUTED_VALUE"""),"Salvador")</f>
        <v>Salvador</v>
      </c>
      <c r="B34" s="16">
        <f ca="1">COUNTIF('DADOS BASE'!C:C,Tabela57[[#This Row],[PORTOS ]])</f>
        <v>193</v>
      </c>
    </row>
    <row r="35" spans="1:2">
      <c r="A35" s="15" t="str">
        <f ca="1">IFERROR(__xludf.UNSUPPORTED("""COMPUTED_VALUE"""),"Suape")</f>
        <v>Suape</v>
      </c>
      <c r="B35" s="16">
        <f ca="1">COUNTIF('DADOS BASE'!C:C,Tabela57[[#This Row],[PORTOS ]])</f>
        <v>249</v>
      </c>
    </row>
    <row r="36" spans="1:2">
      <c r="A36" s="15" t="str">
        <f ca="1">IFERROR(__xludf.UNSUPPORTED("""COMPUTED_VALUE"""),"Aratu")</f>
        <v>Aratu</v>
      </c>
      <c r="B36" s="16">
        <f ca="1">COUNTIF('DADOS BASE'!C:C,Tabela57[[#This Row],[PORTOS ]])</f>
        <v>304</v>
      </c>
    </row>
    <row r="37" spans="1:2">
      <c r="A37" s="15" t="str">
        <f ca="1">IFERROR(__xludf.UNSUPPORTED("""COMPUTED_VALUE"""),"Terminal Aquaviário de Madre de Deus")</f>
        <v>Terminal Aquaviário de Madre de Deus</v>
      </c>
      <c r="B37" s="16">
        <f ca="1">COUNTIF('DADOS BASE'!C:C,Tabela57[[#This Row],[PORTOS ]])</f>
        <v>304</v>
      </c>
    </row>
    <row r="38" spans="1:2">
      <c r="A38" s="15" t="str">
        <f ca="1">IFERROR(__xludf.UNSUPPORTED("""COMPUTED_VALUE"""),"Recife")</f>
        <v>Recife</v>
      </c>
      <c r="B38" s="18">
        <f ca="1">COUNTIF('DADOS BASE'!C:C,Tabela57[[#This Row],[PORTOS ]])</f>
        <v>602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7AE66-A74E-484F-BD7D-D036D893254E}">
  <dimension ref="A1:E38"/>
  <sheetViews>
    <sheetView showGridLines="0" workbookViewId="0">
      <selection activeCell="F17" sqref="F17"/>
    </sheetView>
  </sheetViews>
  <sheetFormatPr defaultColWidth="9.140625" defaultRowHeight="12.75"/>
  <cols>
    <col min="1" max="1" width="48.85546875" bestFit="1" customWidth="1"/>
    <col min="2" max="2" width="26.140625" customWidth="1"/>
    <col min="3" max="3" width="23" customWidth="1"/>
    <col min="4" max="4" width="19.85546875" bestFit="1" customWidth="1"/>
    <col min="5" max="6" width="30.140625" customWidth="1"/>
    <col min="10" max="10" width="29" customWidth="1"/>
    <col min="13" max="13" width="5" bestFit="1" customWidth="1"/>
  </cols>
  <sheetData>
    <row r="1" spans="1:5">
      <c r="A1" s="11" t="s">
        <v>16</v>
      </c>
      <c r="B1" s="11" t="s">
        <v>17</v>
      </c>
      <c r="C1" s="24" t="s">
        <v>18</v>
      </c>
      <c r="D1" s="11" t="s">
        <v>19</v>
      </c>
      <c r="E1" s="9"/>
    </row>
    <row r="2" spans="1:5">
      <c r="A2" s="3" t="str">
        <f ca="1">IFERROR(__xludf.UNSUPPORTED("""COMPUTED_VALUE"""),"Santana")</f>
        <v>Santana</v>
      </c>
      <c r="B2" s="12">
        <v>41</v>
      </c>
      <c r="C2" s="13">
        <f ca="1">(D2/Tabela4[[#This Row],[TOTAL DE LIBERAÇÕES]])</f>
        <v>4.9512195121951219</v>
      </c>
      <c r="D2" s="9">
        <f ca="1">SUMIF('DADOS BASE'!C:C,Tabela4[[#This Row],[PORTOS]],'DADOS BASE'!I:I)</f>
        <v>203</v>
      </c>
    </row>
    <row r="3" spans="1:5">
      <c r="A3" s="3" t="str">
        <f ca="1">IFERROR(__xludf.UNSUPPORTED("""COMPUTED_VALUE"""),"Santarém")</f>
        <v>Santarém</v>
      </c>
      <c r="B3" s="12">
        <v>42</v>
      </c>
      <c r="C3" s="13">
        <f ca="1">(D3/Tabela4[[#This Row],[TOTAL DE LIBERAÇÕES]])</f>
        <v>5.0714285714285712</v>
      </c>
      <c r="D3" s="9">
        <f ca="1">SUMIF('DADOS BASE'!C:C,Tabela4[[#This Row],[PORTOS]],'DADOS BASE'!I:I)</f>
        <v>213</v>
      </c>
      <c r="E3" s="9"/>
    </row>
    <row r="4" spans="1:5">
      <c r="A4" s="3" t="str">
        <f ca="1">IFERROR(__xludf.UNSUPPORTED("""COMPUTED_VALUE"""),"Vila do Conde")</f>
        <v>Vila do Conde</v>
      </c>
      <c r="B4" s="12">
        <v>43</v>
      </c>
      <c r="C4" s="13">
        <f ca="1">(D4/Tabela4[[#This Row],[TOTAL DE LIBERAÇÕES]])</f>
        <v>5.2093023255813957</v>
      </c>
      <c r="D4" s="9">
        <f ca="1">SUMIF('DADOS BASE'!C:C,Tabela4[[#This Row],[PORTOS]],'DADOS BASE'!I:I)</f>
        <v>224</v>
      </c>
      <c r="E4" s="9"/>
    </row>
    <row r="5" spans="1:5">
      <c r="A5" s="3" t="str">
        <f ca="1">IFERROR(__xludf.UNSUPPORTED("""COMPUTED_VALUE"""),"Belém")</f>
        <v>Belém</v>
      </c>
      <c r="B5" s="12">
        <v>43</v>
      </c>
      <c r="C5" s="13">
        <f ca="1">(D5/Tabela4[[#This Row],[TOTAL DE LIBERAÇÕES]])</f>
        <v>5.5348837209302326</v>
      </c>
      <c r="D5" s="9">
        <f ca="1">SUMIF('DADOS BASE'!C:C,Tabela4[[#This Row],[PORTOS]],'DADOS BASE'!I:I)</f>
        <v>238</v>
      </c>
      <c r="E5" s="9"/>
    </row>
    <row r="6" spans="1:5">
      <c r="A6" s="3" t="str">
        <f ca="1">IFERROR(__xludf.UNSUPPORTED("""COMPUTED_VALUE"""),"Cabedelo")</f>
        <v>Cabedelo</v>
      </c>
      <c r="B6" s="12">
        <v>67</v>
      </c>
      <c r="C6" s="13">
        <f ca="1">(D6/Tabela4[[#This Row],[TOTAL DE LIBERAÇÕES]])</f>
        <v>5.9402985074626864</v>
      </c>
      <c r="D6" s="9">
        <f ca="1">SUMIF('DADOS BASE'!C:C,Tabela4[[#This Row],[PORTOS]],'DADOS BASE'!I:I)</f>
        <v>398</v>
      </c>
      <c r="E6" s="9"/>
    </row>
    <row r="7" spans="1:5">
      <c r="A7" s="3" t="str">
        <f ca="1">IFERROR(__xludf.UNSUPPORTED("""COMPUTED_VALUE"""),"Santos")</f>
        <v>Santos</v>
      </c>
      <c r="B7" s="12">
        <v>63</v>
      </c>
      <c r="C7" s="13">
        <f ca="1">(D7/Tabela4[[#This Row],[TOTAL DE LIBERAÇÕES]])</f>
        <v>8.6190476190476186</v>
      </c>
      <c r="D7" s="9">
        <f ca="1">SUMIF('DADOS BASE'!C:C,Tabela4[[#This Row],[PORTOS]],'DADOS BASE'!I:I)</f>
        <v>543</v>
      </c>
      <c r="E7" s="9"/>
    </row>
    <row r="8" spans="1:5">
      <c r="A8" s="3" t="str">
        <f ca="1">IFERROR(__xludf.UNSUPPORTED("""COMPUTED_VALUE"""),"Terminal Aquaviário de São Sebastião (Almirante Barroso)")</f>
        <v>Terminal Aquaviário de São Sebastião (Almirante Barroso)</v>
      </c>
      <c r="B8" s="12">
        <v>40</v>
      </c>
      <c r="C8" s="13">
        <f ca="1">(D8/Tabela4[[#This Row],[TOTAL DE LIBERAÇÕES]])</f>
        <v>9.5</v>
      </c>
      <c r="D8" s="9">
        <f ca="1">SUMIF('DADOS BASE'!C:C,Tabela4[[#This Row],[PORTOS]],'DADOS BASE'!I:I)</f>
        <v>380</v>
      </c>
      <c r="E8" s="9"/>
    </row>
    <row r="9" spans="1:5">
      <c r="A9" s="3" t="str">
        <f ca="1">IFERROR(__xludf.UNSUPPORTED("""COMPUTED_VALUE"""),"São Sebastião")</f>
        <v>São Sebastião</v>
      </c>
      <c r="B9" s="12">
        <v>51</v>
      </c>
      <c r="C9" s="13">
        <f ca="1">(D9/Tabela4[[#This Row],[TOTAL DE LIBERAÇÕES]])</f>
        <v>9.5098039215686274</v>
      </c>
      <c r="D9" s="9">
        <f ca="1">SUMIF('DADOS BASE'!C:C,Tabela4[[#This Row],[PORTOS]],'DADOS BASE'!I:I)</f>
        <v>485</v>
      </c>
      <c r="E9" s="9"/>
    </row>
    <row r="10" spans="1:5">
      <c r="A10" s="3" t="str">
        <f ca="1">IFERROR(__xludf.UNSUPPORTED("""COMPUTED_VALUE"""),"Recife")</f>
        <v>Recife</v>
      </c>
      <c r="B10" s="12">
        <v>602</v>
      </c>
      <c r="C10" s="13">
        <f ca="1">(D10/Tabela4[[#This Row],[TOTAL DE LIBERAÇÕES]])</f>
        <v>14.086378737541528</v>
      </c>
      <c r="D10" s="9">
        <f ca="1">SUMIF('DADOS BASE'!C:C,Tabela4[[#This Row],[PORTOS]],'DADOS BASE'!I:I)</f>
        <v>8480</v>
      </c>
      <c r="E10" s="9"/>
    </row>
    <row r="11" spans="1:5">
      <c r="A11" s="3" t="str">
        <f ca="1">IFERROR(__xludf.UNSUPPORTED("""COMPUTED_VALUE"""),"Itaqui")</f>
        <v>Itaqui</v>
      </c>
      <c r="B11" s="12">
        <v>19</v>
      </c>
      <c r="C11" s="13">
        <f ca="1">(D11/Tabela4[[#This Row],[TOTAL DE LIBERAÇÕES]])</f>
        <v>15.526315789473685</v>
      </c>
      <c r="D11" s="9">
        <f ca="1">SUMIF('DADOS BASE'!C:C,Tabela4[[#This Row],[PORTOS]],'DADOS BASE'!I:I)</f>
        <v>295</v>
      </c>
      <c r="E11" s="9"/>
    </row>
    <row r="12" spans="1:5">
      <c r="A12" s="3" t="str">
        <f ca="1">IFERROR(__xludf.UNSUPPORTED("""COMPUTED_VALUE"""),"Maceió")</f>
        <v>Maceió</v>
      </c>
      <c r="B12" s="12">
        <v>162</v>
      </c>
      <c r="C12" s="13">
        <f ca="1">(D12/Tabela4[[#This Row],[TOTAL DE LIBERAÇÕES]])</f>
        <v>16.530864197530864</v>
      </c>
      <c r="D12" s="9">
        <f ca="1">SUMIF('DADOS BASE'!C:C,Tabela4[[#This Row],[PORTOS]],'DADOS BASE'!I:I)</f>
        <v>2678</v>
      </c>
      <c r="E12" s="9"/>
    </row>
    <row r="13" spans="1:5">
      <c r="A13" s="3" t="str">
        <f ca="1">IFERROR(__xludf.UNSUPPORTED("""COMPUTED_VALUE"""),"Itajaí")</f>
        <v>Itajaí</v>
      </c>
      <c r="B13" s="12">
        <v>33</v>
      </c>
      <c r="C13" s="13">
        <f ca="1">(D13/Tabela4[[#This Row],[TOTAL DE LIBERAÇÕES]])</f>
        <v>18.818181818181817</v>
      </c>
      <c r="D13" s="9">
        <f ca="1">SUMIF('DADOS BASE'!C:C,Tabela4[[#This Row],[PORTOS]],'DADOS BASE'!I:I)</f>
        <v>621</v>
      </c>
      <c r="E13" s="9"/>
    </row>
    <row r="14" spans="1:5">
      <c r="A14" s="3" t="str">
        <f ca="1">IFERROR(__xludf.UNSUPPORTED("""COMPUTED_VALUE"""),"Imbituba")</f>
        <v>Imbituba</v>
      </c>
      <c r="B14" s="12">
        <v>30</v>
      </c>
      <c r="C14" s="13">
        <f ca="1">(D14/Tabela4[[#This Row],[TOTAL DE LIBERAÇÕES]])</f>
        <v>18.833333333333332</v>
      </c>
      <c r="D14" s="9">
        <f ca="1">SUMIF('DADOS BASE'!C:C,Tabela4[[#This Row],[PORTOS]],'DADOS BASE'!I:I)</f>
        <v>565</v>
      </c>
      <c r="E14" s="9"/>
    </row>
    <row r="15" spans="1:5">
      <c r="A15" s="3" t="str">
        <f ca="1">IFERROR(__xludf.UNSUPPORTED("""COMPUTED_VALUE"""),"Suape")</f>
        <v>Suape</v>
      </c>
      <c r="B15" s="12">
        <v>249</v>
      </c>
      <c r="C15" s="13">
        <f ca="1">(D15/Tabela4[[#This Row],[TOTAL DE LIBERAÇÕES]])</f>
        <v>19.048192771084338</v>
      </c>
      <c r="D15" s="9">
        <f ca="1">SUMIF('DADOS BASE'!C:C,Tabela4[[#This Row],[PORTOS]],'DADOS BASE'!I:I)</f>
        <v>4743</v>
      </c>
      <c r="E15" s="9"/>
    </row>
    <row r="16" spans="1:5">
      <c r="A16" s="3" t="str">
        <f ca="1">IFERROR(__xludf.UNSUPPORTED("""COMPUTED_VALUE"""),"São Francisco do Sul")</f>
        <v>São Francisco do Sul</v>
      </c>
      <c r="B16" s="12">
        <v>28</v>
      </c>
      <c r="C16" s="13">
        <f ca="1">(D16/Tabela4[[#This Row],[TOTAL DE LIBERAÇÕES]])</f>
        <v>19.535714285714285</v>
      </c>
      <c r="D16" s="9">
        <f ca="1">SUMIF('DADOS BASE'!C:C,Tabela4[[#This Row],[PORTOS]],'DADOS BASE'!I:I)</f>
        <v>547</v>
      </c>
      <c r="E16" s="9"/>
    </row>
    <row r="17" spans="1:5">
      <c r="A17" s="3" t="str">
        <f ca="1">IFERROR(__xludf.UNSUPPORTED("""COMPUTED_VALUE"""),"Paranaguá")</f>
        <v>Paranaguá</v>
      </c>
      <c r="B17" s="12">
        <v>53</v>
      </c>
      <c r="C17" s="13">
        <f ca="1">(D17/Tabela4[[#This Row],[TOTAL DE LIBERAÇÕES]])</f>
        <v>21.90566037735849</v>
      </c>
      <c r="D17" s="9">
        <f ca="1">SUMIF('DADOS BASE'!C:C,Tabela4[[#This Row],[PORTOS]],'DADOS BASE'!I:I)</f>
        <v>1161</v>
      </c>
      <c r="E17" s="9"/>
    </row>
    <row r="18" spans="1:5">
      <c r="A18" s="3" t="str">
        <f ca="1">IFERROR(__xludf.UNSUPPORTED("""COMPUTED_VALUE"""),"Itaguaí")</f>
        <v>Itaguaí</v>
      </c>
      <c r="B18" s="12">
        <v>16</v>
      </c>
      <c r="C18" s="13">
        <f ca="1">(D18/Tabela4[[#This Row],[TOTAL DE LIBERAÇÕES]])</f>
        <v>22</v>
      </c>
      <c r="D18" s="9">
        <f ca="1">SUMIF('DADOS BASE'!C:C,Tabela4[[#This Row],[PORTOS]],'DADOS BASE'!I:I)</f>
        <v>352</v>
      </c>
      <c r="E18" s="9"/>
    </row>
    <row r="19" spans="1:5">
      <c r="A19" s="3" t="str">
        <f ca="1">IFERROR(__xludf.UNSUPPORTED("""COMPUTED_VALUE"""),"Rio de Janeiro")</f>
        <v>Rio de Janeiro</v>
      </c>
      <c r="B19" s="12">
        <v>23</v>
      </c>
      <c r="C19" s="13">
        <f ca="1">(D19/Tabela4[[#This Row],[TOTAL DE LIBERAÇÕES]])</f>
        <v>22.086956521739129</v>
      </c>
      <c r="D19" s="9">
        <f ca="1">SUMIF('DADOS BASE'!C:C,Tabela4[[#This Row],[PORTOS]],'DADOS BASE'!I:I)</f>
        <v>508</v>
      </c>
      <c r="E19" s="9"/>
    </row>
    <row r="20" spans="1:5">
      <c r="A20" s="3" t="str">
        <f ca="1">IFERROR(__xludf.UNSUPPORTED("""COMPUTED_VALUE"""),"Porto do Açu")</f>
        <v>Porto do Açu</v>
      </c>
      <c r="B20" s="12">
        <v>21</v>
      </c>
      <c r="C20" s="13">
        <f ca="1">(D20/Tabela4[[#This Row],[TOTAL DE LIBERAÇÕES]])</f>
        <v>22.19047619047619</v>
      </c>
      <c r="D20" s="9">
        <f ca="1">SUMIF('DADOS BASE'!C:C,Tabela4[[#This Row],[PORTOS]],'DADOS BASE'!I:I)</f>
        <v>466</v>
      </c>
      <c r="E20" s="9"/>
    </row>
    <row r="21" spans="1:5">
      <c r="A21" s="3" t="str">
        <f ca="1">IFERROR(__xludf.UNSUPPORTED("""COMPUTED_VALUE"""),"Angra dos Reis")</f>
        <v>Angra dos Reis</v>
      </c>
      <c r="B21" s="12">
        <v>16</v>
      </c>
      <c r="C21" s="13">
        <f ca="1">(D21/Tabela4[[#This Row],[TOTAL DE LIBERAÇÕES]])</f>
        <v>22.25</v>
      </c>
      <c r="D21" s="9">
        <f ca="1">SUMIF('DADOS BASE'!C:C,Tabela4[[#This Row],[PORTOS]],'DADOS BASE'!I:I)</f>
        <v>356</v>
      </c>
      <c r="E21" s="9"/>
    </row>
    <row r="22" spans="1:5">
      <c r="A22" s="3" t="str">
        <f ca="1">IFERROR(__xludf.UNSUPPORTED("""COMPUTED_VALUE"""),"Niterói")</f>
        <v>Niterói</v>
      </c>
      <c r="B22" s="12">
        <v>23</v>
      </c>
      <c r="C22" s="13">
        <f ca="1">(D22/Tabela4[[#This Row],[TOTAL DE LIBERAÇÕES]])</f>
        <v>22.347826086956523</v>
      </c>
      <c r="D22" s="9">
        <f ca="1">SUMIF('DADOS BASE'!C:C,Tabela4[[#This Row],[PORTOS]],'DADOS BASE'!I:I)</f>
        <v>514</v>
      </c>
      <c r="E22" s="9"/>
    </row>
    <row r="23" spans="1:5">
      <c r="A23" s="3" t="str">
        <f ca="1">IFERROR(__xludf.UNSUPPORTED("""COMPUTED_VALUE"""),"Antonina")</f>
        <v>Antonina</v>
      </c>
      <c r="B23" s="12">
        <v>46</v>
      </c>
      <c r="C23" s="13">
        <f ca="1">(D23/Tabela4[[#This Row],[TOTAL DE LIBERAÇÕES]])</f>
        <v>22.891304347826086</v>
      </c>
      <c r="D23" s="9">
        <f ca="1">SUMIF('DADOS BASE'!C:C,Tabela4[[#This Row],[PORTOS]],'DADOS BASE'!I:I)</f>
        <v>1053</v>
      </c>
      <c r="E23" s="9"/>
    </row>
    <row r="24" spans="1:5">
      <c r="A24" s="3" t="str">
        <f ca="1">IFERROR(__xludf.UNSUPPORTED("""COMPUTED_VALUE"""),"Manaus")</f>
        <v>Manaus</v>
      </c>
      <c r="B24" s="12">
        <v>23</v>
      </c>
      <c r="C24" s="13">
        <f ca="1">(D24/Tabela4[[#This Row],[TOTAL DE LIBERAÇÕES]])</f>
        <v>22.956521739130434</v>
      </c>
      <c r="D24" s="9">
        <f ca="1">SUMIF('DADOS BASE'!C:C,Tabela4[[#This Row],[PORTOS]],'DADOS BASE'!I:I)</f>
        <v>528</v>
      </c>
      <c r="E24" s="9"/>
    </row>
    <row r="25" spans="1:5">
      <c r="A25" s="3" t="str">
        <f ca="1">IFERROR(__xludf.UNSUPPORTED("""COMPUTED_VALUE"""),"Forno")</f>
        <v>Forno</v>
      </c>
      <c r="B25" s="12">
        <v>16</v>
      </c>
      <c r="C25" s="13">
        <f ca="1">(D25/Tabela4[[#This Row],[TOTAL DE LIBERAÇÕES]])</f>
        <v>23</v>
      </c>
      <c r="D25" s="9">
        <f ca="1">SUMIF('DADOS BASE'!C:C,Tabela4[[#This Row],[PORTOS]],'DADOS BASE'!I:I)</f>
        <v>368</v>
      </c>
      <c r="E25" s="9"/>
    </row>
    <row r="26" spans="1:5">
      <c r="A26" s="3" t="str">
        <f ca="1">IFERROR(__xludf.UNSUPPORTED("""COMPUTED_VALUE"""),"Fortaleza")</f>
        <v>Fortaleza</v>
      </c>
      <c r="B26" s="12">
        <v>47</v>
      </c>
      <c r="C26" s="13">
        <f ca="1">(D26/Tabela4[[#This Row],[TOTAL DE LIBERAÇÕES]])</f>
        <v>23.170212765957448</v>
      </c>
      <c r="D26" s="9">
        <f ca="1">SUMIF('DADOS BASE'!C:C,Tabela4[[#This Row],[PORTOS]],'DADOS BASE'!I:I)</f>
        <v>1089</v>
      </c>
      <c r="E26" s="9"/>
    </row>
    <row r="27" spans="1:5">
      <c r="A27" s="3" t="str">
        <f ca="1">IFERROR(__xludf.UNSUPPORTED("""COMPUTED_VALUE"""),"Porto Velho")</f>
        <v>Porto Velho</v>
      </c>
      <c r="B27" s="12">
        <v>35</v>
      </c>
      <c r="C27" s="13">
        <f ca="1">(D27/Tabela4[[#This Row],[TOTAL DE LIBERAÇÕES]])</f>
        <v>23.342857142857142</v>
      </c>
      <c r="D27" s="9">
        <f ca="1">SUMIF('DADOS BASE'!C:C,Tabela4[[#This Row],[PORTOS]],'DADOS BASE'!I:I)</f>
        <v>817</v>
      </c>
      <c r="E27" s="9"/>
    </row>
    <row r="28" spans="1:5">
      <c r="A28" s="3" t="str">
        <f ca="1">IFERROR(__xludf.UNSUPPORTED("""COMPUTED_VALUE"""),"Vitória")</f>
        <v>Vitória</v>
      </c>
      <c r="B28" s="12">
        <v>60</v>
      </c>
      <c r="C28" s="13">
        <f ca="1">(D28/Tabela4[[#This Row],[TOTAL DE LIBERAÇÕES]])</f>
        <v>23.383333333333333</v>
      </c>
      <c r="D28" s="9">
        <f ca="1">SUMIF('DADOS BASE'!C:C,Tabela4[[#This Row],[PORTOS]],'DADOS BASE'!I:I)</f>
        <v>1403</v>
      </c>
      <c r="E28" s="9"/>
    </row>
    <row r="29" spans="1:5">
      <c r="A29" s="3" t="str">
        <f ca="1">IFERROR(__xludf.UNSUPPORTED("""COMPUTED_VALUE"""),"Natal")</f>
        <v>Natal</v>
      </c>
      <c r="B29" s="12">
        <v>46</v>
      </c>
      <c r="C29" s="13">
        <f ca="1">(D29/Tabela4[[#This Row],[TOTAL DE LIBERAÇÕES]])</f>
        <v>23.543478260869566</v>
      </c>
      <c r="D29" s="9">
        <f ca="1">SUMIF('DADOS BASE'!C:C,Tabela4[[#This Row],[PORTOS]],'DADOS BASE'!I:I)</f>
        <v>1083</v>
      </c>
      <c r="E29" s="9"/>
    </row>
    <row r="30" spans="1:5">
      <c r="A30" s="3" t="str">
        <f ca="1">IFERROR(__xludf.UNSUPPORTED("""COMPUTED_VALUE"""),"Salvador")</f>
        <v>Salvador</v>
      </c>
      <c r="B30" s="12">
        <v>193</v>
      </c>
      <c r="C30" s="13">
        <f ca="1">(D30/Tabela4[[#This Row],[TOTAL DE LIBERAÇÕES]])</f>
        <v>23.725388601036268</v>
      </c>
      <c r="D30" s="9">
        <f ca="1">SUMIF('DADOS BASE'!C:C,Tabela4[[#This Row],[PORTOS]],'DADOS BASE'!I:I)</f>
        <v>4579</v>
      </c>
      <c r="E30" s="9"/>
    </row>
    <row r="31" spans="1:5">
      <c r="A31" s="3" t="str">
        <f ca="1">IFERROR(__xludf.UNSUPPORTED("""COMPUTED_VALUE"""),"Ilhéus")</f>
        <v>Ilhéus</v>
      </c>
      <c r="B31" s="12">
        <v>188</v>
      </c>
      <c r="C31" s="13">
        <f ca="1">(D31/Tabela4[[#This Row],[TOTAL DE LIBERAÇÕES]])</f>
        <v>23.893617021276597</v>
      </c>
      <c r="D31" s="9">
        <f ca="1">SUMIF('DADOS BASE'!C:C,Tabela4[[#This Row],[PORTOS]],'DADOS BASE'!I:I)</f>
        <v>4492</v>
      </c>
      <c r="E31" s="9"/>
    </row>
    <row r="32" spans="1:5">
      <c r="A32" s="3" t="str">
        <f ca="1">IFERROR(__xludf.UNSUPPORTED("""COMPUTED_VALUE"""),"Aratu")</f>
        <v>Aratu</v>
      </c>
      <c r="B32" s="12">
        <v>304</v>
      </c>
      <c r="C32" s="13">
        <f ca="1">(D32/Tabela4[[#This Row],[TOTAL DE LIBERAÇÕES]])</f>
        <v>23.894736842105264</v>
      </c>
      <c r="D32" s="9">
        <f ca="1">SUMIF('DADOS BASE'!C:C,Tabela4[[#This Row],[PORTOS]],'DADOS BASE'!I:I)</f>
        <v>7264</v>
      </c>
      <c r="E32" s="9"/>
    </row>
    <row r="33" spans="1:5">
      <c r="A33" s="3" t="str">
        <f ca="1">IFERROR(__xludf.UNSUPPORTED("""COMPUTED_VALUE"""),"Terminal Portuário do Pecém")</f>
        <v>Terminal Portuário do Pecém</v>
      </c>
      <c r="B33" s="12">
        <v>45</v>
      </c>
      <c r="C33" s="13">
        <f ca="1">(D33/Tabela4[[#This Row],[TOTAL DE LIBERAÇÕES]])</f>
        <v>23.977777777777778</v>
      </c>
      <c r="D33" s="9">
        <f ca="1">SUMIF('DADOS BASE'!C:C,Tabela4[[#This Row],[PORTOS]],'DADOS BASE'!I:I)</f>
        <v>1079</v>
      </c>
      <c r="E33" s="9"/>
    </row>
    <row r="34" spans="1:5">
      <c r="A34" s="3" t="str">
        <f ca="1">IFERROR(__xludf.UNSUPPORTED("""COMPUTED_VALUE"""),"Terminal Aquaviário de Madre de Deus")</f>
        <v>Terminal Aquaviário de Madre de Deus</v>
      </c>
      <c r="B34" s="12">
        <v>304</v>
      </c>
      <c r="C34" s="13">
        <f ca="1">(D34/Tabela4[[#This Row],[TOTAL DE LIBERAÇÕES]])</f>
        <v>23.993421052631579</v>
      </c>
      <c r="D34" s="9">
        <f ca="1">SUMIF('DADOS BASE'!C:C,Tabela4[[#This Row],[PORTOS]],'DADOS BASE'!I:I)</f>
        <v>7294</v>
      </c>
      <c r="E34" s="9"/>
    </row>
    <row r="35" spans="1:5">
      <c r="A35" s="3" t="str">
        <f ca="1">IFERROR(__xludf.UNSUPPORTED("""COMPUTED_VALUE"""),"Areia Branca")</f>
        <v>Areia Branca</v>
      </c>
      <c r="B35" s="12">
        <v>44</v>
      </c>
      <c r="C35" s="13">
        <f ca="1">(D35/Tabela4[[#This Row],[TOTAL DE LIBERAÇÕES]])</f>
        <v>24</v>
      </c>
      <c r="D35" s="9">
        <f ca="1">SUMIF('DADOS BASE'!C:C,Tabela4[[#This Row],[PORTOS]],'DADOS BASE'!I:I)</f>
        <v>1056</v>
      </c>
      <c r="E35" s="9"/>
    </row>
    <row r="36" spans="1:5">
      <c r="A36" s="3" t="str">
        <f ca="1">IFERROR(__xludf.UNSUPPORTED("""COMPUTED_VALUE"""),"Pelotas")</f>
        <v>Pelotas</v>
      </c>
      <c r="B36" s="12">
        <v>78</v>
      </c>
      <c r="C36" s="13">
        <f ca="1">(D36/Tabela4[[#This Row],[TOTAL DE LIBERAÇÕES]])</f>
        <v>27.23076923076923</v>
      </c>
      <c r="D36" s="9">
        <f ca="1">SUMIF('DADOS BASE'!C:C,Tabela4[[#This Row],[PORTOS]],'DADOS BASE'!I:I)</f>
        <v>2124</v>
      </c>
      <c r="E36" s="9"/>
    </row>
    <row r="37" spans="1:5">
      <c r="A37" s="3" t="str">
        <f ca="1">IFERROR(__xludf.UNSUPPORTED("""COMPUTED_VALUE"""),"Rio Grande")</f>
        <v>Rio Grande</v>
      </c>
      <c r="B37" s="12">
        <v>70</v>
      </c>
      <c r="C37" s="13">
        <f ca="1">(D37/Tabela4[[#This Row],[TOTAL DE LIBERAÇÕES]])</f>
        <v>27.3</v>
      </c>
      <c r="D37" s="9">
        <f ca="1">SUMIF('DADOS BASE'!C:C,Tabela4[[#This Row],[PORTOS]],'DADOS BASE'!I:I)</f>
        <v>1911</v>
      </c>
      <c r="E37" s="9"/>
    </row>
    <row r="38" spans="1:5">
      <c r="A38" s="3" t="str">
        <f ca="1">IFERROR(__xludf.UNSUPPORTED("""COMPUTED_VALUE"""),"Porto Alegre")</f>
        <v>Porto Alegre</v>
      </c>
      <c r="B38" s="12">
        <v>71</v>
      </c>
      <c r="C38" s="13">
        <f ca="1">(D38/Tabela4[[#This Row],[TOTAL DE LIBERAÇÕES]])</f>
        <v>41.014084507042256</v>
      </c>
      <c r="D38" s="9">
        <f ca="1">SUMIF('DADOS BASE'!C:C,Tabela4[[#This Row],[PORTOS]],'DADOS BASE'!I:I)</f>
        <v>2912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0523D-5CC1-4BB2-974F-A23D03994D67}">
  <dimension ref="A1:A8"/>
  <sheetViews>
    <sheetView showGridLines="0" workbookViewId="0">
      <selection activeCell="A7" sqref="A7"/>
    </sheetView>
  </sheetViews>
  <sheetFormatPr defaultRowHeight="12.75"/>
  <cols>
    <col min="1" max="1" width="59.140625" customWidth="1"/>
    <col min="2" max="2" width="36.5703125" bestFit="1" customWidth="1"/>
  </cols>
  <sheetData>
    <row r="1" spans="1:1" ht="21.75">
      <c r="A1" s="22" t="s">
        <v>20</v>
      </c>
    </row>
    <row r="2" spans="1:1">
      <c r="A2" s="14" t="s">
        <v>21</v>
      </c>
    </row>
    <row r="4" spans="1:1" ht="21.75">
      <c r="A4" s="22" t="s">
        <v>22</v>
      </c>
    </row>
    <row r="5" spans="1:1">
      <c r="A5" s="14" t="s">
        <v>23</v>
      </c>
    </row>
    <row r="7" spans="1:1" ht="21.75">
      <c r="A7" s="22" t="s">
        <v>24</v>
      </c>
    </row>
    <row r="8" spans="1:1">
      <c r="A8" s="2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Fatec</dc:creator>
  <cp:keywords/>
  <dc:description/>
  <cp:lastModifiedBy>MATHEUS ALVES DE SIQUEIRA</cp:lastModifiedBy>
  <cp:revision/>
  <dcterms:created xsi:type="dcterms:W3CDTF">2025-03-22T00:14:37Z</dcterms:created>
  <dcterms:modified xsi:type="dcterms:W3CDTF">2025-03-24T21:46:27Z</dcterms:modified>
  <cp:category/>
  <cp:contentStatus/>
</cp:coreProperties>
</file>